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k\Documents\excel\COVID-19\COVID 2022\"/>
    </mc:Choice>
  </mc:AlternateContent>
  <xr:revisionPtr revIDLastSave="0" documentId="8_{9B2F50F5-2FB5-409D-B67F-2708E53DC8C8}" xr6:coauthVersionLast="47" xr6:coauthVersionMax="47" xr10:uidLastSave="{00000000-0000-0000-0000-000000000000}"/>
  <bookViews>
    <workbookView xWindow="-96" yWindow="-96" windowWidth="30912" windowHeight="16872" activeTab="1" xr2:uid="{C1C0A8EA-F82D-4F8A-B02A-406B6741A981}"/>
  </bookViews>
  <sheets>
    <sheet name="Main Table" sheetId="1" r:id="rId1"/>
    <sheet name="Hot Spots" sheetId="2" r:id="rId2"/>
    <sheet name="ONC" sheetId="3" r:id="rId3"/>
  </sheets>
  <definedNames>
    <definedName name="_xlnm.Print_Area" localSheetId="0">'Main Table'!$A$1:$CJ$769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768" i="2" l="1"/>
  <c r="T768" i="2"/>
  <c r="S768" i="2"/>
  <c r="R768" i="2"/>
  <c r="Q768" i="2"/>
  <c r="P768" i="2"/>
  <c r="O768" i="2"/>
  <c r="N768" i="2"/>
  <c r="M768" i="2"/>
  <c r="L768" i="2"/>
  <c r="K768" i="2"/>
  <c r="J768" i="2"/>
  <c r="I768" i="2"/>
  <c r="H768" i="2"/>
  <c r="G768" i="2"/>
  <c r="E768" i="2"/>
  <c r="BO768" i="1" l="1"/>
  <c r="BJ768" i="1"/>
  <c r="BH768" i="1"/>
  <c r="BF768" i="1"/>
  <c r="BB768" i="1"/>
  <c r="AZ768" i="1"/>
  <c r="AY768" i="1"/>
  <c r="AT768" i="1"/>
  <c r="AP768" i="1"/>
  <c r="AJ768" i="1"/>
  <c r="AI768" i="1"/>
  <c r="AH768" i="1"/>
  <c r="AD768" i="1"/>
  <c r="AB768" i="1"/>
  <c r="AA768" i="1"/>
  <c r="V768" i="1"/>
  <c r="T768" i="1"/>
  <c r="R768" i="1"/>
  <c r="L768" i="1"/>
  <c r="K768" i="1"/>
  <c r="BO767" i="1"/>
  <c r="BN767" i="1"/>
  <c r="BN768" i="1" s="1"/>
  <c r="BM767" i="1"/>
  <c r="BM768" i="1" s="1"/>
  <c r="BL767" i="1"/>
  <c r="BL768" i="1" s="1"/>
  <c r="BK767" i="1"/>
  <c r="BK768" i="1" s="1"/>
  <c r="BJ767" i="1"/>
  <c r="BI767" i="1"/>
  <c r="BI768" i="1" s="1"/>
  <c r="BH767" i="1"/>
  <c r="BF767" i="1"/>
  <c r="BD767" i="1"/>
  <c r="BD768" i="1" s="1"/>
  <c r="BC767" i="1"/>
  <c r="BC768" i="1" s="1"/>
  <c r="BB767" i="1"/>
  <c r="AZ767" i="1"/>
  <c r="AY767" i="1"/>
  <c r="AW767" i="1"/>
  <c r="AW768" i="1" s="1"/>
  <c r="AU767" i="1"/>
  <c r="AU768" i="1" s="1"/>
  <c r="AT767" i="1"/>
  <c r="AS767" i="1"/>
  <c r="AS768" i="1" s="1"/>
  <c r="AQ767" i="1"/>
  <c r="AQ768" i="1" s="1"/>
  <c r="AP767" i="1"/>
  <c r="AO767" i="1"/>
  <c r="AO768" i="1" s="1"/>
  <c r="AN767" i="1"/>
  <c r="AN768" i="1" s="1"/>
  <c r="AM767" i="1"/>
  <c r="AM768" i="1" s="1"/>
  <c r="AK767" i="1"/>
  <c r="AK768" i="1" s="1"/>
  <c r="AJ767" i="1"/>
  <c r="AI767" i="1"/>
  <c r="AH767" i="1"/>
  <c r="AG767" i="1"/>
  <c r="AG768" i="1" s="1"/>
  <c r="AF767" i="1"/>
  <c r="AF768" i="1" s="1"/>
  <c r="AE767" i="1"/>
  <c r="AE768" i="1" s="1"/>
  <c r="AD767" i="1"/>
  <c r="AB767" i="1"/>
  <c r="AA767" i="1"/>
  <c r="Z767" i="1"/>
  <c r="Z768" i="1" s="1"/>
  <c r="Y767" i="1"/>
  <c r="Y768" i="1" s="1"/>
  <c r="X767" i="1"/>
  <c r="X768" i="1" s="1"/>
  <c r="W767" i="1"/>
  <c r="W768" i="1" s="1"/>
  <c r="V767" i="1"/>
  <c r="U767" i="1"/>
  <c r="U768" i="1" s="1"/>
  <c r="T767" i="1"/>
  <c r="R767" i="1"/>
  <c r="P767" i="1"/>
  <c r="P768" i="1" s="1"/>
  <c r="M767" i="1"/>
  <c r="M768" i="1" s="1"/>
  <c r="L767" i="1"/>
  <c r="K767" i="1"/>
  <c r="J767" i="1"/>
  <c r="J768" i="1" s="1"/>
  <c r="I767" i="1"/>
  <c r="I768" i="1" s="1"/>
  <c r="D767" i="1"/>
  <c r="D768" i="1" s="1"/>
  <c r="BW761" i="1"/>
  <c r="BN761" i="1"/>
  <c r="BE761" i="1"/>
  <c r="BP761" i="1" s="1"/>
  <c r="BR761" i="1" s="1"/>
  <c r="BA761" i="1"/>
  <c r="BA767" i="1" s="1"/>
  <c r="BA768" i="1" s="1"/>
  <c r="AX761" i="1"/>
  <c r="AX767" i="1" s="1"/>
  <c r="AX768" i="1" s="1"/>
  <c r="AL761" i="1"/>
  <c r="AR761" i="1" s="1"/>
  <c r="AR767" i="1" s="1"/>
  <c r="AR768" i="1" s="1"/>
  <c r="AA761" i="1"/>
  <c r="AE761" i="1" s="1"/>
  <c r="Z761" i="1"/>
  <c r="V761" i="1"/>
  <c r="Q761" i="1"/>
  <c r="S761" i="1" s="1"/>
  <c r="S767" i="1" s="1"/>
  <c r="S768" i="1" s="1"/>
  <c r="N761" i="1"/>
  <c r="N767" i="1" s="1"/>
  <c r="N768" i="1" s="1"/>
  <c r="J761" i="1"/>
  <c r="H761" i="1"/>
  <c r="AV761" i="1" s="1"/>
  <c r="AV767" i="1" s="1"/>
  <c r="AV768" i="1" s="1"/>
  <c r="I20" i="3"/>
  <c r="BW760" i="1"/>
  <c r="BN760" i="1" s="1"/>
  <c r="BE760" i="1"/>
  <c r="BP760" i="1" s="1"/>
  <c r="BR760" i="1" s="1"/>
  <c r="BA760" i="1"/>
  <c r="BG760" i="1" s="1"/>
  <c r="AL760" i="1"/>
  <c r="AR760" i="1" s="1"/>
  <c r="AA760" i="1"/>
  <c r="AE760" i="1" s="1"/>
  <c r="Z760" i="1"/>
  <c r="V760" i="1"/>
  <c r="Q760" i="1"/>
  <c r="N760" i="1"/>
  <c r="J760" i="1"/>
  <c r="H760" i="1"/>
  <c r="O760" i="1" s="1"/>
  <c r="BW759" i="1"/>
  <c r="BN759" i="1" s="1"/>
  <c r="BE759" i="1"/>
  <c r="BP759" i="1" s="1"/>
  <c r="BR759" i="1" s="1"/>
  <c r="BA759" i="1"/>
  <c r="AX759" i="1"/>
  <c r="AR759" i="1"/>
  <c r="AL759" i="1"/>
  <c r="AA759" i="1"/>
  <c r="AE759" i="1" s="1"/>
  <c r="Z759" i="1"/>
  <c r="V759" i="1"/>
  <c r="Q759" i="1"/>
  <c r="S759" i="1" s="1"/>
  <c r="N759" i="1"/>
  <c r="J759" i="1"/>
  <c r="H759" i="1"/>
  <c r="AV759" i="1" s="1"/>
  <c r="B760" i="1"/>
  <c r="B761" i="1" s="1"/>
  <c r="B762" i="1" s="1"/>
  <c r="B763" i="1" s="1"/>
  <c r="B764" i="1" s="1"/>
  <c r="BE758" i="1"/>
  <c r="BA758" i="1"/>
  <c r="AL758" i="1"/>
  <c r="AR758" i="1" s="1"/>
  <c r="Z758" i="1"/>
  <c r="Q758" i="1"/>
  <c r="N758" i="1"/>
  <c r="U714" i="3"/>
  <c r="U715" i="3" s="1"/>
  <c r="U716" i="3" s="1"/>
  <c r="U717" i="3" s="1"/>
  <c r="U718" i="3" s="1"/>
  <c r="U713" i="3"/>
  <c r="BE757" i="1"/>
  <c r="BA757" i="1"/>
  <c r="AL757" i="1"/>
  <c r="AR757" i="1" s="1"/>
  <c r="Z757" i="1"/>
  <c r="Q757" i="1"/>
  <c r="S757" i="1" s="1"/>
  <c r="N757" i="1"/>
  <c r="BE756" i="1"/>
  <c r="BA756" i="1"/>
  <c r="AL756" i="1"/>
  <c r="Z756" i="1"/>
  <c r="Q756" i="1"/>
  <c r="N756" i="1"/>
  <c r="BE755" i="1"/>
  <c r="BA755" i="1"/>
  <c r="AL755" i="1"/>
  <c r="AR755" i="1" s="1"/>
  <c r="Z755" i="1"/>
  <c r="Q755" i="1"/>
  <c r="N755" i="1"/>
  <c r="BE754" i="1"/>
  <c r="BA754" i="1"/>
  <c r="AL754" i="1"/>
  <c r="AR754" i="1" s="1"/>
  <c r="Z754" i="1"/>
  <c r="Q754" i="1"/>
  <c r="N754" i="1"/>
  <c r="BE753" i="1"/>
  <c r="BA753" i="1"/>
  <c r="AL753" i="1"/>
  <c r="AR753" i="1" s="1"/>
  <c r="Z753" i="1"/>
  <c r="Q753" i="1"/>
  <c r="S753" i="1" s="1"/>
  <c r="N753" i="1"/>
  <c r="BE752" i="1"/>
  <c r="BA752" i="1"/>
  <c r="AL752" i="1"/>
  <c r="AR752" i="1" s="1"/>
  <c r="Z752" i="1"/>
  <c r="Q752" i="1"/>
  <c r="N752" i="1"/>
  <c r="BE751" i="1"/>
  <c r="BA751" i="1"/>
  <c r="AL751" i="1"/>
  <c r="AR751" i="1" s="1"/>
  <c r="Z751" i="1"/>
  <c r="Q751" i="1"/>
  <c r="N751" i="1"/>
  <c r="BE750" i="1"/>
  <c r="BA750" i="1"/>
  <c r="AL750" i="1"/>
  <c r="AR750" i="1" s="1"/>
  <c r="Z750" i="1"/>
  <c r="Q750" i="1"/>
  <c r="N750" i="1"/>
  <c r="BE749" i="1"/>
  <c r="BA749" i="1"/>
  <c r="AL749" i="1"/>
  <c r="AR749" i="1" s="1"/>
  <c r="Z749" i="1"/>
  <c r="Q749" i="1"/>
  <c r="N749" i="1"/>
  <c r="BE748" i="1"/>
  <c r="BA748" i="1"/>
  <c r="AL748" i="1"/>
  <c r="AR748" i="1" s="1"/>
  <c r="Z748" i="1"/>
  <c r="Q748" i="1"/>
  <c r="N748" i="1"/>
  <c r="BE747" i="1"/>
  <c r="BA747" i="1"/>
  <c r="AL747" i="1"/>
  <c r="Z747" i="1"/>
  <c r="Q747" i="1"/>
  <c r="N747" i="1"/>
  <c r="BE746" i="1"/>
  <c r="BA746" i="1"/>
  <c r="AL746" i="1"/>
  <c r="AR746" i="1" s="1"/>
  <c r="Z746" i="1"/>
  <c r="Q746" i="1"/>
  <c r="N746" i="1"/>
  <c r="BE745" i="1"/>
  <c r="BA745" i="1"/>
  <c r="AL745" i="1"/>
  <c r="Z745" i="1"/>
  <c r="Q745" i="1"/>
  <c r="N745" i="1"/>
  <c r="BE744" i="1"/>
  <c r="BA744" i="1"/>
  <c r="AL744" i="1"/>
  <c r="AR744" i="1" s="1"/>
  <c r="Z744" i="1"/>
  <c r="Q744" i="1"/>
  <c r="N744" i="1"/>
  <c r="AA698" i="3"/>
  <c r="BE743" i="1"/>
  <c r="BA743" i="1"/>
  <c r="AL743" i="1"/>
  <c r="AR743" i="1" s="1"/>
  <c r="Z743" i="1"/>
  <c r="Q743" i="1"/>
  <c r="N743" i="1"/>
  <c r="BE742" i="1"/>
  <c r="BA742" i="1"/>
  <c r="AL742" i="1"/>
  <c r="AR742" i="1" s="1"/>
  <c r="Z742" i="1"/>
  <c r="Q742" i="1"/>
  <c r="N742" i="1"/>
  <c r="BE741" i="1"/>
  <c r="BA741" i="1"/>
  <c r="AL741" i="1"/>
  <c r="AR741" i="1" s="1"/>
  <c r="Z741" i="1"/>
  <c r="Q741" i="1"/>
  <c r="N741" i="1"/>
  <c r="S762" i="2"/>
  <c r="W762" i="2"/>
  <c r="K762" i="2"/>
  <c r="Q762" i="2" s="1"/>
  <c r="S761" i="2"/>
  <c r="W761" i="2"/>
  <c r="K761" i="2"/>
  <c r="Q761" i="2" s="1"/>
  <c r="S760" i="2"/>
  <c r="C761" i="2"/>
  <c r="C762" i="2" s="1"/>
  <c r="C763" i="2" s="1"/>
  <c r="C764" i="2" s="1"/>
  <c r="C765" i="2" s="1"/>
  <c r="V768" i="2"/>
  <c r="K760" i="2"/>
  <c r="S759" i="2"/>
  <c r="K759" i="2"/>
  <c r="Q759" i="2" s="1"/>
  <c r="S758" i="2"/>
  <c r="K758" i="2"/>
  <c r="S757" i="2"/>
  <c r="K757" i="2"/>
  <c r="S756" i="2"/>
  <c r="K756" i="2"/>
  <c r="Q756" i="2" s="1"/>
  <c r="S755" i="2"/>
  <c r="K755" i="2"/>
  <c r="Q755" i="2" s="1"/>
  <c r="S754" i="2"/>
  <c r="K754" i="2"/>
  <c r="S753" i="2"/>
  <c r="K753" i="2"/>
  <c r="Q753" i="2" s="1"/>
  <c r="S752" i="2"/>
  <c r="K752" i="2"/>
  <c r="S751" i="2"/>
  <c r="K751" i="2"/>
  <c r="S750" i="2"/>
  <c r="K750" i="2"/>
  <c r="S749" i="2"/>
  <c r="K749" i="2"/>
  <c r="S748" i="2"/>
  <c r="K748" i="2"/>
  <c r="S747" i="2"/>
  <c r="K747" i="2"/>
  <c r="S746" i="2"/>
  <c r="K746" i="2"/>
  <c r="S745" i="2"/>
  <c r="K745" i="2"/>
  <c r="S744" i="2"/>
  <c r="K744" i="2"/>
  <c r="S743" i="2"/>
  <c r="K743" i="2"/>
  <c r="S742" i="2"/>
  <c r="K742" i="2"/>
  <c r="BE740" i="1"/>
  <c r="BA740" i="1"/>
  <c r="AL740" i="1"/>
  <c r="AR740" i="1" s="1"/>
  <c r="Z740" i="1"/>
  <c r="Q740" i="1"/>
  <c r="N740" i="1"/>
  <c r="BE739" i="1"/>
  <c r="BA739" i="1"/>
  <c r="AL739" i="1"/>
  <c r="AR739" i="1" s="1"/>
  <c r="Z739" i="1"/>
  <c r="Q739" i="1"/>
  <c r="N739" i="1"/>
  <c r="AL767" i="1" l="1"/>
  <c r="AL768" i="1" s="1"/>
  <c r="BP767" i="1"/>
  <c r="BP768" i="1" s="1"/>
  <c r="H767" i="1"/>
  <c r="H768" i="1" s="1"/>
  <c r="Q767" i="1"/>
  <c r="Q768" i="1" s="1"/>
  <c r="BE767" i="1"/>
  <c r="BE768" i="1" s="1"/>
  <c r="AC761" i="1"/>
  <c r="AC767" i="1" s="1"/>
  <c r="AC768" i="1" s="1"/>
  <c r="BG761" i="1"/>
  <c r="BG767" i="1" s="1"/>
  <c r="BG768" i="1" s="1"/>
  <c r="O761" i="1"/>
  <c r="O767" i="1" s="1"/>
  <c r="O768" i="1" s="1"/>
  <c r="S760" i="1"/>
  <c r="AC760" i="1"/>
  <c r="AV760" i="1"/>
  <c r="AX760" i="1"/>
  <c r="AC759" i="1"/>
  <c r="BG759" i="1"/>
  <c r="O759" i="1"/>
  <c r="BG758" i="1"/>
  <c r="S754" i="1"/>
  <c r="BG751" i="1"/>
  <c r="S758" i="1"/>
  <c r="S756" i="1"/>
  <c r="BG757" i="1"/>
  <c r="AR756" i="1"/>
  <c r="S751" i="1"/>
  <c r="S750" i="1"/>
  <c r="S746" i="1"/>
  <c r="S755" i="1"/>
  <c r="S749" i="1"/>
  <c r="BG754" i="1"/>
  <c r="BG756" i="1"/>
  <c r="BG755" i="1"/>
  <c r="BG753" i="1"/>
  <c r="S752" i="1"/>
  <c r="S748" i="1"/>
  <c r="BG740" i="1"/>
  <c r="BG752" i="1"/>
  <c r="BG750" i="1"/>
  <c r="BG749" i="1"/>
  <c r="BG748" i="1"/>
  <c r="S747" i="1"/>
  <c r="AR747" i="1"/>
  <c r="BG747" i="1"/>
  <c r="BG746" i="1"/>
  <c r="AR745" i="1"/>
  <c r="BG745" i="1"/>
  <c r="BG743" i="1"/>
  <c r="BG744" i="1"/>
  <c r="BG742" i="1"/>
  <c r="BG741" i="1"/>
  <c r="M762" i="2"/>
  <c r="M761" i="2"/>
  <c r="Q750" i="2"/>
  <c r="Q757" i="2"/>
  <c r="Q760" i="2"/>
  <c r="Q752" i="2"/>
  <c r="Q758" i="2"/>
  <c r="M760" i="2"/>
  <c r="M759" i="2"/>
  <c r="M758" i="2"/>
  <c r="M757" i="2"/>
  <c r="M756" i="2"/>
  <c r="M755" i="2"/>
  <c r="Q747" i="2"/>
  <c r="Q751" i="2"/>
  <c r="Q754" i="2"/>
  <c r="M754" i="2"/>
  <c r="M753" i="2"/>
  <c r="M752" i="2"/>
  <c r="M751" i="2"/>
  <c r="M750" i="2"/>
  <c r="Q745" i="2"/>
  <c r="Q748" i="2"/>
  <c r="Q749" i="2"/>
  <c r="M749" i="2"/>
  <c r="M748" i="2"/>
  <c r="M747" i="2"/>
  <c r="Q743" i="2"/>
  <c r="Q746" i="2"/>
  <c r="Q744" i="2"/>
  <c r="M746" i="2"/>
  <c r="M745" i="2"/>
  <c r="M744" i="2"/>
  <c r="M743" i="2"/>
  <c r="BG739" i="1"/>
  <c r="BE738" i="1" l="1"/>
  <c r="BA738" i="1"/>
  <c r="AL738" i="1"/>
  <c r="AR738" i="1" s="1"/>
  <c r="Z738" i="1"/>
  <c r="Q738" i="1"/>
  <c r="S745" i="1" s="1"/>
  <c r="N738" i="1"/>
  <c r="BE737" i="1"/>
  <c r="BA737" i="1"/>
  <c r="AL737" i="1"/>
  <c r="AR737" i="1" s="1"/>
  <c r="Z737" i="1"/>
  <c r="Q737" i="1"/>
  <c r="S744" i="1" s="1"/>
  <c r="N737" i="1"/>
  <c r="AA691" i="3"/>
  <c r="BE736" i="1"/>
  <c r="BA736" i="1"/>
  <c r="AL736" i="1"/>
  <c r="AR736" i="1" s="1"/>
  <c r="Z736" i="1"/>
  <c r="Q736" i="1"/>
  <c r="S743" i="1" s="1"/>
  <c r="N736" i="1"/>
  <c r="BE735" i="1"/>
  <c r="BA735" i="1"/>
  <c r="AL735" i="1"/>
  <c r="AR735" i="1" s="1"/>
  <c r="Z735" i="1"/>
  <c r="Q735" i="1"/>
  <c r="S742" i="1" s="1"/>
  <c r="N735" i="1"/>
  <c r="BE734" i="1"/>
  <c r="BA734" i="1"/>
  <c r="AL734" i="1"/>
  <c r="AR734" i="1" s="1"/>
  <c r="Z734" i="1"/>
  <c r="Q734" i="1"/>
  <c r="S741" i="1" s="1"/>
  <c r="N734" i="1"/>
  <c r="E740" i="2"/>
  <c r="K740" i="2" s="1"/>
  <c r="S741" i="2"/>
  <c r="K741" i="2"/>
  <c r="S740" i="2"/>
  <c r="S739" i="2"/>
  <c r="K739" i="2"/>
  <c r="S738" i="2"/>
  <c r="K738" i="2"/>
  <c r="S737" i="2"/>
  <c r="K737" i="2"/>
  <c r="G735" i="2"/>
  <c r="E735" i="2"/>
  <c r="S736" i="2"/>
  <c r="K736" i="2"/>
  <c r="S735" i="2"/>
  <c r="Q739" i="2" l="1"/>
  <c r="Q742" i="2"/>
  <c r="M742" i="2"/>
  <c r="M737" i="2"/>
  <c r="K735" i="2"/>
  <c r="Q736" i="2" s="1"/>
  <c r="BG738" i="1"/>
  <c r="BG737" i="1"/>
  <c r="BG736" i="1"/>
  <c r="BG735" i="1"/>
  <c r="BG734" i="1"/>
  <c r="Q738" i="2"/>
  <c r="M740" i="2"/>
  <c r="M741" i="2"/>
  <c r="Q741" i="2"/>
  <c r="Q740" i="2"/>
  <c r="M739" i="2"/>
  <c r="M738" i="2"/>
  <c r="Q737" i="2"/>
  <c r="M736" i="2" l="1"/>
  <c r="BE733" i="1"/>
  <c r="BA733" i="1"/>
  <c r="AL733" i="1"/>
  <c r="Z733" i="1"/>
  <c r="Q733" i="1"/>
  <c r="S740" i="1" s="1"/>
  <c r="N733" i="1"/>
  <c r="BE732" i="1"/>
  <c r="BA732" i="1"/>
  <c r="AL732" i="1"/>
  <c r="AR732" i="1" s="1"/>
  <c r="Z732" i="1"/>
  <c r="Q732" i="1"/>
  <c r="S739" i="1" s="1"/>
  <c r="N732" i="1"/>
  <c r="BQ767" i="1"/>
  <c r="BQ768" i="1" s="1"/>
  <c r="BE731" i="1"/>
  <c r="BA731" i="1"/>
  <c r="AL731" i="1"/>
  <c r="Z731" i="1"/>
  <c r="Q731" i="1"/>
  <c r="S738" i="1" s="1"/>
  <c r="N731" i="1"/>
  <c r="BE730" i="1"/>
  <c r="BA730" i="1"/>
  <c r="AL730" i="1"/>
  <c r="Z730" i="1"/>
  <c r="Q730" i="1"/>
  <c r="S737" i="1" s="1"/>
  <c r="N730" i="1"/>
  <c r="BE729" i="1"/>
  <c r="BA729" i="1"/>
  <c r="AL729" i="1"/>
  <c r="AR729" i="1" s="1"/>
  <c r="Z729" i="1"/>
  <c r="Q729" i="1"/>
  <c r="S736" i="1" s="1"/>
  <c r="N729" i="1"/>
  <c r="BE728" i="1"/>
  <c r="BA728" i="1"/>
  <c r="AL728" i="1"/>
  <c r="AR728" i="1" s="1"/>
  <c r="Z728" i="1"/>
  <c r="Q728" i="1"/>
  <c r="S735" i="1" s="1"/>
  <c r="N728" i="1"/>
  <c r="BE727" i="1"/>
  <c r="BA727" i="1"/>
  <c r="AL727" i="1"/>
  <c r="AR727" i="1" s="1"/>
  <c r="Z727" i="1"/>
  <c r="Q727" i="1"/>
  <c r="S734" i="1" s="1"/>
  <c r="N727" i="1"/>
  <c r="I733" i="2"/>
  <c r="G733" i="2"/>
  <c r="E733" i="2"/>
  <c r="S734" i="2"/>
  <c r="K734" i="2"/>
  <c r="S733" i="2"/>
  <c r="S732" i="2"/>
  <c r="K732" i="2"/>
  <c r="S731" i="2"/>
  <c r="K731" i="2"/>
  <c r="S730" i="2"/>
  <c r="K730" i="2"/>
  <c r="S729" i="2"/>
  <c r="K729" i="2"/>
  <c r="S728" i="2"/>
  <c r="K728" i="2"/>
  <c r="BE726" i="1"/>
  <c r="BA726" i="1"/>
  <c r="AL726" i="1"/>
  <c r="AR726" i="1" s="1"/>
  <c r="Z726" i="1"/>
  <c r="Q726" i="1"/>
  <c r="N726" i="1"/>
  <c r="BE725" i="1"/>
  <c r="BA725" i="1"/>
  <c r="AL725" i="1"/>
  <c r="AR725" i="1" s="1"/>
  <c r="Z725" i="1"/>
  <c r="Q725" i="1"/>
  <c r="N725" i="1"/>
  <c r="BE724" i="1"/>
  <c r="BA724" i="1"/>
  <c r="AL724" i="1"/>
  <c r="AR724" i="1" s="1"/>
  <c r="Z724" i="1"/>
  <c r="Q724" i="1"/>
  <c r="N724" i="1"/>
  <c r="BE723" i="1"/>
  <c r="BA723" i="1"/>
  <c r="AL723" i="1"/>
  <c r="Z723" i="1"/>
  <c r="Q723" i="1"/>
  <c r="N723" i="1"/>
  <c r="BE722" i="1"/>
  <c r="BA722" i="1"/>
  <c r="AL722" i="1"/>
  <c r="AR722" i="1" s="1"/>
  <c r="Z722" i="1"/>
  <c r="Q722" i="1"/>
  <c r="N722" i="1"/>
  <c r="BE721" i="1"/>
  <c r="BA721" i="1"/>
  <c r="AL721" i="1"/>
  <c r="AR721" i="1" s="1"/>
  <c r="Z721" i="1"/>
  <c r="Q721" i="1"/>
  <c r="N721" i="1"/>
  <c r="BE720" i="1"/>
  <c r="BA720" i="1"/>
  <c r="AL720" i="1"/>
  <c r="AR720" i="1" s="1"/>
  <c r="Z720" i="1"/>
  <c r="Q720" i="1"/>
  <c r="N720" i="1"/>
  <c r="S727" i="2"/>
  <c r="K727" i="2"/>
  <c r="S726" i="2"/>
  <c r="K726" i="2"/>
  <c r="S725" i="2"/>
  <c r="K725" i="2"/>
  <c r="S724" i="2"/>
  <c r="K724" i="2"/>
  <c r="S723" i="2"/>
  <c r="K723" i="2"/>
  <c r="S722" i="2"/>
  <c r="K722" i="2"/>
  <c r="S721" i="2"/>
  <c r="K721" i="2"/>
  <c r="BE719" i="1"/>
  <c r="BA719" i="1"/>
  <c r="AL719" i="1"/>
  <c r="AR719" i="1" s="1"/>
  <c r="Z719" i="1"/>
  <c r="Q719" i="1"/>
  <c r="N719" i="1"/>
  <c r="BE718" i="1"/>
  <c r="BA718" i="1"/>
  <c r="AL718" i="1"/>
  <c r="Z718" i="1"/>
  <c r="Q718" i="1"/>
  <c r="N718" i="1"/>
  <c r="BE717" i="1"/>
  <c r="BA717" i="1"/>
  <c r="AL717" i="1"/>
  <c r="AR717" i="1" s="1"/>
  <c r="Z717" i="1"/>
  <c r="Q717" i="1"/>
  <c r="N717" i="1"/>
  <c r="BE716" i="1"/>
  <c r="BA716" i="1"/>
  <c r="AL716" i="1"/>
  <c r="Z716" i="1"/>
  <c r="Q716" i="1"/>
  <c r="N716" i="1"/>
  <c r="BE715" i="1"/>
  <c r="BA715" i="1"/>
  <c r="AL715" i="1"/>
  <c r="AR715" i="1" s="1"/>
  <c r="Z715" i="1"/>
  <c r="Q715" i="1"/>
  <c r="N715" i="1"/>
  <c r="BE714" i="1"/>
  <c r="BA714" i="1"/>
  <c r="AL714" i="1"/>
  <c r="AR714" i="1" s="1"/>
  <c r="Z714" i="1"/>
  <c r="Q714" i="1"/>
  <c r="N714" i="1"/>
  <c r="BE713" i="1"/>
  <c r="BA713" i="1"/>
  <c r="AL713" i="1"/>
  <c r="AR713" i="1" s="1"/>
  <c r="Z713" i="1"/>
  <c r="Q713" i="1"/>
  <c r="N713" i="1"/>
  <c r="S720" i="2"/>
  <c r="K720" i="2"/>
  <c r="S719" i="2"/>
  <c r="K719" i="2"/>
  <c r="S718" i="2"/>
  <c r="K718" i="2"/>
  <c r="S717" i="2"/>
  <c r="K717" i="2"/>
  <c r="S716" i="2"/>
  <c r="K716" i="2"/>
  <c r="S715" i="2"/>
  <c r="K715" i="2"/>
  <c r="S714" i="2"/>
  <c r="K714" i="2"/>
  <c r="S733" i="1" l="1"/>
  <c r="BG724" i="1"/>
  <c r="AR733" i="1"/>
  <c r="Q731" i="2"/>
  <c r="K733" i="2"/>
  <c r="Q733" i="2" s="1"/>
  <c r="Q735" i="2"/>
  <c r="M735" i="2"/>
  <c r="Q723" i="2"/>
  <c r="Q729" i="2"/>
  <c r="Q732" i="2"/>
  <c r="BG733" i="1"/>
  <c r="S729" i="1"/>
  <c r="BG729" i="1"/>
  <c r="S731" i="1"/>
  <c r="S727" i="1"/>
  <c r="S730" i="1"/>
  <c r="S732" i="1"/>
  <c r="BG732" i="1"/>
  <c r="AR731" i="1"/>
  <c r="BG731" i="1"/>
  <c r="AR730" i="1"/>
  <c r="BG730" i="1"/>
  <c r="BG728" i="1"/>
  <c r="S721" i="1"/>
  <c r="S726" i="1"/>
  <c r="BG721" i="1"/>
  <c r="S725" i="1"/>
  <c r="S728" i="1"/>
  <c r="S724" i="1"/>
  <c r="BG727" i="1"/>
  <c r="Q734" i="2"/>
  <c r="M734" i="2"/>
  <c r="Q724" i="2"/>
  <c r="Q730" i="2"/>
  <c r="Q721" i="2"/>
  <c r="Q725" i="2"/>
  <c r="Q728" i="2"/>
  <c r="M732" i="2"/>
  <c r="M731" i="2"/>
  <c r="M730" i="2"/>
  <c r="M729" i="2"/>
  <c r="M728" i="2"/>
  <c r="Q720" i="2"/>
  <c r="Q722" i="2"/>
  <c r="Q727" i="2"/>
  <c r="Q726" i="2"/>
  <c r="M724" i="2"/>
  <c r="BG726" i="1"/>
  <c r="BG725" i="1"/>
  <c r="S722" i="1"/>
  <c r="S720" i="1"/>
  <c r="S723" i="1"/>
  <c r="AR723" i="1"/>
  <c r="BG723" i="1"/>
  <c r="BG722" i="1"/>
  <c r="BG720" i="1"/>
  <c r="BG715" i="1"/>
  <c r="M727" i="2"/>
  <c r="M726" i="2"/>
  <c r="M725" i="2"/>
  <c r="M723" i="2"/>
  <c r="M722" i="2"/>
  <c r="M721" i="2"/>
  <c r="Q719" i="2"/>
  <c r="Q715" i="2"/>
  <c r="Q717" i="2"/>
  <c r="Q718" i="2"/>
  <c r="Q716" i="2"/>
  <c r="BG719" i="1"/>
  <c r="AR718" i="1"/>
  <c r="BG718" i="1"/>
  <c r="BG717" i="1"/>
  <c r="AR716" i="1"/>
  <c r="BG716" i="1"/>
  <c r="BG714" i="1"/>
  <c r="BG713" i="1"/>
  <c r="M720" i="2"/>
  <c r="M719" i="2"/>
  <c r="M718" i="2"/>
  <c r="M717" i="2"/>
  <c r="M716" i="2"/>
  <c r="M715" i="2"/>
  <c r="M733" i="2" l="1"/>
  <c r="BE712" i="1"/>
  <c r="BA712" i="1"/>
  <c r="AL712" i="1"/>
  <c r="Z712" i="1"/>
  <c r="Q712" i="1"/>
  <c r="S719" i="1" s="1"/>
  <c r="N712" i="1"/>
  <c r="BE711" i="1"/>
  <c r="BA711" i="1"/>
  <c r="AL711" i="1"/>
  <c r="AR711" i="1" s="1"/>
  <c r="Z711" i="1"/>
  <c r="Q711" i="1"/>
  <c r="S718" i="1" s="1"/>
  <c r="N711" i="1"/>
  <c r="BE710" i="1"/>
  <c r="BA710" i="1"/>
  <c r="AL710" i="1"/>
  <c r="Z710" i="1"/>
  <c r="Q710" i="1"/>
  <c r="S717" i="1" s="1"/>
  <c r="N710" i="1"/>
  <c r="BE709" i="1"/>
  <c r="BA709" i="1"/>
  <c r="AL709" i="1"/>
  <c r="AR709" i="1" s="1"/>
  <c r="Z709" i="1"/>
  <c r="Q709" i="1"/>
  <c r="S716" i="1" s="1"/>
  <c r="N709" i="1"/>
  <c r="BE708" i="1"/>
  <c r="BA708" i="1"/>
  <c r="AL708" i="1"/>
  <c r="Z708" i="1"/>
  <c r="Q708" i="1"/>
  <c r="S715" i="1" s="1"/>
  <c r="N708" i="1"/>
  <c r="BE707" i="1"/>
  <c r="BA707" i="1"/>
  <c r="AL707" i="1"/>
  <c r="Z707" i="1"/>
  <c r="Q707" i="1"/>
  <c r="S714" i="1" s="1"/>
  <c r="N707" i="1"/>
  <c r="BE706" i="1"/>
  <c r="BA706" i="1"/>
  <c r="AL706" i="1"/>
  <c r="AR706" i="1" s="1"/>
  <c r="Z706" i="1"/>
  <c r="Q706" i="1"/>
  <c r="S713" i="1" s="1"/>
  <c r="N706" i="1"/>
  <c r="S713" i="2"/>
  <c r="K713" i="2"/>
  <c r="S712" i="2"/>
  <c r="K712" i="2"/>
  <c r="S711" i="2"/>
  <c r="K711" i="2"/>
  <c r="S710" i="2"/>
  <c r="K710" i="2"/>
  <c r="S709" i="2"/>
  <c r="K709" i="2"/>
  <c r="S708" i="2"/>
  <c r="K708" i="2"/>
  <c r="S707" i="2"/>
  <c r="K707" i="2"/>
  <c r="Q710" i="2" l="1"/>
  <c r="Q713" i="2"/>
  <c r="Q714" i="2"/>
  <c r="M714" i="2"/>
  <c r="Q708" i="2"/>
  <c r="M711" i="2"/>
  <c r="Q712" i="2"/>
  <c r="AR712" i="1"/>
  <c r="BG712" i="1"/>
  <c r="BG711" i="1"/>
  <c r="BG707" i="1"/>
  <c r="AR710" i="1"/>
  <c r="BG710" i="1"/>
  <c r="BG709" i="1"/>
  <c r="AR708" i="1"/>
  <c r="BG708" i="1"/>
  <c r="AR707" i="1"/>
  <c r="BG706" i="1"/>
  <c r="M713" i="2"/>
  <c r="M712" i="2"/>
  <c r="Q711" i="2"/>
  <c r="M710" i="2"/>
  <c r="Q709" i="2"/>
  <c r="M709" i="2"/>
  <c r="M708" i="2"/>
  <c r="BE705" i="1" l="1"/>
  <c r="BA705" i="1"/>
  <c r="AL705" i="1"/>
  <c r="AR705" i="1" s="1"/>
  <c r="Z705" i="1"/>
  <c r="Q705" i="1"/>
  <c r="S712" i="1" s="1"/>
  <c r="N705" i="1"/>
  <c r="BE704" i="1"/>
  <c r="BA704" i="1"/>
  <c r="AL704" i="1"/>
  <c r="AR704" i="1" s="1"/>
  <c r="Z704" i="1"/>
  <c r="Q704" i="1"/>
  <c r="S711" i="1" s="1"/>
  <c r="N704" i="1"/>
  <c r="BE703" i="1"/>
  <c r="BA703" i="1"/>
  <c r="AL703" i="1"/>
  <c r="Z703" i="1"/>
  <c r="Q703" i="1"/>
  <c r="S710" i="1" s="1"/>
  <c r="N703" i="1"/>
  <c r="BE702" i="1"/>
  <c r="BA702" i="1"/>
  <c r="AL702" i="1"/>
  <c r="AR702" i="1" s="1"/>
  <c r="Z702" i="1"/>
  <c r="Q702" i="1"/>
  <c r="S709" i="1" s="1"/>
  <c r="N702" i="1"/>
  <c r="BE701" i="1"/>
  <c r="BA701" i="1"/>
  <c r="AL701" i="1"/>
  <c r="AR701" i="1" s="1"/>
  <c r="Z701" i="1"/>
  <c r="Q701" i="1"/>
  <c r="S708" i="1" s="1"/>
  <c r="N701" i="1"/>
  <c r="BE700" i="1"/>
  <c r="BA700" i="1"/>
  <c r="AL700" i="1"/>
  <c r="AR700" i="1" s="1"/>
  <c r="Z700" i="1"/>
  <c r="Q700" i="1"/>
  <c r="S707" i="1" s="1"/>
  <c r="N700" i="1"/>
  <c r="BE699" i="1"/>
  <c r="BA699" i="1"/>
  <c r="AL699" i="1"/>
  <c r="AR699" i="1" s="1"/>
  <c r="Z699" i="1"/>
  <c r="Q699" i="1"/>
  <c r="S706" i="1" s="1"/>
  <c r="N699" i="1"/>
  <c r="S706" i="2"/>
  <c r="K706" i="2"/>
  <c r="S705" i="2"/>
  <c r="K705" i="2"/>
  <c r="S704" i="2"/>
  <c r="K704" i="2"/>
  <c r="S703" i="2"/>
  <c r="K703" i="2"/>
  <c r="S702" i="2"/>
  <c r="K702" i="2"/>
  <c r="S701" i="2"/>
  <c r="K701" i="2"/>
  <c r="S700" i="2"/>
  <c r="K700" i="2"/>
  <c r="BE698" i="1"/>
  <c r="BA698" i="1"/>
  <c r="AL698" i="1"/>
  <c r="AR698" i="1" s="1"/>
  <c r="Z698" i="1"/>
  <c r="Q698" i="1"/>
  <c r="N698" i="1"/>
  <c r="BE697" i="1"/>
  <c r="BA697" i="1"/>
  <c r="AL697" i="1"/>
  <c r="AR697" i="1" s="1"/>
  <c r="Z697" i="1"/>
  <c r="Q697" i="1"/>
  <c r="N697" i="1"/>
  <c r="BE696" i="1"/>
  <c r="BA696" i="1"/>
  <c r="AL696" i="1"/>
  <c r="AR696" i="1" s="1"/>
  <c r="Z696" i="1"/>
  <c r="Q696" i="1"/>
  <c r="N696" i="1"/>
  <c r="BE695" i="1"/>
  <c r="BA695" i="1"/>
  <c r="AL695" i="1"/>
  <c r="Z695" i="1"/>
  <c r="Q695" i="1"/>
  <c r="N695" i="1"/>
  <c r="BE694" i="1"/>
  <c r="BA694" i="1"/>
  <c r="AL694" i="1"/>
  <c r="AR694" i="1" s="1"/>
  <c r="Z694" i="1"/>
  <c r="Q694" i="1"/>
  <c r="N694" i="1"/>
  <c r="BE693" i="1"/>
  <c r="BA693" i="1"/>
  <c r="AL693" i="1"/>
  <c r="AR693" i="1" s="1"/>
  <c r="Z693" i="1"/>
  <c r="Q693" i="1"/>
  <c r="N693" i="1"/>
  <c r="BE692" i="1"/>
  <c r="BA692" i="1"/>
  <c r="AL692" i="1"/>
  <c r="AR692" i="1" s="1"/>
  <c r="Z692" i="1"/>
  <c r="Q692" i="1"/>
  <c r="N692" i="1"/>
  <c r="S699" i="2"/>
  <c r="K699" i="2"/>
  <c r="S698" i="2"/>
  <c r="K698" i="2"/>
  <c r="S697" i="2"/>
  <c r="K697" i="2"/>
  <c r="S696" i="2"/>
  <c r="K696" i="2"/>
  <c r="S695" i="2"/>
  <c r="K695" i="2"/>
  <c r="S694" i="2"/>
  <c r="K694" i="2"/>
  <c r="S693" i="2"/>
  <c r="K693" i="2"/>
  <c r="S700" i="1" l="1"/>
  <c r="S705" i="1"/>
  <c r="Q707" i="2"/>
  <c r="M707" i="2"/>
  <c r="Q705" i="2"/>
  <c r="Q703" i="2"/>
  <c r="Q700" i="2"/>
  <c r="M702" i="2"/>
  <c r="BG705" i="1"/>
  <c r="S704" i="1"/>
  <c r="S703" i="1"/>
  <c r="BG704" i="1"/>
  <c r="AR703" i="1"/>
  <c r="BG703" i="1"/>
  <c r="S702" i="1"/>
  <c r="BG702" i="1"/>
  <c r="S701" i="1"/>
  <c r="BG701" i="1"/>
  <c r="BG700" i="1"/>
  <c r="S699" i="1"/>
  <c r="BG699" i="1"/>
  <c r="Q706" i="2"/>
  <c r="M706" i="2"/>
  <c r="M705" i="2"/>
  <c r="Q704" i="2"/>
  <c r="Q697" i="2"/>
  <c r="Q702" i="2"/>
  <c r="M704" i="2"/>
  <c r="M703" i="2"/>
  <c r="Q701" i="2"/>
  <c r="M701" i="2"/>
  <c r="M700" i="2"/>
  <c r="Q694" i="2"/>
  <c r="Q698" i="2"/>
  <c r="BG698" i="1"/>
  <c r="BG697" i="1"/>
  <c r="BG696" i="1"/>
  <c r="AR695" i="1"/>
  <c r="BG695" i="1"/>
  <c r="BG694" i="1"/>
  <c r="BG693" i="1"/>
  <c r="BG692" i="1"/>
  <c r="Q699" i="2"/>
  <c r="M699" i="2"/>
  <c r="Q696" i="2"/>
  <c r="M698" i="2"/>
  <c r="M697" i="2"/>
  <c r="M696" i="2"/>
  <c r="Q695" i="2"/>
  <c r="M695" i="2"/>
  <c r="M694" i="2"/>
  <c r="BE691" i="1" l="1"/>
  <c r="BA691" i="1"/>
  <c r="AL691" i="1"/>
  <c r="AR691" i="1" s="1"/>
  <c r="Z691" i="1"/>
  <c r="Q691" i="1"/>
  <c r="S698" i="1" s="1"/>
  <c r="N691" i="1"/>
  <c r="BE690" i="1"/>
  <c r="CC690" i="1" s="1"/>
  <c r="BA690" i="1"/>
  <c r="CA690" i="1" s="1"/>
  <c r="AL690" i="1"/>
  <c r="AR690" i="1" s="1"/>
  <c r="Z690" i="1"/>
  <c r="Q690" i="1"/>
  <c r="S697" i="1" s="1"/>
  <c r="N690" i="1"/>
  <c r="BE689" i="1"/>
  <c r="CC689" i="1" s="1"/>
  <c r="BA689" i="1"/>
  <c r="CA689" i="1" s="1"/>
  <c r="AL689" i="1"/>
  <c r="AR689" i="1" s="1"/>
  <c r="Z689" i="1"/>
  <c r="Q689" i="1"/>
  <c r="S696" i="1" s="1"/>
  <c r="N689" i="1"/>
  <c r="BE688" i="1"/>
  <c r="CC688" i="1" s="1"/>
  <c r="BA688" i="1"/>
  <c r="CA688" i="1" s="1"/>
  <c r="AL688" i="1"/>
  <c r="AR688" i="1" s="1"/>
  <c r="Z688" i="1"/>
  <c r="Q688" i="1"/>
  <c r="S695" i="1" s="1"/>
  <c r="N688" i="1"/>
  <c r="BE687" i="1"/>
  <c r="CC687" i="1" s="1"/>
  <c r="BA687" i="1"/>
  <c r="CA687" i="1" s="1"/>
  <c r="AL687" i="1"/>
  <c r="AR687" i="1" s="1"/>
  <c r="Z687" i="1"/>
  <c r="Q687" i="1"/>
  <c r="S694" i="1" s="1"/>
  <c r="N687" i="1"/>
  <c r="BE686" i="1"/>
  <c r="CC686" i="1" s="1"/>
  <c r="BA686" i="1"/>
  <c r="CA686" i="1" s="1"/>
  <c r="AL686" i="1"/>
  <c r="AR686" i="1" s="1"/>
  <c r="Z686" i="1"/>
  <c r="Q686" i="1"/>
  <c r="S693" i="1" s="1"/>
  <c r="N686" i="1"/>
  <c r="BE685" i="1"/>
  <c r="CC685" i="1" s="1"/>
  <c r="BA685" i="1"/>
  <c r="CA685" i="1" s="1"/>
  <c r="AL685" i="1"/>
  <c r="AR685" i="1" s="1"/>
  <c r="Z685" i="1"/>
  <c r="Q685" i="1"/>
  <c r="S692" i="1" s="1"/>
  <c r="N685" i="1"/>
  <c r="AA639" i="3"/>
  <c r="CG687" i="1" l="1"/>
  <c r="CG686" i="1"/>
  <c r="CG685" i="1"/>
  <c r="CG689" i="1"/>
  <c r="CG688" i="1"/>
  <c r="CC691" i="1"/>
  <c r="CG690" i="1"/>
  <c r="CA691" i="1"/>
  <c r="BG691" i="1"/>
  <c r="BG690" i="1"/>
  <c r="BG689" i="1"/>
  <c r="BG688" i="1"/>
  <c r="BG687" i="1"/>
  <c r="BG686" i="1"/>
  <c r="BG685" i="1"/>
  <c r="CG691" i="1" l="1"/>
  <c r="BE684" i="1"/>
  <c r="CC684" i="1" s="1"/>
  <c r="BA684" i="1"/>
  <c r="CA684" i="1" s="1"/>
  <c r="AL684" i="1"/>
  <c r="AR684" i="1" s="1"/>
  <c r="Z684" i="1"/>
  <c r="Q684" i="1"/>
  <c r="S691" i="1" s="1"/>
  <c r="N684" i="1"/>
  <c r="N770" i="1" s="1"/>
  <c r="BE683" i="1"/>
  <c r="CC683" i="1" s="1"/>
  <c r="BA683" i="1"/>
  <c r="CA683" i="1" s="1"/>
  <c r="AL683" i="1"/>
  <c r="Z683" i="1"/>
  <c r="Q683" i="1"/>
  <c r="S690" i="1" s="1"/>
  <c r="N683" i="1"/>
  <c r="BE682" i="1"/>
  <c r="CC682" i="1" s="1"/>
  <c r="BA682" i="1"/>
  <c r="CA682" i="1" s="1"/>
  <c r="AL682" i="1"/>
  <c r="AR682" i="1" s="1"/>
  <c r="Z682" i="1"/>
  <c r="Q682" i="1"/>
  <c r="S689" i="1" s="1"/>
  <c r="N682" i="1"/>
  <c r="BE681" i="1"/>
  <c r="CC681" i="1" s="1"/>
  <c r="BA681" i="1"/>
  <c r="CA681" i="1" s="1"/>
  <c r="AL681" i="1"/>
  <c r="Z681" i="1"/>
  <c r="Q681" i="1"/>
  <c r="S688" i="1" s="1"/>
  <c r="N681" i="1"/>
  <c r="BE680" i="1"/>
  <c r="CC680" i="1" s="1"/>
  <c r="BA680" i="1"/>
  <c r="CA680" i="1" s="1"/>
  <c r="AL680" i="1"/>
  <c r="AR680" i="1" s="1"/>
  <c r="Z680" i="1"/>
  <c r="Q680" i="1"/>
  <c r="S687" i="1" s="1"/>
  <c r="N680" i="1"/>
  <c r="BE679" i="1"/>
  <c r="CC679" i="1" s="1"/>
  <c r="BA679" i="1"/>
  <c r="CA679" i="1" s="1"/>
  <c r="AL679" i="1"/>
  <c r="AR679" i="1" s="1"/>
  <c r="Z679" i="1"/>
  <c r="Q679" i="1"/>
  <c r="S686" i="1" s="1"/>
  <c r="N679" i="1"/>
  <c r="BE678" i="1"/>
  <c r="CC678" i="1" s="1"/>
  <c r="BA678" i="1"/>
  <c r="CA678" i="1" s="1"/>
  <c r="AL678" i="1"/>
  <c r="AR678" i="1" s="1"/>
  <c r="Z678" i="1"/>
  <c r="Q678" i="1"/>
  <c r="S685" i="1" s="1"/>
  <c r="N678" i="1"/>
  <c r="S692" i="2"/>
  <c r="K692" i="2"/>
  <c r="S691" i="2"/>
  <c r="K691" i="2"/>
  <c r="S690" i="2"/>
  <c r="K690" i="2"/>
  <c r="S689" i="2"/>
  <c r="K689" i="2"/>
  <c r="S688" i="2"/>
  <c r="K688" i="2"/>
  <c r="S687" i="2"/>
  <c r="K687" i="2"/>
  <c r="S686" i="2"/>
  <c r="K686" i="2"/>
  <c r="S685" i="2"/>
  <c r="K685" i="2"/>
  <c r="S684" i="2"/>
  <c r="K684" i="2"/>
  <c r="S683" i="2"/>
  <c r="K683" i="2"/>
  <c r="S682" i="2"/>
  <c r="K682" i="2"/>
  <c r="S681" i="2"/>
  <c r="K681" i="2"/>
  <c r="S680" i="2"/>
  <c r="K680" i="2"/>
  <c r="S679" i="2"/>
  <c r="K679" i="2"/>
  <c r="W770" i="1"/>
  <c r="D770" i="1"/>
  <c r="CG681" i="1" l="1"/>
  <c r="Q690" i="2"/>
  <c r="CG678" i="1"/>
  <c r="CG682" i="1"/>
  <c r="CG683" i="1"/>
  <c r="CG679" i="1"/>
  <c r="CG680" i="1"/>
  <c r="CG684" i="1"/>
  <c r="Q693" i="2"/>
  <c r="M693" i="2"/>
  <c r="Q691" i="2"/>
  <c r="Q689" i="2"/>
  <c r="M686" i="2"/>
  <c r="Q692" i="2"/>
  <c r="Q682" i="2"/>
  <c r="M692" i="2"/>
  <c r="Q685" i="2"/>
  <c r="Q688" i="2"/>
  <c r="BG684" i="1"/>
  <c r="BG682" i="1"/>
  <c r="AR683" i="1"/>
  <c r="BG683" i="1"/>
  <c r="AR681" i="1"/>
  <c r="BG681" i="1"/>
  <c r="BG680" i="1"/>
  <c r="BG679" i="1"/>
  <c r="BG678" i="1"/>
  <c r="M691" i="2"/>
  <c r="M690" i="2"/>
  <c r="M689" i="2"/>
  <c r="M688" i="2"/>
  <c r="M684" i="2"/>
  <c r="Q687" i="2"/>
  <c r="M687" i="2"/>
  <c r="Q686" i="2"/>
  <c r="M685" i="2"/>
  <c r="Q684" i="2"/>
  <c r="Q683" i="2"/>
  <c r="Q680" i="2"/>
  <c r="Q681" i="2"/>
  <c r="M683" i="2"/>
  <c r="M682" i="2"/>
  <c r="M681" i="2"/>
  <c r="M680" i="2"/>
  <c r="BE677" i="1"/>
  <c r="CC677" i="1" s="1"/>
  <c r="BA677" i="1"/>
  <c r="CA677" i="1" s="1"/>
  <c r="AL677" i="1"/>
  <c r="AR677" i="1" s="1"/>
  <c r="Z677" i="1"/>
  <c r="Q677" i="1"/>
  <c r="S684" i="1" s="1"/>
  <c r="N677" i="1"/>
  <c r="BE676" i="1"/>
  <c r="CC676" i="1" s="1"/>
  <c r="BA676" i="1"/>
  <c r="CA676" i="1" s="1"/>
  <c r="AL676" i="1"/>
  <c r="AR676" i="1" s="1"/>
  <c r="Z676" i="1"/>
  <c r="Q676" i="1"/>
  <c r="S683" i="1" s="1"/>
  <c r="N676" i="1"/>
  <c r="BE675" i="1"/>
  <c r="CC675" i="1" s="1"/>
  <c r="BA675" i="1"/>
  <c r="CA675" i="1" s="1"/>
  <c r="AL675" i="1"/>
  <c r="AR675" i="1" s="1"/>
  <c r="Z675" i="1"/>
  <c r="Q675" i="1"/>
  <c r="N675" i="1"/>
  <c r="BE674" i="1"/>
  <c r="CC674" i="1" s="1"/>
  <c r="BA674" i="1"/>
  <c r="CA674" i="1" s="1"/>
  <c r="AL674" i="1"/>
  <c r="AR674" i="1" s="1"/>
  <c r="Z674" i="1"/>
  <c r="Q674" i="1"/>
  <c r="S681" i="1" s="1"/>
  <c r="N674" i="1"/>
  <c r="BE673" i="1"/>
  <c r="CC673" i="1" s="1"/>
  <c r="BA673" i="1"/>
  <c r="CA673" i="1" s="1"/>
  <c r="AL673" i="1"/>
  <c r="AR673" i="1" s="1"/>
  <c r="Z673" i="1"/>
  <c r="Q673" i="1"/>
  <c r="S680" i="1" s="1"/>
  <c r="N673" i="1"/>
  <c r="BE672" i="1"/>
  <c r="CC672" i="1" s="1"/>
  <c r="BA672" i="1"/>
  <c r="CA672" i="1" s="1"/>
  <c r="AL672" i="1"/>
  <c r="Z672" i="1"/>
  <c r="Q672" i="1"/>
  <c r="S679" i="1" s="1"/>
  <c r="N672" i="1"/>
  <c r="BE671" i="1"/>
  <c r="CC671" i="1" s="1"/>
  <c r="BA671" i="1"/>
  <c r="CA671" i="1" s="1"/>
  <c r="AL671" i="1"/>
  <c r="AR671" i="1" s="1"/>
  <c r="Z671" i="1"/>
  <c r="Q671" i="1"/>
  <c r="S678" i="1" s="1"/>
  <c r="N671" i="1"/>
  <c r="BE670" i="1"/>
  <c r="CC670" i="1" s="1"/>
  <c r="BA670" i="1"/>
  <c r="CA670" i="1" s="1"/>
  <c r="AL670" i="1"/>
  <c r="AR670" i="1" s="1"/>
  <c r="Z670" i="1"/>
  <c r="Q670" i="1"/>
  <c r="N670" i="1"/>
  <c r="BE669" i="1"/>
  <c r="CC669" i="1" s="1"/>
  <c r="BA669" i="1"/>
  <c r="CA669" i="1" s="1"/>
  <c r="AL669" i="1"/>
  <c r="AR669" i="1" s="1"/>
  <c r="Z669" i="1"/>
  <c r="Q669" i="1"/>
  <c r="N669" i="1"/>
  <c r="BE668" i="1"/>
  <c r="CC668" i="1" s="1"/>
  <c r="BA668" i="1"/>
  <c r="CA668" i="1" s="1"/>
  <c r="AL668" i="1"/>
  <c r="AR668" i="1" s="1"/>
  <c r="Z668" i="1"/>
  <c r="Q668" i="1"/>
  <c r="N668" i="1"/>
  <c r="BE667" i="1"/>
  <c r="CC667" i="1" s="1"/>
  <c r="BA667" i="1"/>
  <c r="CA667" i="1" s="1"/>
  <c r="AL667" i="1"/>
  <c r="AR667" i="1" s="1"/>
  <c r="Z667" i="1"/>
  <c r="Q667" i="1"/>
  <c r="N667" i="1"/>
  <c r="BE666" i="1"/>
  <c r="CC666" i="1" s="1"/>
  <c r="BA666" i="1"/>
  <c r="CA666" i="1" s="1"/>
  <c r="AL666" i="1"/>
  <c r="AR666" i="1" s="1"/>
  <c r="Z666" i="1"/>
  <c r="Q666" i="1"/>
  <c r="N666" i="1"/>
  <c r="BE665" i="1"/>
  <c r="CC665" i="1" s="1"/>
  <c r="BA665" i="1"/>
  <c r="CA665" i="1" s="1"/>
  <c r="AL665" i="1"/>
  <c r="AR665" i="1" s="1"/>
  <c r="Z665" i="1"/>
  <c r="Q665" i="1"/>
  <c r="N665" i="1"/>
  <c r="BE664" i="1"/>
  <c r="CC664" i="1" s="1"/>
  <c r="BA664" i="1"/>
  <c r="CA664" i="1" s="1"/>
  <c r="AL664" i="1"/>
  <c r="AR664" i="1" s="1"/>
  <c r="Z664" i="1"/>
  <c r="Q664" i="1"/>
  <c r="N664" i="1"/>
  <c r="BE663" i="1"/>
  <c r="CC663" i="1" s="1"/>
  <c r="BA663" i="1"/>
  <c r="CA663" i="1" s="1"/>
  <c r="AL663" i="1"/>
  <c r="AR663" i="1" s="1"/>
  <c r="Z663" i="1"/>
  <c r="Q663" i="1"/>
  <c r="N663" i="1"/>
  <c r="BE662" i="1"/>
  <c r="CC662" i="1" s="1"/>
  <c r="BA662" i="1"/>
  <c r="CA662" i="1" s="1"/>
  <c r="AL662" i="1"/>
  <c r="AR662" i="1" s="1"/>
  <c r="Z662" i="1"/>
  <c r="Q662" i="1"/>
  <c r="N662" i="1"/>
  <c r="S678" i="2"/>
  <c r="K678" i="2"/>
  <c r="M679" i="2" s="1"/>
  <c r="S677" i="2"/>
  <c r="K677" i="2"/>
  <c r="S675" i="2"/>
  <c r="S676" i="2"/>
  <c r="K676" i="2"/>
  <c r="K675" i="2"/>
  <c r="S674" i="2"/>
  <c r="K674" i="2"/>
  <c r="S673" i="2"/>
  <c r="K673" i="2"/>
  <c r="S672" i="2"/>
  <c r="K672" i="2"/>
  <c r="S671" i="2"/>
  <c r="K671" i="2"/>
  <c r="S670" i="2"/>
  <c r="K670" i="2"/>
  <c r="S669" i="2"/>
  <c r="K669" i="2"/>
  <c r="S668" i="2"/>
  <c r="K668" i="2"/>
  <c r="S667" i="2"/>
  <c r="K667" i="2"/>
  <c r="S666" i="2"/>
  <c r="K666" i="2"/>
  <c r="S665" i="2"/>
  <c r="K665" i="2"/>
  <c r="S664" i="2"/>
  <c r="K664" i="2"/>
  <c r="S663" i="2"/>
  <c r="K663" i="2"/>
  <c r="BE661" i="1"/>
  <c r="BA661" i="1"/>
  <c r="AL661" i="1"/>
  <c r="AR661" i="1" s="1"/>
  <c r="Z661" i="1"/>
  <c r="Q661" i="1"/>
  <c r="N661" i="1"/>
  <c r="BE660" i="1"/>
  <c r="BA660" i="1"/>
  <c r="AL660" i="1"/>
  <c r="AR660" i="1" s="1"/>
  <c r="Z660" i="1"/>
  <c r="Q660" i="1"/>
  <c r="N660" i="1"/>
  <c r="BE659" i="1"/>
  <c r="BA659" i="1"/>
  <c r="AL659" i="1"/>
  <c r="AR659" i="1" s="1"/>
  <c r="Z659" i="1"/>
  <c r="Q659" i="1"/>
  <c r="N659" i="1"/>
  <c r="BE658" i="1"/>
  <c r="BA658" i="1"/>
  <c r="AL658" i="1"/>
  <c r="AR658" i="1" s="1"/>
  <c r="Z658" i="1"/>
  <c r="Q658" i="1"/>
  <c r="N658" i="1"/>
  <c r="BE657" i="1"/>
  <c r="BA657" i="1"/>
  <c r="AL657" i="1"/>
  <c r="AR657" i="1" s="1"/>
  <c r="Z657" i="1"/>
  <c r="Q657" i="1"/>
  <c r="N657" i="1"/>
  <c r="S662" i="2"/>
  <c r="K662" i="2"/>
  <c r="S661" i="2"/>
  <c r="K661" i="2"/>
  <c r="S660" i="2"/>
  <c r="K660" i="2"/>
  <c r="S659" i="2"/>
  <c r="K659" i="2"/>
  <c r="S658" i="2"/>
  <c r="K658" i="2"/>
  <c r="BA859" i="1"/>
  <c r="BE656" i="1"/>
  <c r="BA656" i="1"/>
  <c r="AL656" i="1"/>
  <c r="AR656" i="1" s="1"/>
  <c r="Z656" i="1"/>
  <c r="Q656" i="1"/>
  <c r="N656" i="1"/>
  <c r="BE655" i="1"/>
  <c r="BA655" i="1"/>
  <c r="AL655" i="1"/>
  <c r="Z655" i="1"/>
  <c r="Q655" i="1"/>
  <c r="N655" i="1"/>
  <c r="BE654" i="1"/>
  <c r="BA654" i="1"/>
  <c r="AL654" i="1"/>
  <c r="AR654" i="1" s="1"/>
  <c r="Z654" i="1"/>
  <c r="Q654" i="1"/>
  <c r="N654" i="1"/>
  <c r="BE653" i="1"/>
  <c r="BA653" i="1"/>
  <c r="AL653" i="1"/>
  <c r="AR653" i="1" s="1"/>
  <c r="Z653" i="1"/>
  <c r="Q653" i="1"/>
  <c r="N653" i="1"/>
  <c r="BE652" i="1"/>
  <c r="BA652" i="1"/>
  <c r="AL652" i="1"/>
  <c r="Z652" i="1"/>
  <c r="Q652" i="1"/>
  <c r="N652" i="1"/>
  <c r="BE651" i="1"/>
  <c r="BA651" i="1"/>
  <c r="AL651" i="1"/>
  <c r="AR651" i="1" s="1"/>
  <c r="Z651" i="1"/>
  <c r="Q651" i="1"/>
  <c r="N651" i="1"/>
  <c r="BE650" i="1"/>
  <c r="BA650" i="1"/>
  <c r="AL650" i="1"/>
  <c r="AR650" i="1" s="1"/>
  <c r="Z650" i="1"/>
  <c r="Q650" i="1"/>
  <c r="N650" i="1"/>
  <c r="S657" i="2"/>
  <c r="K657" i="2"/>
  <c r="S655" i="2"/>
  <c r="S656" i="2"/>
  <c r="K656" i="2"/>
  <c r="K655" i="2"/>
  <c r="S654" i="2"/>
  <c r="K654" i="2"/>
  <c r="S653" i="2"/>
  <c r="K653" i="2"/>
  <c r="S652" i="2"/>
  <c r="K652" i="2"/>
  <c r="S651" i="2"/>
  <c r="K651" i="2"/>
  <c r="CG669" i="1" l="1"/>
  <c r="CG677" i="1"/>
  <c r="CG663" i="1"/>
  <c r="CG667" i="1"/>
  <c r="CG671" i="1"/>
  <c r="CG675" i="1"/>
  <c r="CG666" i="1"/>
  <c r="CG670" i="1"/>
  <c r="CG674" i="1"/>
  <c r="CG672" i="1"/>
  <c r="CG664" i="1"/>
  <c r="CG668" i="1"/>
  <c r="CG676" i="1"/>
  <c r="CA693" i="1"/>
  <c r="CC693" i="1"/>
  <c r="CG662" i="1"/>
  <c r="CG665" i="1"/>
  <c r="CG673" i="1"/>
  <c r="S675" i="1"/>
  <c r="S682" i="1"/>
  <c r="S677" i="1"/>
  <c r="BG677" i="1"/>
  <c r="BA772" i="1"/>
  <c r="BE772" i="1"/>
  <c r="S676" i="1"/>
  <c r="S674" i="1"/>
  <c r="Q679" i="2"/>
  <c r="M674" i="2"/>
  <c r="Q678" i="2"/>
  <c r="Q668" i="2"/>
  <c r="Q672" i="2"/>
  <c r="M664" i="2"/>
  <c r="Q676" i="2"/>
  <c r="Q677" i="2"/>
  <c r="BG676" i="1"/>
  <c r="BG675" i="1"/>
  <c r="S673" i="1"/>
  <c r="S671" i="1"/>
  <c r="BG674" i="1"/>
  <c r="BG673" i="1"/>
  <c r="AR672" i="1"/>
  <c r="S670" i="1"/>
  <c r="S672" i="1"/>
  <c r="S668" i="1"/>
  <c r="S669" i="1"/>
  <c r="BG672" i="1"/>
  <c r="BG671" i="1"/>
  <c r="BG670" i="1"/>
  <c r="BG669" i="1"/>
  <c r="S665" i="1"/>
  <c r="S667" i="1"/>
  <c r="S663" i="1"/>
  <c r="S666" i="1"/>
  <c r="BG668" i="1"/>
  <c r="BG667" i="1"/>
  <c r="BG666" i="1"/>
  <c r="BG665" i="1"/>
  <c r="S659" i="1"/>
  <c r="BG662" i="1"/>
  <c r="S662" i="1"/>
  <c r="S664" i="1"/>
  <c r="BG659" i="1"/>
  <c r="S660" i="1"/>
  <c r="BG664" i="1"/>
  <c r="BG663" i="1"/>
  <c r="S661" i="1"/>
  <c r="M678" i="2"/>
  <c r="M677" i="2"/>
  <c r="M676" i="2"/>
  <c r="Q674" i="2"/>
  <c r="Q669" i="2"/>
  <c r="Q675" i="2"/>
  <c r="M675" i="2"/>
  <c r="Q673" i="2"/>
  <c r="M673" i="2"/>
  <c r="M672" i="2"/>
  <c r="Q663" i="2"/>
  <c r="Q670" i="2"/>
  <c r="Q665" i="2"/>
  <c r="Q671" i="2"/>
  <c r="M671" i="2"/>
  <c r="M670" i="2"/>
  <c r="M669" i="2"/>
  <c r="M668" i="2"/>
  <c r="Q660" i="2"/>
  <c r="Q666" i="2"/>
  <c r="Q664" i="2"/>
  <c r="Q667" i="2"/>
  <c r="M667" i="2"/>
  <c r="M666" i="2"/>
  <c r="M665" i="2"/>
  <c r="M663" i="2"/>
  <c r="M659" i="2"/>
  <c r="BG661" i="1"/>
  <c r="BG660" i="1"/>
  <c r="S658" i="1"/>
  <c r="BG658" i="1"/>
  <c r="S657" i="1"/>
  <c r="BG657" i="1"/>
  <c r="Q662" i="2"/>
  <c r="M662" i="2"/>
  <c r="Q661" i="2"/>
  <c r="M661" i="2"/>
  <c r="M660" i="2"/>
  <c r="Q652" i="2"/>
  <c r="Q659" i="2"/>
  <c r="Q658" i="2"/>
  <c r="Q657" i="2"/>
  <c r="Q654" i="2"/>
  <c r="M658" i="2"/>
  <c r="BG656" i="1"/>
  <c r="AR655" i="1"/>
  <c r="BG655" i="1"/>
  <c r="BG654" i="1"/>
  <c r="BG653" i="1"/>
  <c r="AR652" i="1"/>
  <c r="BG652" i="1"/>
  <c r="BG651" i="1"/>
  <c r="BG650" i="1"/>
  <c r="M657" i="2"/>
  <c r="Q655" i="2"/>
  <c r="Q653" i="2"/>
  <c r="M656" i="2"/>
  <c r="Q656" i="2"/>
  <c r="M655" i="2"/>
  <c r="M654" i="2"/>
  <c r="M653" i="2"/>
  <c r="M652" i="2"/>
  <c r="CG693" i="1" l="1"/>
  <c r="BG772" i="1"/>
  <c r="BE649" i="1"/>
  <c r="BA649" i="1"/>
  <c r="AL649" i="1"/>
  <c r="AR649" i="1" s="1"/>
  <c r="Z649" i="1"/>
  <c r="Q649" i="1"/>
  <c r="S656" i="1" s="1"/>
  <c r="N649" i="1"/>
  <c r="BE648" i="1"/>
  <c r="BA648" i="1"/>
  <c r="AL648" i="1"/>
  <c r="AR648" i="1" s="1"/>
  <c r="Z648" i="1"/>
  <c r="Q648" i="1"/>
  <c r="S655" i="1" s="1"/>
  <c r="N648" i="1"/>
  <c r="BE647" i="1"/>
  <c r="BA647" i="1"/>
  <c r="AL647" i="1"/>
  <c r="AR647" i="1" s="1"/>
  <c r="Z647" i="1"/>
  <c r="Q647" i="1"/>
  <c r="S654" i="1" s="1"/>
  <c r="N647" i="1"/>
  <c r="BE646" i="1"/>
  <c r="BA646" i="1"/>
  <c r="AL646" i="1"/>
  <c r="AR646" i="1" s="1"/>
  <c r="Z646" i="1"/>
  <c r="Q646" i="1"/>
  <c r="S653" i="1" s="1"/>
  <c r="N646" i="1"/>
  <c r="AA600" i="3"/>
  <c r="BE645" i="1"/>
  <c r="BA645" i="1"/>
  <c r="AL645" i="1"/>
  <c r="AR645" i="1" s="1"/>
  <c r="Z645" i="1"/>
  <c r="Q645" i="1"/>
  <c r="S652" i="1" s="1"/>
  <c r="N645" i="1"/>
  <c r="BE644" i="1"/>
  <c r="BA644" i="1"/>
  <c r="AL644" i="1"/>
  <c r="AR644" i="1" s="1"/>
  <c r="Z644" i="1"/>
  <c r="Q644" i="1"/>
  <c r="S651" i="1" s="1"/>
  <c r="N644" i="1"/>
  <c r="BE643" i="1"/>
  <c r="BA643" i="1"/>
  <c r="AL643" i="1"/>
  <c r="AR643" i="1" s="1"/>
  <c r="Z643" i="1"/>
  <c r="Q643" i="1"/>
  <c r="S650" i="1" s="1"/>
  <c r="N643" i="1"/>
  <c r="AA597" i="3"/>
  <c r="S650" i="2"/>
  <c r="K650" i="2"/>
  <c r="S649" i="2"/>
  <c r="K649" i="2"/>
  <c r="S648" i="2"/>
  <c r="K648" i="2"/>
  <c r="S647" i="2"/>
  <c r="K647" i="2"/>
  <c r="S646" i="2"/>
  <c r="K646" i="2"/>
  <c r="S645" i="2"/>
  <c r="K645" i="2"/>
  <c r="S644" i="2"/>
  <c r="K644" i="2"/>
  <c r="BE642" i="1"/>
  <c r="BA642" i="1"/>
  <c r="AL642" i="1"/>
  <c r="AR642" i="1" s="1"/>
  <c r="Z642" i="1"/>
  <c r="Q642" i="1"/>
  <c r="N642" i="1"/>
  <c r="BE641" i="1"/>
  <c r="BA641" i="1"/>
  <c r="AL641" i="1"/>
  <c r="AR641" i="1" s="1"/>
  <c r="Z641" i="1"/>
  <c r="Q641" i="1"/>
  <c r="N641" i="1"/>
  <c r="BE640" i="1"/>
  <c r="BA640" i="1"/>
  <c r="AL640" i="1"/>
  <c r="AR640" i="1" s="1"/>
  <c r="Z640" i="1"/>
  <c r="Q640" i="1"/>
  <c r="N640" i="1"/>
  <c r="BE639" i="1"/>
  <c r="BA639" i="1"/>
  <c r="AL639" i="1"/>
  <c r="AR639" i="1" s="1"/>
  <c r="Z639" i="1"/>
  <c r="Q639" i="1"/>
  <c r="N639" i="1"/>
  <c r="BE638" i="1"/>
  <c r="BA638" i="1"/>
  <c r="AL638" i="1"/>
  <c r="Z638" i="1"/>
  <c r="Q638" i="1"/>
  <c r="N638" i="1"/>
  <c r="BE637" i="1"/>
  <c r="BA637" i="1"/>
  <c r="AL637" i="1"/>
  <c r="AR637" i="1" s="1"/>
  <c r="Z637" i="1"/>
  <c r="Q637" i="1"/>
  <c r="N637" i="1"/>
  <c r="BE636" i="1"/>
  <c r="BA636" i="1"/>
  <c r="AL636" i="1"/>
  <c r="AR636" i="1" s="1"/>
  <c r="Z636" i="1"/>
  <c r="Q636" i="1"/>
  <c r="N636" i="1"/>
  <c r="S643" i="2"/>
  <c r="K643" i="2"/>
  <c r="S642" i="2"/>
  <c r="K642" i="2"/>
  <c r="S641" i="2"/>
  <c r="K641" i="2"/>
  <c r="S640" i="2"/>
  <c r="K640" i="2"/>
  <c r="S639" i="2"/>
  <c r="K639" i="2"/>
  <c r="S638" i="2"/>
  <c r="K638" i="2"/>
  <c r="S637" i="2"/>
  <c r="K637" i="2"/>
  <c r="S636" i="2"/>
  <c r="K636" i="2"/>
  <c r="BE635" i="1"/>
  <c r="BA635" i="1"/>
  <c r="AL635" i="1"/>
  <c r="AR635" i="1" s="1"/>
  <c r="Z635" i="1"/>
  <c r="Q635" i="1"/>
  <c r="N635" i="1"/>
  <c r="BE634" i="1"/>
  <c r="BA634" i="1"/>
  <c r="AL634" i="1"/>
  <c r="AR634" i="1" s="1"/>
  <c r="Z634" i="1"/>
  <c r="Q634" i="1"/>
  <c r="N634" i="1"/>
  <c r="BE633" i="1"/>
  <c r="BA633" i="1"/>
  <c r="AL633" i="1"/>
  <c r="AR633" i="1" s="1"/>
  <c r="Z633" i="1"/>
  <c r="Q633" i="1"/>
  <c r="N633" i="1"/>
  <c r="BE632" i="1"/>
  <c r="BA632" i="1"/>
  <c r="AL632" i="1"/>
  <c r="AR632" i="1" s="1"/>
  <c r="Z632" i="1"/>
  <c r="Q632" i="1"/>
  <c r="N632" i="1"/>
  <c r="BE631" i="1"/>
  <c r="BA631" i="1"/>
  <c r="AL631" i="1"/>
  <c r="AR631" i="1" s="1"/>
  <c r="Z631" i="1"/>
  <c r="Q631" i="1"/>
  <c r="N631" i="1"/>
  <c r="BE630" i="1"/>
  <c r="BA630" i="1"/>
  <c r="AL630" i="1"/>
  <c r="AR630" i="1" s="1"/>
  <c r="Z630" i="1"/>
  <c r="Q630" i="1"/>
  <c r="N630" i="1"/>
  <c r="BE629" i="1"/>
  <c r="BA629" i="1"/>
  <c r="AL629" i="1"/>
  <c r="AR629" i="1" s="1"/>
  <c r="Z629" i="1"/>
  <c r="Q629" i="1"/>
  <c r="N629" i="1"/>
  <c r="S635" i="2"/>
  <c r="K635" i="2"/>
  <c r="S634" i="2"/>
  <c r="K634" i="2"/>
  <c r="S633" i="2"/>
  <c r="K633" i="2"/>
  <c r="S632" i="2"/>
  <c r="K632" i="2"/>
  <c r="S631" i="2"/>
  <c r="K631" i="2"/>
  <c r="S630" i="2"/>
  <c r="K630" i="2"/>
  <c r="BG637" i="1" l="1"/>
  <c r="BG632" i="1"/>
  <c r="Q649" i="2"/>
  <c r="Q642" i="2"/>
  <c r="BG645" i="1"/>
  <c r="S646" i="1"/>
  <c r="S645" i="1"/>
  <c r="S648" i="1"/>
  <c r="S644" i="1"/>
  <c r="S647" i="1"/>
  <c r="S638" i="1"/>
  <c r="S649" i="1"/>
  <c r="Q651" i="2"/>
  <c r="M651" i="2"/>
  <c r="M650" i="2"/>
  <c r="Q650" i="2"/>
  <c r="Q637" i="2"/>
  <c r="Q648" i="2"/>
  <c r="BG649" i="1"/>
  <c r="BG648" i="1"/>
  <c r="BG647" i="1"/>
  <c r="BG646" i="1"/>
  <c r="BG644" i="1"/>
  <c r="S639" i="1"/>
  <c r="S643" i="1"/>
  <c r="S642" i="1"/>
  <c r="BG643" i="1"/>
  <c r="M642" i="2"/>
  <c r="Q646" i="2"/>
  <c r="M640" i="2"/>
  <c r="M644" i="2"/>
  <c r="M649" i="2"/>
  <c r="Q634" i="2"/>
  <c r="Q647" i="2"/>
  <c r="M648" i="2"/>
  <c r="M647" i="2"/>
  <c r="M646" i="2"/>
  <c r="Q645" i="2"/>
  <c r="M645" i="2"/>
  <c r="Q644" i="2"/>
  <c r="M641" i="2"/>
  <c r="Q643" i="2"/>
  <c r="Q641" i="2"/>
  <c r="M639" i="2"/>
  <c r="BG642" i="1"/>
  <c r="S637" i="1"/>
  <c r="S641" i="1"/>
  <c r="BG639" i="1"/>
  <c r="S640" i="1"/>
  <c r="S636" i="1"/>
  <c r="BG641" i="1"/>
  <c r="BG640" i="1"/>
  <c r="AR638" i="1"/>
  <c r="BG638" i="1"/>
  <c r="BG636" i="1"/>
  <c r="M643" i="2"/>
  <c r="Q640" i="2"/>
  <c r="Q638" i="2"/>
  <c r="Q636" i="2"/>
  <c r="M636" i="2"/>
  <c r="Q639" i="2"/>
  <c r="M638" i="2"/>
  <c r="M637" i="2"/>
  <c r="M632" i="2"/>
  <c r="Q635" i="2"/>
  <c r="Q633" i="2"/>
  <c r="BG635" i="1"/>
  <c r="BG629" i="1"/>
  <c r="BG634" i="1"/>
  <c r="BG633" i="1"/>
  <c r="BG631" i="1"/>
  <c r="BG630" i="1"/>
  <c r="M635" i="2"/>
  <c r="M634" i="2"/>
  <c r="M633" i="2"/>
  <c r="Q632" i="2"/>
  <c r="Q631" i="2"/>
  <c r="M631" i="2"/>
  <c r="BE628" i="1" l="1"/>
  <c r="BA628" i="1"/>
  <c r="AL628" i="1"/>
  <c r="Z628" i="1"/>
  <c r="Q628" i="1"/>
  <c r="S635" i="1" s="1"/>
  <c r="N628" i="1"/>
  <c r="BE627" i="1"/>
  <c r="BA627" i="1"/>
  <c r="AL627" i="1"/>
  <c r="AR627" i="1" s="1"/>
  <c r="Z627" i="1"/>
  <c r="Q627" i="1"/>
  <c r="S634" i="1" s="1"/>
  <c r="N627" i="1"/>
  <c r="BE626" i="1"/>
  <c r="BA626" i="1"/>
  <c r="AL626" i="1"/>
  <c r="AR626" i="1" s="1"/>
  <c r="Z626" i="1"/>
  <c r="Q626" i="1"/>
  <c r="S633" i="1" s="1"/>
  <c r="N626" i="1"/>
  <c r="BE625" i="1"/>
  <c r="BA625" i="1"/>
  <c r="AL625" i="1"/>
  <c r="AR625" i="1" s="1"/>
  <c r="Z625" i="1"/>
  <c r="Q625" i="1"/>
  <c r="S632" i="1" s="1"/>
  <c r="N625" i="1"/>
  <c r="BE624" i="1"/>
  <c r="BA624" i="1"/>
  <c r="AL624" i="1"/>
  <c r="AR624" i="1" s="1"/>
  <c r="Z624" i="1"/>
  <c r="Q624" i="1"/>
  <c r="S631" i="1" s="1"/>
  <c r="N624" i="1"/>
  <c r="BE623" i="1"/>
  <c r="BA623" i="1"/>
  <c r="AL623" i="1"/>
  <c r="AR623" i="1" s="1"/>
  <c r="Z623" i="1"/>
  <c r="Q623" i="1"/>
  <c r="N623" i="1"/>
  <c r="BG626" i="1" l="1"/>
  <c r="BG623" i="1"/>
  <c r="AR628" i="1"/>
  <c r="BG628" i="1"/>
  <c r="S630" i="1"/>
  <c r="BG627" i="1"/>
  <c r="BG625" i="1"/>
  <c r="BG624" i="1"/>
  <c r="BE622" i="1"/>
  <c r="BA622" i="1"/>
  <c r="AL622" i="1"/>
  <c r="AR622" i="1" s="1"/>
  <c r="Z622" i="1"/>
  <c r="Q622" i="1"/>
  <c r="S629" i="1" s="1"/>
  <c r="N622" i="1"/>
  <c r="S629" i="2"/>
  <c r="K629" i="2"/>
  <c r="S628" i="2"/>
  <c r="K628" i="2"/>
  <c r="S627" i="2"/>
  <c r="K627" i="2"/>
  <c r="S626" i="2"/>
  <c r="K626" i="2"/>
  <c r="S625" i="2"/>
  <c r="K625" i="2"/>
  <c r="S624" i="2"/>
  <c r="K624" i="2"/>
  <c r="S623" i="2"/>
  <c r="K623" i="2"/>
  <c r="Q624" i="2" l="1"/>
  <c r="Q626" i="2"/>
  <c r="Q629" i="2"/>
  <c r="Q630" i="2"/>
  <c r="M630" i="2"/>
  <c r="M627" i="2"/>
  <c r="BG622" i="1"/>
  <c r="M629" i="2"/>
  <c r="Q625" i="2"/>
  <c r="M628" i="2"/>
  <c r="Q628" i="2"/>
  <c r="Q627" i="2"/>
  <c r="M626" i="2"/>
  <c r="M625" i="2"/>
  <c r="M624" i="2"/>
  <c r="BE621" i="1" l="1"/>
  <c r="BA621" i="1"/>
  <c r="AL621" i="1"/>
  <c r="AR621" i="1" s="1"/>
  <c r="Z621" i="1"/>
  <c r="Q621" i="1"/>
  <c r="S628" i="1" s="1"/>
  <c r="N621" i="1"/>
  <c r="BE620" i="1"/>
  <c r="BA620" i="1"/>
  <c r="AL620" i="1"/>
  <c r="Z620" i="1"/>
  <c r="Q620" i="1"/>
  <c r="S627" i="1" s="1"/>
  <c r="N620" i="1"/>
  <c r="S622" i="2"/>
  <c r="K622" i="2"/>
  <c r="S621" i="2"/>
  <c r="K621" i="2"/>
  <c r="Q622" i="2" l="1"/>
  <c r="M623" i="2"/>
  <c r="Q623" i="2"/>
  <c r="BG621" i="1"/>
  <c r="AR620" i="1"/>
  <c r="BG620" i="1"/>
  <c r="M622" i="2"/>
  <c r="BE619" i="1"/>
  <c r="BA619" i="1"/>
  <c r="AL619" i="1"/>
  <c r="Z619" i="1"/>
  <c r="Q619" i="1"/>
  <c r="S626" i="1" s="1"/>
  <c r="N619" i="1"/>
  <c r="BE618" i="1"/>
  <c r="BA618" i="1"/>
  <c r="AL618" i="1"/>
  <c r="AR618" i="1" s="1"/>
  <c r="Z618" i="1"/>
  <c r="Q618" i="1"/>
  <c r="S625" i="1" s="1"/>
  <c r="N618" i="1"/>
  <c r="BE617" i="1"/>
  <c r="BA617" i="1"/>
  <c r="AL617" i="1"/>
  <c r="AR617" i="1" s="1"/>
  <c r="Z617" i="1"/>
  <c r="Q617" i="1"/>
  <c r="S624" i="1" s="1"/>
  <c r="N617" i="1"/>
  <c r="BE616" i="1"/>
  <c r="BA616" i="1"/>
  <c r="AL616" i="1"/>
  <c r="AR616" i="1" s="1"/>
  <c r="Z616" i="1"/>
  <c r="Q616" i="1"/>
  <c r="S623" i="1" s="1"/>
  <c r="N616" i="1"/>
  <c r="S620" i="2"/>
  <c r="K620" i="2"/>
  <c r="M621" i="2" s="1"/>
  <c r="S619" i="2"/>
  <c r="K619" i="2"/>
  <c r="S618" i="2"/>
  <c r="K618" i="2"/>
  <c r="S617" i="2"/>
  <c r="K617" i="2"/>
  <c r="Q620" i="2" l="1"/>
  <c r="Q621" i="2"/>
  <c r="Q618" i="2"/>
  <c r="Q619" i="2"/>
  <c r="AR619" i="1"/>
  <c r="BG619" i="1"/>
  <c r="BG618" i="1"/>
  <c r="BG617" i="1"/>
  <c r="BG616" i="1"/>
  <c r="M620" i="2"/>
  <c r="M619" i="2"/>
  <c r="M618" i="2"/>
  <c r="BE615" i="1" l="1"/>
  <c r="BA615" i="1"/>
  <c r="AL615" i="1"/>
  <c r="AR615" i="1" s="1"/>
  <c r="Z615" i="1"/>
  <c r="Q615" i="1"/>
  <c r="S622" i="1" s="1"/>
  <c r="N615" i="1"/>
  <c r="S616" i="2"/>
  <c r="K616" i="2"/>
  <c r="Q617" i="2" l="1"/>
  <c r="M617" i="2"/>
  <c r="BG615" i="1"/>
  <c r="BE614" i="1"/>
  <c r="BA614" i="1"/>
  <c r="AL614" i="1"/>
  <c r="AR614" i="1" s="1"/>
  <c r="Z614" i="1"/>
  <c r="Q614" i="1"/>
  <c r="N614" i="1"/>
  <c r="BE613" i="1"/>
  <c r="BA613" i="1"/>
  <c r="AL613" i="1"/>
  <c r="AR613" i="1" s="1"/>
  <c r="Z613" i="1"/>
  <c r="Q613" i="1"/>
  <c r="S620" i="1" s="1"/>
  <c r="N613" i="1"/>
  <c r="BE612" i="1"/>
  <c r="BA612" i="1"/>
  <c r="AL612" i="1"/>
  <c r="AR612" i="1" s="1"/>
  <c r="Z612" i="1"/>
  <c r="Q612" i="1"/>
  <c r="S619" i="1" s="1"/>
  <c r="N612" i="1"/>
  <c r="S615" i="2"/>
  <c r="K615" i="2"/>
  <c r="S614" i="2"/>
  <c r="K614" i="2"/>
  <c r="S613" i="2"/>
  <c r="K613" i="2"/>
  <c r="BE611" i="1"/>
  <c r="BA611" i="1"/>
  <c r="AL611" i="1"/>
  <c r="AR611" i="1" s="1"/>
  <c r="Z611" i="1"/>
  <c r="Q611" i="1"/>
  <c r="S618" i="1" s="1"/>
  <c r="N611" i="1"/>
  <c r="BE610" i="1"/>
  <c r="BA610" i="1"/>
  <c r="AL610" i="1"/>
  <c r="AR610" i="1" s="1"/>
  <c r="Z610" i="1"/>
  <c r="Q610" i="1"/>
  <c r="S617" i="1" s="1"/>
  <c r="N610" i="1"/>
  <c r="BE609" i="1"/>
  <c r="BA609" i="1"/>
  <c r="AL609" i="1"/>
  <c r="AR609" i="1" s="1"/>
  <c r="Z609" i="1"/>
  <c r="Q609" i="1"/>
  <c r="S616" i="1" s="1"/>
  <c r="N609" i="1"/>
  <c r="BE608" i="1"/>
  <c r="BA608" i="1"/>
  <c r="AL608" i="1"/>
  <c r="Z608" i="1"/>
  <c r="Q608" i="1"/>
  <c r="S615" i="1" s="1"/>
  <c r="N608" i="1"/>
  <c r="S612" i="2"/>
  <c r="K612" i="2"/>
  <c r="S611" i="2"/>
  <c r="K611" i="2"/>
  <c r="S610" i="2"/>
  <c r="K610" i="2"/>
  <c r="S609" i="2"/>
  <c r="K609" i="2"/>
  <c r="BE607" i="1"/>
  <c r="BA607" i="1"/>
  <c r="AL607" i="1"/>
  <c r="AR607" i="1" s="1"/>
  <c r="Z607" i="1"/>
  <c r="Q607" i="1"/>
  <c r="N607" i="1"/>
  <c r="BE606" i="1"/>
  <c r="BA606" i="1"/>
  <c r="AL606" i="1"/>
  <c r="AR606" i="1" s="1"/>
  <c r="Z606" i="1"/>
  <c r="Q606" i="1"/>
  <c r="N606" i="1"/>
  <c r="BE605" i="1"/>
  <c r="BA605" i="1"/>
  <c r="AL605" i="1"/>
  <c r="AR605" i="1" s="1"/>
  <c r="Z605" i="1"/>
  <c r="Q605" i="1"/>
  <c r="N605" i="1"/>
  <c r="S608" i="2"/>
  <c r="K608" i="2"/>
  <c r="S607" i="2"/>
  <c r="K607" i="2"/>
  <c r="S606" i="2"/>
  <c r="K606" i="2"/>
  <c r="Q615" i="2" l="1"/>
  <c r="S614" i="1"/>
  <c r="S621" i="1"/>
  <c r="BG605" i="1"/>
  <c r="BG609" i="1"/>
  <c r="BG612" i="1"/>
  <c r="Q616" i="2"/>
  <c r="BG611" i="1"/>
  <c r="S612" i="1"/>
  <c r="M615" i="2"/>
  <c r="Q613" i="2"/>
  <c r="Q610" i="2"/>
  <c r="Q614" i="2"/>
  <c r="M616" i="2"/>
  <c r="S613" i="1"/>
  <c r="BG614" i="1"/>
  <c r="BG613" i="1"/>
  <c r="M614" i="2"/>
  <c r="M613" i="2"/>
  <c r="BG610" i="1"/>
  <c r="AR608" i="1"/>
  <c r="BG608" i="1"/>
  <c r="M611" i="2"/>
  <c r="Q609" i="2"/>
  <c r="Q607" i="2"/>
  <c r="Q612" i="2"/>
  <c r="M612" i="2"/>
  <c r="Q611" i="2"/>
  <c r="M610" i="2"/>
  <c r="M609" i="2"/>
  <c r="BG607" i="1"/>
  <c r="BG606" i="1"/>
  <c r="Q608" i="2"/>
  <c r="M608" i="2"/>
  <c r="M607" i="2"/>
  <c r="BE604" i="1" l="1"/>
  <c r="BA604" i="1"/>
  <c r="AL604" i="1"/>
  <c r="AR604" i="1" s="1"/>
  <c r="Z604" i="1"/>
  <c r="Q604" i="1"/>
  <c r="N604" i="1"/>
  <c r="BE603" i="1"/>
  <c r="BA603" i="1"/>
  <c r="AL603" i="1"/>
  <c r="AR603" i="1" s="1"/>
  <c r="Z603" i="1"/>
  <c r="Q603" i="1"/>
  <c r="S610" i="1" s="1"/>
  <c r="N603" i="1"/>
  <c r="BE602" i="1"/>
  <c r="BA602" i="1"/>
  <c r="AL602" i="1"/>
  <c r="AR602" i="1" s="1"/>
  <c r="Z602" i="1"/>
  <c r="Q602" i="1"/>
  <c r="S609" i="1" s="1"/>
  <c r="N602" i="1"/>
  <c r="BE601" i="1"/>
  <c r="BA601" i="1"/>
  <c r="AL601" i="1"/>
  <c r="AR601" i="1" s="1"/>
  <c r="Z601" i="1"/>
  <c r="Q601" i="1"/>
  <c r="S608" i="1" s="1"/>
  <c r="N601" i="1"/>
  <c r="S605" i="2"/>
  <c r="K605" i="2"/>
  <c r="S604" i="2"/>
  <c r="K604" i="2"/>
  <c r="S603" i="2"/>
  <c r="K603" i="2"/>
  <c r="S602" i="2"/>
  <c r="K602" i="2"/>
  <c r="BE600" i="1"/>
  <c r="BA600" i="1"/>
  <c r="AL600" i="1"/>
  <c r="Z600" i="1"/>
  <c r="Q600" i="1"/>
  <c r="S607" i="1" s="1"/>
  <c r="N600" i="1"/>
  <c r="BE599" i="1"/>
  <c r="BA599" i="1"/>
  <c r="AL599" i="1"/>
  <c r="AR599" i="1" s="1"/>
  <c r="Z599" i="1"/>
  <c r="Q599" i="1"/>
  <c r="S606" i="1" s="1"/>
  <c r="N599" i="1"/>
  <c r="S601" i="2"/>
  <c r="K601" i="2"/>
  <c r="S600" i="2"/>
  <c r="K600" i="2"/>
  <c r="BE598" i="1"/>
  <c r="BA598" i="1"/>
  <c r="AL598" i="1"/>
  <c r="AR598" i="1" s="1"/>
  <c r="Z598" i="1"/>
  <c r="Q598" i="1"/>
  <c r="S605" i="1" s="1"/>
  <c r="N598" i="1"/>
  <c r="S599" i="2"/>
  <c r="K599" i="2"/>
  <c r="BE597" i="1"/>
  <c r="BA597" i="1"/>
  <c r="AL597" i="1"/>
  <c r="AR597" i="1" s="1"/>
  <c r="Z597" i="1"/>
  <c r="Q597" i="1"/>
  <c r="N597" i="1"/>
  <c r="S598" i="2"/>
  <c r="K598" i="2"/>
  <c r="BE596" i="1"/>
  <c r="BA596" i="1"/>
  <c r="AL596" i="1"/>
  <c r="AR596" i="1" s="1"/>
  <c r="Z596" i="1"/>
  <c r="Q596" i="1"/>
  <c r="N596" i="1"/>
  <c r="BE595" i="1"/>
  <c r="BA595" i="1"/>
  <c r="AL595" i="1"/>
  <c r="AR595" i="1" s="1"/>
  <c r="Z595" i="1"/>
  <c r="Q595" i="1"/>
  <c r="N595" i="1"/>
  <c r="BE594" i="1"/>
  <c r="BA594" i="1"/>
  <c r="AL594" i="1"/>
  <c r="Z594" i="1"/>
  <c r="Q594" i="1"/>
  <c r="N594" i="1"/>
  <c r="S597" i="2"/>
  <c r="K597" i="2"/>
  <c r="S596" i="2"/>
  <c r="K596" i="2"/>
  <c r="S595" i="2"/>
  <c r="K595" i="2"/>
  <c r="S604" i="1" l="1"/>
  <c r="S611" i="1"/>
  <c r="Q603" i="2"/>
  <c r="Q597" i="2"/>
  <c r="S603" i="1"/>
  <c r="BG603" i="1"/>
  <c r="Q604" i="2"/>
  <c r="Q599" i="2"/>
  <c r="Q600" i="2"/>
  <c r="Q602" i="2"/>
  <c r="Q605" i="2"/>
  <c r="Q606" i="2"/>
  <c r="M606" i="2"/>
  <c r="BG604" i="1"/>
  <c r="S602" i="1"/>
  <c r="S601" i="1"/>
  <c r="BG602" i="1"/>
  <c r="BG601" i="1"/>
  <c r="M605" i="2"/>
  <c r="M604" i="2"/>
  <c r="M603" i="2"/>
  <c r="M602" i="2"/>
  <c r="Q598" i="2"/>
  <c r="AR600" i="1"/>
  <c r="BG600" i="1"/>
  <c r="BG599" i="1"/>
  <c r="Q601" i="2"/>
  <c r="M601" i="2"/>
  <c r="M600" i="2"/>
  <c r="BG598" i="1"/>
  <c r="M599" i="2"/>
  <c r="BG597" i="1"/>
  <c r="M598" i="2"/>
  <c r="M596" i="2"/>
  <c r="BG596" i="1"/>
  <c r="BG595" i="1"/>
  <c r="AR594" i="1"/>
  <c r="BG594" i="1"/>
  <c r="M597" i="2"/>
  <c r="Q596" i="2"/>
  <c r="BE593" i="1" l="1"/>
  <c r="BA593" i="1"/>
  <c r="AL593" i="1"/>
  <c r="AR593" i="1" s="1"/>
  <c r="Z593" i="1"/>
  <c r="Q593" i="1"/>
  <c r="S600" i="1" s="1"/>
  <c r="N593" i="1"/>
  <c r="BE592" i="1"/>
  <c r="BA592" i="1"/>
  <c r="AL592" i="1"/>
  <c r="Z592" i="1"/>
  <c r="Q592" i="1"/>
  <c r="S599" i="1" s="1"/>
  <c r="N592" i="1"/>
  <c r="S594" i="2"/>
  <c r="K594" i="2"/>
  <c r="S593" i="2"/>
  <c r="K593" i="2"/>
  <c r="BE591" i="1"/>
  <c r="BA591" i="1"/>
  <c r="AL591" i="1"/>
  <c r="AR591" i="1" s="1"/>
  <c r="Z591" i="1"/>
  <c r="Q591" i="1"/>
  <c r="S598" i="1" s="1"/>
  <c r="N591" i="1"/>
  <c r="BE590" i="1"/>
  <c r="BA590" i="1"/>
  <c r="AL590" i="1"/>
  <c r="AR590" i="1" s="1"/>
  <c r="Z590" i="1"/>
  <c r="Q590" i="1"/>
  <c r="S597" i="1" s="1"/>
  <c r="N590" i="1"/>
  <c r="BE589" i="1"/>
  <c r="BA589" i="1"/>
  <c r="AL589" i="1"/>
  <c r="AR589" i="1" s="1"/>
  <c r="Z589" i="1"/>
  <c r="Q589" i="1"/>
  <c r="S596" i="1" s="1"/>
  <c r="N589" i="1"/>
  <c r="BE588" i="1"/>
  <c r="BA588" i="1"/>
  <c r="AL588" i="1"/>
  <c r="AR588" i="1" s="1"/>
  <c r="Z588" i="1"/>
  <c r="Q588" i="1"/>
  <c r="S595" i="1" s="1"/>
  <c r="N588" i="1"/>
  <c r="BE587" i="1"/>
  <c r="BA587" i="1"/>
  <c r="AL587" i="1"/>
  <c r="AR587" i="1" s="1"/>
  <c r="Z587" i="1"/>
  <c r="Q587" i="1"/>
  <c r="S594" i="1" s="1"/>
  <c r="N587" i="1"/>
  <c r="S592" i="2"/>
  <c r="K592" i="2"/>
  <c r="S591" i="2"/>
  <c r="K591" i="2"/>
  <c r="S590" i="2"/>
  <c r="K590" i="2"/>
  <c r="S589" i="2"/>
  <c r="K589" i="2"/>
  <c r="S588" i="2"/>
  <c r="K588" i="2"/>
  <c r="Q592" i="2" l="1"/>
  <c r="M589" i="2"/>
  <c r="Q594" i="2"/>
  <c r="Q595" i="2"/>
  <c r="M595" i="2"/>
  <c r="Q593" i="2"/>
  <c r="Q591" i="2"/>
  <c r="BG593" i="1"/>
  <c r="AR592" i="1"/>
  <c r="BG592" i="1"/>
  <c r="M594" i="2"/>
  <c r="M593" i="2"/>
  <c r="BG591" i="1"/>
  <c r="BG590" i="1"/>
  <c r="BG589" i="1"/>
  <c r="BG588" i="1"/>
  <c r="BG587" i="1"/>
  <c r="M592" i="2"/>
  <c r="M591" i="2"/>
  <c r="Q589" i="2"/>
  <c r="Q590" i="2"/>
  <c r="M590" i="2"/>
  <c r="BE586" i="1" l="1"/>
  <c r="BA586" i="1"/>
  <c r="AL586" i="1"/>
  <c r="AR586" i="1" s="1"/>
  <c r="Z586" i="1"/>
  <c r="Q586" i="1"/>
  <c r="S593" i="1" s="1"/>
  <c r="N586" i="1"/>
  <c r="BE585" i="1"/>
  <c r="BA585" i="1"/>
  <c r="AL585" i="1"/>
  <c r="AR585" i="1" s="1"/>
  <c r="Z585" i="1"/>
  <c r="Q585" i="1"/>
  <c r="S592" i="1" s="1"/>
  <c r="N585" i="1"/>
  <c r="AA539" i="3"/>
  <c r="BE584" i="1"/>
  <c r="BA584" i="1"/>
  <c r="AL584" i="1"/>
  <c r="AR584" i="1" s="1"/>
  <c r="Z584" i="1"/>
  <c r="Q584" i="1"/>
  <c r="S591" i="1" s="1"/>
  <c r="N584" i="1"/>
  <c r="BE583" i="1"/>
  <c r="BA583" i="1"/>
  <c r="AL583" i="1"/>
  <c r="AR583" i="1" s="1"/>
  <c r="Z583" i="1"/>
  <c r="Q583" i="1"/>
  <c r="S590" i="1" s="1"/>
  <c r="N583" i="1"/>
  <c r="Z582" i="1"/>
  <c r="Q582" i="1"/>
  <c r="S589" i="1" s="1"/>
  <c r="N582" i="1"/>
  <c r="Z581" i="1"/>
  <c r="Q581" i="1"/>
  <c r="S588" i="1" s="1"/>
  <c r="N581" i="1"/>
  <c r="BC580" i="1"/>
  <c r="BA580" i="1" s="1"/>
  <c r="BE582" i="1"/>
  <c r="BE581" i="1"/>
  <c r="AP580" i="1"/>
  <c r="BE580" i="1"/>
  <c r="AG580" i="1"/>
  <c r="Z580" i="1"/>
  <c r="Q580" i="1"/>
  <c r="S587" i="1" s="1"/>
  <c r="N580" i="1"/>
  <c r="S587" i="2"/>
  <c r="K587" i="2"/>
  <c r="S586" i="2"/>
  <c r="K586" i="2"/>
  <c r="S585" i="2"/>
  <c r="K585" i="2"/>
  <c r="S584" i="2"/>
  <c r="K584" i="2"/>
  <c r="I581" i="2"/>
  <c r="I582" i="2" s="1"/>
  <c r="G581" i="2"/>
  <c r="G582" i="2" s="1"/>
  <c r="E581" i="2"/>
  <c r="E582" i="2" s="1"/>
  <c r="S583" i="2"/>
  <c r="K583" i="2"/>
  <c r="K582" i="2" l="1"/>
  <c r="Q583" i="2" s="1"/>
  <c r="Q586" i="2"/>
  <c r="Q587" i="2"/>
  <c r="M588" i="2"/>
  <c r="Q588" i="2"/>
  <c r="BG586" i="1"/>
  <c r="BG585" i="1"/>
  <c r="BG584" i="1"/>
  <c r="BG583" i="1"/>
  <c r="AP581" i="1"/>
  <c r="AL582" i="1" s="1"/>
  <c r="BC581" i="1"/>
  <c r="BG580" i="1"/>
  <c r="AL580" i="1"/>
  <c r="AR580" i="1" s="1"/>
  <c r="M586" i="2"/>
  <c r="Q584" i="2"/>
  <c r="Q585" i="2"/>
  <c r="M587" i="2"/>
  <c r="M585" i="2"/>
  <c r="M584" i="2"/>
  <c r="K581" i="2"/>
  <c r="BE579" i="1"/>
  <c r="BA579" i="1"/>
  <c r="AL579" i="1"/>
  <c r="AG579" i="1"/>
  <c r="Z579" i="1"/>
  <c r="Q579" i="1"/>
  <c r="S586" i="1" s="1"/>
  <c r="N579" i="1"/>
  <c r="BE578" i="1"/>
  <c r="BA578" i="1"/>
  <c r="AL578" i="1"/>
  <c r="AG578" i="1"/>
  <c r="Z578" i="1"/>
  <c r="Q578" i="1"/>
  <c r="S585" i="1" s="1"/>
  <c r="N578" i="1"/>
  <c r="BE577" i="1"/>
  <c r="BA577" i="1"/>
  <c r="AL577" i="1"/>
  <c r="AR577" i="1" s="1"/>
  <c r="AG577" i="1"/>
  <c r="Z577" i="1"/>
  <c r="Q577" i="1"/>
  <c r="S584" i="1" s="1"/>
  <c r="N577" i="1"/>
  <c r="BE576" i="1"/>
  <c r="BA576" i="1"/>
  <c r="AL576" i="1"/>
  <c r="AR576" i="1" s="1"/>
  <c r="AG576" i="1"/>
  <c r="Z576" i="1"/>
  <c r="Q576" i="1"/>
  <c r="S583" i="1" s="1"/>
  <c r="N576" i="1"/>
  <c r="S580" i="2"/>
  <c r="S581" i="2" s="1"/>
  <c r="S582" i="2" s="1"/>
  <c r="K580" i="2"/>
  <c r="S579" i="2"/>
  <c r="K579" i="2"/>
  <c r="S578" i="2"/>
  <c r="K578" i="2"/>
  <c r="S577" i="2"/>
  <c r="K577" i="2"/>
  <c r="BE575" i="1"/>
  <c r="BA575" i="1"/>
  <c r="AL575" i="1"/>
  <c r="AR575" i="1" s="1"/>
  <c r="AG575" i="1"/>
  <c r="Z575" i="1"/>
  <c r="Q575" i="1"/>
  <c r="S582" i="1" s="1"/>
  <c r="N575" i="1"/>
  <c r="BE574" i="1"/>
  <c r="BA574" i="1"/>
  <c r="AL574" i="1"/>
  <c r="AR574" i="1" s="1"/>
  <c r="AG574" i="1"/>
  <c r="Z574" i="1"/>
  <c r="Q574" i="1"/>
  <c r="S581" i="1" s="1"/>
  <c r="N574" i="1"/>
  <c r="BE573" i="1"/>
  <c r="BA573" i="1"/>
  <c r="AL573" i="1"/>
  <c r="AR573" i="1" s="1"/>
  <c r="AG573" i="1"/>
  <c r="AI580" i="1" s="1"/>
  <c r="Z573" i="1"/>
  <c r="Q573" i="1"/>
  <c r="S580" i="1" s="1"/>
  <c r="N573" i="1"/>
  <c r="S576" i="2"/>
  <c r="K576" i="2"/>
  <c r="S575" i="2"/>
  <c r="K575" i="2"/>
  <c r="S574" i="2"/>
  <c r="K574" i="2"/>
  <c r="M583" i="2" l="1"/>
  <c r="M582" i="2"/>
  <c r="AL581" i="1"/>
  <c r="AR581" i="1" s="1"/>
  <c r="Q577" i="2"/>
  <c r="BK580" i="1"/>
  <c r="BM580" i="1" s="1"/>
  <c r="Q582" i="2"/>
  <c r="BA582" i="1"/>
  <c r="BA581" i="1"/>
  <c r="BG581" i="1" s="1"/>
  <c r="AR582" i="1"/>
  <c r="Q579" i="2"/>
  <c r="M581" i="2"/>
  <c r="Q581" i="2"/>
  <c r="Q580" i="2"/>
  <c r="M578" i="2"/>
  <c r="AR579" i="1"/>
  <c r="AR578" i="1"/>
  <c r="BK579" i="1"/>
  <c r="BM579" i="1" s="1"/>
  <c r="BG574" i="1"/>
  <c r="BG579" i="1"/>
  <c r="BG578" i="1"/>
  <c r="BG577" i="1"/>
  <c r="BG576" i="1"/>
  <c r="M580" i="2"/>
  <c r="M579" i="2"/>
  <c r="Q578" i="2"/>
  <c r="Q575" i="2"/>
  <c r="Q576" i="2"/>
  <c r="M577" i="2"/>
  <c r="BG575" i="1"/>
  <c r="BG573" i="1"/>
  <c r="M576" i="2"/>
  <c r="M575" i="2"/>
  <c r="BG582" i="1" l="1"/>
  <c r="BE572" i="1" l="1"/>
  <c r="BA572" i="1"/>
  <c r="BK578" i="1" s="1"/>
  <c r="AL572" i="1"/>
  <c r="AR572" i="1" s="1"/>
  <c r="AG572" i="1"/>
  <c r="AI579" i="1" s="1"/>
  <c r="Z572" i="1"/>
  <c r="Q572" i="1"/>
  <c r="S579" i="1" s="1"/>
  <c r="N572" i="1"/>
  <c r="S573" i="2"/>
  <c r="K573" i="2"/>
  <c r="BM578" i="1" l="1"/>
  <c r="Q574" i="2"/>
  <c r="M574" i="2"/>
  <c r="BG572" i="1"/>
  <c r="BE571" i="1" l="1"/>
  <c r="BA571" i="1"/>
  <c r="BK577" i="1" s="1"/>
  <c r="BM577" i="1" s="1"/>
  <c r="AL571" i="1"/>
  <c r="AG571" i="1"/>
  <c r="AI578" i="1" s="1"/>
  <c r="Z571" i="1"/>
  <c r="Q571" i="1"/>
  <c r="S578" i="1" s="1"/>
  <c r="N571" i="1"/>
  <c r="S572" i="2"/>
  <c r="K572" i="2"/>
  <c r="BE570" i="1"/>
  <c r="BA570" i="1"/>
  <c r="AL570" i="1"/>
  <c r="AR570" i="1" s="1"/>
  <c r="AG570" i="1"/>
  <c r="AI577" i="1" s="1"/>
  <c r="Z570" i="1"/>
  <c r="Q570" i="1"/>
  <c r="S577" i="1" s="1"/>
  <c r="N570" i="1"/>
  <c r="BE569" i="1"/>
  <c r="BA569" i="1"/>
  <c r="AL569" i="1"/>
  <c r="AR569" i="1" s="1"/>
  <c r="AG569" i="1"/>
  <c r="AI576" i="1" s="1"/>
  <c r="Z569" i="1"/>
  <c r="Q569" i="1"/>
  <c r="S576" i="1" s="1"/>
  <c r="N569" i="1"/>
  <c r="BE568" i="1"/>
  <c r="BA568" i="1"/>
  <c r="AL568" i="1"/>
  <c r="AR568" i="1" s="1"/>
  <c r="AG568" i="1"/>
  <c r="AI575" i="1" s="1"/>
  <c r="Z568" i="1"/>
  <c r="Q568" i="1"/>
  <c r="S575" i="1" s="1"/>
  <c r="N568" i="1"/>
  <c r="BE567" i="1"/>
  <c r="BA567" i="1"/>
  <c r="AL567" i="1"/>
  <c r="AR567" i="1" s="1"/>
  <c r="AG567" i="1"/>
  <c r="AI574" i="1" s="1"/>
  <c r="Z567" i="1"/>
  <c r="Q567" i="1"/>
  <c r="S574" i="1" s="1"/>
  <c r="N567" i="1"/>
  <c r="BE566" i="1"/>
  <c r="BA566" i="1"/>
  <c r="AL566" i="1"/>
  <c r="AR566" i="1" s="1"/>
  <c r="AG566" i="1"/>
  <c r="AI573" i="1" s="1"/>
  <c r="Z566" i="1"/>
  <c r="Q566" i="1"/>
  <c r="S573" i="1" s="1"/>
  <c r="N566" i="1"/>
  <c r="S571" i="2"/>
  <c r="K571" i="2"/>
  <c r="S570" i="2"/>
  <c r="K570" i="2"/>
  <c r="S569" i="2"/>
  <c r="K569" i="2"/>
  <c r="S568" i="2"/>
  <c r="K568" i="2"/>
  <c r="S567" i="2"/>
  <c r="K567" i="2"/>
  <c r="S566" i="2"/>
  <c r="K566" i="2"/>
  <c r="Q568" i="2" l="1"/>
  <c r="BK573" i="1"/>
  <c r="BM573" i="1" s="1"/>
  <c r="BK576" i="1"/>
  <c r="BM576" i="1" s="1"/>
  <c r="BK572" i="1"/>
  <c r="BM572" i="1" s="1"/>
  <c r="BK575" i="1"/>
  <c r="BM575" i="1" s="1"/>
  <c r="BK574" i="1"/>
  <c r="BM574" i="1" s="1"/>
  <c r="BG571" i="1"/>
  <c r="AR571" i="1"/>
  <c r="Q572" i="2"/>
  <c r="Q573" i="2"/>
  <c r="M573" i="2"/>
  <c r="M572" i="2"/>
  <c r="Q569" i="2"/>
  <c r="M570" i="2"/>
  <c r="Q571" i="2"/>
  <c r="BG570" i="1"/>
  <c r="BG569" i="1"/>
  <c r="BG568" i="1"/>
  <c r="BG567" i="1"/>
  <c r="BG566" i="1"/>
  <c r="M571" i="2"/>
  <c r="Q570" i="2"/>
  <c r="M569" i="2"/>
  <c r="M568" i="2"/>
  <c r="Q567" i="2"/>
  <c r="M567" i="2"/>
  <c r="BE565" i="1" l="1"/>
  <c r="BA565" i="1"/>
  <c r="BK571" i="1" s="1"/>
  <c r="AL565" i="1"/>
  <c r="AR565" i="1" s="1"/>
  <c r="AG565" i="1"/>
  <c r="AI572" i="1" s="1"/>
  <c r="Z565" i="1"/>
  <c r="Q565" i="1"/>
  <c r="S572" i="1" s="1"/>
  <c r="N565" i="1"/>
  <c r="BM571" i="1" l="1"/>
  <c r="BG565" i="1"/>
  <c r="BE564" i="1" l="1"/>
  <c r="BA564" i="1"/>
  <c r="BK570" i="1" s="1"/>
  <c r="AL564" i="1"/>
  <c r="AR564" i="1" s="1"/>
  <c r="AG564" i="1"/>
  <c r="AI571" i="1" s="1"/>
  <c r="Z564" i="1"/>
  <c r="Q564" i="1"/>
  <c r="S571" i="1" s="1"/>
  <c r="N564" i="1"/>
  <c r="BE563" i="1"/>
  <c r="BA563" i="1"/>
  <c r="AL563" i="1"/>
  <c r="AR563" i="1" s="1"/>
  <c r="AG563" i="1"/>
  <c r="AI570" i="1" s="1"/>
  <c r="Z563" i="1"/>
  <c r="Q563" i="1"/>
  <c r="S570" i="1" s="1"/>
  <c r="N563" i="1"/>
  <c r="BE562" i="1"/>
  <c r="BA562" i="1"/>
  <c r="AL562" i="1"/>
  <c r="AR562" i="1" s="1"/>
  <c r="AG562" i="1"/>
  <c r="AI569" i="1" s="1"/>
  <c r="Z562" i="1"/>
  <c r="Q562" i="1"/>
  <c r="S569" i="1" s="1"/>
  <c r="N562" i="1"/>
  <c r="AA516" i="3"/>
  <c r="BM570" i="1" l="1"/>
  <c r="BK569" i="1"/>
  <c r="BK568" i="1"/>
  <c r="BG564" i="1"/>
  <c r="BG563" i="1"/>
  <c r="BG562" i="1"/>
  <c r="BM568" i="1" l="1"/>
  <c r="BM569" i="1"/>
  <c r="BE561" i="1"/>
  <c r="BA561" i="1"/>
  <c r="BK567" i="1" s="1"/>
  <c r="BM567" i="1" s="1"/>
  <c r="AL561" i="1"/>
  <c r="AR561" i="1" s="1"/>
  <c r="AG561" i="1"/>
  <c r="AI568" i="1" s="1"/>
  <c r="Z561" i="1"/>
  <c r="Q561" i="1"/>
  <c r="S568" i="1" s="1"/>
  <c r="N561" i="1"/>
  <c r="BE560" i="1"/>
  <c r="BA560" i="1"/>
  <c r="AL560" i="1"/>
  <c r="AR560" i="1" s="1"/>
  <c r="AG560" i="1"/>
  <c r="AI567" i="1" s="1"/>
  <c r="Z560" i="1"/>
  <c r="Q560" i="1"/>
  <c r="S567" i="1" s="1"/>
  <c r="N560" i="1"/>
  <c r="BE559" i="1"/>
  <c r="BA559" i="1"/>
  <c r="AL559" i="1"/>
  <c r="AR559" i="1" s="1"/>
  <c r="AG559" i="1"/>
  <c r="AI566" i="1" s="1"/>
  <c r="Z559" i="1"/>
  <c r="Q559" i="1"/>
  <c r="S566" i="1" s="1"/>
  <c r="N559" i="1"/>
  <c r="S565" i="2"/>
  <c r="K565" i="2"/>
  <c r="S564" i="2"/>
  <c r="K564" i="2"/>
  <c r="S563" i="2"/>
  <c r="K563" i="2"/>
  <c r="S562" i="2"/>
  <c r="K562" i="2"/>
  <c r="S561" i="2"/>
  <c r="K561" i="2"/>
  <c r="S560" i="2"/>
  <c r="K560" i="2"/>
  <c r="Q563" i="2" l="1"/>
  <c r="M566" i="2"/>
  <c r="Q566" i="2"/>
  <c r="BK566" i="1"/>
  <c r="BM566" i="1" s="1"/>
  <c r="M561" i="2"/>
  <c r="BK565" i="1"/>
  <c r="BM565" i="1" s="1"/>
  <c r="M565" i="2"/>
  <c r="M564" i="2"/>
  <c r="Q564" i="2"/>
  <c r="Q562" i="2"/>
  <c r="Q561" i="2"/>
  <c r="BG561" i="1"/>
  <c r="BG560" i="1"/>
  <c r="BG559" i="1"/>
  <c r="Q565" i="2"/>
  <c r="M563" i="2"/>
  <c r="M562" i="2"/>
  <c r="BE558" i="1" l="1"/>
  <c r="BA558" i="1"/>
  <c r="AL558" i="1"/>
  <c r="AR558" i="1" s="1"/>
  <c r="AG558" i="1"/>
  <c r="AI565" i="1" s="1"/>
  <c r="Z558" i="1"/>
  <c r="Q558" i="1"/>
  <c r="S565" i="1" s="1"/>
  <c r="N558" i="1"/>
  <c r="BE557" i="1"/>
  <c r="BA557" i="1"/>
  <c r="AL557" i="1"/>
  <c r="AR557" i="1" s="1"/>
  <c r="AG557" i="1"/>
  <c r="AI564" i="1" s="1"/>
  <c r="Z557" i="1"/>
  <c r="Q557" i="1"/>
  <c r="S564" i="1" s="1"/>
  <c r="N557" i="1"/>
  <c r="BE556" i="1"/>
  <c r="BA556" i="1"/>
  <c r="AL556" i="1"/>
  <c r="AR556" i="1" s="1"/>
  <c r="AG556" i="1"/>
  <c r="AI563" i="1" s="1"/>
  <c r="Z556" i="1"/>
  <c r="Q556" i="1"/>
  <c r="S563" i="1" s="1"/>
  <c r="N556" i="1"/>
  <c r="BE555" i="1"/>
  <c r="BA555" i="1"/>
  <c r="AL555" i="1"/>
  <c r="AR555" i="1" s="1"/>
  <c r="AG555" i="1"/>
  <c r="AI562" i="1" s="1"/>
  <c r="Z555" i="1"/>
  <c r="Q555" i="1"/>
  <c r="S562" i="1" s="1"/>
  <c r="N555" i="1"/>
  <c r="BE554" i="1"/>
  <c r="BA554" i="1"/>
  <c r="AL554" i="1"/>
  <c r="AR554" i="1" s="1"/>
  <c r="AG554" i="1"/>
  <c r="AI561" i="1" s="1"/>
  <c r="Z554" i="1"/>
  <c r="Q554" i="1"/>
  <c r="S561" i="1" s="1"/>
  <c r="N554" i="1"/>
  <c r="BE553" i="1"/>
  <c r="BA553" i="1"/>
  <c r="AL553" i="1"/>
  <c r="AR553" i="1" s="1"/>
  <c r="AG553" i="1"/>
  <c r="AI560" i="1" s="1"/>
  <c r="Z553" i="1"/>
  <c r="Q553" i="1"/>
  <c r="S560" i="1" s="1"/>
  <c r="N553" i="1"/>
  <c r="BE552" i="1"/>
  <c r="BA552" i="1"/>
  <c r="AL552" i="1"/>
  <c r="AR552" i="1" s="1"/>
  <c r="AG552" i="1"/>
  <c r="AI559" i="1" s="1"/>
  <c r="Z552" i="1"/>
  <c r="Q552" i="1"/>
  <c r="S559" i="1" s="1"/>
  <c r="N552" i="1"/>
  <c r="S559" i="2"/>
  <c r="K559" i="2"/>
  <c r="S558" i="2"/>
  <c r="K558" i="2"/>
  <c r="S557" i="2"/>
  <c r="K557" i="2"/>
  <c r="S556" i="2"/>
  <c r="K556" i="2"/>
  <c r="S555" i="2"/>
  <c r="K555" i="2"/>
  <c r="S554" i="2"/>
  <c r="K554" i="2"/>
  <c r="S553" i="2"/>
  <c r="K553" i="2"/>
  <c r="BK561" i="1" l="1"/>
  <c r="BM561" i="1" s="1"/>
  <c r="M560" i="2"/>
  <c r="Q560" i="2"/>
  <c r="Q556" i="2"/>
  <c r="BK558" i="1"/>
  <c r="BM558" i="1" s="1"/>
  <c r="BK564" i="1"/>
  <c r="BK563" i="1"/>
  <c r="BM563" i="1" s="1"/>
  <c r="BK560" i="1"/>
  <c r="BM560" i="1" s="1"/>
  <c r="BK562" i="1"/>
  <c r="BM562" i="1" s="1"/>
  <c r="BK559" i="1"/>
  <c r="BM559" i="1" s="1"/>
  <c r="M557" i="2"/>
  <c r="M554" i="2"/>
  <c r="M558" i="2"/>
  <c r="BG558" i="1"/>
  <c r="BG557" i="1"/>
  <c r="BG556" i="1"/>
  <c r="BG555" i="1"/>
  <c r="BG554" i="1"/>
  <c r="BG553" i="1"/>
  <c r="BG552" i="1"/>
  <c r="Q559" i="2"/>
  <c r="M559" i="2"/>
  <c r="Q558" i="2"/>
  <c r="Q557" i="2"/>
  <c r="Q554" i="2"/>
  <c r="Q555" i="2"/>
  <c r="M556" i="2"/>
  <c r="M555" i="2"/>
  <c r="BM564" i="1" l="1"/>
  <c r="BE551" i="1"/>
  <c r="BA551" i="1"/>
  <c r="BK557" i="1" s="1"/>
  <c r="AL551" i="1"/>
  <c r="AR551" i="1" s="1"/>
  <c r="AG551" i="1"/>
  <c r="AI558" i="1" s="1"/>
  <c r="Z551" i="1"/>
  <c r="Q551" i="1"/>
  <c r="S558" i="1" s="1"/>
  <c r="N551" i="1"/>
  <c r="BE550" i="1"/>
  <c r="BA550" i="1"/>
  <c r="AL550" i="1"/>
  <c r="AG550" i="1"/>
  <c r="Z550" i="1"/>
  <c r="Q550" i="1"/>
  <c r="S557" i="1" s="1"/>
  <c r="N550" i="1"/>
  <c r="BE549" i="1"/>
  <c r="BA549" i="1"/>
  <c r="AL549" i="1"/>
  <c r="AR549" i="1" s="1"/>
  <c r="AG549" i="1"/>
  <c r="Z549" i="1"/>
  <c r="Q549" i="1"/>
  <c r="S556" i="1" s="1"/>
  <c r="N549" i="1"/>
  <c r="BE548" i="1"/>
  <c r="BA548" i="1"/>
  <c r="AL548" i="1"/>
  <c r="AR548" i="1" s="1"/>
  <c r="AG548" i="1"/>
  <c r="AI555" i="1" s="1"/>
  <c r="Z548" i="1"/>
  <c r="Q548" i="1"/>
  <c r="S555" i="1" s="1"/>
  <c r="N548" i="1"/>
  <c r="BE547" i="1"/>
  <c r="BA547" i="1"/>
  <c r="AL547" i="1"/>
  <c r="AR547" i="1" s="1"/>
  <c r="AG547" i="1"/>
  <c r="AI554" i="1" s="1"/>
  <c r="Z547" i="1"/>
  <c r="Q547" i="1"/>
  <c r="S554" i="1" s="1"/>
  <c r="N547" i="1"/>
  <c r="BE546" i="1"/>
  <c r="BA546" i="1"/>
  <c r="AL546" i="1"/>
  <c r="AR546" i="1" s="1"/>
  <c r="AG546" i="1"/>
  <c r="Z546" i="1"/>
  <c r="Q546" i="1"/>
  <c r="S553" i="1" s="1"/>
  <c r="N546" i="1"/>
  <c r="BE545" i="1"/>
  <c r="BA545" i="1"/>
  <c r="AL545" i="1"/>
  <c r="AR545" i="1" s="1"/>
  <c r="AG545" i="1"/>
  <c r="AI552" i="1" s="1"/>
  <c r="Z545" i="1"/>
  <c r="Q545" i="1"/>
  <c r="S552" i="1" s="1"/>
  <c r="N545" i="1"/>
  <c r="BE544" i="1"/>
  <c r="BA544" i="1"/>
  <c r="AL544" i="1"/>
  <c r="AR544" i="1" s="1"/>
  <c r="AG544" i="1"/>
  <c r="Z544" i="1"/>
  <c r="Q544" i="1"/>
  <c r="N544" i="1"/>
  <c r="BE543" i="1"/>
  <c r="BA543" i="1"/>
  <c r="AL543" i="1"/>
  <c r="AR543" i="1" s="1"/>
  <c r="AG543" i="1"/>
  <c r="Z543" i="1"/>
  <c r="Q543" i="1"/>
  <c r="N543" i="1"/>
  <c r="BE542" i="1"/>
  <c r="BA542" i="1"/>
  <c r="AL542" i="1"/>
  <c r="AR542" i="1" s="1"/>
  <c r="AG542" i="1"/>
  <c r="Z542" i="1"/>
  <c r="Q542" i="1"/>
  <c r="N542" i="1"/>
  <c r="BE541" i="1"/>
  <c r="BA541" i="1"/>
  <c r="AL541" i="1"/>
  <c r="AR541" i="1" s="1"/>
  <c r="AG541" i="1"/>
  <c r="Z541" i="1"/>
  <c r="Q541" i="1"/>
  <c r="N541" i="1"/>
  <c r="BE540" i="1"/>
  <c r="BA540" i="1"/>
  <c r="AL540" i="1"/>
  <c r="AR540" i="1" s="1"/>
  <c r="AG540" i="1"/>
  <c r="Z540" i="1"/>
  <c r="Q540" i="1"/>
  <c r="N540" i="1"/>
  <c r="BE539" i="1"/>
  <c r="BA539" i="1"/>
  <c r="AL539" i="1"/>
  <c r="AR539" i="1" s="1"/>
  <c r="AG539" i="1"/>
  <c r="Z539" i="1"/>
  <c r="Q539" i="1"/>
  <c r="N539" i="1"/>
  <c r="BE538" i="1"/>
  <c r="BA538" i="1"/>
  <c r="AL538" i="1"/>
  <c r="AR538" i="1" s="1"/>
  <c r="AG538" i="1"/>
  <c r="Z538" i="1"/>
  <c r="Q538" i="1"/>
  <c r="N538" i="1"/>
  <c r="BE537" i="1"/>
  <c r="BA537" i="1"/>
  <c r="AL537" i="1"/>
  <c r="AR537" i="1" s="1"/>
  <c r="AG537" i="1"/>
  <c r="Z537" i="1"/>
  <c r="Q537" i="1"/>
  <c r="N537" i="1"/>
  <c r="BE536" i="1"/>
  <c r="BA536" i="1"/>
  <c r="AL536" i="1"/>
  <c r="AR536" i="1" s="1"/>
  <c r="AG536" i="1"/>
  <c r="Z536" i="1"/>
  <c r="Q536" i="1"/>
  <c r="N536" i="1"/>
  <c r="BE535" i="1"/>
  <c r="BA535" i="1"/>
  <c r="AL535" i="1"/>
  <c r="AR535" i="1" s="1"/>
  <c r="AG535" i="1"/>
  <c r="Z535" i="1"/>
  <c r="Q535" i="1"/>
  <c r="N535" i="1"/>
  <c r="BE534" i="1"/>
  <c r="BA534" i="1"/>
  <c r="AL534" i="1"/>
  <c r="AR534" i="1" s="1"/>
  <c r="AG534" i="1"/>
  <c r="Z534" i="1"/>
  <c r="Q534" i="1"/>
  <c r="N534" i="1"/>
  <c r="BE533" i="1"/>
  <c r="BA533" i="1"/>
  <c r="AL533" i="1"/>
  <c r="AR533" i="1" s="1"/>
  <c r="AG533" i="1"/>
  <c r="Z533" i="1"/>
  <c r="Q533" i="1"/>
  <c r="N533" i="1"/>
  <c r="BE532" i="1"/>
  <c r="BA532" i="1"/>
  <c r="AL532" i="1"/>
  <c r="AR532" i="1" s="1"/>
  <c r="AG532" i="1"/>
  <c r="Z532" i="1"/>
  <c r="Q532" i="1"/>
  <c r="N532" i="1"/>
  <c r="BE531" i="1"/>
  <c r="BA531" i="1"/>
  <c r="AL531" i="1"/>
  <c r="AR531" i="1" s="1"/>
  <c r="AG531" i="1"/>
  <c r="Z531" i="1"/>
  <c r="Q531" i="1"/>
  <c r="N531" i="1"/>
  <c r="S552" i="2"/>
  <c r="K552" i="2"/>
  <c r="S551" i="2"/>
  <c r="K551" i="2"/>
  <c r="S550" i="2"/>
  <c r="K550" i="2"/>
  <c r="S549" i="2"/>
  <c r="K549" i="2"/>
  <c r="S548" i="2"/>
  <c r="K548" i="2"/>
  <c r="S547" i="2"/>
  <c r="K547" i="2"/>
  <c r="S546" i="2"/>
  <c r="K546" i="2"/>
  <c r="S545" i="2"/>
  <c r="K545" i="2"/>
  <c r="S544" i="2"/>
  <c r="K544" i="2"/>
  <c r="S543" i="2"/>
  <c r="K543" i="2"/>
  <c r="S542" i="2"/>
  <c r="K542" i="2"/>
  <c r="S541" i="2"/>
  <c r="K541" i="2"/>
  <c r="S540" i="2"/>
  <c r="K540" i="2"/>
  <c r="K539" i="2"/>
  <c r="K538" i="2"/>
  <c r="S539" i="2"/>
  <c r="S538" i="2"/>
  <c r="S537" i="2"/>
  <c r="K537" i="2"/>
  <c r="S536" i="2"/>
  <c r="K536" i="2"/>
  <c r="S535" i="2"/>
  <c r="K535" i="2"/>
  <c r="S534" i="2"/>
  <c r="K534" i="2"/>
  <c r="S533" i="2"/>
  <c r="K533" i="2"/>
  <c r="S532" i="2"/>
  <c r="K532" i="2"/>
  <c r="BE530" i="1"/>
  <c r="BA530" i="1"/>
  <c r="AL530" i="1"/>
  <c r="AR530" i="1" s="1"/>
  <c r="AG530" i="1"/>
  <c r="Z530" i="1"/>
  <c r="Q530" i="1"/>
  <c r="N530" i="1"/>
  <c r="BE529" i="1"/>
  <c r="BA529" i="1"/>
  <c r="AL529" i="1"/>
  <c r="AR529" i="1" s="1"/>
  <c r="AG529" i="1"/>
  <c r="Z529" i="1"/>
  <c r="Q529" i="1"/>
  <c r="N529" i="1"/>
  <c r="BE528" i="1"/>
  <c r="BA528" i="1"/>
  <c r="AL528" i="1"/>
  <c r="AR528" i="1" s="1"/>
  <c r="AG528" i="1"/>
  <c r="Z528" i="1"/>
  <c r="Q528" i="1"/>
  <c r="N528" i="1"/>
  <c r="BE527" i="1"/>
  <c r="BA527" i="1"/>
  <c r="AL527" i="1"/>
  <c r="AR527" i="1" s="1"/>
  <c r="AG527" i="1"/>
  <c r="Z527" i="1"/>
  <c r="Q527" i="1"/>
  <c r="N527" i="1"/>
  <c r="BE526" i="1"/>
  <c r="BA526" i="1"/>
  <c r="AL526" i="1"/>
  <c r="AR526" i="1" s="1"/>
  <c r="AG526" i="1"/>
  <c r="Z526" i="1"/>
  <c r="Q526" i="1"/>
  <c r="N526" i="1"/>
  <c r="BE525" i="1"/>
  <c r="BA525" i="1"/>
  <c r="AL525" i="1"/>
  <c r="AR525" i="1" s="1"/>
  <c r="AG525" i="1"/>
  <c r="Z525" i="1"/>
  <c r="Q525" i="1"/>
  <c r="N525" i="1"/>
  <c r="BE524" i="1"/>
  <c r="BA524" i="1"/>
  <c r="AL524" i="1"/>
  <c r="AR524" i="1" s="1"/>
  <c r="AG524" i="1"/>
  <c r="Z524" i="1"/>
  <c r="Q524" i="1"/>
  <c r="N524" i="1"/>
  <c r="S531" i="2"/>
  <c r="K531" i="2"/>
  <c r="S530" i="2"/>
  <c r="K530" i="2"/>
  <c r="S529" i="2"/>
  <c r="K529" i="2"/>
  <c r="S528" i="2"/>
  <c r="S527" i="2"/>
  <c r="S526" i="2"/>
  <c r="K528" i="2"/>
  <c r="K527" i="2"/>
  <c r="K526" i="2"/>
  <c r="S525" i="2"/>
  <c r="K525" i="2"/>
  <c r="U530" i="2" l="1"/>
  <c r="BK556" i="1"/>
  <c r="BM556" i="1" s="1"/>
  <c r="BK555" i="1"/>
  <c r="BM555" i="1" s="1"/>
  <c r="BK554" i="1"/>
  <c r="BM554" i="1" s="1"/>
  <c r="BG549" i="1"/>
  <c r="AI549" i="1"/>
  <c r="AI556" i="1"/>
  <c r="AI550" i="1"/>
  <c r="AI557" i="1"/>
  <c r="BK548" i="1"/>
  <c r="BM548" i="1" s="1"/>
  <c r="BM557" i="1"/>
  <c r="M546" i="2"/>
  <c r="Q550" i="2"/>
  <c r="M538" i="2"/>
  <c r="AI551" i="1"/>
  <c r="S543" i="1"/>
  <c r="BK553" i="1"/>
  <c r="BM553" i="1" s="1"/>
  <c r="AI546" i="1"/>
  <c r="AI553" i="1"/>
  <c r="AI536" i="1"/>
  <c r="BK550" i="1"/>
  <c r="BM550" i="1" s="1"/>
  <c r="BK549" i="1"/>
  <c r="BM549" i="1" s="1"/>
  <c r="BK552" i="1"/>
  <c r="BM552" i="1" s="1"/>
  <c r="M551" i="2"/>
  <c r="Q548" i="2"/>
  <c r="Q553" i="2"/>
  <c r="M553" i="2"/>
  <c r="M537" i="2"/>
  <c r="M541" i="2"/>
  <c r="Q536" i="2"/>
  <c r="Q544" i="2"/>
  <c r="Q551" i="2"/>
  <c r="M549" i="2"/>
  <c r="Q552" i="2"/>
  <c r="Q547" i="2"/>
  <c r="BK551" i="1"/>
  <c r="BG551" i="1"/>
  <c r="S551" i="1"/>
  <c r="BG550" i="1"/>
  <c r="AR550" i="1"/>
  <c r="S550" i="1"/>
  <c r="S549" i="1"/>
  <c r="AI540" i="1"/>
  <c r="AI547" i="1"/>
  <c r="BK546" i="1"/>
  <c r="BM546" i="1" s="1"/>
  <c r="AI538" i="1"/>
  <c r="BK547" i="1"/>
  <c r="S542" i="1"/>
  <c r="BK545" i="1"/>
  <c r="BM545" i="1" s="1"/>
  <c r="AI548" i="1"/>
  <c r="BG548" i="1"/>
  <c r="S548" i="1"/>
  <c r="BG547" i="1"/>
  <c r="S547" i="1"/>
  <c r="BG546" i="1"/>
  <c r="S546" i="1"/>
  <c r="AI545" i="1"/>
  <c r="BG545" i="1"/>
  <c r="S545" i="1"/>
  <c r="AI544" i="1"/>
  <c r="BK540" i="1"/>
  <c r="BM540" i="1" s="1"/>
  <c r="BK539" i="1"/>
  <c r="BM539" i="1" s="1"/>
  <c r="AI542" i="1"/>
  <c r="BK544" i="1"/>
  <c r="BM544" i="1" s="1"/>
  <c r="AI541" i="1"/>
  <c r="S544" i="1"/>
  <c r="BK541" i="1"/>
  <c r="BM541" i="1" s="1"/>
  <c r="BG544" i="1"/>
  <c r="BK543" i="1"/>
  <c r="BM543" i="1" s="1"/>
  <c r="AI543" i="1"/>
  <c r="BG543" i="1"/>
  <c r="BK542" i="1"/>
  <c r="BG542" i="1"/>
  <c r="BG541" i="1"/>
  <c r="S541" i="1"/>
  <c r="BG540" i="1"/>
  <c r="S540" i="1"/>
  <c r="S537" i="1"/>
  <c r="BG537" i="1"/>
  <c r="S538" i="1"/>
  <c r="BK538" i="1"/>
  <c r="BM538" i="1" s="1"/>
  <c r="AI535" i="1"/>
  <c r="BK536" i="1"/>
  <c r="BM536" i="1" s="1"/>
  <c r="AI539" i="1"/>
  <c r="BK537" i="1"/>
  <c r="BM537" i="1" s="1"/>
  <c r="AI537" i="1"/>
  <c r="BG539" i="1"/>
  <c r="S539" i="1"/>
  <c r="BG538" i="1"/>
  <c r="BG536" i="1"/>
  <c r="S536" i="1"/>
  <c r="BK535" i="1"/>
  <c r="BG534" i="1"/>
  <c r="BG535" i="1"/>
  <c r="S535" i="1"/>
  <c r="AI531" i="1"/>
  <c r="AI533" i="1"/>
  <c r="BK534" i="1"/>
  <c r="BM534" i="1" s="1"/>
  <c r="AI534" i="1"/>
  <c r="BK531" i="1"/>
  <c r="BM531" i="1" s="1"/>
  <c r="BK533" i="1"/>
  <c r="BM533" i="1" s="1"/>
  <c r="AI532" i="1"/>
  <c r="S534" i="1"/>
  <c r="S533" i="1"/>
  <c r="BG533" i="1"/>
  <c r="BK532" i="1"/>
  <c r="BG532" i="1"/>
  <c r="S532" i="1"/>
  <c r="BG531" i="1"/>
  <c r="S531" i="1"/>
  <c r="M552" i="2"/>
  <c r="M550" i="2"/>
  <c r="Q549" i="2"/>
  <c r="M548" i="2"/>
  <c r="M547" i="2"/>
  <c r="Q539" i="2"/>
  <c r="Q540" i="2"/>
  <c r="Q543" i="2"/>
  <c r="M529" i="2"/>
  <c r="M542" i="2"/>
  <c r="Q545" i="2"/>
  <c r="Q546" i="2"/>
  <c r="M545" i="2"/>
  <c r="M544" i="2"/>
  <c r="M543" i="2"/>
  <c r="Q538" i="2"/>
  <c r="U537" i="2"/>
  <c r="M540" i="2"/>
  <c r="Q541" i="2"/>
  <c r="Q537" i="2"/>
  <c r="Q542" i="2"/>
  <c r="M539" i="2"/>
  <c r="Q533" i="2"/>
  <c r="U533" i="2"/>
  <c r="Q534" i="2"/>
  <c r="U536" i="2"/>
  <c r="Q532" i="2"/>
  <c r="Q527" i="2"/>
  <c r="U534" i="2"/>
  <c r="U528" i="2"/>
  <c r="Q535" i="2"/>
  <c r="M536" i="2"/>
  <c r="U535" i="2"/>
  <c r="M535" i="2"/>
  <c r="M534" i="2"/>
  <c r="M533" i="2"/>
  <c r="U532" i="2"/>
  <c r="M532" i="2"/>
  <c r="Q530" i="2"/>
  <c r="U529" i="2"/>
  <c r="Q528" i="2"/>
  <c r="BG526" i="1"/>
  <c r="BK530" i="1"/>
  <c r="BG530" i="1"/>
  <c r="BG529" i="1"/>
  <c r="BG528" i="1"/>
  <c r="BG527" i="1"/>
  <c r="BG525" i="1"/>
  <c r="BG524" i="1"/>
  <c r="U531" i="2"/>
  <c r="M531" i="2"/>
  <c r="Q531" i="2"/>
  <c r="M530" i="2"/>
  <c r="Q529" i="2"/>
  <c r="M528" i="2"/>
  <c r="U527" i="2"/>
  <c r="M527" i="2"/>
  <c r="Q526" i="2"/>
  <c r="U525" i="2"/>
  <c r="U526" i="2"/>
  <c r="M526" i="2"/>
  <c r="BM551" i="1" l="1"/>
  <c r="BM547" i="1"/>
  <c r="BM542" i="1"/>
  <c r="BM535" i="1"/>
  <c r="BM532" i="1"/>
  <c r="BM530" i="1"/>
  <c r="BA858" i="1"/>
  <c r="BE523" i="1" l="1"/>
  <c r="BA523" i="1"/>
  <c r="BK529" i="1" s="1"/>
  <c r="AL523" i="1"/>
  <c r="AG523" i="1"/>
  <c r="AI530" i="1" s="1"/>
  <c r="Z523" i="1"/>
  <c r="Q523" i="1"/>
  <c r="S530" i="1" s="1"/>
  <c r="N523" i="1"/>
  <c r="BE522" i="1"/>
  <c r="BA522" i="1"/>
  <c r="AL522" i="1"/>
  <c r="AR522" i="1" s="1"/>
  <c r="AG522" i="1"/>
  <c r="AI529" i="1" s="1"/>
  <c r="Z522" i="1"/>
  <c r="Q522" i="1"/>
  <c r="S529" i="1" s="1"/>
  <c r="N522" i="1"/>
  <c r="BE521" i="1"/>
  <c r="BA521" i="1"/>
  <c r="AL521" i="1"/>
  <c r="AR521" i="1" s="1"/>
  <c r="AG521" i="1"/>
  <c r="AI528" i="1" s="1"/>
  <c r="Z521" i="1"/>
  <c r="Q521" i="1"/>
  <c r="S528" i="1" s="1"/>
  <c r="N521" i="1"/>
  <c r="BE520" i="1"/>
  <c r="BA520" i="1"/>
  <c r="AL520" i="1"/>
  <c r="AR520" i="1" s="1"/>
  <c r="AG520" i="1"/>
  <c r="AI527" i="1" s="1"/>
  <c r="Z520" i="1"/>
  <c r="Q520" i="1"/>
  <c r="S527" i="1" s="1"/>
  <c r="N520" i="1"/>
  <c r="BE519" i="1"/>
  <c r="BA519" i="1"/>
  <c r="AL519" i="1"/>
  <c r="AR519" i="1" s="1"/>
  <c r="AG519" i="1"/>
  <c r="AI526" i="1" s="1"/>
  <c r="Z519" i="1"/>
  <c r="Q519" i="1"/>
  <c r="S526" i="1" s="1"/>
  <c r="N519" i="1"/>
  <c r="BE518" i="1"/>
  <c r="BA518" i="1"/>
  <c r="AL518" i="1"/>
  <c r="AR518" i="1" s="1"/>
  <c r="AG518" i="1"/>
  <c r="AI525" i="1" s="1"/>
  <c r="Z518" i="1"/>
  <c r="Q518" i="1"/>
  <c r="S525" i="1" s="1"/>
  <c r="N518" i="1"/>
  <c r="BE517" i="1"/>
  <c r="BA517" i="1"/>
  <c r="AL517" i="1"/>
  <c r="AR517" i="1" s="1"/>
  <c r="AG517" i="1"/>
  <c r="AI524" i="1" s="1"/>
  <c r="Z517" i="1"/>
  <c r="Q517" i="1"/>
  <c r="S524" i="1" s="1"/>
  <c r="N517" i="1"/>
  <c r="S524" i="2"/>
  <c r="K524" i="2"/>
  <c r="S523" i="2"/>
  <c r="K523" i="2"/>
  <c r="S522" i="2"/>
  <c r="K522" i="2"/>
  <c r="S521" i="2"/>
  <c r="K521" i="2"/>
  <c r="S520" i="2"/>
  <c r="K520" i="2"/>
  <c r="S519" i="2"/>
  <c r="K519" i="2"/>
  <c r="S518" i="2"/>
  <c r="K518" i="2"/>
  <c r="U520" i="2" l="1"/>
  <c r="U524" i="2"/>
  <c r="Q524" i="2"/>
  <c r="Q525" i="2"/>
  <c r="M525" i="2"/>
  <c r="BM529" i="1"/>
  <c r="BK528" i="1"/>
  <c r="BM528" i="1" s="1"/>
  <c r="BK527" i="1"/>
  <c r="BM527" i="1" s="1"/>
  <c r="BK524" i="1"/>
  <c r="BM524" i="1" s="1"/>
  <c r="BK525" i="1"/>
  <c r="BM525" i="1" s="1"/>
  <c r="BK526" i="1"/>
  <c r="BK523" i="1"/>
  <c r="BM523" i="1" s="1"/>
  <c r="U523" i="2"/>
  <c r="AR523" i="1"/>
  <c r="BG523" i="1"/>
  <c r="BG522" i="1"/>
  <c r="BG521" i="1"/>
  <c r="BG520" i="1"/>
  <c r="BG519" i="1"/>
  <c r="BG518" i="1"/>
  <c r="BG517" i="1"/>
  <c r="M524" i="2"/>
  <c r="M523" i="2"/>
  <c r="Q523" i="2"/>
  <c r="Q519" i="2"/>
  <c r="Q521" i="2"/>
  <c r="Q522" i="2"/>
  <c r="U522" i="2"/>
  <c r="M522" i="2"/>
  <c r="U521" i="2"/>
  <c r="M521" i="2"/>
  <c r="Q520" i="2"/>
  <c r="M520" i="2"/>
  <c r="U519" i="2"/>
  <c r="M519" i="2"/>
  <c r="U518" i="2"/>
  <c r="BM526" i="1" l="1"/>
  <c r="BE516" i="1"/>
  <c r="BA516" i="1"/>
  <c r="BK522" i="1" s="1"/>
  <c r="AL516" i="1"/>
  <c r="AR516" i="1" s="1"/>
  <c r="AG516" i="1"/>
  <c r="Z516" i="1"/>
  <c r="Q516" i="1"/>
  <c r="S523" i="1" s="1"/>
  <c r="N516" i="1"/>
  <c r="BE515" i="1"/>
  <c r="BA515" i="1"/>
  <c r="AL515" i="1"/>
  <c r="AR515" i="1" s="1"/>
  <c r="AG515" i="1"/>
  <c r="AI522" i="1" s="1"/>
  <c r="Z515" i="1"/>
  <c r="Q515" i="1"/>
  <c r="S522" i="1" s="1"/>
  <c r="N515" i="1"/>
  <c r="BE514" i="1"/>
  <c r="BA514" i="1"/>
  <c r="AL514" i="1"/>
  <c r="AR514" i="1" s="1"/>
  <c r="AG514" i="1"/>
  <c r="AI521" i="1" s="1"/>
  <c r="Z514" i="1"/>
  <c r="Q514" i="1"/>
  <c r="N514" i="1"/>
  <c r="BE513" i="1"/>
  <c r="BA513" i="1"/>
  <c r="AL513" i="1"/>
  <c r="AR513" i="1" s="1"/>
  <c r="AG513" i="1"/>
  <c r="AI520" i="1" s="1"/>
  <c r="Z513" i="1"/>
  <c r="Q513" i="1"/>
  <c r="S520" i="1" s="1"/>
  <c r="N513" i="1"/>
  <c r="BE512" i="1"/>
  <c r="BA512" i="1"/>
  <c r="AL512" i="1"/>
  <c r="AR512" i="1" s="1"/>
  <c r="AG512" i="1"/>
  <c r="Z512" i="1"/>
  <c r="Q512" i="1"/>
  <c r="S519" i="1" s="1"/>
  <c r="N512" i="1"/>
  <c r="BE511" i="1"/>
  <c r="BA511" i="1"/>
  <c r="AL511" i="1"/>
  <c r="AR511" i="1" s="1"/>
  <c r="AG511" i="1"/>
  <c r="AI518" i="1" s="1"/>
  <c r="Z511" i="1"/>
  <c r="Q511" i="1"/>
  <c r="S518" i="1" s="1"/>
  <c r="N511" i="1"/>
  <c r="BE510" i="1"/>
  <c r="BA510" i="1"/>
  <c r="AL510" i="1"/>
  <c r="AR510" i="1" s="1"/>
  <c r="AG510" i="1"/>
  <c r="AI517" i="1" s="1"/>
  <c r="Z510" i="1"/>
  <c r="Q510" i="1"/>
  <c r="S517" i="1" s="1"/>
  <c r="N510" i="1"/>
  <c r="S517" i="2"/>
  <c r="K517" i="2"/>
  <c r="S516" i="2"/>
  <c r="K516" i="2"/>
  <c r="S515" i="2"/>
  <c r="K515" i="2"/>
  <c r="S514" i="2"/>
  <c r="K514" i="2"/>
  <c r="S513" i="2"/>
  <c r="K513" i="2"/>
  <c r="S512" i="2"/>
  <c r="K512" i="2"/>
  <c r="S511" i="2"/>
  <c r="K511" i="2"/>
  <c r="BU767" i="1"/>
  <c r="BU768" i="1" s="1"/>
  <c r="BE509" i="1"/>
  <c r="BA509" i="1"/>
  <c r="AL509" i="1"/>
  <c r="AR509" i="1" s="1"/>
  <c r="AG509" i="1"/>
  <c r="Z509" i="1"/>
  <c r="Q509" i="1"/>
  <c r="N509" i="1"/>
  <c r="BE508" i="1"/>
  <c r="BA508" i="1"/>
  <c r="AL508" i="1"/>
  <c r="AR508" i="1" s="1"/>
  <c r="AG508" i="1"/>
  <c r="Z508" i="1"/>
  <c r="Q508" i="1"/>
  <c r="N508" i="1"/>
  <c r="BE507" i="1"/>
  <c r="BA507" i="1"/>
  <c r="AL507" i="1"/>
  <c r="AR507" i="1" s="1"/>
  <c r="AG507" i="1"/>
  <c r="Z507" i="1"/>
  <c r="Q507" i="1"/>
  <c r="N507" i="1"/>
  <c r="BE506" i="1"/>
  <c r="BA506" i="1"/>
  <c r="AL506" i="1"/>
  <c r="AR506" i="1" s="1"/>
  <c r="AG506" i="1"/>
  <c r="Z506" i="1"/>
  <c r="Q506" i="1"/>
  <c r="N506" i="1"/>
  <c r="BA505" i="1"/>
  <c r="BV767" i="1"/>
  <c r="BV768" i="1" s="1"/>
  <c r="BE505" i="1"/>
  <c r="AL505" i="1"/>
  <c r="AR505" i="1" s="1"/>
  <c r="AG505" i="1"/>
  <c r="Z505" i="1"/>
  <c r="Q505" i="1"/>
  <c r="N505" i="1"/>
  <c r="BE504" i="1"/>
  <c r="BA504" i="1"/>
  <c r="AL504" i="1"/>
  <c r="AR504" i="1" s="1"/>
  <c r="AG504" i="1"/>
  <c r="Z504" i="1"/>
  <c r="Q504" i="1"/>
  <c r="N504" i="1"/>
  <c r="BE503" i="1"/>
  <c r="BA503" i="1"/>
  <c r="AL503" i="1"/>
  <c r="AR503" i="1" s="1"/>
  <c r="AG503" i="1"/>
  <c r="Z503" i="1"/>
  <c r="Q503" i="1"/>
  <c r="N503" i="1"/>
  <c r="S510" i="2"/>
  <c r="K510" i="2"/>
  <c r="S509" i="2"/>
  <c r="K509" i="2"/>
  <c r="S508" i="2"/>
  <c r="K508" i="2"/>
  <c r="S507" i="2"/>
  <c r="K507" i="2"/>
  <c r="S506" i="2"/>
  <c r="K506" i="2"/>
  <c r="S505" i="2"/>
  <c r="K505" i="2"/>
  <c r="S504" i="2"/>
  <c r="K504" i="2"/>
  <c r="M514" i="2" l="1"/>
  <c r="AI516" i="1"/>
  <c r="AI523" i="1"/>
  <c r="BK515" i="1"/>
  <c r="BM515" i="1" s="1"/>
  <c r="BK518" i="1"/>
  <c r="BM518" i="1" s="1"/>
  <c r="BM522" i="1"/>
  <c r="AI512" i="1"/>
  <c r="AI519" i="1"/>
  <c r="BK520" i="1"/>
  <c r="BM520" i="1" s="1"/>
  <c r="BK521" i="1"/>
  <c r="BM521" i="1" s="1"/>
  <c r="BK519" i="1"/>
  <c r="BM519" i="1" s="1"/>
  <c r="BK517" i="1"/>
  <c r="BM517" i="1" s="1"/>
  <c r="BK516" i="1"/>
  <c r="BM516" i="1" s="1"/>
  <c r="S514" i="1"/>
  <c r="S521" i="1"/>
  <c r="S515" i="1"/>
  <c r="AI511" i="1"/>
  <c r="S513" i="1"/>
  <c r="AI515" i="1"/>
  <c r="AI514" i="1"/>
  <c r="AI513" i="1"/>
  <c r="BK514" i="1"/>
  <c r="BM514" i="1" s="1"/>
  <c r="BK513" i="1"/>
  <c r="BM513" i="1" s="1"/>
  <c r="Q517" i="2"/>
  <c r="M518" i="2"/>
  <c r="Q518" i="2"/>
  <c r="U514" i="2"/>
  <c r="Q510" i="2"/>
  <c r="Q515" i="2"/>
  <c r="U515" i="2"/>
  <c r="Q513" i="2"/>
  <c r="M516" i="2"/>
  <c r="BG516" i="1"/>
  <c r="S516" i="1"/>
  <c r="BG515" i="1"/>
  <c r="BG514" i="1"/>
  <c r="BG513" i="1"/>
  <c r="BK512" i="1"/>
  <c r="BM512" i="1" s="1"/>
  <c r="BK509" i="1"/>
  <c r="BM509" i="1" s="1"/>
  <c r="AI510" i="1"/>
  <c r="BK510" i="1"/>
  <c r="BM510" i="1" s="1"/>
  <c r="BG512" i="1"/>
  <c r="S512" i="1"/>
  <c r="BK511" i="1"/>
  <c r="BG511" i="1"/>
  <c r="S511" i="1"/>
  <c r="BG510" i="1"/>
  <c r="S510" i="1"/>
  <c r="U517" i="2"/>
  <c r="M517" i="2"/>
  <c r="U516" i="2"/>
  <c r="Q516" i="2"/>
  <c r="M515" i="2"/>
  <c r="Q514" i="2"/>
  <c r="U513" i="2"/>
  <c r="M513" i="2"/>
  <c r="U507" i="2"/>
  <c r="Q511" i="2"/>
  <c r="Q508" i="2"/>
  <c r="Q512" i="2"/>
  <c r="U512" i="2"/>
  <c r="M512" i="2"/>
  <c r="U511" i="2"/>
  <c r="M511" i="2"/>
  <c r="BG509" i="1"/>
  <c r="BG508" i="1"/>
  <c r="BG507" i="1"/>
  <c r="BG506" i="1"/>
  <c r="BG505" i="1"/>
  <c r="BG504" i="1"/>
  <c r="BG503" i="1"/>
  <c r="U510" i="2"/>
  <c r="M510" i="2"/>
  <c r="Q506" i="2"/>
  <c r="U508" i="2"/>
  <c r="Q509" i="2"/>
  <c r="U506" i="2"/>
  <c r="U509" i="2"/>
  <c r="M507" i="2"/>
  <c r="M509" i="2"/>
  <c r="M508" i="2"/>
  <c r="Q507" i="2"/>
  <c r="M506" i="2"/>
  <c r="M505" i="2"/>
  <c r="Q505" i="2"/>
  <c r="U505" i="2"/>
  <c r="U504" i="2"/>
  <c r="BM511" i="1" l="1"/>
  <c r="BE502" i="1"/>
  <c r="BA502" i="1"/>
  <c r="BK508" i="1" s="1"/>
  <c r="AL502" i="1"/>
  <c r="AG502" i="1"/>
  <c r="AI509" i="1" s="1"/>
  <c r="Z502" i="1"/>
  <c r="Q502" i="1"/>
  <c r="S509" i="1" s="1"/>
  <c r="N502" i="1"/>
  <c r="BE501" i="1"/>
  <c r="BA501" i="1"/>
  <c r="AL501" i="1"/>
  <c r="AR501" i="1" s="1"/>
  <c r="AG501" i="1"/>
  <c r="AI508" i="1" s="1"/>
  <c r="Z501" i="1"/>
  <c r="Q501" i="1"/>
  <c r="S508" i="1" s="1"/>
  <c r="N501" i="1"/>
  <c r="BE500" i="1"/>
  <c r="BA500" i="1"/>
  <c r="AL500" i="1"/>
  <c r="AR500" i="1" s="1"/>
  <c r="AG500" i="1"/>
  <c r="AI507" i="1" s="1"/>
  <c r="Z500" i="1"/>
  <c r="Q500" i="1"/>
  <c r="S507" i="1" s="1"/>
  <c r="N500" i="1"/>
  <c r="BE499" i="1"/>
  <c r="BA499" i="1"/>
  <c r="AL499" i="1"/>
  <c r="AR499" i="1" s="1"/>
  <c r="AG499" i="1"/>
  <c r="AI506" i="1" s="1"/>
  <c r="Z499" i="1"/>
  <c r="Q499" i="1"/>
  <c r="S506" i="1" s="1"/>
  <c r="N499" i="1"/>
  <c r="BE498" i="1"/>
  <c r="BA498" i="1"/>
  <c r="AL498" i="1"/>
  <c r="AG498" i="1"/>
  <c r="AI505" i="1" s="1"/>
  <c r="Z498" i="1"/>
  <c r="Q498" i="1"/>
  <c r="S505" i="1" s="1"/>
  <c r="N498" i="1"/>
  <c r="BE497" i="1"/>
  <c r="BA497" i="1"/>
  <c r="AL497" i="1"/>
  <c r="AR497" i="1" s="1"/>
  <c r="AG497" i="1"/>
  <c r="AI504" i="1" s="1"/>
  <c r="Z497" i="1"/>
  <c r="Q497" i="1"/>
  <c r="S504" i="1" s="1"/>
  <c r="N497" i="1"/>
  <c r="BE496" i="1"/>
  <c r="BA496" i="1"/>
  <c r="AL496" i="1"/>
  <c r="AR496" i="1" s="1"/>
  <c r="AG496" i="1"/>
  <c r="AI503" i="1" s="1"/>
  <c r="Z496" i="1"/>
  <c r="Q496" i="1"/>
  <c r="S503" i="1" s="1"/>
  <c r="N496" i="1"/>
  <c r="S503" i="2"/>
  <c r="K503" i="2"/>
  <c r="S502" i="2"/>
  <c r="K502" i="2"/>
  <c r="S501" i="2"/>
  <c r="K501" i="2"/>
  <c r="S500" i="2"/>
  <c r="K500" i="2"/>
  <c r="S499" i="2"/>
  <c r="K499" i="2"/>
  <c r="S498" i="2"/>
  <c r="K498" i="2"/>
  <c r="S497" i="2"/>
  <c r="K497" i="2"/>
  <c r="U501" i="2" l="1"/>
  <c r="U500" i="2"/>
  <c r="Q502" i="2"/>
  <c r="Q499" i="2"/>
  <c r="BK507" i="1"/>
  <c r="BM507" i="1" s="1"/>
  <c r="BK504" i="1"/>
  <c r="BM504" i="1" s="1"/>
  <c r="BM508" i="1"/>
  <c r="BK506" i="1"/>
  <c r="BM506" i="1" s="1"/>
  <c r="BK505" i="1"/>
  <c r="BM505" i="1" s="1"/>
  <c r="AR502" i="1"/>
  <c r="BK502" i="1"/>
  <c r="BM502" i="1" s="1"/>
  <c r="BK503" i="1"/>
  <c r="Q498" i="2"/>
  <c r="M503" i="2"/>
  <c r="Q504" i="2"/>
  <c r="M504" i="2"/>
  <c r="Q501" i="2"/>
  <c r="BG502" i="1"/>
  <c r="BG501" i="1"/>
  <c r="BG500" i="1"/>
  <c r="BG499" i="1"/>
  <c r="AR498" i="1"/>
  <c r="BG498" i="1"/>
  <c r="BG497" i="1"/>
  <c r="BG496" i="1"/>
  <c r="U503" i="2"/>
  <c r="Q503" i="2"/>
  <c r="U502" i="2"/>
  <c r="M502" i="2"/>
  <c r="M501" i="2"/>
  <c r="M500" i="2"/>
  <c r="Q500" i="2"/>
  <c r="U499" i="2"/>
  <c r="M499" i="2"/>
  <c r="U498" i="2"/>
  <c r="M498" i="2"/>
  <c r="U497" i="2"/>
  <c r="BM503" i="1" l="1"/>
  <c r="BE495" i="1" l="1"/>
  <c r="BA495" i="1"/>
  <c r="BK501" i="1" s="1"/>
  <c r="BM501" i="1" s="1"/>
  <c r="AL495" i="1"/>
  <c r="AG495" i="1"/>
  <c r="AI502" i="1" s="1"/>
  <c r="Z495" i="1"/>
  <c r="Q495" i="1"/>
  <c r="S502" i="1" s="1"/>
  <c r="N495" i="1"/>
  <c r="BE494" i="1"/>
  <c r="BA494" i="1"/>
  <c r="AL494" i="1"/>
  <c r="AR494" i="1" s="1"/>
  <c r="AG494" i="1"/>
  <c r="AI501" i="1" s="1"/>
  <c r="Z494" i="1"/>
  <c r="Q494" i="1"/>
  <c r="S501" i="1" s="1"/>
  <c r="N494" i="1"/>
  <c r="BE493" i="1"/>
  <c r="BA493" i="1"/>
  <c r="AL493" i="1"/>
  <c r="AR493" i="1" s="1"/>
  <c r="AG493" i="1"/>
  <c r="AI500" i="1" s="1"/>
  <c r="Z493" i="1"/>
  <c r="Q493" i="1"/>
  <c r="S500" i="1" s="1"/>
  <c r="N493" i="1"/>
  <c r="BE492" i="1"/>
  <c r="BA492" i="1"/>
  <c r="AL492" i="1"/>
  <c r="AR492" i="1" s="1"/>
  <c r="AG492" i="1"/>
  <c r="AI499" i="1" s="1"/>
  <c r="Z492" i="1"/>
  <c r="Q492" i="1"/>
  <c r="S499" i="1" s="1"/>
  <c r="N492" i="1"/>
  <c r="BE491" i="1"/>
  <c r="BA491" i="1"/>
  <c r="AL491" i="1"/>
  <c r="AR491" i="1" s="1"/>
  <c r="AG491" i="1"/>
  <c r="AI498" i="1" s="1"/>
  <c r="Z491" i="1"/>
  <c r="Q491" i="1"/>
  <c r="S498" i="1" s="1"/>
  <c r="N491" i="1"/>
  <c r="BE490" i="1"/>
  <c r="BA490" i="1"/>
  <c r="AL490" i="1"/>
  <c r="AR490" i="1" s="1"/>
  <c r="AG490" i="1"/>
  <c r="AI497" i="1" s="1"/>
  <c r="Z490" i="1"/>
  <c r="Q490" i="1"/>
  <c r="S497" i="1" s="1"/>
  <c r="N490" i="1"/>
  <c r="BE489" i="1"/>
  <c r="BA489" i="1"/>
  <c r="AL489" i="1"/>
  <c r="AR489" i="1" s="1"/>
  <c r="AG489" i="1"/>
  <c r="AI496" i="1" s="1"/>
  <c r="Z489" i="1"/>
  <c r="Q489" i="1"/>
  <c r="S496" i="1" s="1"/>
  <c r="N489" i="1"/>
  <c r="S496" i="2"/>
  <c r="K496" i="2"/>
  <c r="S495" i="2"/>
  <c r="K495" i="2"/>
  <c r="S494" i="2"/>
  <c r="K494" i="2"/>
  <c r="S493" i="2"/>
  <c r="K493" i="2"/>
  <c r="S492" i="2"/>
  <c r="K492" i="2"/>
  <c r="S491" i="2"/>
  <c r="K491" i="2"/>
  <c r="S490" i="2"/>
  <c r="K490" i="2"/>
  <c r="M491" i="2" l="1"/>
  <c r="BK500" i="1"/>
  <c r="BM500" i="1" s="1"/>
  <c r="BK499" i="1"/>
  <c r="BM499" i="1" s="1"/>
  <c r="BK498" i="1"/>
  <c r="BM498" i="1" s="1"/>
  <c r="M493" i="2"/>
  <c r="Q496" i="2"/>
  <c r="Q497" i="2"/>
  <c r="M497" i="2"/>
  <c r="BK497" i="1"/>
  <c r="BG491" i="1"/>
  <c r="BK495" i="1"/>
  <c r="BM495" i="1" s="1"/>
  <c r="BK496" i="1"/>
  <c r="U496" i="2"/>
  <c r="Q494" i="2"/>
  <c r="AR495" i="1"/>
  <c r="BG495" i="1"/>
  <c r="BG494" i="1"/>
  <c r="BG493" i="1"/>
  <c r="BG492" i="1"/>
  <c r="BG490" i="1"/>
  <c r="BG489" i="1"/>
  <c r="M496" i="2"/>
  <c r="Q492" i="2"/>
  <c r="Q495" i="2"/>
  <c r="U495" i="2"/>
  <c r="M495" i="2"/>
  <c r="U494" i="2"/>
  <c r="M494" i="2"/>
  <c r="U493" i="2"/>
  <c r="Q493" i="2"/>
  <c r="U492" i="2"/>
  <c r="M492" i="2"/>
  <c r="U491" i="2"/>
  <c r="Q491" i="2"/>
  <c r="U490" i="2"/>
  <c r="BM497" i="1" l="1"/>
  <c r="BM496" i="1"/>
  <c r="BE488" i="1"/>
  <c r="BA488" i="1"/>
  <c r="BK494" i="1" s="1"/>
  <c r="AL488" i="1"/>
  <c r="AR488" i="1" s="1"/>
  <c r="AG488" i="1"/>
  <c r="AI495" i="1" s="1"/>
  <c r="Z488" i="1"/>
  <c r="Q488" i="1"/>
  <c r="S495" i="1" s="1"/>
  <c r="N488" i="1"/>
  <c r="BE487" i="1"/>
  <c r="BA487" i="1"/>
  <c r="AL487" i="1"/>
  <c r="AR487" i="1" s="1"/>
  <c r="AG487" i="1"/>
  <c r="AI494" i="1" s="1"/>
  <c r="Z487" i="1"/>
  <c r="Q487" i="1"/>
  <c r="S494" i="1" s="1"/>
  <c r="N487" i="1"/>
  <c r="BE486" i="1"/>
  <c r="BA486" i="1"/>
  <c r="AL486" i="1"/>
  <c r="AR486" i="1" s="1"/>
  <c r="AG486" i="1"/>
  <c r="AI493" i="1" s="1"/>
  <c r="Z486" i="1"/>
  <c r="Q486" i="1"/>
  <c r="S493" i="1" s="1"/>
  <c r="N486" i="1"/>
  <c r="BE485" i="1"/>
  <c r="BA485" i="1"/>
  <c r="AL485" i="1"/>
  <c r="AR485" i="1" s="1"/>
  <c r="AG485" i="1"/>
  <c r="AI492" i="1" s="1"/>
  <c r="Z485" i="1"/>
  <c r="Q485" i="1"/>
  <c r="S492" i="1" s="1"/>
  <c r="N485" i="1"/>
  <c r="BE484" i="1"/>
  <c r="BA484" i="1"/>
  <c r="AL484" i="1"/>
  <c r="AR484" i="1" s="1"/>
  <c r="AG484" i="1"/>
  <c r="AI491" i="1" s="1"/>
  <c r="Z484" i="1"/>
  <c r="Q484" i="1"/>
  <c r="S491" i="1" s="1"/>
  <c r="N484" i="1"/>
  <c r="BE483" i="1"/>
  <c r="BA483" i="1"/>
  <c r="AL483" i="1"/>
  <c r="AR483" i="1" s="1"/>
  <c r="AG483" i="1"/>
  <c r="AI490" i="1" s="1"/>
  <c r="Z483" i="1"/>
  <c r="Q483" i="1"/>
  <c r="S490" i="1" s="1"/>
  <c r="N483" i="1"/>
  <c r="BE482" i="1"/>
  <c r="BA482" i="1"/>
  <c r="AL482" i="1"/>
  <c r="AR482" i="1" s="1"/>
  <c r="AG482" i="1"/>
  <c r="AI489" i="1" s="1"/>
  <c r="Z482" i="1"/>
  <c r="Q482" i="1"/>
  <c r="S489" i="1" s="1"/>
  <c r="N482" i="1"/>
  <c r="S489" i="2"/>
  <c r="K489" i="2"/>
  <c r="S488" i="2"/>
  <c r="K488" i="2"/>
  <c r="S487" i="2"/>
  <c r="K487" i="2"/>
  <c r="S486" i="2"/>
  <c r="K486" i="2"/>
  <c r="S485" i="2"/>
  <c r="K485" i="2"/>
  <c r="S484" i="2"/>
  <c r="K484" i="2"/>
  <c r="S483" i="2"/>
  <c r="K483" i="2"/>
  <c r="BE481" i="1"/>
  <c r="BA481" i="1"/>
  <c r="AL481" i="1"/>
  <c r="AR481" i="1" s="1"/>
  <c r="AG481" i="1"/>
  <c r="Z481" i="1"/>
  <c r="Q481" i="1"/>
  <c r="N481" i="1"/>
  <c r="BE480" i="1"/>
  <c r="BA480" i="1"/>
  <c r="AL480" i="1"/>
  <c r="AR480" i="1" s="1"/>
  <c r="AG480" i="1"/>
  <c r="Z480" i="1"/>
  <c r="Q480" i="1"/>
  <c r="N480" i="1"/>
  <c r="BE479" i="1"/>
  <c r="BA479" i="1"/>
  <c r="AL479" i="1"/>
  <c r="AR479" i="1" s="1"/>
  <c r="AG479" i="1"/>
  <c r="Z479" i="1"/>
  <c r="Q479" i="1"/>
  <c r="N479" i="1"/>
  <c r="BE478" i="1"/>
  <c r="BA478" i="1"/>
  <c r="AL478" i="1"/>
  <c r="AR478" i="1" s="1"/>
  <c r="AG478" i="1"/>
  <c r="Z478" i="1"/>
  <c r="Q478" i="1"/>
  <c r="N478" i="1"/>
  <c r="BE477" i="1"/>
  <c r="BA477" i="1"/>
  <c r="AL477" i="1"/>
  <c r="AR477" i="1" s="1"/>
  <c r="AG477" i="1"/>
  <c r="Z477" i="1"/>
  <c r="Q477" i="1"/>
  <c r="N477" i="1"/>
  <c r="BE476" i="1"/>
  <c r="BA476" i="1"/>
  <c r="AL476" i="1"/>
  <c r="AR476" i="1" s="1"/>
  <c r="AG476" i="1"/>
  <c r="Z476" i="1"/>
  <c r="Q476" i="1"/>
  <c r="N476" i="1"/>
  <c r="BE475" i="1"/>
  <c r="BA475" i="1"/>
  <c r="AL475" i="1"/>
  <c r="AR475" i="1" s="1"/>
  <c r="AG475" i="1"/>
  <c r="Z475" i="1"/>
  <c r="Q475" i="1"/>
  <c r="N475" i="1"/>
  <c r="S482" i="2"/>
  <c r="K482" i="2"/>
  <c r="S481" i="2"/>
  <c r="K481" i="2"/>
  <c r="S480" i="2"/>
  <c r="K480" i="2"/>
  <c r="S479" i="2"/>
  <c r="K479" i="2"/>
  <c r="S478" i="2"/>
  <c r="K478" i="2"/>
  <c r="S477" i="2"/>
  <c r="K477" i="2"/>
  <c r="S476" i="2"/>
  <c r="K476" i="2"/>
  <c r="BK484" i="1" l="1"/>
  <c r="BM484" i="1" s="1"/>
  <c r="BK490" i="1"/>
  <c r="BM490" i="1" s="1"/>
  <c r="Q485" i="2"/>
  <c r="BK482" i="1"/>
  <c r="BM482" i="1" s="1"/>
  <c r="BM494" i="1"/>
  <c r="BK492" i="1"/>
  <c r="BM492" i="1" s="1"/>
  <c r="BK489" i="1"/>
  <c r="BM489" i="1" s="1"/>
  <c r="BK493" i="1"/>
  <c r="BM493" i="1" s="1"/>
  <c r="BK491" i="1"/>
  <c r="BM491" i="1" s="1"/>
  <c r="BK485" i="1"/>
  <c r="BM485" i="1" s="1"/>
  <c r="AI483" i="1"/>
  <c r="AI487" i="1"/>
  <c r="BK488" i="1"/>
  <c r="BK483" i="1"/>
  <c r="BM483" i="1" s="1"/>
  <c r="BK487" i="1"/>
  <c r="BM487" i="1" s="1"/>
  <c r="S483" i="1"/>
  <c r="AI484" i="1"/>
  <c r="BK486" i="1"/>
  <c r="BM486" i="1" s="1"/>
  <c r="S487" i="1"/>
  <c r="AI488" i="1"/>
  <c r="U487" i="2"/>
  <c r="Q480" i="2"/>
  <c r="Q488" i="2"/>
  <c r="U484" i="2"/>
  <c r="U483" i="2"/>
  <c r="Q490" i="2"/>
  <c r="M490" i="2"/>
  <c r="U485" i="2"/>
  <c r="U486" i="2"/>
  <c r="M489" i="2"/>
  <c r="Q483" i="2"/>
  <c r="S488" i="1"/>
  <c r="BG488" i="1"/>
  <c r="BG487" i="1"/>
  <c r="AI486" i="1"/>
  <c r="S486" i="1"/>
  <c r="BG486" i="1"/>
  <c r="BG485" i="1"/>
  <c r="AI485" i="1"/>
  <c r="S485" i="1"/>
  <c r="BG484" i="1"/>
  <c r="S484" i="1"/>
  <c r="BG483" i="1"/>
  <c r="AI482" i="1"/>
  <c r="S482" i="1"/>
  <c r="BG482" i="1"/>
  <c r="BK481" i="1"/>
  <c r="U489" i="2"/>
  <c r="Q489" i="2"/>
  <c r="U488" i="2"/>
  <c r="M488" i="2"/>
  <c r="M484" i="2"/>
  <c r="Q481" i="2"/>
  <c r="U478" i="2"/>
  <c r="U482" i="2"/>
  <c r="M479" i="2"/>
  <c r="Q487" i="2"/>
  <c r="M487" i="2"/>
  <c r="M486" i="2"/>
  <c r="Q486" i="2"/>
  <c r="M485" i="2"/>
  <c r="Q484" i="2"/>
  <c r="M483" i="2"/>
  <c r="U481" i="2"/>
  <c r="M482" i="2"/>
  <c r="U480" i="2"/>
  <c r="Q478" i="2"/>
  <c r="BG481" i="1"/>
  <c r="BG480" i="1"/>
  <c r="BG479" i="1"/>
  <c r="BG478" i="1"/>
  <c r="BG477" i="1"/>
  <c r="BG476" i="1"/>
  <c r="BG475" i="1"/>
  <c r="Q482" i="2"/>
  <c r="M481" i="2"/>
  <c r="M480" i="2"/>
  <c r="U479" i="2"/>
  <c r="Q479" i="2"/>
  <c r="M478" i="2"/>
  <c r="M477" i="2"/>
  <c r="U476" i="2"/>
  <c r="U477" i="2"/>
  <c r="Q477" i="2"/>
  <c r="BM488" i="1" l="1"/>
  <c r="BM481" i="1"/>
  <c r="BE474" i="1" l="1"/>
  <c r="BA474" i="1"/>
  <c r="BK480" i="1" s="1"/>
  <c r="AL474" i="1"/>
  <c r="AR474" i="1" s="1"/>
  <c r="AG474" i="1"/>
  <c r="AI481" i="1" s="1"/>
  <c r="Z474" i="1"/>
  <c r="Q474" i="1"/>
  <c r="S481" i="1" s="1"/>
  <c r="N474" i="1"/>
  <c r="BE473" i="1"/>
  <c r="BA473" i="1"/>
  <c r="AL473" i="1"/>
  <c r="AR473" i="1" s="1"/>
  <c r="AG473" i="1"/>
  <c r="AI480" i="1" s="1"/>
  <c r="Z473" i="1"/>
  <c r="Q473" i="1"/>
  <c r="S480" i="1" s="1"/>
  <c r="N473" i="1"/>
  <c r="BE472" i="1"/>
  <c r="BA472" i="1"/>
  <c r="AL472" i="1"/>
  <c r="AR472" i="1" s="1"/>
  <c r="AG472" i="1"/>
  <c r="AI479" i="1" s="1"/>
  <c r="Z472" i="1"/>
  <c r="Q472" i="1"/>
  <c r="S479" i="1" s="1"/>
  <c r="N472" i="1"/>
  <c r="BE471" i="1"/>
  <c r="AL471" i="1"/>
  <c r="AR471" i="1" s="1"/>
  <c r="AG471" i="1"/>
  <c r="AI478" i="1" s="1"/>
  <c r="Z471" i="1"/>
  <c r="Q471" i="1"/>
  <c r="S478" i="1" s="1"/>
  <c r="N471" i="1"/>
  <c r="BK479" i="1" l="1"/>
  <c r="BM479" i="1" s="1"/>
  <c r="BK478" i="1"/>
  <c r="BM478" i="1" s="1"/>
  <c r="BM480" i="1"/>
  <c r="BG474" i="1"/>
  <c r="BG473" i="1"/>
  <c r="BG472" i="1"/>
  <c r="BC470" i="1"/>
  <c r="BE470" i="1"/>
  <c r="AL470" i="1"/>
  <c r="AR470" i="1" s="1"/>
  <c r="AG470" i="1"/>
  <c r="AI477" i="1" s="1"/>
  <c r="Z470" i="1"/>
  <c r="Q470" i="1"/>
  <c r="S477" i="1" s="1"/>
  <c r="N470" i="1"/>
  <c r="BE469" i="1"/>
  <c r="BA469" i="1"/>
  <c r="AL469" i="1"/>
  <c r="AR469" i="1" s="1"/>
  <c r="AG469" i="1"/>
  <c r="AI476" i="1" s="1"/>
  <c r="Z469" i="1"/>
  <c r="Q469" i="1"/>
  <c r="S476" i="1" s="1"/>
  <c r="N469" i="1"/>
  <c r="BE468" i="1"/>
  <c r="BA468" i="1"/>
  <c r="AL468" i="1"/>
  <c r="AR468" i="1" s="1"/>
  <c r="AG468" i="1"/>
  <c r="AI475" i="1" s="1"/>
  <c r="Z468" i="1"/>
  <c r="Q468" i="1"/>
  <c r="S475" i="1" s="1"/>
  <c r="N468" i="1"/>
  <c r="S475" i="2"/>
  <c r="K475" i="2"/>
  <c r="S474" i="2"/>
  <c r="K474" i="2"/>
  <c r="S473" i="2"/>
  <c r="K473" i="2"/>
  <c r="S472" i="2"/>
  <c r="K472" i="2"/>
  <c r="S471" i="2"/>
  <c r="K471" i="2"/>
  <c r="S470" i="2"/>
  <c r="K470" i="2"/>
  <c r="S469" i="2"/>
  <c r="K469" i="2"/>
  <c r="M472" i="2" l="1"/>
  <c r="Q476" i="2"/>
  <c r="M476" i="2"/>
  <c r="U475" i="2"/>
  <c r="BA471" i="1"/>
  <c r="BK477" i="1" s="1"/>
  <c r="BM477" i="1" s="1"/>
  <c r="Q474" i="2"/>
  <c r="U471" i="2"/>
  <c r="BA470" i="1"/>
  <c r="BK475" i="1" s="1"/>
  <c r="BM475" i="1" s="1"/>
  <c r="BG469" i="1"/>
  <c r="BG468" i="1"/>
  <c r="M475" i="2"/>
  <c r="Q475" i="2"/>
  <c r="U474" i="2"/>
  <c r="M474" i="2"/>
  <c r="M473" i="2"/>
  <c r="U473" i="2"/>
  <c r="Q473" i="2"/>
  <c r="U470" i="2"/>
  <c r="Q471" i="2"/>
  <c r="U469" i="2"/>
  <c r="M470" i="2"/>
  <c r="Q470" i="2"/>
  <c r="Q472" i="2"/>
  <c r="U472" i="2"/>
  <c r="M471" i="2"/>
  <c r="BG470" i="1" l="1"/>
  <c r="BK474" i="1"/>
  <c r="BM474" i="1" s="1"/>
  <c r="BK476" i="1"/>
  <c r="BM476" i="1" s="1"/>
  <c r="BG471" i="1"/>
  <c r="CL893" i="1" l="1"/>
  <c r="BE467" i="1" l="1"/>
  <c r="BA467" i="1"/>
  <c r="BK473" i="1" s="1"/>
  <c r="AL467" i="1"/>
  <c r="AR467" i="1" s="1"/>
  <c r="AG467" i="1"/>
  <c r="AI474" i="1" s="1"/>
  <c r="Z467" i="1"/>
  <c r="Q467" i="1"/>
  <c r="S474" i="1" s="1"/>
  <c r="N467" i="1"/>
  <c r="BM473" i="1" l="1"/>
  <c r="BG467" i="1"/>
  <c r="BE466" i="1"/>
  <c r="BA466" i="1"/>
  <c r="BK472" i="1" s="1"/>
  <c r="BM472" i="1" s="1"/>
  <c r="AL466" i="1"/>
  <c r="AR466" i="1" s="1"/>
  <c r="AG466" i="1"/>
  <c r="AI473" i="1" s="1"/>
  <c r="Z466" i="1"/>
  <c r="Q466" i="1"/>
  <c r="S473" i="1" s="1"/>
  <c r="N466" i="1"/>
  <c r="BE465" i="1"/>
  <c r="BA465" i="1"/>
  <c r="AL465" i="1"/>
  <c r="AR465" i="1" s="1"/>
  <c r="AG465" i="1"/>
  <c r="AI472" i="1" s="1"/>
  <c r="Z465" i="1"/>
  <c r="Q465" i="1"/>
  <c r="S472" i="1" s="1"/>
  <c r="N465" i="1"/>
  <c r="BE464" i="1"/>
  <c r="BA464" i="1"/>
  <c r="AL464" i="1"/>
  <c r="AR464" i="1" s="1"/>
  <c r="AG464" i="1"/>
  <c r="AI471" i="1" s="1"/>
  <c r="Z464" i="1"/>
  <c r="Q464" i="1"/>
  <c r="S471" i="1" s="1"/>
  <c r="N464" i="1"/>
  <c r="BE463" i="1"/>
  <c r="BA463" i="1"/>
  <c r="AL463" i="1"/>
  <c r="AR463" i="1" s="1"/>
  <c r="AG463" i="1"/>
  <c r="AI470" i="1" s="1"/>
  <c r="Z463" i="1"/>
  <c r="Q463" i="1"/>
  <c r="S470" i="1" s="1"/>
  <c r="N463" i="1"/>
  <c r="BE462" i="1"/>
  <c r="BA462" i="1"/>
  <c r="AL462" i="1"/>
  <c r="AR462" i="1" s="1"/>
  <c r="AG462" i="1"/>
  <c r="AI469" i="1" s="1"/>
  <c r="Z462" i="1"/>
  <c r="Q462" i="1"/>
  <c r="S469" i="1" s="1"/>
  <c r="N462" i="1"/>
  <c r="BE461" i="1"/>
  <c r="BA461" i="1"/>
  <c r="AL461" i="1"/>
  <c r="AG461" i="1"/>
  <c r="AI468" i="1" s="1"/>
  <c r="Z461" i="1"/>
  <c r="Q461" i="1"/>
  <c r="S468" i="1" s="1"/>
  <c r="N461" i="1"/>
  <c r="S468" i="2"/>
  <c r="K468" i="2"/>
  <c r="S467" i="2"/>
  <c r="K467" i="2"/>
  <c r="S466" i="2"/>
  <c r="K466" i="2"/>
  <c r="S465" i="2"/>
  <c r="K465" i="2"/>
  <c r="S464" i="2"/>
  <c r="K464" i="2"/>
  <c r="S463" i="2"/>
  <c r="K463" i="2"/>
  <c r="S462" i="2"/>
  <c r="K462" i="2"/>
  <c r="BK470" i="1" l="1"/>
  <c r="BM470" i="1" s="1"/>
  <c r="BK469" i="1"/>
  <c r="BM469" i="1" s="1"/>
  <c r="BK468" i="1"/>
  <c r="BM468" i="1" s="1"/>
  <c r="BK471" i="1"/>
  <c r="BM471" i="1" s="1"/>
  <c r="BK467" i="1"/>
  <c r="BM467" i="1" s="1"/>
  <c r="M465" i="2"/>
  <c r="U468" i="2"/>
  <c r="Q469" i="2"/>
  <c r="M469" i="2"/>
  <c r="U463" i="2"/>
  <c r="BG466" i="1"/>
  <c r="BG465" i="1"/>
  <c r="BG464" i="1"/>
  <c r="BG463" i="1"/>
  <c r="BG462" i="1"/>
  <c r="AR461" i="1"/>
  <c r="BG461" i="1"/>
  <c r="Q468" i="2"/>
  <c r="M468" i="2"/>
  <c r="U467" i="2"/>
  <c r="Q464" i="2"/>
  <c r="M467" i="2"/>
  <c r="Q467" i="2"/>
  <c r="U465" i="2"/>
  <c r="M466" i="2"/>
  <c r="U466" i="2"/>
  <c r="Q466" i="2"/>
  <c r="Q465" i="2"/>
  <c r="U464" i="2"/>
  <c r="M464" i="2"/>
  <c r="U462" i="2"/>
  <c r="M463" i="2"/>
  <c r="Q463" i="2"/>
  <c r="BE460" i="1"/>
  <c r="BA460" i="1"/>
  <c r="BK466" i="1" s="1"/>
  <c r="BM466" i="1" s="1"/>
  <c r="AL460" i="1"/>
  <c r="AR460" i="1" s="1"/>
  <c r="AG460" i="1"/>
  <c r="AI467" i="1" s="1"/>
  <c r="Z460" i="1"/>
  <c r="Q460" i="1"/>
  <c r="S467" i="1" s="1"/>
  <c r="N460" i="1"/>
  <c r="BE459" i="1"/>
  <c r="BA459" i="1"/>
  <c r="AL459" i="1"/>
  <c r="AR459" i="1" s="1"/>
  <c r="AG459" i="1"/>
  <c r="AI466" i="1" s="1"/>
  <c r="Z459" i="1"/>
  <c r="Q459" i="1"/>
  <c r="S466" i="1" s="1"/>
  <c r="N459" i="1"/>
  <c r="BE458" i="1"/>
  <c r="BA458" i="1"/>
  <c r="AL458" i="1"/>
  <c r="AR458" i="1" s="1"/>
  <c r="AG458" i="1"/>
  <c r="AI465" i="1" s="1"/>
  <c r="Z458" i="1"/>
  <c r="Q458" i="1"/>
  <c r="S465" i="1" s="1"/>
  <c r="N458" i="1"/>
  <c r="BE457" i="1"/>
  <c r="BA457" i="1"/>
  <c r="AL457" i="1"/>
  <c r="AR457" i="1" s="1"/>
  <c r="AG457" i="1"/>
  <c r="AI464" i="1" s="1"/>
  <c r="Z457" i="1"/>
  <c r="Q457" i="1"/>
  <c r="S464" i="1" s="1"/>
  <c r="N457" i="1"/>
  <c r="S461" i="2"/>
  <c r="K461" i="2"/>
  <c r="Q462" i="2" s="1"/>
  <c r="S460" i="2"/>
  <c r="K460" i="2"/>
  <c r="S459" i="2"/>
  <c r="K459" i="2"/>
  <c r="S458" i="2"/>
  <c r="K458" i="2"/>
  <c r="BK465" i="1" l="1"/>
  <c r="BM465" i="1" s="1"/>
  <c r="BK464" i="1"/>
  <c r="BM464" i="1" s="1"/>
  <c r="BK463" i="1"/>
  <c r="BM463" i="1" s="1"/>
  <c r="U460" i="2"/>
  <c r="Q461" i="2"/>
  <c r="M462" i="2"/>
  <c r="Q460" i="2"/>
  <c r="BG460" i="1"/>
  <c r="BG459" i="1"/>
  <c r="BG458" i="1"/>
  <c r="BG457" i="1"/>
  <c r="U461" i="2"/>
  <c r="M461" i="2"/>
  <c r="M460" i="2"/>
  <c r="M459" i="2"/>
  <c r="U458" i="2"/>
  <c r="U459" i="2"/>
  <c r="Q459" i="2"/>
  <c r="BE456" i="1" l="1"/>
  <c r="BA456" i="1"/>
  <c r="BK462" i="1" s="1"/>
  <c r="AL456" i="1"/>
  <c r="AR456" i="1" s="1"/>
  <c r="AG456" i="1"/>
  <c r="AI463" i="1" s="1"/>
  <c r="Z456" i="1"/>
  <c r="Q456" i="1"/>
  <c r="S463" i="1" s="1"/>
  <c r="N456" i="1"/>
  <c r="BE455" i="1"/>
  <c r="BA455" i="1"/>
  <c r="AL455" i="1"/>
  <c r="AR455" i="1" s="1"/>
  <c r="AG455" i="1"/>
  <c r="AI462" i="1" s="1"/>
  <c r="Z455" i="1"/>
  <c r="Q455" i="1"/>
  <c r="S462" i="1" s="1"/>
  <c r="N455" i="1"/>
  <c r="BE454" i="1"/>
  <c r="BA454" i="1"/>
  <c r="AL454" i="1"/>
  <c r="AR454" i="1" s="1"/>
  <c r="AG454" i="1"/>
  <c r="AI461" i="1" s="1"/>
  <c r="Z454" i="1"/>
  <c r="Q454" i="1"/>
  <c r="S461" i="1" s="1"/>
  <c r="N454" i="1"/>
  <c r="S457" i="2"/>
  <c r="K457" i="2"/>
  <c r="S456" i="2"/>
  <c r="S455" i="2"/>
  <c r="K456" i="2"/>
  <c r="K455" i="2"/>
  <c r="BK460" i="1" l="1"/>
  <c r="BM460" i="1" s="1"/>
  <c r="BM462" i="1"/>
  <c r="BK461" i="1"/>
  <c r="BM461" i="1" s="1"/>
  <c r="M458" i="2"/>
  <c r="Q458" i="2"/>
  <c r="U456" i="2"/>
  <c r="U457" i="2"/>
  <c r="M457" i="2"/>
  <c r="BG456" i="1"/>
  <c r="BG455" i="1"/>
  <c r="BG454" i="1"/>
  <c r="Q457" i="2"/>
  <c r="U455" i="2"/>
  <c r="Q456" i="2"/>
  <c r="M456" i="2"/>
  <c r="BE453" i="1"/>
  <c r="BA453" i="1"/>
  <c r="BK459" i="1" s="1"/>
  <c r="AL453" i="1"/>
  <c r="AR453" i="1" s="1"/>
  <c r="AG453" i="1"/>
  <c r="AI460" i="1" s="1"/>
  <c r="Z453" i="1"/>
  <c r="Q453" i="1"/>
  <c r="S460" i="1" s="1"/>
  <c r="N453" i="1"/>
  <c r="BE452" i="1"/>
  <c r="BA452" i="1"/>
  <c r="AL452" i="1"/>
  <c r="AR452" i="1" s="1"/>
  <c r="AG452" i="1"/>
  <c r="AI459" i="1" s="1"/>
  <c r="Z452" i="1"/>
  <c r="Q452" i="1"/>
  <c r="S459" i="1" s="1"/>
  <c r="N452" i="1"/>
  <c r="BE451" i="1"/>
  <c r="BA451" i="1"/>
  <c r="AL451" i="1"/>
  <c r="AR451" i="1" s="1"/>
  <c r="AG451" i="1"/>
  <c r="AI458" i="1" s="1"/>
  <c r="Z451" i="1"/>
  <c r="Q451" i="1"/>
  <c r="S458" i="1" s="1"/>
  <c r="N451" i="1"/>
  <c r="BE450" i="1"/>
  <c r="BA450" i="1"/>
  <c r="AL450" i="1"/>
  <c r="AR450" i="1" s="1"/>
  <c r="AG450" i="1"/>
  <c r="AI457" i="1" s="1"/>
  <c r="Z450" i="1"/>
  <c r="Q450" i="1"/>
  <c r="S457" i="1" s="1"/>
  <c r="N450" i="1"/>
  <c r="BE449" i="1"/>
  <c r="BA449" i="1"/>
  <c r="AL449" i="1"/>
  <c r="AR449" i="1" s="1"/>
  <c r="AG449" i="1"/>
  <c r="AI456" i="1" s="1"/>
  <c r="Z449" i="1"/>
  <c r="Q449" i="1"/>
  <c r="S456" i="1" s="1"/>
  <c r="N449" i="1"/>
  <c r="BE448" i="1"/>
  <c r="BA448" i="1"/>
  <c r="AL448" i="1"/>
  <c r="AR448" i="1" s="1"/>
  <c r="AG448" i="1"/>
  <c r="AI455" i="1" s="1"/>
  <c r="Z448" i="1"/>
  <c r="Q448" i="1"/>
  <c r="S455" i="1" s="1"/>
  <c r="N448" i="1"/>
  <c r="AA739" i="3"/>
  <c r="AJ737" i="3"/>
  <c r="AJ740" i="3" s="1"/>
  <c r="S454" i="2"/>
  <c r="K454" i="2"/>
  <c r="Q455" i="2" s="1"/>
  <c r="S453" i="2"/>
  <c r="K453" i="2"/>
  <c r="S452" i="2"/>
  <c r="K452" i="2"/>
  <c r="S451" i="2"/>
  <c r="K451" i="2"/>
  <c r="S450" i="2"/>
  <c r="K450" i="2"/>
  <c r="S449" i="2"/>
  <c r="K449" i="2"/>
  <c r="Q453" i="2" l="1"/>
  <c r="M455" i="2"/>
  <c r="BK457" i="1"/>
  <c r="BM457" i="1" s="1"/>
  <c r="BK455" i="1"/>
  <c r="BM455" i="1" s="1"/>
  <c r="BK454" i="1"/>
  <c r="BM454" i="1" s="1"/>
  <c r="BK458" i="1"/>
  <c r="BM458" i="1" s="1"/>
  <c r="BM459" i="1"/>
  <c r="BK456" i="1"/>
  <c r="BM456" i="1" s="1"/>
  <c r="Q450" i="2"/>
  <c r="Q452" i="2"/>
  <c r="M451" i="2"/>
  <c r="U450" i="2"/>
  <c r="Q454" i="2"/>
  <c r="U449" i="2"/>
  <c r="BG453" i="1"/>
  <c r="BG452" i="1"/>
  <c r="BG451" i="1"/>
  <c r="BG450" i="1"/>
  <c r="BG449" i="1"/>
  <c r="BG448" i="1"/>
  <c r="U454" i="2"/>
  <c r="M454" i="2"/>
  <c r="U453" i="2"/>
  <c r="M453" i="2"/>
  <c r="U452" i="2"/>
  <c r="M452" i="2"/>
  <c r="U451" i="2"/>
  <c r="Q451" i="2"/>
  <c r="M450" i="2"/>
  <c r="BE447" i="1" l="1"/>
  <c r="BA447" i="1"/>
  <c r="BK453" i="1" s="1"/>
  <c r="BM453" i="1" s="1"/>
  <c r="AL447" i="1"/>
  <c r="AR447" i="1" s="1"/>
  <c r="AG447" i="1"/>
  <c r="AI454" i="1" s="1"/>
  <c r="Z447" i="1"/>
  <c r="Q447" i="1"/>
  <c r="S454" i="1" s="1"/>
  <c r="N447" i="1"/>
  <c r="S448" i="2"/>
  <c r="K448" i="2"/>
  <c r="Q449" i="2" l="1"/>
  <c r="M449" i="2"/>
  <c r="U448" i="2"/>
  <c r="BG447" i="1"/>
  <c r="BE446" i="1" l="1"/>
  <c r="BA446" i="1"/>
  <c r="BK452" i="1" s="1"/>
  <c r="AL446" i="1"/>
  <c r="AG446" i="1"/>
  <c r="AI453" i="1" s="1"/>
  <c r="Z446" i="1"/>
  <c r="Q446" i="1"/>
  <c r="S453" i="1" s="1"/>
  <c r="N446" i="1"/>
  <c r="BE445" i="1"/>
  <c r="BA445" i="1"/>
  <c r="AL445" i="1"/>
  <c r="AR445" i="1" s="1"/>
  <c r="AG445" i="1"/>
  <c r="AI452" i="1" s="1"/>
  <c r="Z445" i="1"/>
  <c r="Q445" i="1"/>
  <c r="S452" i="1" s="1"/>
  <c r="N445" i="1"/>
  <c r="BE444" i="1"/>
  <c r="BA444" i="1"/>
  <c r="AL444" i="1"/>
  <c r="AR444" i="1" s="1"/>
  <c r="AG444" i="1"/>
  <c r="AI451" i="1" s="1"/>
  <c r="Z444" i="1"/>
  <c r="Q444" i="1"/>
  <c r="S451" i="1" s="1"/>
  <c r="N444" i="1"/>
  <c r="BE443" i="1"/>
  <c r="BA443" i="1"/>
  <c r="AL443" i="1"/>
  <c r="AR443" i="1" s="1"/>
  <c r="AG443" i="1"/>
  <c r="AI450" i="1" s="1"/>
  <c r="Z443" i="1"/>
  <c r="Q443" i="1"/>
  <c r="S450" i="1" s="1"/>
  <c r="N443" i="1"/>
  <c r="BE442" i="1"/>
  <c r="BA442" i="1"/>
  <c r="AL442" i="1"/>
  <c r="AR442" i="1" s="1"/>
  <c r="AG442" i="1"/>
  <c r="AI449" i="1" s="1"/>
  <c r="Z442" i="1"/>
  <c r="Q442" i="1"/>
  <c r="S449" i="1" s="1"/>
  <c r="N442" i="1"/>
  <c r="BE441" i="1"/>
  <c r="BA441" i="1"/>
  <c r="AL441" i="1"/>
  <c r="AR441" i="1" s="1"/>
  <c r="AG441" i="1"/>
  <c r="AI448" i="1" s="1"/>
  <c r="Z441" i="1"/>
  <c r="Q441" i="1"/>
  <c r="S448" i="1" s="1"/>
  <c r="N441" i="1"/>
  <c r="BE440" i="1"/>
  <c r="BA440" i="1"/>
  <c r="AL440" i="1"/>
  <c r="AR440" i="1" s="1"/>
  <c r="AG440" i="1"/>
  <c r="AI447" i="1" s="1"/>
  <c r="Z440" i="1"/>
  <c r="Q440" i="1"/>
  <c r="S447" i="1" s="1"/>
  <c r="N440" i="1"/>
  <c r="S447" i="2"/>
  <c r="K447" i="2"/>
  <c r="S446" i="2"/>
  <c r="K446" i="2"/>
  <c r="S445" i="2"/>
  <c r="K445" i="2"/>
  <c r="S444" i="2"/>
  <c r="K444" i="2"/>
  <c r="S443" i="2"/>
  <c r="K443" i="2"/>
  <c r="S442" i="2"/>
  <c r="K442" i="2"/>
  <c r="S441" i="2"/>
  <c r="K441" i="2"/>
  <c r="BK451" i="1" l="1"/>
  <c r="BM451" i="1" s="1"/>
  <c r="M442" i="2"/>
  <c r="BK449" i="1"/>
  <c r="BM449" i="1" s="1"/>
  <c r="BK447" i="1"/>
  <c r="BK448" i="1"/>
  <c r="BM448" i="1" s="1"/>
  <c r="BM452" i="1"/>
  <c r="BK450" i="1"/>
  <c r="BM450" i="1" s="1"/>
  <c r="BM447" i="1"/>
  <c r="BK446" i="1"/>
  <c r="BM446" i="1" s="1"/>
  <c r="AR446" i="1"/>
  <c r="Q445" i="2"/>
  <c r="Q447" i="2"/>
  <c r="Q448" i="2"/>
  <c r="M448" i="2"/>
  <c r="BG446" i="1"/>
  <c r="BG445" i="1"/>
  <c r="BG444" i="1"/>
  <c r="BG443" i="1"/>
  <c r="BG442" i="1"/>
  <c r="BG441" i="1"/>
  <c r="BG440" i="1"/>
  <c r="U447" i="2"/>
  <c r="M447" i="2"/>
  <c r="Q443" i="2"/>
  <c r="Q446" i="2"/>
  <c r="U445" i="2"/>
  <c r="Q444" i="2"/>
  <c r="U446" i="2"/>
  <c r="M446" i="2"/>
  <c r="M445" i="2"/>
  <c r="U444" i="2"/>
  <c r="M444" i="2"/>
  <c r="U443" i="2"/>
  <c r="M443" i="2"/>
  <c r="U442" i="2"/>
  <c r="Q442" i="2"/>
  <c r="U441" i="2"/>
  <c r="BE439" i="1"/>
  <c r="BA439" i="1"/>
  <c r="BK445" i="1" s="1"/>
  <c r="BM445" i="1" s="1"/>
  <c r="AL439" i="1"/>
  <c r="AR439" i="1" s="1"/>
  <c r="AG439" i="1"/>
  <c r="AI446" i="1" s="1"/>
  <c r="Z439" i="1"/>
  <c r="Q439" i="1"/>
  <c r="S446" i="1" s="1"/>
  <c r="N439" i="1"/>
  <c r="BE438" i="1"/>
  <c r="BA438" i="1"/>
  <c r="AL438" i="1"/>
  <c r="AR438" i="1" s="1"/>
  <c r="AG438" i="1"/>
  <c r="AI445" i="1" s="1"/>
  <c r="Z438" i="1"/>
  <c r="Q438" i="1"/>
  <c r="S445" i="1" s="1"/>
  <c r="N438" i="1"/>
  <c r="BE437" i="1"/>
  <c r="BA437" i="1"/>
  <c r="AL437" i="1"/>
  <c r="AR437" i="1" s="1"/>
  <c r="AG437" i="1"/>
  <c r="AI444" i="1" s="1"/>
  <c r="Z437" i="1"/>
  <c r="Q437" i="1"/>
  <c r="S444" i="1" s="1"/>
  <c r="N437" i="1"/>
  <c r="BE436" i="1"/>
  <c r="BA436" i="1"/>
  <c r="AL436" i="1"/>
  <c r="AR436" i="1" s="1"/>
  <c r="AG436" i="1"/>
  <c r="AI443" i="1" s="1"/>
  <c r="Z436" i="1"/>
  <c r="Q436" i="1"/>
  <c r="S443" i="1" s="1"/>
  <c r="N436" i="1"/>
  <c r="BE435" i="1"/>
  <c r="BA435" i="1"/>
  <c r="AL435" i="1"/>
  <c r="AR435" i="1" s="1"/>
  <c r="AG435" i="1"/>
  <c r="AI442" i="1" s="1"/>
  <c r="Z435" i="1"/>
  <c r="Q435" i="1"/>
  <c r="S442" i="1" s="1"/>
  <c r="N435" i="1"/>
  <c r="BE434" i="1"/>
  <c r="BA434" i="1"/>
  <c r="AL434" i="1"/>
  <c r="AR434" i="1" s="1"/>
  <c r="AG434" i="1"/>
  <c r="AI441" i="1" s="1"/>
  <c r="Z434" i="1"/>
  <c r="Q434" i="1"/>
  <c r="S441" i="1" s="1"/>
  <c r="N434" i="1"/>
  <c r="BE433" i="1"/>
  <c r="BA433" i="1"/>
  <c r="AL433" i="1"/>
  <c r="AR433" i="1" s="1"/>
  <c r="AG433" i="1"/>
  <c r="AI440" i="1" s="1"/>
  <c r="Z433" i="1"/>
  <c r="Q433" i="1"/>
  <c r="S440" i="1" s="1"/>
  <c r="N433" i="1"/>
  <c r="S440" i="2"/>
  <c r="K440" i="2"/>
  <c r="M441" i="2" s="1"/>
  <c r="S439" i="2"/>
  <c r="K439" i="2"/>
  <c r="S438" i="2"/>
  <c r="K438" i="2"/>
  <c r="S437" i="2"/>
  <c r="K437" i="2"/>
  <c r="S436" i="2"/>
  <c r="K436" i="2"/>
  <c r="S435" i="2"/>
  <c r="K435" i="2"/>
  <c r="S434" i="2"/>
  <c r="K434" i="2"/>
  <c r="U439" i="2" l="1"/>
  <c r="BK444" i="1"/>
  <c r="BM444" i="1" s="1"/>
  <c r="BK441" i="1"/>
  <c r="BM441" i="1" s="1"/>
  <c r="BK443" i="1"/>
  <c r="BM443" i="1" s="1"/>
  <c r="BK442" i="1"/>
  <c r="BM442" i="1" s="1"/>
  <c r="BK440" i="1"/>
  <c r="BM440" i="1" s="1"/>
  <c r="BK439" i="1"/>
  <c r="BM439" i="1" s="1"/>
  <c r="M438" i="2"/>
  <c r="Q441" i="2"/>
  <c r="U434" i="2"/>
  <c r="M435" i="2"/>
  <c r="M439" i="2"/>
  <c r="U438" i="2"/>
  <c r="BG439" i="1"/>
  <c r="BG438" i="1"/>
  <c r="BG437" i="1"/>
  <c r="BG436" i="1"/>
  <c r="BG435" i="1"/>
  <c r="BG434" i="1"/>
  <c r="BG433" i="1"/>
  <c r="U440" i="2"/>
  <c r="M440" i="2"/>
  <c r="Q440" i="2"/>
  <c r="Q439" i="2"/>
  <c r="Q438" i="2"/>
  <c r="U437" i="2"/>
  <c r="M437" i="2"/>
  <c r="Q437" i="2"/>
  <c r="Q436" i="2"/>
  <c r="U435" i="2"/>
  <c r="U436" i="2"/>
  <c r="M436" i="2"/>
  <c r="Q435" i="2"/>
  <c r="BE432" i="1"/>
  <c r="BA432" i="1"/>
  <c r="BK438" i="1" s="1"/>
  <c r="AL432" i="1"/>
  <c r="AR432" i="1" s="1"/>
  <c r="AG432" i="1"/>
  <c r="Z432" i="1"/>
  <c r="Q432" i="1"/>
  <c r="S439" i="1" s="1"/>
  <c r="N432" i="1"/>
  <c r="S433" i="2"/>
  <c r="K433" i="2"/>
  <c r="BE431" i="1"/>
  <c r="BA431" i="1"/>
  <c r="AL431" i="1"/>
  <c r="AR431" i="1" s="1"/>
  <c r="AG431" i="1"/>
  <c r="AI438" i="1" s="1"/>
  <c r="Z431" i="1"/>
  <c r="Q431" i="1"/>
  <c r="S438" i="1" s="1"/>
  <c r="N431" i="1"/>
  <c r="BE430" i="1"/>
  <c r="BA430" i="1"/>
  <c r="AL430" i="1"/>
  <c r="AG430" i="1"/>
  <c r="AI437" i="1" s="1"/>
  <c r="Z430" i="1"/>
  <c r="Q430" i="1"/>
  <c r="S437" i="1" s="1"/>
  <c r="N430" i="1"/>
  <c r="BE429" i="1"/>
  <c r="BA429" i="1"/>
  <c r="AL429" i="1"/>
  <c r="AR429" i="1" s="1"/>
  <c r="AG429" i="1"/>
  <c r="AI436" i="1" s="1"/>
  <c r="Z429" i="1"/>
  <c r="Q429" i="1"/>
  <c r="S436" i="1" s="1"/>
  <c r="N429" i="1"/>
  <c r="BE428" i="1"/>
  <c r="BA428" i="1"/>
  <c r="AL428" i="1"/>
  <c r="AR428" i="1" s="1"/>
  <c r="AG428" i="1"/>
  <c r="AI435" i="1" s="1"/>
  <c r="Z428" i="1"/>
  <c r="Q428" i="1"/>
  <c r="S435" i="1" s="1"/>
  <c r="N428" i="1"/>
  <c r="BE427" i="1"/>
  <c r="BA427" i="1"/>
  <c r="AL427" i="1"/>
  <c r="AR427" i="1" s="1"/>
  <c r="AG427" i="1"/>
  <c r="AI434" i="1" s="1"/>
  <c r="Z427" i="1"/>
  <c r="Q427" i="1"/>
  <c r="S434" i="1" s="1"/>
  <c r="N427" i="1"/>
  <c r="BE426" i="1"/>
  <c r="BA426" i="1"/>
  <c r="AL426" i="1"/>
  <c r="AR426" i="1" s="1"/>
  <c r="AG426" i="1"/>
  <c r="AI433" i="1" s="1"/>
  <c r="Z426" i="1"/>
  <c r="Q426" i="1"/>
  <c r="S433" i="1" s="1"/>
  <c r="N426" i="1"/>
  <c r="S432" i="2"/>
  <c r="K432" i="2"/>
  <c r="S431" i="2"/>
  <c r="K431" i="2"/>
  <c r="S430" i="2"/>
  <c r="K430" i="2"/>
  <c r="S429" i="2"/>
  <c r="K429" i="2"/>
  <c r="S428" i="2"/>
  <c r="K428" i="2"/>
  <c r="S427" i="2"/>
  <c r="K427" i="2"/>
  <c r="BE425" i="1"/>
  <c r="BA425" i="1"/>
  <c r="AL425" i="1"/>
  <c r="AR425" i="1" s="1"/>
  <c r="AG425" i="1"/>
  <c r="Z425" i="1"/>
  <c r="Q425" i="1"/>
  <c r="N425" i="1"/>
  <c r="BE424" i="1"/>
  <c r="BA424" i="1"/>
  <c r="AL424" i="1"/>
  <c r="AR424" i="1" s="1"/>
  <c r="AG424" i="1"/>
  <c r="Z424" i="1"/>
  <c r="Q424" i="1"/>
  <c r="N424" i="1"/>
  <c r="BE423" i="1"/>
  <c r="BA423" i="1"/>
  <c r="AL423" i="1"/>
  <c r="AR423" i="1" s="1"/>
  <c r="AG423" i="1"/>
  <c r="Z423" i="1"/>
  <c r="Q423" i="1"/>
  <c r="N423" i="1"/>
  <c r="BE422" i="1"/>
  <c r="BA422" i="1"/>
  <c r="AL422" i="1"/>
  <c r="AR422" i="1" s="1"/>
  <c r="AG422" i="1"/>
  <c r="Z422" i="1"/>
  <c r="Q422" i="1"/>
  <c r="N422" i="1"/>
  <c r="BE421" i="1"/>
  <c r="BA421" i="1"/>
  <c r="AL421" i="1"/>
  <c r="AR421" i="1" s="1"/>
  <c r="AG421" i="1"/>
  <c r="Z421" i="1"/>
  <c r="Q421" i="1"/>
  <c r="N421" i="1"/>
  <c r="BE420" i="1"/>
  <c r="BA420" i="1"/>
  <c r="AL420" i="1"/>
  <c r="AR420" i="1" s="1"/>
  <c r="AG420" i="1"/>
  <c r="Z420" i="1"/>
  <c r="Q420" i="1"/>
  <c r="N420" i="1"/>
  <c r="S426" i="2"/>
  <c r="K426" i="2"/>
  <c r="S425" i="2"/>
  <c r="K425" i="2"/>
  <c r="S424" i="2"/>
  <c r="K424" i="2"/>
  <c r="S423" i="2"/>
  <c r="K423" i="2"/>
  <c r="S422" i="2"/>
  <c r="K422" i="2"/>
  <c r="S421" i="2"/>
  <c r="K421" i="2"/>
  <c r="S420" i="2"/>
  <c r="K420" i="2"/>
  <c r="BE419" i="1"/>
  <c r="BA419" i="1"/>
  <c r="AL419" i="1"/>
  <c r="AR419" i="1" s="1"/>
  <c r="AG419" i="1"/>
  <c r="Z419" i="1"/>
  <c r="Q419" i="1"/>
  <c r="N419" i="1"/>
  <c r="BK436" i="1" l="1"/>
  <c r="BM436" i="1" s="1"/>
  <c r="BK435" i="1"/>
  <c r="BM435" i="1" s="1"/>
  <c r="BK437" i="1"/>
  <c r="BM437" i="1" s="1"/>
  <c r="AI432" i="1"/>
  <c r="AI439" i="1"/>
  <c r="BK434" i="1"/>
  <c r="BM434" i="1" s="1"/>
  <c r="M430" i="2"/>
  <c r="Q431" i="2"/>
  <c r="Q428" i="2"/>
  <c r="BM438" i="1"/>
  <c r="BK433" i="1"/>
  <c r="BK429" i="1"/>
  <c r="BM429" i="1" s="1"/>
  <c r="AI427" i="1"/>
  <c r="BK426" i="1"/>
  <c r="BM426" i="1" s="1"/>
  <c r="AI430" i="1"/>
  <c r="BK432" i="1"/>
  <c r="BM432" i="1" s="1"/>
  <c r="AI428" i="1"/>
  <c r="BK430" i="1"/>
  <c r="BM430" i="1" s="1"/>
  <c r="BK431" i="1"/>
  <c r="BM431" i="1" s="1"/>
  <c r="M433" i="2"/>
  <c r="M434" i="2"/>
  <c r="Q426" i="2"/>
  <c r="Q434" i="2"/>
  <c r="S432" i="1"/>
  <c r="BG432" i="1"/>
  <c r="Q433" i="2"/>
  <c r="U433" i="2"/>
  <c r="AI431" i="1"/>
  <c r="BG431" i="1"/>
  <c r="S431" i="1"/>
  <c r="AR430" i="1"/>
  <c r="BG430" i="1"/>
  <c r="S430" i="1"/>
  <c r="BK428" i="1"/>
  <c r="BM428" i="1" s="1"/>
  <c r="AI426" i="1"/>
  <c r="BK427" i="1"/>
  <c r="BM427" i="1" s="1"/>
  <c r="AI429" i="1"/>
  <c r="BG429" i="1"/>
  <c r="S429" i="1"/>
  <c r="S428" i="1"/>
  <c r="BG428" i="1"/>
  <c r="S427" i="1"/>
  <c r="BG427" i="1"/>
  <c r="BG426" i="1"/>
  <c r="S426" i="1"/>
  <c r="M429" i="2"/>
  <c r="M432" i="2"/>
  <c r="Q422" i="2"/>
  <c r="Q427" i="2"/>
  <c r="Q432" i="2"/>
  <c r="U432" i="2"/>
  <c r="U431" i="2"/>
  <c r="M431" i="2"/>
  <c r="Q430" i="2"/>
  <c r="U430" i="2"/>
  <c r="U429" i="2"/>
  <c r="Q429" i="2"/>
  <c r="U428" i="2"/>
  <c r="M428" i="2"/>
  <c r="U427" i="2"/>
  <c r="M427" i="2"/>
  <c r="Q423" i="2"/>
  <c r="Q424" i="2"/>
  <c r="BK425" i="1"/>
  <c r="BG425" i="1"/>
  <c r="BG424" i="1"/>
  <c r="BG423" i="1"/>
  <c r="BG422" i="1"/>
  <c r="BG421" i="1"/>
  <c r="BG420" i="1"/>
  <c r="U426" i="2"/>
  <c r="M426" i="2"/>
  <c r="U425" i="2"/>
  <c r="M425" i="2"/>
  <c r="Q425" i="2"/>
  <c r="U424" i="2"/>
  <c r="M424" i="2"/>
  <c r="U423" i="2"/>
  <c r="M423" i="2"/>
  <c r="U422" i="2"/>
  <c r="M422" i="2"/>
  <c r="Q421" i="2"/>
  <c r="U421" i="2"/>
  <c r="M421" i="2"/>
  <c r="U420" i="2"/>
  <c r="BG419" i="1"/>
  <c r="BE418" i="1"/>
  <c r="BA418" i="1"/>
  <c r="AL418" i="1"/>
  <c r="AR418" i="1" s="1"/>
  <c r="AG418" i="1"/>
  <c r="AI425" i="1" s="1"/>
  <c r="Z418" i="1"/>
  <c r="Q418" i="1"/>
  <c r="S425" i="1" s="1"/>
  <c r="N418" i="1"/>
  <c r="S419" i="2"/>
  <c r="K419" i="2"/>
  <c r="M420" i="2" s="1"/>
  <c r="BE417" i="1"/>
  <c r="BA417" i="1"/>
  <c r="AL417" i="1"/>
  <c r="AG417" i="1"/>
  <c r="AI424" i="1" s="1"/>
  <c r="Z417" i="1"/>
  <c r="Q417" i="1"/>
  <c r="S424" i="1" s="1"/>
  <c r="N417" i="1"/>
  <c r="BE416" i="1"/>
  <c r="BA416" i="1"/>
  <c r="AL416" i="1"/>
  <c r="AG416" i="1"/>
  <c r="AI423" i="1" s="1"/>
  <c r="Z416" i="1"/>
  <c r="Q416" i="1"/>
  <c r="S423" i="1" s="1"/>
  <c r="N416" i="1"/>
  <c r="BE415" i="1"/>
  <c r="BA415" i="1"/>
  <c r="AL415" i="1"/>
  <c r="AR415" i="1" s="1"/>
  <c r="AG415" i="1"/>
  <c r="AI422" i="1" s="1"/>
  <c r="Z415" i="1"/>
  <c r="Q415" i="1"/>
  <c r="S422" i="1" s="1"/>
  <c r="N415" i="1"/>
  <c r="BE414" i="1"/>
  <c r="BA414" i="1"/>
  <c r="AL414" i="1"/>
  <c r="AR414" i="1" s="1"/>
  <c r="AG414" i="1"/>
  <c r="AI421" i="1" s="1"/>
  <c r="Z414" i="1"/>
  <c r="Q414" i="1"/>
  <c r="S421" i="1" s="1"/>
  <c r="N414" i="1"/>
  <c r="BE413" i="1"/>
  <c r="BA413" i="1"/>
  <c r="AL413" i="1"/>
  <c r="AR413" i="1" s="1"/>
  <c r="AG413" i="1"/>
  <c r="AI420" i="1" s="1"/>
  <c r="Z413" i="1"/>
  <c r="Q413" i="1"/>
  <c r="S420" i="1" s="1"/>
  <c r="N413" i="1"/>
  <c r="BE412" i="1"/>
  <c r="BA412" i="1"/>
  <c r="AL412" i="1"/>
  <c r="AR412" i="1" s="1"/>
  <c r="AG412" i="1"/>
  <c r="AI419" i="1" s="1"/>
  <c r="Z412" i="1"/>
  <c r="Q412" i="1"/>
  <c r="S419" i="1" s="1"/>
  <c r="N412" i="1"/>
  <c r="S418" i="2"/>
  <c r="K418" i="2"/>
  <c r="S417" i="2"/>
  <c r="K417" i="2"/>
  <c r="S416" i="2"/>
  <c r="K416" i="2"/>
  <c r="S415" i="2"/>
  <c r="K415" i="2"/>
  <c r="G413" i="2"/>
  <c r="K413" i="2" s="1"/>
  <c r="S414" i="2"/>
  <c r="K414" i="2"/>
  <c r="S413" i="2"/>
  <c r="U415" i="2" l="1"/>
  <c r="Q417" i="2"/>
  <c r="BM433" i="1"/>
  <c r="BK422" i="1"/>
  <c r="BM422" i="1" s="1"/>
  <c r="BK423" i="1"/>
  <c r="BM423" i="1" s="1"/>
  <c r="BM425" i="1"/>
  <c r="BK424" i="1"/>
  <c r="BM424" i="1" s="1"/>
  <c r="BK419" i="1"/>
  <c r="BM419" i="1" s="1"/>
  <c r="BK420" i="1"/>
  <c r="BM420" i="1" s="1"/>
  <c r="BK421" i="1"/>
  <c r="BM421" i="1" s="1"/>
  <c r="BK418" i="1"/>
  <c r="BM418" i="1" s="1"/>
  <c r="Q419" i="2"/>
  <c r="Q420" i="2"/>
  <c r="BG418" i="1"/>
  <c r="U419" i="2"/>
  <c r="M419" i="2"/>
  <c r="Q418" i="2"/>
  <c r="Q416" i="2"/>
  <c r="AR417" i="1"/>
  <c r="AR416" i="1"/>
  <c r="BG417" i="1"/>
  <c r="BG416" i="1"/>
  <c r="BG415" i="1"/>
  <c r="BG414" i="1"/>
  <c r="BG413" i="1"/>
  <c r="BG412" i="1"/>
  <c r="U418" i="2"/>
  <c r="M418" i="2"/>
  <c r="U417" i="2"/>
  <c r="M417" i="2"/>
  <c r="U416" i="2"/>
  <c r="M416" i="2"/>
  <c r="M415" i="2"/>
  <c r="Q415" i="2"/>
  <c r="Q414" i="2"/>
  <c r="U414" i="2"/>
  <c r="M414" i="2"/>
  <c r="U413" i="2"/>
  <c r="S412" i="2" l="1"/>
  <c r="K412" i="2"/>
  <c r="M413" i="2" l="1"/>
  <c r="Q413" i="2"/>
  <c r="U412" i="2"/>
  <c r="BE411" i="1"/>
  <c r="BA411" i="1"/>
  <c r="BK417" i="1" s="1"/>
  <c r="AL411" i="1"/>
  <c r="AR411" i="1" s="1"/>
  <c r="AG411" i="1"/>
  <c r="AI418" i="1" s="1"/>
  <c r="Z411" i="1"/>
  <c r="Q411" i="1"/>
  <c r="S418" i="1" s="1"/>
  <c r="N411" i="1"/>
  <c r="BE410" i="1"/>
  <c r="BA410" i="1"/>
  <c r="AL410" i="1"/>
  <c r="AR410" i="1" s="1"/>
  <c r="AG410" i="1"/>
  <c r="AI417" i="1" s="1"/>
  <c r="Z410" i="1"/>
  <c r="Q410" i="1"/>
  <c r="S417" i="1" s="1"/>
  <c r="N410" i="1"/>
  <c r="BE409" i="1"/>
  <c r="BA409" i="1"/>
  <c r="AL409" i="1"/>
  <c r="AR409" i="1" s="1"/>
  <c r="AG409" i="1"/>
  <c r="AI416" i="1" s="1"/>
  <c r="Z409" i="1"/>
  <c r="Q409" i="1"/>
  <c r="S416" i="1" s="1"/>
  <c r="N409" i="1"/>
  <c r="BE408" i="1"/>
  <c r="BA408" i="1"/>
  <c r="AL408" i="1"/>
  <c r="AR408" i="1" s="1"/>
  <c r="AG408" i="1"/>
  <c r="AI415" i="1" s="1"/>
  <c r="Z408" i="1"/>
  <c r="Q408" i="1"/>
  <c r="S415" i="1" s="1"/>
  <c r="N408" i="1"/>
  <c r="BE407" i="1"/>
  <c r="BA407" i="1"/>
  <c r="AL407" i="1"/>
  <c r="AR407" i="1" s="1"/>
  <c r="AG407" i="1"/>
  <c r="AI414" i="1" s="1"/>
  <c r="Z407" i="1"/>
  <c r="Q407" i="1"/>
  <c r="S414" i="1" s="1"/>
  <c r="N407" i="1"/>
  <c r="BE406" i="1"/>
  <c r="BA406" i="1"/>
  <c r="AL406" i="1"/>
  <c r="AR406" i="1" s="1"/>
  <c r="AG406" i="1"/>
  <c r="AI413" i="1" s="1"/>
  <c r="Z406" i="1"/>
  <c r="Q406" i="1"/>
  <c r="S413" i="1" s="1"/>
  <c r="N406" i="1"/>
  <c r="BE405" i="1"/>
  <c r="BA405" i="1"/>
  <c r="AL405" i="1"/>
  <c r="AR405" i="1" s="1"/>
  <c r="AG405" i="1"/>
  <c r="AI412" i="1" s="1"/>
  <c r="Z405" i="1"/>
  <c r="Q405" i="1"/>
  <c r="S412" i="1" s="1"/>
  <c r="N405" i="1"/>
  <c r="S411" i="2"/>
  <c r="S410" i="2"/>
  <c r="K411" i="2"/>
  <c r="K410" i="2"/>
  <c r="S409" i="2"/>
  <c r="S408" i="2"/>
  <c r="S407" i="2"/>
  <c r="S406" i="2"/>
  <c r="K409" i="2"/>
  <c r="K408" i="2"/>
  <c r="K407" i="2"/>
  <c r="K406" i="2"/>
  <c r="Q409" i="2" l="1"/>
  <c r="Q411" i="2"/>
  <c r="BM417" i="1"/>
  <c r="BK416" i="1"/>
  <c r="BK415" i="1"/>
  <c r="BM415" i="1" s="1"/>
  <c r="BK414" i="1"/>
  <c r="BM414" i="1" s="1"/>
  <c r="BK413" i="1"/>
  <c r="BM413" i="1" s="1"/>
  <c r="BK412" i="1"/>
  <c r="BM412" i="1" s="1"/>
  <c r="BG408" i="1"/>
  <c r="U406" i="2"/>
  <c r="U407" i="2"/>
  <c r="M408" i="2"/>
  <c r="Q410" i="2"/>
  <c r="M412" i="2"/>
  <c r="Q412" i="2"/>
  <c r="BK411" i="1"/>
  <c r="BM411" i="1" s="1"/>
  <c r="BG411" i="1"/>
  <c r="BG410" i="1"/>
  <c r="BG409" i="1"/>
  <c r="BG407" i="1"/>
  <c r="BG406" i="1"/>
  <c r="BG405" i="1"/>
  <c r="U411" i="2"/>
  <c r="M411" i="2"/>
  <c r="U410" i="2"/>
  <c r="M410" i="2"/>
  <c r="U409" i="2"/>
  <c r="M409" i="2"/>
  <c r="U408" i="2"/>
  <c r="Q408" i="2"/>
  <c r="M407" i="2"/>
  <c r="Q407" i="2"/>
  <c r="BE404" i="1"/>
  <c r="BA404" i="1"/>
  <c r="BK410" i="1" s="1"/>
  <c r="BM410" i="1" s="1"/>
  <c r="AL404" i="1"/>
  <c r="AR404" i="1" s="1"/>
  <c r="AG404" i="1"/>
  <c r="AI411" i="1" s="1"/>
  <c r="Z404" i="1"/>
  <c r="Q404" i="1"/>
  <c r="S411" i="1" s="1"/>
  <c r="N404" i="1"/>
  <c r="BE403" i="1"/>
  <c r="BA403" i="1"/>
  <c r="AL403" i="1"/>
  <c r="AR403" i="1" s="1"/>
  <c r="AG403" i="1"/>
  <c r="AI410" i="1" s="1"/>
  <c r="Z403" i="1"/>
  <c r="Q403" i="1"/>
  <c r="S410" i="1" s="1"/>
  <c r="N403" i="1"/>
  <c r="BE402" i="1"/>
  <c r="BA402" i="1"/>
  <c r="AL402" i="1"/>
  <c r="AR402" i="1" s="1"/>
  <c r="AG402" i="1"/>
  <c r="AI409" i="1" s="1"/>
  <c r="Z402" i="1"/>
  <c r="Q402" i="1"/>
  <c r="S409" i="1" s="1"/>
  <c r="N402" i="1"/>
  <c r="BE401" i="1"/>
  <c r="BA401" i="1"/>
  <c r="AL401" i="1"/>
  <c r="AR401" i="1" s="1"/>
  <c r="AG401" i="1"/>
  <c r="AI408" i="1" s="1"/>
  <c r="Z401" i="1"/>
  <c r="Q401" i="1"/>
  <c r="S408" i="1" s="1"/>
  <c r="N401" i="1"/>
  <c r="BE400" i="1"/>
  <c r="BA400" i="1"/>
  <c r="AL400" i="1"/>
  <c r="AR400" i="1" s="1"/>
  <c r="AG400" i="1"/>
  <c r="AI407" i="1" s="1"/>
  <c r="Z400" i="1"/>
  <c r="Q400" i="1"/>
  <c r="S407" i="1" s="1"/>
  <c r="N400" i="1"/>
  <c r="BE399" i="1"/>
  <c r="BA399" i="1"/>
  <c r="AL399" i="1"/>
  <c r="AR399" i="1" s="1"/>
  <c r="AG399" i="1"/>
  <c r="AI406" i="1" s="1"/>
  <c r="Z399" i="1"/>
  <c r="Q399" i="1"/>
  <c r="S406" i="1" s="1"/>
  <c r="N399" i="1"/>
  <c r="BE398" i="1"/>
  <c r="BA398" i="1"/>
  <c r="AL398" i="1"/>
  <c r="AR398" i="1" s="1"/>
  <c r="AG398" i="1"/>
  <c r="AI405" i="1" s="1"/>
  <c r="Z398" i="1"/>
  <c r="Q398" i="1"/>
  <c r="S405" i="1" s="1"/>
  <c r="N398" i="1"/>
  <c r="S405" i="2"/>
  <c r="K405" i="2"/>
  <c r="M406" i="2" s="1"/>
  <c r="S404" i="2"/>
  <c r="K404" i="2"/>
  <c r="S403" i="2"/>
  <c r="K403" i="2"/>
  <c r="S402" i="2"/>
  <c r="K402" i="2"/>
  <c r="S401" i="2"/>
  <c r="K401" i="2"/>
  <c r="S400" i="2"/>
  <c r="K400" i="2"/>
  <c r="S399" i="2"/>
  <c r="K399" i="2"/>
  <c r="M404" i="2" l="1"/>
  <c r="BM416" i="1"/>
  <c r="M402" i="2"/>
  <c r="Q406" i="2"/>
  <c r="BK407" i="1"/>
  <c r="BM407" i="1" s="1"/>
  <c r="BK409" i="1"/>
  <c r="BM409" i="1" s="1"/>
  <c r="BK405" i="1"/>
  <c r="BM405" i="1" s="1"/>
  <c r="BK404" i="1"/>
  <c r="BM404" i="1" s="1"/>
  <c r="BK408" i="1"/>
  <c r="BM408" i="1" s="1"/>
  <c r="BK406" i="1"/>
  <c r="BM406" i="1" s="1"/>
  <c r="M405" i="2"/>
  <c r="Q400" i="2"/>
  <c r="Q403" i="2"/>
  <c r="Q401" i="2"/>
  <c r="BG404" i="1"/>
  <c r="BG399" i="1"/>
  <c r="BG403" i="1"/>
  <c r="BG402" i="1"/>
  <c r="BG401" i="1"/>
  <c r="BG400" i="1"/>
  <c r="BG398" i="1"/>
  <c r="U405" i="2"/>
  <c r="Q405" i="2"/>
  <c r="U404" i="2"/>
  <c r="Q404" i="2"/>
  <c r="U403" i="2"/>
  <c r="M403" i="2"/>
  <c r="U402" i="2"/>
  <c r="Q402" i="2"/>
  <c r="U401" i="2"/>
  <c r="M401" i="2"/>
  <c r="U400" i="2"/>
  <c r="M400" i="2"/>
  <c r="U399" i="2"/>
  <c r="BA857" i="1" l="1"/>
  <c r="BE397" i="1"/>
  <c r="BA397" i="1"/>
  <c r="BK403" i="1" s="1"/>
  <c r="AL397" i="1"/>
  <c r="AG397" i="1"/>
  <c r="AI404" i="1" s="1"/>
  <c r="Z397" i="1"/>
  <c r="Q397" i="1"/>
  <c r="S404" i="1" s="1"/>
  <c r="N397" i="1"/>
  <c r="BE396" i="1"/>
  <c r="BA396" i="1"/>
  <c r="AL396" i="1"/>
  <c r="AR396" i="1" s="1"/>
  <c r="AG396" i="1"/>
  <c r="AI403" i="1" s="1"/>
  <c r="Z396" i="1"/>
  <c r="Q396" i="1"/>
  <c r="N396" i="1"/>
  <c r="BE395" i="1"/>
  <c r="BA395" i="1"/>
  <c r="AL395" i="1"/>
  <c r="AR395" i="1" s="1"/>
  <c r="AG395" i="1"/>
  <c r="AI402" i="1" s="1"/>
  <c r="Z395" i="1"/>
  <c r="Q395" i="1"/>
  <c r="S402" i="1" s="1"/>
  <c r="N395" i="1"/>
  <c r="BE394" i="1"/>
  <c r="BA394" i="1"/>
  <c r="AL394" i="1"/>
  <c r="AR394" i="1" s="1"/>
  <c r="AG394" i="1"/>
  <c r="AI401" i="1" s="1"/>
  <c r="Z394" i="1"/>
  <c r="Q394" i="1"/>
  <c r="S401" i="1" s="1"/>
  <c r="N394" i="1"/>
  <c r="BE393" i="1"/>
  <c r="BA393" i="1"/>
  <c r="AL393" i="1"/>
  <c r="AR393" i="1" s="1"/>
  <c r="AG393" i="1"/>
  <c r="AI400" i="1" s="1"/>
  <c r="Z393" i="1"/>
  <c r="Q393" i="1"/>
  <c r="N393" i="1"/>
  <c r="BE392" i="1"/>
  <c r="BA392" i="1"/>
  <c r="AL392" i="1"/>
  <c r="AR392" i="1" s="1"/>
  <c r="AG392" i="1"/>
  <c r="AI399" i="1" s="1"/>
  <c r="Z392" i="1"/>
  <c r="Q392" i="1"/>
  <c r="S399" i="1" s="1"/>
  <c r="N392" i="1"/>
  <c r="BE391" i="1"/>
  <c r="BA391" i="1"/>
  <c r="AL391" i="1"/>
  <c r="AR391" i="1" s="1"/>
  <c r="AG391" i="1"/>
  <c r="Z391" i="1"/>
  <c r="Q391" i="1"/>
  <c r="S398" i="1" s="1"/>
  <c r="N391" i="1"/>
  <c r="S398" i="2"/>
  <c r="K398" i="2"/>
  <c r="S397" i="2"/>
  <c r="K397" i="2"/>
  <c r="S396" i="2"/>
  <c r="K396" i="2"/>
  <c r="S395" i="2"/>
  <c r="K395" i="2"/>
  <c r="S394" i="2"/>
  <c r="K394" i="2"/>
  <c r="S393" i="2"/>
  <c r="K393" i="2"/>
  <c r="S392" i="2"/>
  <c r="K392" i="2"/>
  <c r="BE390" i="1"/>
  <c r="BA390" i="1"/>
  <c r="AL390" i="1"/>
  <c r="AR390" i="1" s="1"/>
  <c r="AG390" i="1"/>
  <c r="Z390" i="1"/>
  <c r="Q390" i="1"/>
  <c r="N390" i="1"/>
  <c r="BE389" i="1"/>
  <c r="BA389" i="1"/>
  <c r="AL389" i="1"/>
  <c r="AR389" i="1" s="1"/>
  <c r="AG389" i="1"/>
  <c r="Z389" i="1"/>
  <c r="Q389" i="1"/>
  <c r="N389" i="1"/>
  <c r="BE388" i="1"/>
  <c r="BA388" i="1"/>
  <c r="AL388" i="1"/>
  <c r="AR388" i="1" s="1"/>
  <c r="AG388" i="1"/>
  <c r="Z388" i="1"/>
  <c r="Q388" i="1"/>
  <c r="N388" i="1"/>
  <c r="BE387" i="1"/>
  <c r="BA387" i="1"/>
  <c r="AL387" i="1"/>
  <c r="AR387" i="1" s="1"/>
  <c r="AG387" i="1"/>
  <c r="Z387" i="1"/>
  <c r="Q387" i="1"/>
  <c r="N387" i="1"/>
  <c r="BE386" i="1"/>
  <c r="BA386" i="1"/>
  <c r="AL386" i="1"/>
  <c r="AR386" i="1" s="1"/>
  <c r="AG386" i="1"/>
  <c r="Z386" i="1"/>
  <c r="Q386" i="1"/>
  <c r="N386" i="1"/>
  <c r="BE385" i="1"/>
  <c r="BA385" i="1"/>
  <c r="AL385" i="1"/>
  <c r="AR385" i="1" s="1"/>
  <c r="AG385" i="1"/>
  <c r="Z385" i="1"/>
  <c r="Q385" i="1"/>
  <c r="N385" i="1"/>
  <c r="BE384" i="1"/>
  <c r="BA384" i="1"/>
  <c r="AL384" i="1"/>
  <c r="AR384" i="1" s="1"/>
  <c r="AG384" i="1"/>
  <c r="Z384" i="1"/>
  <c r="Q384" i="1"/>
  <c r="N384" i="1"/>
  <c r="S391" i="2"/>
  <c r="K391" i="2"/>
  <c r="S390" i="2"/>
  <c r="K390" i="2"/>
  <c r="S389" i="2"/>
  <c r="K389" i="2"/>
  <c r="S388" i="2"/>
  <c r="K388" i="2"/>
  <c r="S387" i="2"/>
  <c r="K387" i="2"/>
  <c r="S386" i="2"/>
  <c r="K386" i="2"/>
  <c r="S385" i="2"/>
  <c r="K385" i="2"/>
  <c r="BK402" i="1" l="1"/>
  <c r="BM402" i="1" s="1"/>
  <c r="BK400" i="1"/>
  <c r="BM400" i="1" s="1"/>
  <c r="Q398" i="2"/>
  <c r="Q399" i="2"/>
  <c r="M399" i="2"/>
  <c r="U398" i="2"/>
  <c r="Q395" i="2"/>
  <c r="BK399" i="1"/>
  <c r="BM399" i="1" s="1"/>
  <c r="S396" i="1"/>
  <c r="S403" i="1"/>
  <c r="BK396" i="1"/>
  <c r="BM396" i="1" s="1"/>
  <c r="S393" i="1"/>
  <c r="S400" i="1"/>
  <c r="BM403" i="1"/>
  <c r="BK395" i="1"/>
  <c r="BM395" i="1" s="1"/>
  <c r="BK401" i="1"/>
  <c r="BM401" i="1" s="1"/>
  <c r="BK392" i="1"/>
  <c r="BM392" i="1" s="1"/>
  <c r="BK398" i="1"/>
  <c r="AI397" i="1"/>
  <c r="BG388" i="1"/>
  <c r="AI391" i="1"/>
  <c r="AI398" i="1"/>
  <c r="BK394" i="1"/>
  <c r="BM394" i="1" s="1"/>
  <c r="AR397" i="1"/>
  <c r="AI393" i="1"/>
  <c r="AI396" i="1"/>
  <c r="BK397" i="1"/>
  <c r="BM397" i="1" s="1"/>
  <c r="BK391" i="1"/>
  <c r="BM391" i="1" s="1"/>
  <c r="AI395" i="1"/>
  <c r="AI392" i="1"/>
  <c r="BK393" i="1"/>
  <c r="BM393" i="1" s="1"/>
  <c r="AI394" i="1"/>
  <c r="S395" i="1"/>
  <c r="Q396" i="2"/>
  <c r="Q390" i="2"/>
  <c r="M394" i="2"/>
  <c r="Q397" i="2"/>
  <c r="M389" i="2"/>
  <c r="Q387" i="2"/>
  <c r="Q392" i="2"/>
  <c r="S397" i="1"/>
  <c r="BG397" i="1"/>
  <c r="BG396" i="1"/>
  <c r="BG395" i="1"/>
  <c r="BG394" i="1"/>
  <c r="S394" i="1"/>
  <c r="BG393" i="1"/>
  <c r="S392" i="1"/>
  <c r="BG392" i="1"/>
  <c r="BG391" i="1"/>
  <c r="S391" i="1"/>
  <c r="M398" i="2"/>
  <c r="U397" i="2"/>
  <c r="M397" i="2"/>
  <c r="U396" i="2"/>
  <c r="M396" i="2"/>
  <c r="U395" i="2"/>
  <c r="M395" i="2"/>
  <c r="U394" i="2"/>
  <c r="Q394" i="2"/>
  <c r="U392" i="2"/>
  <c r="Q393" i="2"/>
  <c r="U393" i="2"/>
  <c r="M393" i="2"/>
  <c r="M392" i="2"/>
  <c r="Q388" i="2"/>
  <c r="Q391" i="2"/>
  <c r="M386" i="2"/>
  <c r="BK390" i="1"/>
  <c r="BG390" i="1"/>
  <c r="BG389" i="1"/>
  <c r="BG387" i="1"/>
  <c r="BG386" i="1"/>
  <c r="BG385" i="1"/>
  <c r="BG384" i="1"/>
  <c r="U391" i="2"/>
  <c r="M391" i="2"/>
  <c r="U390" i="2"/>
  <c r="M390" i="2"/>
  <c r="U389" i="2"/>
  <c r="Q389" i="2"/>
  <c r="U388" i="2"/>
  <c r="M388" i="2"/>
  <c r="U387" i="2"/>
  <c r="M387" i="2"/>
  <c r="U386" i="2"/>
  <c r="Q386" i="2"/>
  <c r="U385" i="2"/>
  <c r="BM398" i="1" l="1"/>
  <c r="BM390" i="1"/>
  <c r="BE383" i="1" l="1"/>
  <c r="BA383" i="1"/>
  <c r="AL383" i="1"/>
  <c r="AR383" i="1" s="1"/>
  <c r="AG383" i="1"/>
  <c r="Z383" i="1"/>
  <c r="Q383" i="1"/>
  <c r="S390" i="1" s="1"/>
  <c r="N383" i="1"/>
  <c r="BE382" i="1"/>
  <c r="BA382" i="1"/>
  <c r="AL382" i="1"/>
  <c r="AR382" i="1" s="1"/>
  <c r="AG382" i="1"/>
  <c r="Z382" i="1"/>
  <c r="Q382" i="1"/>
  <c r="N382" i="1"/>
  <c r="BE381" i="1"/>
  <c r="BA381" i="1"/>
  <c r="AL381" i="1"/>
  <c r="AR381" i="1" s="1"/>
  <c r="AG381" i="1"/>
  <c r="Z381" i="1"/>
  <c r="Q381" i="1"/>
  <c r="N381" i="1"/>
  <c r="BE380" i="1"/>
  <c r="BA380" i="1"/>
  <c r="AL380" i="1"/>
  <c r="AR380" i="1" s="1"/>
  <c r="AG380" i="1"/>
  <c r="AI387" i="1" s="1"/>
  <c r="Z380" i="1"/>
  <c r="Q380" i="1"/>
  <c r="S387" i="1" s="1"/>
  <c r="N380" i="1"/>
  <c r="BE379" i="1"/>
  <c r="BA379" i="1"/>
  <c r="AL379" i="1"/>
  <c r="AR379" i="1" s="1"/>
  <c r="AG379" i="1"/>
  <c r="AI386" i="1" s="1"/>
  <c r="Z379" i="1"/>
  <c r="Q379" i="1"/>
  <c r="S386" i="1" s="1"/>
  <c r="N379" i="1"/>
  <c r="BE378" i="1"/>
  <c r="BA378" i="1"/>
  <c r="AL378" i="1"/>
  <c r="AR378" i="1" s="1"/>
  <c r="AG378" i="1"/>
  <c r="AI385" i="1" s="1"/>
  <c r="Z378" i="1"/>
  <c r="Q378" i="1"/>
  <c r="S385" i="1" s="1"/>
  <c r="N378" i="1"/>
  <c r="BE377" i="1"/>
  <c r="BA377" i="1"/>
  <c r="AL377" i="1"/>
  <c r="AR377" i="1" s="1"/>
  <c r="AG377" i="1"/>
  <c r="AI384" i="1" s="1"/>
  <c r="Z377" i="1"/>
  <c r="Q377" i="1"/>
  <c r="S384" i="1" s="1"/>
  <c r="N377" i="1"/>
  <c r="S384" i="2"/>
  <c r="K384" i="2"/>
  <c r="S383" i="2"/>
  <c r="S382" i="2"/>
  <c r="K383" i="2"/>
  <c r="K382" i="2"/>
  <c r="S380" i="2"/>
  <c r="S381" i="2"/>
  <c r="K381" i="2"/>
  <c r="K380" i="2"/>
  <c r="S379" i="2"/>
  <c r="K379" i="2"/>
  <c r="S378" i="2"/>
  <c r="K378" i="2"/>
  <c r="BK387" i="1" l="1"/>
  <c r="BM387" i="1" s="1"/>
  <c r="AI390" i="1"/>
  <c r="S388" i="1"/>
  <c r="BK386" i="1"/>
  <c r="BM386" i="1" s="1"/>
  <c r="AI389" i="1"/>
  <c r="BK383" i="1"/>
  <c r="BM383" i="1" s="1"/>
  <c r="BK389" i="1"/>
  <c r="BK384" i="1"/>
  <c r="BM384" i="1" s="1"/>
  <c r="BK385" i="1"/>
  <c r="BM385" i="1" s="1"/>
  <c r="AI388" i="1"/>
  <c r="BK388" i="1"/>
  <c r="BM388" i="1" s="1"/>
  <c r="S389" i="1"/>
  <c r="Q384" i="2"/>
  <c r="Q385" i="2"/>
  <c r="M385" i="2"/>
  <c r="M383" i="2"/>
  <c r="Q381" i="2"/>
  <c r="BG383" i="1"/>
  <c r="BG382" i="1"/>
  <c r="BG381" i="1"/>
  <c r="BG380" i="1"/>
  <c r="BG379" i="1"/>
  <c r="BG378" i="1"/>
  <c r="BG377" i="1"/>
  <c r="M379" i="2"/>
  <c r="U384" i="2"/>
  <c r="M384" i="2"/>
  <c r="U382" i="2"/>
  <c r="U383" i="2"/>
  <c r="Q383" i="2"/>
  <c r="M382" i="2"/>
  <c r="Q382" i="2"/>
  <c r="U381" i="2"/>
  <c r="M381" i="2"/>
  <c r="Q380" i="2"/>
  <c r="U379" i="2"/>
  <c r="Q379" i="2"/>
  <c r="U378" i="2"/>
  <c r="U380" i="2"/>
  <c r="M380" i="2"/>
  <c r="BE376" i="1"/>
  <c r="BA376" i="1"/>
  <c r="BK382" i="1" s="1"/>
  <c r="BM382" i="1" s="1"/>
  <c r="AL376" i="1"/>
  <c r="AR376" i="1" s="1"/>
  <c r="AG376" i="1"/>
  <c r="AI383" i="1" s="1"/>
  <c r="Z376" i="1"/>
  <c r="Q376" i="1"/>
  <c r="S383" i="1" s="1"/>
  <c r="N376" i="1"/>
  <c r="BE375" i="1"/>
  <c r="BA375" i="1"/>
  <c r="AL375" i="1"/>
  <c r="AG375" i="1"/>
  <c r="AI382" i="1" s="1"/>
  <c r="Z375" i="1"/>
  <c r="Q375" i="1"/>
  <c r="S382" i="1" s="1"/>
  <c r="N375" i="1"/>
  <c r="BE374" i="1"/>
  <c r="BA374" i="1"/>
  <c r="AL374" i="1"/>
  <c r="AR374" i="1" s="1"/>
  <c r="AG374" i="1"/>
  <c r="AI381" i="1" s="1"/>
  <c r="Z374" i="1"/>
  <c r="Q374" i="1"/>
  <c r="S381" i="1" s="1"/>
  <c r="N374" i="1"/>
  <c r="BE373" i="1"/>
  <c r="BA373" i="1"/>
  <c r="AL373" i="1"/>
  <c r="AR373" i="1" s="1"/>
  <c r="AG373" i="1"/>
  <c r="AI380" i="1" s="1"/>
  <c r="Z373" i="1"/>
  <c r="Q373" i="1"/>
  <c r="N373" i="1"/>
  <c r="BE372" i="1"/>
  <c r="BA372" i="1"/>
  <c r="AL372" i="1"/>
  <c r="AR372" i="1" s="1"/>
  <c r="AG372" i="1"/>
  <c r="AI379" i="1" s="1"/>
  <c r="Z372" i="1"/>
  <c r="Q372" i="1"/>
  <c r="S379" i="1" s="1"/>
  <c r="N372" i="1"/>
  <c r="BE371" i="1"/>
  <c r="BA371" i="1"/>
  <c r="AL371" i="1"/>
  <c r="AR371" i="1" s="1"/>
  <c r="AG371" i="1"/>
  <c r="AI378" i="1" s="1"/>
  <c r="Z371" i="1"/>
  <c r="Q371" i="1"/>
  <c r="S378" i="1" s="1"/>
  <c r="N371" i="1"/>
  <c r="BE370" i="1"/>
  <c r="BA370" i="1"/>
  <c r="AL370" i="1"/>
  <c r="AR370" i="1" s="1"/>
  <c r="AG370" i="1"/>
  <c r="AI377" i="1" s="1"/>
  <c r="Z370" i="1"/>
  <c r="Q370" i="1"/>
  <c r="S377" i="1" s="1"/>
  <c r="N370" i="1"/>
  <c r="S377" i="2"/>
  <c r="K377" i="2"/>
  <c r="M378" i="2" s="1"/>
  <c r="S376" i="2"/>
  <c r="K376" i="2"/>
  <c r="S375" i="2"/>
  <c r="K375" i="2"/>
  <c r="S374" i="2"/>
  <c r="K374" i="2"/>
  <c r="S373" i="2"/>
  <c r="K373" i="2"/>
  <c r="S372" i="2"/>
  <c r="K372" i="2"/>
  <c r="S371" i="2"/>
  <c r="K371" i="2"/>
  <c r="BK381" i="1" l="1"/>
  <c r="BM381" i="1" s="1"/>
  <c r="BK379" i="1"/>
  <c r="BM379" i="1" s="1"/>
  <c r="BM389" i="1"/>
  <c r="BK376" i="1"/>
  <c r="BM376" i="1" s="1"/>
  <c r="M376" i="2"/>
  <c r="U376" i="2"/>
  <c r="Q378" i="2"/>
  <c r="M373" i="2"/>
  <c r="U377" i="2"/>
  <c r="BK380" i="1"/>
  <c r="BK377" i="1"/>
  <c r="BM377" i="1" s="1"/>
  <c r="S380" i="1"/>
  <c r="BK378" i="1"/>
  <c r="BM378" i="1" s="1"/>
  <c r="Q375" i="2"/>
  <c r="U373" i="2"/>
  <c r="Q374" i="2"/>
  <c r="Q372" i="2"/>
  <c r="M377" i="2"/>
  <c r="BG376" i="1"/>
  <c r="AR375" i="1"/>
  <c r="BG375" i="1"/>
  <c r="BG374" i="1"/>
  <c r="BG373" i="1"/>
  <c r="BG372" i="1"/>
  <c r="BG371" i="1"/>
  <c r="BG370" i="1"/>
  <c r="Q377" i="2"/>
  <c r="Q376" i="2"/>
  <c r="U375" i="2"/>
  <c r="M375" i="2"/>
  <c r="U374" i="2"/>
  <c r="M374" i="2"/>
  <c r="Q373" i="2"/>
  <c r="U372" i="2"/>
  <c r="M372" i="2"/>
  <c r="U371" i="2"/>
  <c r="BM380" i="1" l="1"/>
  <c r="Z369" i="1" l="1"/>
  <c r="Z306" i="1"/>
  <c r="D779" i="1"/>
  <c r="D778" i="1"/>
  <c r="BE369" i="1" l="1"/>
  <c r="BA369" i="1"/>
  <c r="BK375" i="1" s="1"/>
  <c r="BM375" i="1" s="1"/>
  <c r="AL369" i="1"/>
  <c r="AR369" i="1" s="1"/>
  <c r="AG369" i="1"/>
  <c r="AI376" i="1" s="1"/>
  <c r="Q369" i="1"/>
  <c r="S376" i="1" s="1"/>
  <c r="N369" i="1"/>
  <c r="S370" i="2"/>
  <c r="K370" i="2"/>
  <c r="Q371" i="2" l="1"/>
  <c r="M371" i="2"/>
  <c r="BG369" i="1"/>
  <c r="U370" i="2"/>
  <c r="BE368" i="1"/>
  <c r="BA368" i="1"/>
  <c r="BK374" i="1" s="1"/>
  <c r="BM374" i="1" s="1"/>
  <c r="AL368" i="1"/>
  <c r="AR368" i="1" s="1"/>
  <c r="AG368" i="1"/>
  <c r="AI375" i="1" s="1"/>
  <c r="Q368" i="1"/>
  <c r="S375" i="1" s="1"/>
  <c r="N368" i="1"/>
  <c r="BE367" i="1"/>
  <c r="BA367" i="1"/>
  <c r="AL367" i="1"/>
  <c r="AR367" i="1" s="1"/>
  <c r="AG367" i="1"/>
  <c r="AI374" i="1" s="1"/>
  <c r="Q367" i="1"/>
  <c r="S374" i="1" s="1"/>
  <c r="N367" i="1"/>
  <c r="BE366" i="1"/>
  <c r="BA366" i="1"/>
  <c r="AL366" i="1"/>
  <c r="AR366" i="1" s="1"/>
  <c r="AG366" i="1"/>
  <c r="AI373" i="1" s="1"/>
  <c r="Q366" i="1"/>
  <c r="S373" i="1" s="1"/>
  <c r="N366" i="1"/>
  <c r="BE365" i="1"/>
  <c r="BA365" i="1"/>
  <c r="AL365" i="1"/>
  <c r="AR365" i="1" s="1"/>
  <c r="AG365" i="1"/>
  <c r="AI372" i="1" s="1"/>
  <c r="Q365" i="1"/>
  <c r="S372" i="1" s="1"/>
  <c r="N365" i="1"/>
  <c r="BE364" i="1"/>
  <c r="BA364" i="1"/>
  <c r="AL364" i="1"/>
  <c r="AG364" i="1"/>
  <c r="AI371" i="1" s="1"/>
  <c r="Q364" i="1"/>
  <c r="S371" i="1" s="1"/>
  <c r="N364" i="1"/>
  <c r="BE363" i="1"/>
  <c r="BA363" i="1"/>
  <c r="AL363" i="1"/>
  <c r="AR363" i="1" s="1"/>
  <c r="AG363" i="1"/>
  <c r="AI370" i="1" s="1"/>
  <c r="Q363" i="1"/>
  <c r="S370" i="1" s="1"/>
  <c r="N363" i="1"/>
  <c r="S369" i="2"/>
  <c r="K369" i="2"/>
  <c r="Q370" i="2" s="1"/>
  <c r="S368" i="2"/>
  <c r="K368" i="2"/>
  <c r="S367" i="2"/>
  <c r="K367" i="2"/>
  <c r="S366" i="2"/>
  <c r="K366" i="2"/>
  <c r="S365" i="2"/>
  <c r="K365" i="2"/>
  <c r="S364" i="2"/>
  <c r="K364" i="2"/>
  <c r="BE858" i="1"/>
  <c r="BG878" i="1"/>
  <c r="BG879" i="1" s="1"/>
  <c r="BK373" i="1" l="1"/>
  <c r="BM373" i="1" s="1"/>
  <c r="M368" i="2"/>
  <c r="BK372" i="1"/>
  <c r="BM372" i="1" s="1"/>
  <c r="BK369" i="1"/>
  <c r="BM369" i="1" s="1"/>
  <c r="Q365" i="2"/>
  <c r="M366" i="2"/>
  <c r="BK371" i="1"/>
  <c r="BK370" i="1"/>
  <c r="BM370" i="1" s="1"/>
  <c r="M367" i="2"/>
  <c r="Q369" i="2"/>
  <c r="M370" i="2"/>
  <c r="BG368" i="1"/>
  <c r="BG367" i="1"/>
  <c r="BG366" i="1"/>
  <c r="BG365" i="1"/>
  <c r="AR364" i="1"/>
  <c r="BG364" i="1"/>
  <c r="BG363" i="1"/>
  <c r="U369" i="2"/>
  <c r="M369" i="2"/>
  <c r="Q368" i="2"/>
  <c r="U368" i="2"/>
  <c r="U367" i="2"/>
  <c r="Q367" i="2"/>
  <c r="Q366" i="2"/>
  <c r="U366" i="2"/>
  <c r="U365" i="2"/>
  <c r="M365" i="2"/>
  <c r="U364" i="2"/>
  <c r="BP878" i="1"/>
  <c r="BM371" i="1" l="1"/>
  <c r="BE362" i="1"/>
  <c r="BA362" i="1"/>
  <c r="BK368" i="1" s="1"/>
  <c r="AL362" i="1"/>
  <c r="AR362" i="1" s="1"/>
  <c r="AG362" i="1"/>
  <c r="AI369" i="1" s="1"/>
  <c r="Q362" i="1"/>
  <c r="S369" i="1" s="1"/>
  <c r="N362" i="1"/>
  <c r="BE361" i="1"/>
  <c r="BA361" i="1"/>
  <c r="AL361" i="1"/>
  <c r="AR361" i="1" s="1"/>
  <c r="AG361" i="1"/>
  <c r="AI368" i="1" s="1"/>
  <c r="Q361" i="1"/>
  <c r="S368" i="1" s="1"/>
  <c r="N361" i="1"/>
  <c r="BE360" i="1"/>
  <c r="BA360" i="1"/>
  <c r="AL360" i="1"/>
  <c r="AG360" i="1"/>
  <c r="AI367" i="1" s="1"/>
  <c r="Q360" i="1"/>
  <c r="S367" i="1" s="1"/>
  <c r="N360" i="1"/>
  <c r="BE359" i="1"/>
  <c r="BA359" i="1"/>
  <c r="AL359" i="1"/>
  <c r="AR359" i="1" s="1"/>
  <c r="AG359" i="1"/>
  <c r="AI366" i="1" s="1"/>
  <c r="Q359" i="1"/>
  <c r="S366" i="1" s="1"/>
  <c r="N359" i="1"/>
  <c r="BE358" i="1"/>
  <c r="BA358" i="1"/>
  <c r="AL358" i="1"/>
  <c r="AG358" i="1"/>
  <c r="AI365" i="1" s="1"/>
  <c r="Q358" i="1"/>
  <c r="S365" i="1" s="1"/>
  <c r="N358" i="1"/>
  <c r="BE357" i="1"/>
  <c r="AG357" i="1"/>
  <c r="AI364" i="1" s="1"/>
  <c r="Q357" i="1"/>
  <c r="S364" i="1" s="1"/>
  <c r="N357" i="1"/>
  <c r="S363" i="2"/>
  <c r="K363" i="2"/>
  <c r="S362" i="2"/>
  <c r="K362" i="2"/>
  <c r="S361" i="2"/>
  <c r="K361" i="2"/>
  <c r="S360" i="2"/>
  <c r="K360" i="2"/>
  <c r="S359" i="2"/>
  <c r="K359" i="2"/>
  <c r="G357" i="2"/>
  <c r="E357" i="2"/>
  <c r="S358" i="2"/>
  <c r="K358" i="2"/>
  <c r="BC356" i="1"/>
  <c r="BA356" i="1" s="1"/>
  <c r="AP356" i="1"/>
  <c r="AL356" i="1" s="1"/>
  <c r="AR356" i="1" s="1"/>
  <c r="BE356" i="1"/>
  <c r="AG356" i="1"/>
  <c r="AI363" i="1" s="1"/>
  <c r="Q356" i="1"/>
  <c r="S363" i="1" s="1"/>
  <c r="N356" i="1"/>
  <c r="S357" i="2"/>
  <c r="AP893" i="1"/>
  <c r="BP879" i="1"/>
  <c r="BG880" i="1" s="1"/>
  <c r="BN876" i="1"/>
  <c r="BP876" i="1" s="1"/>
  <c r="BE355" i="1"/>
  <c r="BA355" i="1"/>
  <c r="AL355" i="1"/>
  <c r="AR355" i="1" s="1"/>
  <c r="AG355" i="1"/>
  <c r="Q355" i="1"/>
  <c r="N355" i="1"/>
  <c r="BE354" i="1"/>
  <c r="BA354" i="1"/>
  <c r="AL354" i="1"/>
  <c r="AR354" i="1" s="1"/>
  <c r="AG354" i="1"/>
  <c r="Q354" i="1"/>
  <c r="N354" i="1"/>
  <c r="BE353" i="1"/>
  <c r="BA353" i="1"/>
  <c r="AL353" i="1"/>
  <c r="AR353" i="1" s="1"/>
  <c r="AG353" i="1"/>
  <c r="Q353" i="1"/>
  <c r="N353" i="1"/>
  <c r="BE352" i="1"/>
  <c r="BA352" i="1"/>
  <c r="AL352" i="1"/>
  <c r="AR352" i="1" s="1"/>
  <c r="AG352" i="1"/>
  <c r="Q352" i="1"/>
  <c r="N352" i="1"/>
  <c r="AL351" i="1"/>
  <c r="BE351" i="1"/>
  <c r="BA351" i="1"/>
  <c r="AG351" i="1"/>
  <c r="Q351" i="1"/>
  <c r="N351" i="1"/>
  <c r="BE350" i="1"/>
  <c r="BA350" i="1"/>
  <c r="AR350" i="1"/>
  <c r="AG350" i="1"/>
  <c r="Q350" i="1"/>
  <c r="N350" i="1"/>
  <c r="BE349" i="1"/>
  <c r="BA349" i="1"/>
  <c r="AL349" i="1"/>
  <c r="AR349" i="1" s="1"/>
  <c r="AG349" i="1"/>
  <c r="Q349" i="1"/>
  <c r="N349" i="1"/>
  <c r="S356" i="2"/>
  <c r="K356" i="2"/>
  <c r="S355" i="2"/>
  <c r="K355" i="2"/>
  <c r="S354" i="2"/>
  <c r="K354" i="2"/>
  <c r="G352" i="2"/>
  <c r="E352" i="2"/>
  <c r="S353" i="2"/>
  <c r="K353" i="2"/>
  <c r="S352" i="2"/>
  <c r="S351" i="2"/>
  <c r="K351" i="2"/>
  <c r="S350" i="2"/>
  <c r="K350" i="2"/>
  <c r="K357" i="2" l="1"/>
  <c r="Q357" i="2" s="1"/>
  <c r="BE857" i="1"/>
  <c r="BP857" i="1" s="1"/>
  <c r="BP859" i="1"/>
  <c r="BP860" i="1" s="1"/>
  <c r="U356" i="2"/>
  <c r="BK364" i="1"/>
  <c r="BM364" i="1" s="1"/>
  <c r="Q362" i="2"/>
  <c r="U363" i="2"/>
  <c r="Q364" i="2"/>
  <c r="M364" i="2"/>
  <c r="Q360" i="2"/>
  <c r="M356" i="2"/>
  <c r="BM368" i="1"/>
  <c r="BK367" i="1"/>
  <c r="BM367" i="1" s="1"/>
  <c r="BK366" i="1"/>
  <c r="BM366" i="1" s="1"/>
  <c r="BP880" i="1"/>
  <c r="BG881" i="1" s="1"/>
  <c r="BK365" i="1"/>
  <c r="BM365" i="1" s="1"/>
  <c r="Q361" i="2"/>
  <c r="S360" i="1"/>
  <c r="AL357" i="1"/>
  <c r="AR357" i="1" s="1"/>
  <c r="AI360" i="1"/>
  <c r="AI359" i="1"/>
  <c r="AI357" i="1"/>
  <c r="S359" i="1"/>
  <c r="AI362" i="1"/>
  <c r="S362" i="1"/>
  <c r="BG362" i="1"/>
  <c r="BG361" i="1"/>
  <c r="AI361" i="1"/>
  <c r="S361" i="1"/>
  <c r="AR360" i="1"/>
  <c r="BG360" i="1"/>
  <c r="BG359" i="1"/>
  <c r="BK356" i="1"/>
  <c r="BM356" i="1" s="1"/>
  <c r="BA357" i="1"/>
  <c r="BK358" i="1" s="1"/>
  <c r="BM358" i="1" s="1"/>
  <c r="AI358" i="1"/>
  <c r="AI356" i="1"/>
  <c r="AR358" i="1"/>
  <c r="S358" i="1"/>
  <c r="BG358" i="1"/>
  <c r="S357" i="1"/>
  <c r="M363" i="2"/>
  <c r="Q363" i="2"/>
  <c r="M362" i="2"/>
  <c r="U362" i="2"/>
  <c r="U361" i="2"/>
  <c r="M361" i="2"/>
  <c r="U360" i="2"/>
  <c r="M360" i="2"/>
  <c r="U359" i="2"/>
  <c r="M359" i="2"/>
  <c r="Q359" i="2"/>
  <c r="U358" i="2"/>
  <c r="BG356" i="1"/>
  <c r="S356" i="1"/>
  <c r="K352" i="2"/>
  <c r="U352" i="2" s="1"/>
  <c r="Q354" i="2"/>
  <c r="M351" i="2"/>
  <c r="M355" i="2"/>
  <c r="BN877" i="1"/>
  <c r="BP877" i="1" s="1"/>
  <c r="BG355" i="1"/>
  <c r="BK355" i="1"/>
  <c r="BG354" i="1"/>
  <c r="BG353" i="1"/>
  <c r="BG352" i="1"/>
  <c r="AR351" i="1"/>
  <c r="BG351" i="1"/>
  <c r="BG350" i="1"/>
  <c r="BG349" i="1"/>
  <c r="Q356" i="2"/>
  <c r="U355" i="2"/>
  <c r="Q355" i="2"/>
  <c r="U354" i="2"/>
  <c r="M354" i="2"/>
  <c r="U353" i="2"/>
  <c r="U351" i="2"/>
  <c r="Q351" i="2"/>
  <c r="U350" i="2"/>
  <c r="BP881" i="1" l="1"/>
  <c r="BY881" i="1" s="1"/>
  <c r="Q358" i="2"/>
  <c r="M357" i="2"/>
  <c r="U357" i="2"/>
  <c r="M358" i="2"/>
  <c r="CL887" i="1"/>
  <c r="BG357" i="1"/>
  <c r="M353" i="2"/>
  <c r="Q352" i="2"/>
  <c r="M352" i="2"/>
  <c r="BK357" i="1"/>
  <c r="BM357" i="1" s="1"/>
  <c r="BK363" i="1"/>
  <c r="BM363" i="1" s="1"/>
  <c r="Q353" i="2"/>
  <c r="BK360" i="1"/>
  <c r="BM360" i="1" s="1"/>
  <c r="BK359" i="1"/>
  <c r="BM359" i="1" s="1"/>
  <c r="BK361" i="1"/>
  <c r="BM361" i="1" s="1"/>
  <c r="BK362" i="1"/>
  <c r="BM355" i="1"/>
  <c r="BE348" i="1"/>
  <c r="BA348" i="1"/>
  <c r="BK354" i="1" s="1"/>
  <c r="BM354" i="1" s="1"/>
  <c r="AL348" i="1"/>
  <c r="AR348" i="1" s="1"/>
  <c r="AG348" i="1"/>
  <c r="AI355" i="1" s="1"/>
  <c r="Q348" i="1"/>
  <c r="S355" i="1" s="1"/>
  <c r="N348" i="1"/>
  <c r="BC346" i="1"/>
  <c r="BA347" i="1" s="1"/>
  <c r="AP346" i="1"/>
  <c r="AL347" i="1" s="1"/>
  <c r="AR347" i="1" s="1"/>
  <c r="BE347" i="1"/>
  <c r="AG347" i="1"/>
  <c r="AI354" i="1" s="1"/>
  <c r="Q347" i="1"/>
  <c r="S354" i="1" s="1"/>
  <c r="N347" i="1"/>
  <c r="BE346" i="1"/>
  <c r="AG346" i="1"/>
  <c r="AI353" i="1" s="1"/>
  <c r="Q346" i="1"/>
  <c r="S353" i="1" s="1"/>
  <c r="N346" i="1"/>
  <c r="BE345" i="1"/>
  <c r="BA345" i="1"/>
  <c r="AL345" i="1"/>
  <c r="AR345" i="1" s="1"/>
  <c r="AG345" i="1"/>
  <c r="AI352" i="1" s="1"/>
  <c r="Q345" i="1"/>
  <c r="S352" i="1" s="1"/>
  <c r="N345" i="1"/>
  <c r="BE344" i="1"/>
  <c r="BA344" i="1"/>
  <c r="AL344" i="1"/>
  <c r="AR344" i="1" s="1"/>
  <c r="AG344" i="1"/>
  <c r="AI351" i="1" s="1"/>
  <c r="Q344" i="1"/>
  <c r="S351" i="1" s="1"/>
  <c r="N344" i="1"/>
  <c r="BE343" i="1"/>
  <c r="BA343" i="1"/>
  <c r="AL343" i="1"/>
  <c r="AR343" i="1" s="1"/>
  <c r="AG343" i="1"/>
  <c r="Q343" i="1"/>
  <c r="S350" i="1" s="1"/>
  <c r="N343" i="1"/>
  <c r="BE342" i="1"/>
  <c r="BA342" i="1"/>
  <c r="AL342" i="1"/>
  <c r="AR342" i="1" s="1"/>
  <c r="AG342" i="1"/>
  <c r="AI349" i="1" s="1"/>
  <c r="Q342" i="1"/>
  <c r="S349" i="1" s="1"/>
  <c r="N342" i="1"/>
  <c r="S349" i="2"/>
  <c r="K349" i="2"/>
  <c r="S348" i="2"/>
  <c r="K348" i="2"/>
  <c r="S347" i="2"/>
  <c r="K347" i="2"/>
  <c r="S346" i="2"/>
  <c r="K346" i="2"/>
  <c r="S345" i="2"/>
  <c r="K345" i="2"/>
  <c r="S344" i="2"/>
  <c r="K344" i="2"/>
  <c r="S343" i="2"/>
  <c r="K343" i="2"/>
  <c r="BE341" i="1"/>
  <c r="BA341" i="1"/>
  <c r="AL341" i="1"/>
  <c r="AR341" i="1" s="1"/>
  <c r="AG341" i="1"/>
  <c r="Q341" i="1"/>
  <c r="N341" i="1"/>
  <c r="BE340" i="1"/>
  <c r="BA340" i="1"/>
  <c r="AL340" i="1"/>
  <c r="AR340" i="1" s="1"/>
  <c r="AG340" i="1"/>
  <c r="Q340" i="1"/>
  <c r="N340" i="1"/>
  <c r="BE339" i="1"/>
  <c r="AG339" i="1"/>
  <c r="Q339" i="1"/>
  <c r="N339" i="1"/>
  <c r="BC338" i="1"/>
  <c r="BA339" i="1" s="1"/>
  <c r="AP338" i="1"/>
  <c r="AL339" i="1" s="1"/>
  <c r="AR339" i="1" s="1"/>
  <c r="BE338" i="1"/>
  <c r="AG338" i="1"/>
  <c r="Q338" i="1"/>
  <c r="N338" i="1"/>
  <c r="BE337" i="1"/>
  <c r="BA337" i="1"/>
  <c r="AL337" i="1"/>
  <c r="AR337" i="1" s="1"/>
  <c r="AG337" i="1"/>
  <c r="Q337" i="1"/>
  <c r="N337" i="1"/>
  <c r="BE336" i="1"/>
  <c r="BA336" i="1"/>
  <c r="AL336" i="1"/>
  <c r="AR336" i="1" s="1"/>
  <c r="AG336" i="1"/>
  <c r="Q336" i="1"/>
  <c r="N336" i="1"/>
  <c r="S342" i="2"/>
  <c r="K342" i="2"/>
  <c r="S341" i="2"/>
  <c r="K341" i="2"/>
  <c r="I339" i="2"/>
  <c r="G339" i="2"/>
  <c r="E339" i="2"/>
  <c r="S340" i="2"/>
  <c r="K340" i="2"/>
  <c r="S339" i="2"/>
  <c r="S338" i="2"/>
  <c r="K338" i="2"/>
  <c r="E336" i="2"/>
  <c r="G336" i="2"/>
  <c r="I336" i="2"/>
  <c r="S337" i="2"/>
  <c r="K337" i="2"/>
  <c r="S336" i="2"/>
  <c r="BE335" i="1"/>
  <c r="BA335" i="1"/>
  <c r="AL335" i="1"/>
  <c r="AR335" i="1" s="1"/>
  <c r="AG335" i="1"/>
  <c r="Q335" i="1"/>
  <c r="N335" i="1"/>
  <c r="BE334" i="1"/>
  <c r="BA334" i="1"/>
  <c r="AL334" i="1"/>
  <c r="AR334" i="1" s="1"/>
  <c r="AG334" i="1"/>
  <c r="Q334" i="1"/>
  <c r="N334" i="1"/>
  <c r="BE333" i="1"/>
  <c r="BA333" i="1"/>
  <c r="AL333" i="1"/>
  <c r="AR333" i="1" s="1"/>
  <c r="AG333" i="1"/>
  <c r="Q333" i="1"/>
  <c r="N333" i="1"/>
  <c r="BE332" i="1"/>
  <c r="BA332" i="1"/>
  <c r="AL332" i="1"/>
  <c r="AR332" i="1" s="1"/>
  <c r="AG332" i="1"/>
  <c r="Q332" i="1"/>
  <c r="N332" i="1"/>
  <c r="BE331" i="1"/>
  <c r="BA331" i="1"/>
  <c r="AL331" i="1"/>
  <c r="AR331" i="1" s="1"/>
  <c r="AG331" i="1"/>
  <c r="Q331" i="1"/>
  <c r="N331" i="1"/>
  <c r="BE330" i="1"/>
  <c r="BA330" i="1"/>
  <c r="AL330" i="1"/>
  <c r="AR330" i="1" s="1"/>
  <c r="AG330" i="1"/>
  <c r="Q330" i="1"/>
  <c r="N330" i="1"/>
  <c r="BE329" i="1"/>
  <c r="BA329" i="1"/>
  <c r="AL329" i="1"/>
  <c r="AR329" i="1" s="1"/>
  <c r="AG329" i="1"/>
  <c r="Q329" i="1"/>
  <c r="N329" i="1"/>
  <c r="BE328" i="1"/>
  <c r="BA328" i="1"/>
  <c r="AL328" i="1"/>
  <c r="AR328" i="1" s="1"/>
  <c r="AG328" i="1"/>
  <c r="Q328" i="1"/>
  <c r="N328" i="1"/>
  <c r="S335" i="2"/>
  <c r="K335" i="2"/>
  <c r="S334" i="2"/>
  <c r="K334" i="2"/>
  <c r="I329" i="2"/>
  <c r="G329" i="2"/>
  <c r="E329" i="2"/>
  <c r="S333" i="2"/>
  <c r="K333" i="2"/>
  <c r="S332" i="2"/>
  <c r="K332" i="2"/>
  <c r="S331" i="2"/>
  <c r="K331" i="2"/>
  <c r="S330" i="2"/>
  <c r="K330" i="2"/>
  <c r="S329" i="2"/>
  <c r="BA861" i="1" l="1"/>
  <c r="BG885" i="1"/>
  <c r="BP884" i="1"/>
  <c r="BP886" i="1" s="1"/>
  <c r="AI338" i="1"/>
  <c r="U341" i="2"/>
  <c r="M331" i="2"/>
  <c r="M343" i="2"/>
  <c r="S339" i="1"/>
  <c r="BM362" i="1"/>
  <c r="BG334" i="1"/>
  <c r="BK353" i="1"/>
  <c r="BM353" i="1" s="1"/>
  <c r="Q333" i="2"/>
  <c r="M348" i="2"/>
  <c r="Q342" i="2"/>
  <c r="K339" i="2"/>
  <c r="Q339" i="2" s="1"/>
  <c r="U345" i="2"/>
  <c r="Q346" i="2"/>
  <c r="AI343" i="1"/>
  <c r="AI350" i="1"/>
  <c r="BK336" i="1"/>
  <c r="BM336" i="1" s="1"/>
  <c r="S341" i="1"/>
  <c r="BA346" i="1"/>
  <c r="BK351" i="1" s="1"/>
  <c r="BM351" i="1" s="1"/>
  <c r="AI348" i="1"/>
  <c r="Q349" i="2"/>
  <c r="Q350" i="2"/>
  <c r="M350" i="2"/>
  <c r="Q344" i="2"/>
  <c r="M347" i="2"/>
  <c r="Q335" i="2"/>
  <c r="M338" i="2"/>
  <c r="Q345" i="2"/>
  <c r="S348" i="1"/>
  <c r="BG348" i="1"/>
  <c r="AI345" i="1"/>
  <c r="AI339" i="1"/>
  <c r="BG332" i="1"/>
  <c r="AI341" i="1"/>
  <c r="BK345" i="1"/>
  <c r="BM345" i="1" s="1"/>
  <c r="S336" i="1"/>
  <c r="AI337" i="1"/>
  <c r="AI342" i="1"/>
  <c r="S343" i="1"/>
  <c r="AI336" i="1"/>
  <c r="AI346" i="1"/>
  <c r="BK335" i="1"/>
  <c r="BM335" i="1" s="1"/>
  <c r="BK337" i="1"/>
  <c r="BM337" i="1" s="1"/>
  <c r="S345" i="1"/>
  <c r="AL346" i="1"/>
  <c r="AR346" i="1" s="1"/>
  <c r="AI347" i="1"/>
  <c r="BG347" i="1"/>
  <c r="S347" i="1"/>
  <c r="S346" i="1"/>
  <c r="BG345" i="1"/>
  <c r="AI344" i="1"/>
  <c r="BG344" i="1"/>
  <c r="S344" i="1"/>
  <c r="BG343" i="1"/>
  <c r="S342" i="1"/>
  <c r="BG342" i="1"/>
  <c r="U349" i="2"/>
  <c r="M349" i="2"/>
  <c r="U348" i="2"/>
  <c r="Q348" i="2"/>
  <c r="U347" i="2"/>
  <c r="Q347" i="2"/>
  <c r="U346" i="2"/>
  <c r="M346" i="2"/>
  <c r="M345" i="2"/>
  <c r="U344" i="2"/>
  <c r="M344" i="2"/>
  <c r="U343" i="2"/>
  <c r="Q343" i="2"/>
  <c r="M341" i="2"/>
  <c r="K329" i="2"/>
  <c r="Q330" i="2" s="1"/>
  <c r="M334" i="2"/>
  <c r="M332" i="2"/>
  <c r="BG341" i="1"/>
  <c r="BG340" i="1"/>
  <c r="AI340" i="1"/>
  <c r="S340" i="1"/>
  <c r="BG339" i="1"/>
  <c r="BA338" i="1"/>
  <c r="BK340" i="1" s="1"/>
  <c r="BM340" i="1" s="1"/>
  <c r="AL338" i="1"/>
  <c r="S338" i="1"/>
  <c r="BG337" i="1"/>
  <c r="S337" i="1"/>
  <c r="BG336" i="1"/>
  <c r="U342" i="2"/>
  <c r="M342" i="2"/>
  <c r="Q341" i="2"/>
  <c r="U340" i="2"/>
  <c r="U338" i="2"/>
  <c r="Q338" i="2"/>
  <c r="K336" i="2"/>
  <c r="Q336" i="2" s="1"/>
  <c r="U337" i="2"/>
  <c r="BG335" i="1"/>
  <c r="AI335" i="1"/>
  <c r="S335" i="1"/>
  <c r="BK334" i="1"/>
  <c r="BM334" i="1" s="1"/>
  <c r="BG333" i="1"/>
  <c r="BG331" i="1"/>
  <c r="BG330" i="1"/>
  <c r="BG329" i="1"/>
  <c r="BG328" i="1"/>
  <c r="U335" i="2"/>
  <c r="M335" i="2"/>
  <c r="U334" i="2"/>
  <c r="Q334" i="2"/>
  <c r="U333" i="2"/>
  <c r="M333" i="2"/>
  <c r="U332" i="2"/>
  <c r="Q332" i="2"/>
  <c r="Q331" i="2"/>
  <c r="U331" i="2"/>
  <c r="U330" i="2"/>
  <c r="U339" i="2" l="1"/>
  <c r="Q340" i="2"/>
  <c r="U329" i="2"/>
  <c r="M339" i="2"/>
  <c r="BK350" i="1"/>
  <c r="BM350" i="1" s="1"/>
  <c r="BK347" i="1"/>
  <c r="BM347" i="1" s="1"/>
  <c r="M330" i="2"/>
  <c r="M340" i="2"/>
  <c r="BG346" i="1"/>
  <c r="BK352" i="1"/>
  <c r="BM352" i="1" s="1"/>
  <c r="BK344" i="1"/>
  <c r="BM344" i="1" s="1"/>
  <c r="BK346" i="1"/>
  <c r="BM346" i="1" s="1"/>
  <c r="BK348" i="1"/>
  <c r="BK349" i="1"/>
  <c r="BK343" i="1"/>
  <c r="BM343" i="1" s="1"/>
  <c r="BK342" i="1"/>
  <c r="BM342" i="1" s="1"/>
  <c r="BK341" i="1"/>
  <c r="BM341" i="1" s="1"/>
  <c r="BK339" i="1"/>
  <c r="BM339" i="1" s="1"/>
  <c r="BG338" i="1"/>
  <c r="BK338" i="1"/>
  <c r="AR338" i="1"/>
  <c r="Q337" i="2"/>
  <c r="M336" i="2"/>
  <c r="M337" i="2"/>
  <c r="U336" i="2"/>
  <c r="BM349" i="1" l="1"/>
  <c r="BM348" i="1"/>
  <c r="BM338" i="1"/>
  <c r="H852" i="1"/>
  <c r="N854" i="1" s="1"/>
  <c r="N855" i="1" l="1"/>
  <c r="D855" i="1" s="1"/>
  <c r="N856" i="1"/>
  <c r="N857" i="1"/>
  <c r="D856" i="1" l="1"/>
  <c r="D857" i="1" s="1"/>
  <c r="BE327" i="1"/>
  <c r="BA327" i="1"/>
  <c r="AL327" i="1"/>
  <c r="AR327" i="1" s="1"/>
  <c r="AG327" i="1"/>
  <c r="Q327" i="1"/>
  <c r="N327" i="1"/>
  <c r="S328" i="2"/>
  <c r="K328" i="2"/>
  <c r="BE326" i="1"/>
  <c r="BA326" i="1"/>
  <c r="AL326" i="1"/>
  <c r="AR326" i="1" s="1"/>
  <c r="AG326" i="1"/>
  <c r="Q326" i="1"/>
  <c r="N326" i="1"/>
  <c r="S327" i="2"/>
  <c r="K327" i="2"/>
  <c r="BE325" i="1"/>
  <c r="BA325" i="1"/>
  <c r="AL325" i="1"/>
  <c r="AR325" i="1" s="1"/>
  <c r="AG325" i="1"/>
  <c r="Q325" i="1"/>
  <c r="S332" i="1" s="1"/>
  <c r="N325" i="1"/>
  <c r="S326" i="2"/>
  <c r="K326" i="2"/>
  <c r="BE324" i="1"/>
  <c r="BA324" i="1"/>
  <c r="AL324" i="1"/>
  <c r="AR324" i="1" s="1"/>
  <c r="AG324" i="1"/>
  <c r="Q324" i="1"/>
  <c r="S331" i="1" s="1"/>
  <c r="N324" i="1"/>
  <c r="BE323" i="1"/>
  <c r="BA323" i="1"/>
  <c r="AL323" i="1"/>
  <c r="AR323" i="1" s="1"/>
  <c r="AG323" i="1"/>
  <c r="Q323" i="1"/>
  <c r="S330" i="1" s="1"/>
  <c r="N323" i="1"/>
  <c r="BE322" i="1"/>
  <c r="BA322" i="1"/>
  <c r="AL322" i="1"/>
  <c r="AR322" i="1" s="1"/>
  <c r="AG322" i="1"/>
  <c r="Q322" i="1"/>
  <c r="S329" i="1" s="1"/>
  <c r="N322" i="1"/>
  <c r="BE321" i="1"/>
  <c r="BA321" i="1"/>
  <c r="AL321" i="1"/>
  <c r="AR321" i="1" s="1"/>
  <c r="AG321" i="1"/>
  <c r="Q321" i="1"/>
  <c r="S328" i="1" s="1"/>
  <c r="N321" i="1"/>
  <c r="S325" i="2"/>
  <c r="K325" i="2"/>
  <c r="S324" i="2"/>
  <c r="K324" i="2"/>
  <c r="S323" i="2"/>
  <c r="K323" i="2"/>
  <c r="S322" i="2"/>
  <c r="K322" i="2"/>
  <c r="Q326" i="2" l="1"/>
  <c r="U328" i="2"/>
  <c r="BK330" i="1"/>
  <c r="BM330" i="1" s="1"/>
  <c r="U324" i="2"/>
  <c r="M325" i="2"/>
  <c r="Q323" i="2"/>
  <c r="S333" i="1"/>
  <c r="BK331" i="1"/>
  <c r="BM331" i="1" s="1"/>
  <c r="BK332" i="1"/>
  <c r="BM332" i="1" s="1"/>
  <c r="AI331" i="1"/>
  <c r="AI330" i="1"/>
  <c r="AI334" i="1"/>
  <c r="AI333" i="1"/>
  <c r="AI329" i="1"/>
  <c r="S334" i="1"/>
  <c r="AI328" i="1"/>
  <c r="BK328" i="1"/>
  <c r="BM328" i="1" s="1"/>
  <c r="AI332" i="1"/>
  <c r="BK329" i="1"/>
  <c r="BM329" i="1" s="1"/>
  <c r="BK327" i="1"/>
  <c r="BM327" i="1" s="1"/>
  <c r="BK333" i="1"/>
  <c r="BM333" i="1" s="1"/>
  <c r="Q327" i="2"/>
  <c r="M328" i="2"/>
  <c r="Q324" i="2"/>
  <c r="Q328" i="2"/>
  <c r="Q329" i="2"/>
  <c r="M329" i="2"/>
  <c r="BG327" i="1"/>
  <c r="BG326" i="1"/>
  <c r="U327" i="2"/>
  <c r="M327" i="2"/>
  <c r="BG325" i="1"/>
  <c r="U326" i="2"/>
  <c r="M326" i="2"/>
  <c r="BG324" i="1"/>
  <c r="BG323" i="1"/>
  <c r="BG322" i="1"/>
  <c r="BG321" i="1"/>
  <c r="U325" i="2"/>
  <c r="Q325" i="2"/>
  <c r="M324" i="2"/>
  <c r="U323" i="2"/>
  <c r="M323" i="2"/>
  <c r="U322" i="2"/>
  <c r="BE320" i="1" l="1"/>
  <c r="BA320" i="1"/>
  <c r="AL320" i="1"/>
  <c r="AR320" i="1" s="1"/>
  <c r="AG320" i="1"/>
  <c r="Q320" i="1"/>
  <c r="S327" i="1" s="1"/>
  <c r="N320" i="1"/>
  <c r="S321" i="2"/>
  <c r="E320" i="2"/>
  <c r="G320" i="2"/>
  <c r="G321" i="2"/>
  <c r="K321" i="2" s="1"/>
  <c r="BE319" i="1"/>
  <c r="BA319" i="1"/>
  <c r="AL319" i="1"/>
  <c r="AR319" i="1" s="1"/>
  <c r="AG319" i="1"/>
  <c r="AI326" i="1" s="1"/>
  <c r="Q319" i="1"/>
  <c r="S326" i="1" s="1"/>
  <c r="N319" i="1"/>
  <c r="S320" i="2"/>
  <c r="BK325" i="1" l="1"/>
  <c r="BM325" i="1" s="1"/>
  <c r="AI327" i="1"/>
  <c r="BK326" i="1"/>
  <c r="BM326" i="1" s="1"/>
  <c r="M322" i="2"/>
  <c r="Q322" i="2"/>
  <c r="BG320" i="1"/>
  <c r="K320" i="2"/>
  <c r="U321" i="2"/>
  <c r="BG319" i="1"/>
  <c r="BE318" i="1"/>
  <c r="BA318" i="1"/>
  <c r="BK324" i="1" s="1"/>
  <c r="BM324" i="1" s="1"/>
  <c r="AL318" i="1"/>
  <c r="AR318" i="1" s="1"/>
  <c r="AG318" i="1"/>
  <c r="AI325" i="1" s="1"/>
  <c r="Q318" i="1"/>
  <c r="S325" i="1" s="1"/>
  <c r="N318" i="1"/>
  <c r="S319" i="2"/>
  <c r="K319" i="2"/>
  <c r="BE317" i="1"/>
  <c r="BA317" i="1"/>
  <c r="AL317" i="1"/>
  <c r="AR317" i="1" s="1"/>
  <c r="AG317" i="1"/>
  <c r="AI324" i="1" s="1"/>
  <c r="Q317" i="1"/>
  <c r="S324" i="1" s="1"/>
  <c r="N317" i="1"/>
  <c r="BE316" i="1"/>
  <c r="BA316" i="1"/>
  <c r="AL316" i="1"/>
  <c r="AR316" i="1" s="1"/>
  <c r="AG316" i="1"/>
  <c r="AI323" i="1" s="1"/>
  <c r="Q316" i="1"/>
  <c r="S323" i="1" s="1"/>
  <c r="N316" i="1"/>
  <c r="S318" i="2"/>
  <c r="K318" i="2"/>
  <c r="S317" i="2"/>
  <c r="K317" i="2"/>
  <c r="BK323" i="1" l="1"/>
  <c r="BM323" i="1" s="1"/>
  <c r="BK322" i="1"/>
  <c r="BM322" i="1" s="1"/>
  <c r="M320" i="2"/>
  <c r="M318" i="2"/>
  <c r="U320" i="2"/>
  <c r="Q321" i="2"/>
  <c r="Q320" i="2"/>
  <c r="M321" i="2"/>
  <c r="BG318" i="1"/>
  <c r="U319" i="2"/>
  <c r="M319" i="2"/>
  <c r="Q319" i="2"/>
  <c r="BG317" i="1"/>
  <c r="BG316" i="1"/>
  <c r="U318" i="2"/>
  <c r="Q318" i="2"/>
  <c r="U317" i="2"/>
  <c r="BE315" i="1" l="1"/>
  <c r="BA315" i="1"/>
  <c r="BK321" i="1" s="1"/>
  <c r="BM321" i="1" s="1"/>
  <c r="AL315" i="1"/>
  <c r="AR315" i="1" s="1"/>
  <c r="AG315" i="1"/>
  <c r="AI322" i="1" s="1"/>
  <c r="Q315" i="1"/>
  <c r="S322" i="1" s="1"/>
  <c r="N315" i="1"/>
  <c r="BE314" i="1"/>
  <c r="BA314" i="1"/>
  <c r="AL314" i="1"/>
  <c r="AR314" i="1" s="1"/>
  <c r="AG314" i="1"/>
  <c r="AI321" i="1" s="1"/>
  <c r="Q314" i="1"/>
  <c r="S321" i="1" s="1"/>
  <c r="N314" i="1"/>
  <c r="S316" i="2"/>
  <c r="K316" i="2"/>
  <c r="S315" i="2"/>
  <c r="K315" i="2"/>
  <c r="BE313" i="1"/>
  <c r="BA313" i="1"/>
  <c r="AL313" i="1"/>
  <c r="AR313" i="1" s="1"/>
  <c r="AG313" i="1"/>
  <c r="AI320" i="1" s="1"/>
  <c r="Q313" i="1"/>
  <c r="S320" i="1" s="1"/>
  <c r="N313" i="1"/>
  <c r="S314" i="2"/>
  <c r="K314" i="2"/>
  <c r="BK320" i="1" l="1"/>
  <c r="BM320" i="1" s="1"/>
  <c r="Q315" i="2"/>
  <c r="M317" i="2"/>
  <c r="Q317" i="2"/>
  <c r="BK319" i="1"/>
  <c r="BM319" i="1" s="1"/>
  <c r="BG315" i="1"/>
  <c r="BG314" i="1"/>
  <c r="Q316" i="2"/>
  <c r="U316" i="2"/>
  <c r="M316" i="2"/>
  <c r="U315" i="2"/>
  <c r="M315" i="2"/>
  <c r="BG313" i="1"/>
  <c r="U314" i="2"/>
  <c r="BE312" i="1"/>
  <c r="BA312" i="1"/>
  <c r="AL312" i="1"/>
  <c r="AR312" i="1" s="1"/>
  <c r="AG312" i="1"/>
  <c r="Q312" i="1"/>
  <c r="S319" i="1" s="1"/>
  <c r="N312" i="1"/>
  <c r="S313" i="2"/>
  <c r="K313" i="2"/>
  <c r="M314" i="2" s="1"/>
  <c r="BE311" i="1"/>
  <c r="BA311" i="1"/>
  <c r="AL311" i="1"/>
  <c r="AR311" i="1" s="1"/>
  <c r="AG311" i="1"/>
  <c r="Q311" i="1"/>
  <c r="S318" i="1" s="1"/>
  <c r="N311" i="1"/>
  <c r="S312" i="2"/>
  <c r="K312" i="2"/>
  <c r="BE310" i="1"/>
  <c r="BA310" i="1"/>
  <c r="AL310" i="1"/>
  <c r="AR310" i="1" s="1"/>
  <c r="AG310" i="1"/>
  <c r="Q310" i="1"/>
  <c r="N310" i="1"/>
  <c r="BA309" i="1"/>
  <c r="BA308" i="1"/>
  <c r="BA307" i="1"/>
  <c r="BA306" i="1"/>
  <c r="BE309" i="1"/>
  <c r="AL309" i="1"/>
  <c r="AR309" i="1" s="1"/>
  <c r="AG309" i="1"/>
  <c r="Q309" i="1"/>
  <c r="S316" i="1" s="1"/>
  <c r="N309" i="1"/>
  <c r="BE308" i="1"/>
  <c r="AL308" i="1"/>
  <c r="AR308" i="1" s="1"/>
  <c r="AG308" i="1"/>
  <c r="AI315" i="1" s="1"/>
  <c r="Q308" i="1"/>
  <c r="S315" i="1" s="1"/>
  <c r="N308" i="1"/>
  <c r="BE307" i="1"/>
  <c r="AL307" i="1"/>
  <c r="AR307" i="1" s="1"/>
  <c r="AG307" i="1"/>
  <c r="Q307" i="1"/>
  <c r="N307" i="1"/>
  <c r="AL306" i="1"/>
  <c r="AR306" i="1" s="1"/>
  <c r="AA9" i="1"/>
  <c r="H9" i="1"/>
  <c r="BE306" i="1"/>
  <c r="AG306" i="1"/>
  <c r="Q306" i="1"/>
  <c r="S313" i="1" s="1"/>
  <c r="N306" i="1"/>
  <c r="S311" i="2"/>
  <c r="K311" i="2"/>
  <c r="M311" i="2" s="1"/>
  <c r="S310" i="2"/>
  <c r="K310" i="2"/>
  <c r="S309" i="2"/>
  <c r="K309" i="2"/>
  <c r="S308" i="2"/>
  <c r="K308" i="2"/>
  <c r="S307" i="2"/>
  <c r="K307" i="2"/>
  <c r="BE305" i="1"/>
  <c r="BA305" i="1"/>
  <c r="AL305" i="1"/>
  <c r="AR305" i="1" s="1"/>
  <c r="AG305" i="1"/>
  <c r="Q305" i="1"/>
  <c r="N305" i="1"/>
  <c r="BK317" i="1" l="1"/>
  <c r="BM317" i="1" s="1"/>
  <c r="BK316" i="1"/>
  <c r="BM316" i="1" s="1"/>
  <c r="U309" i="2"/>
  <c r="M310" i="2"/>
  <c r="Q312" i="2"/>
  <c r="Q313" i="2"/>
  <c r="Q314" i="2"/>
  <c r="U308" i="2"/>
  <c r="BK314" i="1"/>
  <c r="BM314" i="1" s="1"/>
  <c r="S314" i="1"/>
  <c r="AI314" i="1"/>
  <c r="AI316" i="1"/>
  <c r="S317" i="1"/>
  <c r="BK312" i="1"/>
  <c r="BM312" i="1" s="1"/>
  <c r="BK318" i="1"/>
  <c r="BM318" i="1" s="1"/>
  <c r="BK313" i="1"/>
  <c r="BM313" i="1" s="1"/>
  <c r="AI317" i="1"/>
  <c r="AI318" i="1"/>
  <c r="AI312" i="1"/>
  <c r="AI319" i="1"/>
  <c r="BK315" i="1"/>
  <c r="BM315" i="1" s="1"/>
  <c r="AI313" i="1"/>
  <c r="BK311" i="1"/>
  <c r="BM311" i="1" s="1"/>
  <c r="BG312" i="1"/>
  <c r="S312" i="1"/>
  <c r="U313" i="2"/>
  <c r="M313" i="2"/>
  <c r="BG311" i="1"/>
  <c r="U312" i="2"/>
  <c r="M312" i="2"/>
  <c r="BG310" i="1"/>
  <c r="BG309" i="1"/>
  <c r="BG308" i="1"/>
  <c r="BG307" i="1"/>
  <c r="BG306" i="1"/>
  <c r="U311" i="2"/>
  <c r="Q311" i="2"/>
  <c r="U310" i="2"/>
  <c r="Q310" i="2"/>
  <c r="M309" i="2"/>
  <c r="Q309" i="2"/>
  <c r="Q308" i="2"/>
  <c r="M308" i="2"/>
  <c r="U307" i="2"/>
  <c r="BG305" i="1"/>
  <c r="BE304" i="1"/>
  <c r="BA304" i="1"/>
  <c r="BK310" i="1" s="1"/>
  <c r="AL304" i="1"/>
  <c r="AR304" i="1" s="1"/>
  <c r="AG304" i="1"/>
  <c r="AI311" i="1" s="1"/>
  <c r="Q304" i="1"/>
  <c r="N304" i="1"/>
  <c r="S306" i="2"/>
  <c r="S305" i="2"/>
  <c r="K306" i="2"/>
  <c r="M307" i="2" s="1"/>
  <c r="K305" i="2"/>
  <c r="U306" i="2" l="1"/>
  <c r="Q307" i="2"/>
  <c r="S311" i="1"/>
  <c r="BM310" i="1"/>
  <c r="BG304" i="1"/>
  <c r="M306" i="2"/>
  <c r="U305" i="2"/>
  <c r="Q306" i="2"/>
  <c r="BE303" i="1" l="1"/>
  <c r="BA303" i="1"/>
  <c r="AL303" i="1"/>
  <c r="AR303" i="1" s="1"/>
  <c r="AG303" i="1"/>
  <c r="Q303" i="1"/>
  <c r="S310" i="1" s="1"/>
  <c r="N303" i="1"/>
  <c r="S304" i="2"/>
  <c r="K304" i="2"/>
  <c r="M305" i="2" l="1"/>
  <c r="Q305" i="2"/>
  <c r="AI310" i="1"/>
  <c r="BK309" i="1"/>
  <c r="BM309" i="1" s="1"/>
  <c r="BG303" i="1"/>
  <c r="U304" i="2"/>
  <c r="BE302" i="1" l="1"/>
  <c r="BA302" i="1"/>
  <c r="AL302" i="1"/>
  <c r="AR302" i="1" s="1"/>
  <c r="AG302" i="1"/>
  <c r="Q302" i="1"/>
  <c r="N302" i="1"/>
  <c r="BE301" i="1"/>
  <c r="BA301" i="1"/>
  <c r="AL301" i="1"/>
  <c r="AR301" i="1" s="1"/>
  <c r="AG301" i="1"/>
  <c r="Q301" i="1"/>
  <c r="N301" i="1"/>
  <c r="BE300" i="1"/>
  <c r="BA300" i="1"/>
  <c r="AL300" i="1"/>
  <c r="AR300" i="1" s="1"/>
  <c r="AG300" i="1"/>
  <c r="Q300" i="1"/>
  <c r="S307" i="1" s="1"/>
  <c r="N300" i="1"/>
  <c r="S303" i="2"/>
  <c r="K303" i="2"/>
  <c r="S302" i="2"/>
  <c r="K302" i="2"/>
  <c r="S301" i="2"/>
  <c r="K301" i="2"/>
  <c r="Q302" i="2" l="1"/>
  <c r="Q303" i="2"/>
  <c r="M304" i="2"/>
  <c r="Q304" i="2"/>
  <c r="BK306" i="1"/>
  <c r="BM306" i="1" s="1"/>
  <c r="AI309" i="1"/>
  <c r="S309" i="1"/>
  <c r="S308" i="1"/>
  <c r="AI308" i="1"/>
  <c r="BK308" i="1"/>
  <c r="BM308" i="1" s="1"/>
  <c r="AI307" i="1"/>
  <c r="BK307" i="1"/>
  <c r="BM307" i="1" s="1"/>
  <c r="BG302" i="1"/>
  <c r="BG301" i="1"/>
  <c r="BG300" i="1"/>
  <c r="U303" i="2"/>
  <c r="M303" i="2"/>
  <c r="U302" i="2"/>
  <c r="M302" i="2"/>
  <c r="U301" i="2"/>
  <c r="BE299" i="1" l="1"/>
  <c r="BA299" i="1"/>
  <c r="AL299" i="1"/>
  <c r="AR299" i="1" s="1"/>
  <c r="AG299" i="1"/>
  <c r="Q299" i="1"/>
  <c r="S306" i="1" s="1"/>
  <c r="N299" i="1"/>
  <c r="S300" i="2"/>
  <c r="K300" i="2"/>
  <c r="Q301" i="2" l="1"/>
  <c r="M301" i="2"/>
  <c r="AI306" i="1"/>
  <c r="BK305" i="1"/>
  <c r="BM305" i="1" s="1"/>
  <c r="BG299" i="1"/>
  <c r="U300" i="2"/>
  <c r="BE298" i="1"/>
  <c r="BA298" i="1"/>
  <c r="AL298" i="1"/>
  <c r="AR298" i="1" s="1"/>
  <c r="AG298" i="1"/>
  <c r="Q298" i="1"/>
  <c r="N298" i="1"/>
  <c r="S299" i="2"/>
  <c r="K299" i="2"/>
  <c r="BE297" i="1"/>
  <c r="BA297" i="1"/>
  <c r="AL297" i="1"/>
  <c r="AR297" i="1" s="1"/>
  <c r="AG297" i="1"/>
  <c r="Q297" i="1"/>
  <c r="N297" i="1"/>
  <c r="S298" i="2"/>
  <c r="K298" i="2"/>
  <c r="M299" i="2" l="1"/>
  <c r="M300" i="2"/>
  <c r="Q300" i="2"/>
  <c r="AI304" i="1"/>
  <c r="S304" i="1"/>
  <c r="BK303" i="1"/>
  <c r="BM303" i="1" s="1"/>
  <c r="S305" i="1"/>
  <c r="AI305" i="1"/>
  <c r="BK304" i="1"/>
  <c r="BM304" i="1" s="1"/>
  <c r="BG298" i="1"/>
  <c r="U299" i="2"/>
  <c r="Q299" i="2"/>
  <c r="BG297" i="1"/>
  <c r="U298" i="2"/>
  <c r="BE296" i="1"/>
  <c r="BA296" i="1"/>
  <c r="AL296" i="1"/>
  <c r="AR296" i="1" s="1"/>
  <c r="AG296" i="1"/>
  <c r="Q296" i="1"/>
  <c r="N296" i="1"/>
  <c r="S297" i="2"/>
  <c r="K297" i="2"/>
  <c r="BE295" i="1"/>
  <c r="BA295" i="1"/>
  <c r="AL295" i="1"/>
  <c r="AR295" i="1" s="1"/>
  <c r="AG295" i="1"/>
  <c r="Q295" i="1"/>
  <c r="S302" i="1" s="1"/>
  <c r="N295" i="1"/>
  <c r="S296" i="2"/>
  <c r="K296" i="2"/>
  <c r="BE294" i="1"/>
  <c r="BA294" i="1"/>
  <c r="AL294" i="1"/>
  <c r="AR294" i="1" s="1"/>
  <c r="AG294" i="1"/>
  <c r="Q294" i="1"/>
  <c r="S301" i="1" s="1"/>
  <c r="N294" i="1"/>
  <c r="S295" i="2"/>
  <c r="K295" i="2"/>
  <c r="Q296" i="2" l="1"/>
  <c r="Q297" i="2"/>
  <c r="M298" i="2"/>
  <c r="Q298" i="2"/>
  <c r="BK300" i="1"/>
  <c r="BM300" i="1" s="1"/>
  <c r="BK301" i="1"/>
  <c r="BM301" i="1" s="1"/>
  <c r="BK302" i="1"/>
  <c r="BM302" i="1" s="1"/>
  <c r="S303" i="1"/>
  <c r="AI302" i="1"/>
  <c r="AI301" i="1"/>
  <c r="AI303" i="1"/>
  <c r="BG296" i="1"/>
  <c r="U297" i="2"/>
  <c r="M297" i="2"/>
  <c r="BG295" i="1"/>
  <c r="U296" i="2"/>
  <c r="M296" i="2"/>
  <c r="BG294" i="1"/>
  <c r="U295" i="2"/>
  <c r="BE293" i="1" l="1"/>
  <c r="BA293" i="1"/>
  <c r="AL293" i="1"/>
  <c r="AR293" i="1" s="1"/>
  <c r="AG293" i="1"/>
  <c r="Q293" i="1"/>
  <c r="N293" i="1"/>
  <c r="S294" i="2"/>
  <c r="K294" i="2"/>
  <c r="BE292" i="1"/>
  <c r="BA292" i="1"/>
  <c r="AL292" i="1"/>
  <c r="AR292" i="1" s="1"/>
  <c r="AG292" i="1"/>
  <c r="Q292" i="1"/>
  <c r="S299" i="1" s="1"/>
  <c r="N292" i="1"/>
  <c r="BE291" i="1"/>
  <c r="BA291" i="1"/>
  <c r="AL291" i="1"/>
  <c r="AG291" i="1"/>
  <c r="Q291" i="1"/>
  <c r="S298" i="1" s="1"/>
  <c r="N291" i="1"/>
  <c r="S292" i="2"/>
  <c r="S293" i="2"/>
  <c r="K293" i="2"/>
  <c r="K292" i="2"/>
  <c r="Q293" i="2" l="1"/>
  <c r="Q294" i="2"/>
  <c r="M295" i="2"/>
  <c r="Q295" i="2"/>
  <c r="AI300" i="1"/>
  <c r="AI299" i="1"/>
  <c r="S300" i="1"/>
  <c r="AI298" i="1"/>
  <c r="BK298" i="1"/>
  <c r="BM298" i="1" s="1"/>
  <c r="BK299" i="1"/>
  <c r="BM299" i="1" s="1"/>
  <c r="BK297" i="1"/>
  <c r="BM297" i="1" s="1"/>
  <c r="BG293" i="1"/>
  <c r="U294" i="2"/>
  <c r="M294" i="2"/>
  <c r="BG292" i="1"/>
  <c r="AR291" i="1"/>
  <c r="BG291" i="1"/>
  <c r="U293" i="2"/>
  <c r="M293" i="2"/>
  <c r="U292" i="2"/>
  <c r="BE290" i="1" l="1"/>
  <c r="BA290" i="1"/>
  <c r="BK296" i="1" s="1"/>
  <c r="BM296" i="1" s="1"/>
  <c r="AL290" i="1"/>
  <c r="AR290" i="1" s="1"/>
  <c r="AG290" i="1"/>
  <c r="Q290" i="1"/>
  <c r="N290" i="1"/>
  <c r="S291" i="2"/>
  <c r="K291" i="2"/>
  <c r="BE289" i="1"/>
  <c r="BA289" i="1"/>
  <c r="AL289" i="1"/>
  <c r="AR289" i="1" s="1"/>
  <c r="AG289" i="1"/>
  <c r="AI296" i="1" s="1"/>
  <c r="Q289" i="1"/>
  <c r="N289" i="1"/>
  <c r="S290" i="2"/>
  <c r="K290" i="2"/>
  <c r="BG289" i="1" l="1"/>
  <c r="Q291" i="2"/>
  <c r="Q292" i="2"/>
  <c r="M292" i="2"/>
  <c r="S297" i="1"/>
  <c r="AI297" i="1"/>
  <c r="S296" i="1"/>
  <c r="BK295" i="1"/>
  <c r="BM295" i="1" s="1"/>
  <c r="BG290" i="1"/>
  <c r="U291" i="2"/>
  <c r="M291" i="2"/>
  <c r="U290" i="2"/>
  <c r="BE288" i="1" l="1"/>
  <c r="BA288" i="1"/>
  <c r="AL288" i="1"/>
  <c r="AR288" i="1" s="1"/>
  <c r="AG288" i="1"/>
  <c r="Q288" i="1"/>
  <c r="S295" i="1" s="1"/>
  <c r="N288" i="1"/>
  <c r="S289" i="2"/>
  <c r="K289" i="2"/>
  <c r="Q290" i="2" l="1"/>
  <c r="M290" i="2"/>
  <c r="AI295" i="1"/>
  <c r="BK294" i="1"/>
  <c r="BM294" i="1" s="1"/>
  <c r="BG288" i="1"/>
  <c r="U289" i="2"/>
  <c r="BE287" i="1" l="1"/>
  <c r="BA287" i="1"/>
  <c r="BK293" i="1" s="1"/>
  <c r="BM293" i="1" s="1"/>
  <c r="AL287" i="1"/>
  <c r="AR287" i="1" s="1"/>
  <c r="AG287" i="1"/>
  <c r="Q287" i="1"/>
  <c r="S294" i="1" s="1"/>
  <c r="N287" i="1"/>
  <c r="S288" i="2"/>
  <c r="K288" i="2"/>
  <c r="Q289" i="2" l="1"/>
  <c r="M289" i="2"/>
  <c r="AI294" i="1"/>
  <c r="BG287" i="1"/>
  <c r="U288" i="2"/>
  <c r="BE286" i="1"/>
  <c r="BA286" i="1"/>
  <c r="AL286" i="1"/>
  <c r="AR286" i="1" s="1"/>
  <c r="AG286" i="1"/>
  <c r="Q286" i="1"/>
  <c r="S293" i="1" s="1"/>
  <c r="N286" i="1"/>
  <c r="S287" i="2"/>
  <c r="K287" i="2"/>
  <c r="M288" i="2" s="1"/>
  <c r="Q288" i="2" l="1"/>
  <c r="AI293" i="1"/>
  <c r="BK292" i="1"/>
  <c r="BM292" i="1" s="1"/>
  <c r="BG286" i="1"/>
  <c r="U287" i="2"/>
  <c r="BE285" i="1"/>
  <c r="BA285" i="1"/>
  <c r="AL285" i="1"/>
  <c r="AR285" i="1" s="1"/>
  <c r="AG285" i="1"/>
  <c r="Q285" i="1"/>
  <c r="S292" i="1" s="1"/>
  <c r="N285" i="1"/>
  <c r="S286" i="2"/>
  <c r="K286" i="2"/>
  <c r="U286" i="2" l="1"/>
  <c r="Q287" i="2"/>
  <c r="M287" i="2"/>
  <c r="AI292" i="1"/>
  <c r="BK291" i="1"/>
  <c r="BM291" i="1" s="1"/>
  <c r="BG285" i="1"/>
  <c r="BE284" i="1" l="1"/>
  <c r="BA284" i="1"/>
  <c r="AL284" i="1"/>
  <c r="AR284" i="1" s="1"/>
  <c r="AG284" i="1"/>
  <c r="Q284" i="1"/>
  <c r="S291" i="1" s="1"/>
  <c r="N284" i="1"/>
  <c r="S285" i="2"/>
  <c r="K285" i="2"/>
  <c r="BE283" i="1"/>
  <c r="BA283" i="1"/>
  <c r="AL283" i="1"/>
  <c r="AR283" i="1" s="1"/>
  <c r="AG283" i="1"/>
  <c r="Q283" i="1"/>
  <c r="N283" i="1"/>
  <c r="S284" i="2"/>
  <c r="K284" i="2"/>
  <c r="U284" i="2" l="1"/>
  <c r="Q286" i="2"/>
  <c r="M286" i="2"/>
  <c r="AI290" i="1"/>
  <c r="S290" i="1"/>
  <c r="AI291" i="1"/>
  <c r="BK289" i="1"/>
  <c r="BM289" i="1" s="1"/>
  <c r="BK290" i="1"/>
  <c r="BM290" i="1" s="1"/>
  <c r="BG284" i="1"/>
  <c r="U285" i="2"/>
  <c r="Q285" i="2"/>
  <c r="M285" i="2"/>
  <c r="BG283" i="1"/>
  <c r="BE282" i="1"/>
  <c r="BA282" i="1"/>
  <c r="BK288" i="1" s="1"/>
  <c r="BM288" i="1" s="1"/>
  <c r="AL282" i="1"/>
  <c r="AR282" i="1" s="1"/>
  <c r="AG282" i="1"/>
  <c r="Q282" i="1"/>
  <c r="S289" i="1" s="1"/>
  <c r="N282" i="1"/>
  <c r="BE281" i="1"/>
  <c r="BA281" i="1"/>
  <c r="AL281" i="1"/>
  <c r="AR281" i="1" s="1"/>
  <c r="AG281" i="1"/>
  <c r="Q281" i="1"/>
  <c r="S288" i="1" s="1"/>
  <c r="N281" i="1"/>
  <c r="S283" i="2"/>
  <c r="K283" i="2"/>
  <c r="Q284" i="2" s="1"/>
  <c r="S282" i="2"/>
  <c r="K282" i="2"/>
  <c r="M284" i="2" l="1"/>
  <c r="M283" i="2"/>
  <c r="BG281" i="1"/>
  <c r="BK287" i="1"/>
  <c r="BM287" i="1" s="1"/>
  <c r="AI289" i="1"/>
  <c r="AI288" i="1"/>
  <c r="BG282" i="1"/>
  <c r="U282" i="2"/>
  <c r="U283" i="2"/>
  <c r="Q283" i="2"/>
  <c r="BE280" i="1" l="1"/>
  <c r="BA280" i="1"/>
  <c r="AL280" i="1"/>
  <c r="AR280" i="1" s="1"/>
  <c r="AG280" i="1"/>
  <c r="Q280" i="1"/>
  <c r="S287" i="1" s="1"/>
  <c r="N280" i="1"/>
  <c r="BE279" i="1"/>
  <c r="BA279" i="1"/>
  <c r="BK285" i="1" s="1"/>
  <c r="BM285" i="1" s="1"/>
  <c r="AL279" i="1"/>
  <c r="AR279" i="1" s="1"/>
  <c r="AG279" i="1"/>
  <c r="Q279" i="1"/>
  <c r="N279" i="1"/>
  <c r="S281" i="2"/>
  <c r="K281" i="2"/>
  <c r="S280" i="2"/>
  <c r="K280" i="2"/>
  <c r="Q282" i="2" l="1"/>
  <c r="M282" i="2"/>
  <c r="S286" i="1"/>
  <c r="AI286" i="1"/>
  <c r="BK286" i="1"/>
  <c r="BM286" i="1" s="1"/>
  <c r="AI287" i="1"/>
  <c r="BG280" i="1"/>
  <c r="BG279" i="1"/>
  <c r="Q281" i="2"/>
  <c r="U280" i="2"/>
  <c r="M281" i="2"/>
  <c r="U281" i="2"/>
  <c r="BE278" i="1" l="1"/>
  <c r="BA278" i="1"/>
  <c r="AL278" i="1"/>
  <c r="AR278" i="1" s="1"/>
  <c r="AG278" i="1"/>
  <c r="Q278" i="1"/>
  <c r="N278" i="1"/>
  <c r="S279" i="2"/>
  <c r="K279" i="2"/>
  <c r="BE277" i="1"/>
  <c r="BA277" i="1"/>
  <c r="AL277" i="1"/>
  <c r="AR277" i="1" s="1"/>
  <c r="AG277" i="1"/>
  <c r="Q277" i="1"/>
  <c r="S284" i="1" s="1"/>
  <c r="N277" i="1"/>
  <c r="S278" i="2"/>
  <c r="K278" i="2"/>
  <c r="BE276" i="1"/>
  <c r="BA276" i="1"/>
  <c r="AL276" i="1"/>
  <c r="AR276" i="1" s="1"/>
  <c r="AG276" i="1"/>
  <c r="Q276" i="1"/>
  <c r="S283" i="1" s="1"/>
  <c r="N276" i="1"/>
  <c r="S277" i="2"/>
  <c r="K277" i="2"/>
  <c r="M278" i="2" l="1"/>
  <c r="U279" i="2"/>
  <c r="Q279" i="2"/>
  <c r="Q280" i="2"/>
  <c r="M280" i="2"/>
  <c r="U278" i="2"/>
  <c r="AI284" i="1"/>
  <c r="S285" i="1"/>
  <c r="BK283" i="1"/>
  <c r="BM283" i="1" s="1"/>
  <c r="BK284" i="1"/>
  <c r="BM284" i="1" s="1"/>
  <c r="BK282" i="1"/>
  <c r="BM282" i="1" s="1"/>
  <c r="AI283" i="1"/>
  <c r="AI285" i="1"/>
  <c r="BG278" i="1"/>
  <c r="M279" i="2"/>
  <c r="BG277" i="1"/>
  <c r="Q278" i="2"/>
  <c r="BG276" i="1"/>
  <c r="U277" i="2"/>
  <c r="BE275" i="1" l="1"/>
  <c r="BA275" i="1"/>
  <c r="AL275" i="1"/>
  <c r="AR275" i="1" s="1"/>
  <c r="AG275" i="1"/>
  <c r="Q275" i="1"/>
  <c r="S282" i="1" s="1"/>
  <c r="N275" i="1"/>
  <c r="S276" i="2"/>
  <c r="K276" i="2"/>
  <c r="Q277" i="2" l="1"/>
  <c r="M277" i="2"/>
  <c r="AI282" i="1"/>
  <c r="BK281" i="1"/>
  <c r="BM281" i="1" s="1"/>
  <c r="BG275" i="1"/>
  <c r="U276" i="2"/>
  <c r="BE274" i="1" l="1"/>
  <c r="BA274" i="1"/>
  <c r="AL274" i="1"/>
  <c r="AR274" i="1" s="1"/>
  <c r="AG274" i="1"/>
  <c r="Q274" i="1"/>
  <c r="N274" i="1"/>
  <c r="S275" i="2"/>
  <c r="K275" i="2"/>
  <c r="Q276" i="2" l="1"/>
  <c r="M276" i="2"/>
  <c r="S281" i="1"/>
  <c r="BK280" i="1"/>
  <c r="BM280" i="1" s="1"/>
  <c r="AI281" i="1"/>
  <c r="BG274" i="1"/>
  <c r="U275" i="2"/>
  <c r="BE273" i="1"/>
  <c r="BA273" i="1"/>
  <c r="BK279" i="1" s="1"/>
  <c r="BM279" i="1" s="1"/>
  <c r="AL273" i="1"/>
  <c r="AR273" i="1" s="1"/>
  <c r="AG273" i="1"/>
  <c r="Q273" i="1"/>
  <c r="N273" i="1"/>
  <c r="S274" i="2"/>
  <c r="K274" i="2"/>
  <c r="Q275" i="2" l="1"/>
  <c r="M275" i="2"/>
  <c r="AI280" i="1"/>
  <c r="S280" i="1"/>
  <c r="BG273" i="1"/>
  <c r="U274" i="2"/>
  <c r="BE272" i="1" l="1"/>
  <c r="BA272" i="1"/>
  <c r="BK278" i="1" s="1"/>
  <c r="BM278" i="1" s="1"/>
  <c r="AL272" i="1"/>
  <c r="AR272" i="1" s="1"/>
  <c r="AG272" i="1"/>
  <c r="Q272" i="1"/>
  <c r="N272" i="1"/>
  <c r="S273" i="2"/>
  <c r="K273" i="2"/>
  <c r="BE843" i="1"/>
  <c r="BG843" i="1" s="1"/>
  <c r="BE271" i="1"/>
  <c r="BA271" i="1"/>
  <c r="BK277" i="1" s="1"/>
  <c r="BM277" i="1" s="1"/>
  <c r="AL271" i="1"/>
  <c r="AR271" i="1" s="1"/>
  <c r="AG271" i="1"/>
  <c r="AI278" i="1" s="1"/>
  <c r="Q271" i="1"/>
  <c r="S278" i="1" s="1"/>
  <c r="N271" i="1"/>
  <c r="Q274" i="2" l="1"/>
  <c r="M274" i="2"/>
  <c r="S279" i="1"/>
  <c r="AI279" i="1"/>
  <c r="BG272" i="1"/>
  <c r="U273" i="2"/>
  <c r="BG271" i="1"/>
  <c r="BE270" i="1" l="1"/>
  <c r="BA270" i="1"/>
  <c r="BK276" i="1" s="1"/>
  <c r="BM276" i="1" s="1"/>
  <c r="AL270" i="1"/>
  <c r="AR270" i="1" s="1"/>
  <c r="AG270" i="1"/>
  <c r="AI277" i="1" s="1"/>
  <c r="Q270" i="1"/>
  <c r="S277" i="1" s="1"/>
  <c r="N270" i="1"/>
  <c r="S272" i="2"/>
  <c r="K272" i="2"/>
  <c r="S271" i="2"/>
  <c r="K271" i="2"/>
  <c r="M273" i="2" l="1"/>
  <c r="Q273" i="2"/>
  <c r="BG270" i="1"/>
  <c r="Q272" i="2"/>
  <c r="U271" i="2"/>
  <c r="U272" i="2"/>
  <c r="M272" i="2"/>
  <c r="BE269" i="1" l="1"/>
  <c r="BA269" i="1"/>
  <c r="BK275" i="1" s="1"/>
  <c r="BM275" i="1" s="1"/>
  <c r="AL269" i="1"/>
  <c r="AR269" i="1" s="1"/>
  <c r="AG269" i="1"/>
  <c r="AI276" i="1" s="1"/>
  <c r="Q269" i="1"/>
  <c r="S276" i="1" s="1"/>
  <c r="N269" i="1"/>
  <c r="S270" i="2"/>
  <c r="K270" i="2"/>
  <c r="BE268" i="1"/>
  <c r="BA268" i="1"/>
  <c r="AL268" i="1"/>
  <c r="AR268" i="1" s="1"/>
  <c r="AG268" i="1"/>
  <c r="AI275" i="1" s="1"/>
  <c r="Q268" i="1"/>
  <c r="S275" i="1" s="1"/>
  <c r="N268" i="1"/>
  <c r="S269" i="2"/>
  <c r="K269" i="2"/>
  <c r="BE267" i="1"/>
  <c r="BA267" i="1"/>
  <c r="AL267" i="1"/>
  <c r="AR267" i="1" s="1"/>
  <c r="AG267" i="1"/>
  <c r="AI274" i="1" s="1"/>
  <c r="Q267" i="1"/>
  <c r="S274" i="1" s="1"/>
  <c r="N267" i="1"/>
  <c r="S268" i="2"/>
  <c r="K268" i="2"/>
  <c r="BK273" i="1" l="1"/>
  <c r="BM273" i="1" s="1"/>
  <c r="BK274" i="1"/>
  <c r="BM274" i="1" s="1"/>
  <c r="Q270" i="2"/>
  <c r="M271" i="2"/>
  <c r="Q271" i="2"/>
  <c r="BG269" i="1"/>
  <c r="U270" i="2"/>
  <c r="M270" i="2"/>
  <c r="BG268" i="1"/>
  <c r="U269" i="2"/>
  <c r="M269" i="2"/>
  <c r="Q269" i="2"/>
  <c r="BG267" i="1"/>
  <c r="U268" i="2"/>
  <c r="BE266" i="1"/>
  <c r="BA266" i="1"/>
  <c r="BK272" i="1" s="1"/>
  <c r="BM272" i="1" s="1"/>
  <c r="AL266" i="1"/>
  <c r="AR266" i="1" s="1"/>
  <c r="AG266" i="1"/>
  <c r="AI273" i="1" s="1"/>
  <c r="Q266" i="1"/>
  <c r="S273" i="1" s="1"/>
  <c r="N266" i="1"/>
  <c r="S267" i="2"/>
  <c r="K267" i="2"/>
  <c r="BE265" i="1"/>
  <c r="BA265" i="1"/>
  <c r="AL265" i="1"/>
  <c r="AR265" i="1" s="1"/>
  <c r="AG265" i="1"/>
  <c r="AI272" i="1" s="1"/>
  <c r="Q265" i="1"/>
  <c r="S272" i="1" s="1"/>
  <c r="N265" i="1"/>
  <c r="S266" i="2"/>
  <c r="K266" i="2"/>
  <c r="M267" i="2" l="1"/>
  <c r="M268" i="2"/>
  <c r="Q268" i="2"/>
  <c r="BK271" i="1"/>
  <c r="BG266" i="1"/>
  <c r="U267" i="2"/>
  <c r="Q267" i="2"/>
  <c r="BG265" i="1"/>
  <c r="U266" i="2"/>
  <c r="BM271" i="1" l="1"/>
  <c r="BE264" i="1" l="1"/>
  <c r="BA264" i="1"/>
  <c r="BK270" i="1" s="1"/>
  <c r="BM270" i="1" s="1"/>
  <c r="AL264" i="1"/>
  <c r="AR264" i="1" s="1"/>
  <c r="AG264" i="1"/>
  <c r="Q264" i="1"/>
  <c r="N264" i="1"/>
  <c r="S265" i="2"/>
  <c r="K265" i="2"/>
  <c r="BE263" i="1"/>
  <c r="BA263" i="1"/>
  <c r="AL263" i="1"/>
  <c r="AR263" i="1" s="1"/>
  <c r="AG263" i="1"/>
  <c r="Q263" i="1"/>
  <c r="N263" i="1"/>
  <c r="S264" i="2"/>
  <c r="K264" i="2"/>
  <c r="BE262" i="1"/>
  <c r="BA262" i="1"/>
  <c r="AL262" i="1"/>
  <c r="AR262" i="1" s="1"/>
  <c r="AG262" i="1"/>
  <c r="Q262" i="1"/>
  <c r="S269" i="1" s="1"/>
  <c r="N262" i="1"/>
  <c r="S263" i="2"/>
  <c r="K263" i="2"/>
  <c r="BE261" i="1"/>
  <c r="BA261" i="1"/>
  <c r="AL261" i="1"/>
  <c r="AR261" i="1" s="1"/>
  <c r="AG261" i="1"/>
  <c r="Q261" i="1"/>
  <c r="S268" i="1" s="1"/>
  <c r="N261" i="1"/>
  <c r="S262" i="2"/>
  <c r="K262" i="2"/>
  <c r="Q265" i="2" l="1"/>
  <c r="M263" i="2"/>
  <c r="U264" i="2"/>
  <c r="M265" i="2"/>
  <c r="Q266" i="2"/>
  <c r="M266" i="2"/>
  <c r="BG264" i="1"/>
  <c r="AI270" i="1"/>
  <c r="AI271" i="1"/>
  <c r="BG262" i="1"/>
  <c r="AI268" i="1"/>
  <c r="S271" i="1"/>
  <c r="BK268" i="1"/>
  <c r="BM268" i="1" s="1"/>
  <c r="BK269" i="1"/>
  <c r="BM269" i="1" s="1"/>
  <c r="BK267" i="1"/>
  <c r="BM267" i="1" s="1"/>
  <c r="AI269" i="1"/>
  <c r="S270" i="1"/>
  <c r="U265" i="2"/>
  <c r="BG263" i="1"/>
  <c r="Q264" i="2"/>
  <c r="M264" i="2"/>
  <c r="U263" i="2"/>
  <c r="Q263" i="2"/>
  <c r="BG261" i="1"/>
  <c r="U262" i="2"/>
  <c r="BE260" i="1"/>
  <c r="BA260" i="1"/>
  <c r="AL260" i="1"/>
  <c r="AR260" i="1" s="1"/>
  <c r="AG260" i="1"/>
  <c r="Q260" i="1"/>
  <c r="N260" i="1"/>
  <c r="S261" i="2"/>
  <c r="K261" i="2"/>
  <c r="BE259" i="1"/>
  <c r="BA259" i="1"/>
  <c r="AL259" i="1"/>
  <c r="AR259" i="1" s="1"/>
  <c r="AG259" i="1"/>
  <c r="Q259" i="1"/>
  <c r="S266" i="1" s="1"/>
  <c r="N259" i="1"/>
  <c r="S260" i="2"/>
  <c r="K260" i="2"/>
  <c r="BE258" i="1"/>
  <c r="BA258" i="1"/>
  <c r="AL258" i="1"/>
  <c r="AR258" i="1" s="1"/>
  <c r="AG258" i="1"/>
  <c r="Q258" i="1"/>
  <c r="S265" i="1" s="1"/>
  <c r="N258" i="1"/>
  <c r="S259" i="2"/>
  <c r="K259" i="2"/>
  <c r="BK264" i="1" l="1"/>
  <c r="BM264" i="1" s="1"/>
  <c r="Q261" i="2"/>
  <c r="M262" i="2"/>
  <c r="Q262" i="2"/>
  <c r="BK266" i="1"/>
  <c r="BM266" i="1" s="1"/>
  <c r="BK265" i="1"/>
  <c r="BM265" i="1" s="1"/>
  <c r="S267" i="1"/>
  <c r="AI265" i="1"/>
  <c r="AI266" i="1"/>
  <c r="AI267" i="1"/>
  <c r="BG260" i="1"/>
  <c r="U261" i="2"/>
  <c r="M261" i="2"/>
  <c r="BG259" i="1"/>
  <c r="Q260" i="2"/>
  <c r="U260" i="2"/>
  <c r="M260" i="2"/>
  <c r="BG258" i="1"/>
  <c r="U259" i="2"/>
  <c r="BE257" i="1"/>
  <c r="BA257" i="1"/>
  <c r="AL257" i="1"/>
  <c r="AR257" i="1" s="1"/>
  <c r="AG257" i="1"/>
  <c r="Q257" i="1"/>
  <c r="S264" i="1" s="1"/>
  <c r="N257" i="1"/>
  <c r="S258" i="2"/>
  <c r="K258" i="2"/>
  <c r="BE256" i="1"/>
  <c r="BA256" i="1"/>
  <c r="AL256" i="1"/>
  <c r="AR256" i="1" s="1"/>
  <c r="AG256" i="1"/>
  <c r="Q256" i="1"/>
  <c r="S263" i="1" s="1"/>
  <c r="N256" i="1"/>
  <c r="S257" i="2"/>
  <c r="S256" i="2"/>
  <c r="K257" i="2"/>
  <c r="BE255" i="1"/>
  <c r="BA255" i="1"/>
  <c r="AL255" i="1"/>
  <c r="AR255" i="1" s="1"/>
  <c r="AG255" i="1"/>
  <c r="Q255" i="1"/>
  <c r="S262" i="1" s="1"/>
  <c r="N255" i="1"/>
  <c r="K256" i="2"/>
  <c r="Q257" i="2" l="1"/>
  <c r="Q258" i="2"/>
  <c r="M259" i="2"/>
  <c r="Q259" i="2"/>
  <c r="BK262" i="1"/>
  <c r="BM262" i="1" s="1"/>
  <c r="BK261" i="1"/>
  <c r="BM261" i="1" s="1"/>
  <c r="AI264" i="1"/>
  <c r="AI262" i="1"/>
  <c r="AI263" i="1"/>
  <c r="BK263" i="1"/>
  <c r="BM263" i="1" s="1"/>
  <c r="BG257" i="1"/>
  <c r="U258" i="2"/>
  <c r="M258" i="2"/>
  <c r="BG256" i="1"/>
  <c r="U256" i="2"/>
  <c r="U257" i="2"/>
  <c r="M257" i="2"/>
  <c r="BG255" i="1"/>
  <c r="BE254" i="1"/>
  <c r="BA254" i="1"/>
  <c r="AL254" i="1"/>
  <c r="AR254" i="1" s="1"/>
  <c r="AG254" i="1"/>
  <c r="Q254" i="1"/>
  <c r="N254" i="1"/>
  <c r="S255" i="2"/>
  <c r="K255" i="2"/>
  <c r="Q256" i="2" s="1"/>
  <c r="S254" i="2"/>
  <c r="K254" i="2"/>
  <c r="U254" i="2" l="1"/>
  <c r="M255" i="2"/>
  <c r="M256" i="2"/>
  <c r="S261" i="1"/>
  <c r="AI261" i="1"/>
  <c r="BK260" i="1"/>
  <c r="BM260" i="1" s="1"/>
  <c r="BG254" i="1"/>
  <c r="U255" i="2"/>
  <c r="Q255" i="2"/>
  <c r="AA208" i="3"/>
  <c r="BE253" i="1" l="1"/>
  <c r="BA253" i="1"/>
  <c r="AL253" i="1"/>
  <c r="AG253" i="1"/>
  <c r="Q253" i="1"/>
  <c r="S260" i="1" s="1"/>
  <c r="N253" i="1"/>
  <c r="S253" i="2"/>
  <c r="K253" i="2"/>
  <c r="Q254" i="2" l="1"/>
  <c r="M254" i="2"/>
  <c r="AI260" i="1"/>
  <c r="BK259" i="1"/>
  <c r="BM259" i="1" s="1"/>
  <c r="BG253" i="1"/>
  <c r="AR253" i="1"/>
  <c r="U253" i="2"/>
  <c r="BE252" i="1"/>
  <c r="BA252" i="1"/>
  <c r="AL252" i="1"/>
  <c r="AG252" i="1"/>
  <c r="Q252" i="1"/>
  <c r="S259" i="1" s="1"/>
  <c r="N252" i="1"/>
  <c r="S252" i="2"/>
  <c r="K252" i="2"/>
  <c r="M253" i="2" l="1"/>
  <c r="Q253" i="2"/>
  <c r="AI259" i="1"/>
  <c r="BK258" i="1"/>
  <c r="BM258" i="1" s="1"/>
  <c r="BG252" i="1"/>
  <c r="AR252" i="1"/>
  <c r="U252" i="2"/>
  <c r="BE251" i="1"/>
  <c r="BA251" i="1"/>
  <c r="BK257" i="1" s="1"/>
  <c r="BM257" i="1" s="1"/>
  <c r="AL251" i="1"/>
  <c r="AR251" i="1" s="1"/>
  <c r="AG251" i="1"/>
  <c r="Q251" i="1"/>
  <c r="N251" i="1"/>
  <c r="S251" i="2"/>
  <c r="BE250" i="1"/>
  <c r="BA250" i="1"/>
  <c r="AL250" i="1"/>
  <c r="AR250" i="1" s="1"/>
  <c r="AG250" i="1"/>
  <c r="Q250" i="1"/>
  <c r="N250" i="1"/>
  <c r="K251" i="2"/>
  <c r="M252" i="2" l="1"/>
  <c r="Q252" i="2"/>
  <c r="AI258" i="1"/>
  <c r="AI257" i="1"/>
  <c r="S257" i="1"/>
  <c r="BK256" i="1"/>
  <c r="BM256" i="1" s="1"/>
  <c r="BG250" i="1"/>
  <c r="S258" i="1"/>
  <c r="BG251" i="1"/>
  <c r="U251" i="2"/>
  <c r="BE249" i="1"/>
  <c r="BA249" i="1"/>
  <c r="AL249" i="1"/>
  <c r="AR249" i="1" s="1"/>
  <c r="AG249" i="1"/>
  <c r="Q249" i="1"/>
  <c r="N249" i="1"/>
  <c r="S250" i="2"/>
  <c r="K250" i="2"/>
  <c r="BE248" i="1"/>
  <c r="BA248" i="1"/>
  <c r="AL248" i="1"/>
  <c r="AR248" i="1" s="1"/>
  <c r="AG248" i="1"/>
  <c r="Q248" i="1"/>
  <c r="S255" i="1" s="1"/>
  <c r="N248" i="1"/>
  <c r="S249" i="2"/>
  <c r="K249" i="2"/>
  <c r="Q250" i="2" l="1"/>
  <c r="Q251" i="2"/>
  <c r="M251" i="2"/>
  <c r="AI255" i="1"/>
  <c r="AI256" i="1"/>
  <c r="BK254" i="1"/>
  <c r="BM254" i="1" s="1"/>
  <c r="BK255" i="1"/>
  <c r="BM255" i="1" s="1"/>
  <c r="S256" i="1"/>
  <c r="BG249" i="1"/>
  <c r="U250" i="2"/>
  <c r="M250" i="2"/>
  <c r="BG248" i="1"/>
  <c r="U249" i="2"/>
  <c r="BE247" i="1"/>
  <c r="BA247" i="1"/>
  <c r="BK253" i="1" s="1"/>
  <c r="BM253" i="1" s="1"/>
  <c r="AL247" i="1"/>
  <c r="AR247" i="1" s="1"/>
  <c r="AG247" i="1"/>
  <c r="Q247" i="1"/>
  <c r="S254" i="1" s="1"/>
  <c r="N247" i="1"/>
  <c r="S248" i="2"/>
  <c r="K248" i="2"/>
  <c r="Q249" i="2" l="1"/>
  <c r="M249" i="2"/>
  <c r="AI254" i="1"/>
  <c r="BG247" i="1"/>
  <c r="U248" i="2"/>
  <c r="BE246" i="1"/>
  <c r="BA246" i="1"/>
  <c r="AL246" i="1"/>
  <c r="AR246" i="1" s="1"/>
  <c r="AG246" i="1"/>
  <c r="Q246" i="1"/>
  <c r="S253" i="1" s="1"/>
  <c r="N246" i="1"/>
  <c r="S247" i="2"/>
  <c r="K247" i="2"/>
  <c r="BE245" i="1"/>
  <c r="BA245" i="1"/>
  <c r="AL245" i="1"/>
  <c r="AR245" i="1" s="1"/>
  <c r="AG245" i="1"/>
  <c r="Q245" i="1"/>
  <c r="S252" i="1" s="1"/>
  <c r="N245" i="1"/>
  <c r="S246" i="2"/>
  <c r="K246" i="2"/>
  <c r="U246" i="2" s="1"/>
  <c r="Q247" i="2" l="1"/>
  <c r="Q248" i="2"/>
  <c r="M248" i="2"/>
  <c r="AI252" i="1"/>
  <c r="AI253" i="1"/>
  <c r="BK251" i="1"/>
  <c r="BM251" i="1" s="1"/>
  <c r="BK252" i="1"/>
  <c r="BM252" i="1" s="1"/>
  <c r="BG246" i="1"/>
  <c r="U247" i="2"/>
  <c r="M247" i="2"/>
  <c r="BG245" i="1"/>
  <c r="AR788" i="1"/>
  <c r="S245" i="2"/>
  <c r="BE244" i="1" l="1"/>
  <c r="BA244" i="1"/>
  <c r="AL244" i="1"/>
  <c r="AR244" i="1" s="1"/>
  <c r="AG244" i="1"/>
  <c r="Q244" i="1"/>
  <c r="N244" i="1"/>
  <c r="K245" i="2"/>
  <c r="M246" i="2" l="1"/>
  <c r="Q246" i="2"/>
  <c r="S251" i="1"/>
  <c r="AI251" i="1"/>
  <c r="BK250" i="1"/>
  <c r="BM250" i="1" s="1"/>
  <c r="BG244" i="1"/>
  <c r="U245" i="2"/>
  <c r="N235" i="1"/>
  <c r="AI773" i="1"/>
  <c r="BE243" i="1"/>
  <c r="BA243" i="1"/>
  <c r="AL243" i="1"/>
  <c r="AR243" i="1" s="1"/>
  <c r="AG243" i="1"/>
  <c r="Q243" i="1"/>
  <c r="S250" i="1" s="1"/>
  <c r="N243" i="1"/>
  <c r="S244" i="2"/>
  <c r="K244" i="2"/>
  <c r="M245" i="2" l="1"/>
  <c r="Q245" i="2"/>
  <c r="AI250" i="1"/>
  <c r="BK249" i="1"/>
  <c r="BM249" i="1" s="1"/>
  <c r="BG243" i="1"/>
  <c r="U244" i="2"/>
  <c r="BE242" i="1" l="1"/>
  <c r="BA242" i="1"/>
  <c r="AL242" i="1"/>
  <c r="AR242" i="1" s="1"/>
  <c r="AG242" i="1"/>
  <c r="Q242" i="1"/>
  <c r="S249" i="1" s="1"/>
  <c r="N242" i="1"/>
  <c r="S243" i="2"/>
  <c r="K243" i="2"/>
  <c r="BE241" i="1"/>
  <c r="BA241" i="1"/>
  <c r="AL241" i="1"/>
  <c r="AR241" i="1" s="1"/>
  <c r="AG241" i="1"/>
  <c r="Q241" i="1"/>
  <c r="S248" i="1" s="1"/>
  <c r="N241" i="1"/>
  <c r="S242" i="2"/>
  <c r="K242" i="2"/>
  <c r="Q243" i="2" l="1"/>
  <c r="Q244" i="2"/>
  <c r="M244" i="2"/>
  <c r="AI248" i="1"/>
  <c r="AI249" i="1"/>
  <c r="BK247" i="1"/>
  <c r="BM247" i="1" s="1"/>
  <c r="BK248" i="1"/>
  <c r="BM248" i="1" s="1"/>
  <c r="BG242" i="1"/>
  <c r="U243" i="2"/>
  <c r="M243" i="2"/>
  <c r="BG241" i="1"/>
  <c r="U242" i="2"/>
  <c r="BE240" i="1"/>
  <c r="BA240" i="1"/>
  <c r="AL240" i="1"/>
  <c r="AG240" i="1"/>
  <c r="Q240" i="1"/>
  <c r="S247" i="1" s="1"/>
  <c r="N240" i="1"/>
  <c r="S241" i="2"/>
  <c r="K241" i="2"/>
  <c r="BE239" i="1"/>
  <c r="BA239" i="1"/>
  <c r="AL239" i="1"/>
  <c r="AR239" i="1" s="1"/>
  <c r="AG239" i="1"/>
  <c r="Q239" i="1"/>
  <c r="S246" i="1" s="1"/>
  <c r="N239" i="1"/>
  <c r="S240" i="2"/>
  <c r="K240" i="2"/>
  <c r="G767" i="1"/>
  <c r="G768" i="1" s="1"/>
  <c r="F767" i="1"/>
  <c r="F768" i="1" s="1"/>
  <c r="E767" i="1"/>
  <c r="E768" i="1" s="1"/>
  <c r="BE238" i="1"/>
  <c r="BA238" i="1"/>
  <c r="AL238" i="1"/>
  <c r="AR238" i="1" s="1"/>
  <c r="AG238" i="1"/>
  <c r="Q238" i="1"/>
  <c r="S245" i="1" s="1"/>
  <c r="N238" i="1"/>
  <c r="S239" i="2"/>
  <c r="K239" i="2"/>
  <c r="Q240" i="2" l="1"/>
  <c r="Q241" i="2"/>
  <c r="M242" i="2"/>
  <c r="Q242" i="2"/>
  <c r="AI247" i="1"/>
  <c r="BK246" i="1"/>
  <c r="BM246" i="1" s="1"/>
  <c r="AI245" i="1"/>
  <c r="AI246" i="1"/>
  <c r="BK245" i="1"/>
  <c r="BM245" i="1" s="1"/>
  <c r="BK244" i="1"/>
  <c r="BM244" i="1" s="1"/>
  <c r="AR240" i="1"/>
  <c r="BG240" i="1"/>
  <c r="U241" i="2"/>
  <c r="M241" i="2"/>
  <c r="BG239" i="1"/>
  <c r="U240" i="2"/>
  <c r="M240" i="2"/>
  <c r="BG238" i="1"/>
  <c r="U239" i="2"/>
  <c r="BE237" i="1" l="1"/>
  <c r="BA237" i="1"/>
  <c r="AL237" i="1"/>
  <c r="AR237" i="1" s="1"/>
  <c r="AG237" i="1"/>
  <c r="Q237" i="1"/>
  <c r="S244" i="1" s="1"/>
  <c r="N237" i="1"/>
  <c r="S238" i="2"/>
  <c r="K238" i="2"/>
  <c r="M239" i="2" l="1"/>
  <c r="Q239" i="2"/>
  <c r="AI244" i="1"/>
  <c r="BK243" i="1"/>
  <c r="BM243" i="1" s="1"/>
  <c r="BG237" i="1"/>
  <c r="U238" i="2"/>
  <c r="AR791" i="1"/>
  <c r="Q236" i="1" l="1"/>
  <c r="S243" i="1" s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S221" i="1" s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S213" i="1" l="1"/>
  <c r="S205" i="1"/>
  <c r="S197" i="1"/>
  <c r="S198" i="1"/>
  <c r="S229" i="1"/>
  <c r="S207" i="1"/>
  <c r="S215" i="1"/>
  <c r="S223" i="1"/>
  <c r="S206" i="1"/>
  <c r="S214" i="1"/>
  <c r="S222" i="1"/>
  <c r="S199" i="1"/>
  <c r="S200" i="1"/>
  <c r="S208" i="1"/>
  <c r="S216" i="1"/>
  <c r="S224" i="1"/>
  <c r="S194" i="1"/>
  <c r="S202" i="1"/>
  <c r="S210" i="1"/>
  <c r="S218" i="1"/>
  <c r="S226" i="1"/>
  <c r="S230" i="1"/>
  <c r="S237" i="1"/>
  <c r="S231" i="1"/>
  <c r="S238" i="1"/>
  <c r="S232" i="1"/>
  <c r="S239" i="1"/>
  <c r="S201" i="1"/>
  <c r="S209" i="1"/>
  <c r="S217" i="1"/>
  <c r="S225" i="1"/>
  <c r="S233" i="1"/>
  <c r="S240" i="1"/>
  <c r="S234" i="1"/>
  <c r="S241" i="1"/>
  <c r="S195" i="1"/>
  <c r="S203" i="1"/>
  <c r="S211" i="1"/>
  <c r="S219" i="1"/>
  <c r="S227" i="1"/>
  <c r="S235" i="1"/>
  <c r="S242" i="1"/>
  <c r="S196" i="1"/>
  <c r="S204" i="1"/>
  <c r="S212" i="1"/>
  <c r="S220" i="1"/>
  <c r="S228" i="1"/>
  <c r="S236" i="1"/>
  <c r="BE236" i="1"/>
  <c r="BA236" i="1"/>
  <c r="BK242" i="1" s="1"/>
  <c r="BM242" i="1" s="1"/>
  <c r="AL236" i="1"/>
  <c r="AR236" i="1" s="1"/>
  <c r="AG236" i="1"/>
  <c r="AI243" i="1" s="1"/>
  <c r="N236" i="1"/>
  <c r="S237" i="2"/>
  <c r="K237" i="2"/>
  <c r="Q238" i="2" l="1"/>
  <c r="M238" i="2"/>
  <c r="BG236" i="1"/>
  <c r="U237" i="2"/>
  <c r="BE235" i="1"/>
  <c r="BA235" i="1"/>
  <c r="BK241" i="1" s="1"/>
  <c r="BM241" i="1" s="1"/>
  <c r="AL235" i="1"/>
  <c r="AR235" i="1" s="1"/>
  <c r="AG235" i="1"/>
  <c r="AI242" i="1" s="1"/>
  <c r="S236" i="2"/>
  <c r="K236" i="2"/>
  <c r="BE234" i="1"/>
  <c r="BA234" i="1"/>
  <c r="AL234" i="1"/>
  <c r="AR234" i="1" s="1"/>
  <c r="AG234" i="1"/>
  <c r="AI241" i="1" s="1"/>
  <c r="N234" i="1"/>
  <c r="S235" i="2"/>
  <c r="K235" i="2"/>
  <c r="Q236" i="2" l="1"/>
  <c r="M237" i="2"/>
  <c r="U236" i="2"/>
  <c r="Q237" i="2"/>
  <c r="BK240" i="1"/>
  <c r="BM240" i="1" s="1"/>
  <c r="BG235" i="1"/>
  <c r="M236" i="2"/>
  <c r="BG234" i="1"/>
  <c r="U235" i="2"/>
  <c r="BE233" i="1" l="1"/>
  <c r="BA233" i="1"/>
  <c r="BK239" i="1" s="1"/>
  <c r="BM239" i="1" s="1"/>
  <c r="AL233" i="1"/>
  <c r="AR233" i="1" s="1"/>
  <c r="AG233" i="1"/>
  <c r="AI240" i="1" s="1"/>
  <c r="N233" i="1"/>
  <c r="S234" i="2"/>
  <c r="K234" i="2"/>
  <c r="Q235" i="2" l="1"/>
  <c r="M235" i="2"/>
  <c r="BG233" i="1"/>
  <c r="U234" i="2"/>
  <c r="BE232" i="1"/>
  <c r="BA232" i="1"/>
  <c r="BK238" i="1" s="1"/>
  <c r="BM238" i="1" s="1"/>
  <c r="AL232" i="1"/>
  <c r="AR232" i="1" s="1"/>
  <c r="AG232" i="1"/>
  <c r="AI239" i="1" s="1"/>
  <c r="N232" i="1"/>
  <c r="S233" i="2"/>
  <c r="K233" i="2"/>
  <c r="Q234" i="2" l="1"/>
  <c r="M234" i="2"/>
  <c r="BG232" i="1"/>
  <c r="U233" i="2"/>
  <c r="BE231" i="1"/>
  <c r="BA231" i="1"/>
  <c r="BK237" i="1" s="1"/>
  <c r="BM237" i="1" s="1"/>
  <c r="AL231" i="1"/>
  <c r="AR231" i="1" s="1"/>
  <c r="AG231" i="1"/>
  <c r="AI238" i="1" s="1"/>
  <c r="N231" i="1"/>
  <c r="S232" i="2"/>
  <c r="K232" i="2"/>
  <c r="M233" i="2" l="1"/>
  <c r="Q233" i="2"/>
  <c r="BG231" i="1"/>
  <c r="U232" i="2"/>
  <c r="AP788" i="1" l="1"/>
  <c r="AR787" i="1"/>
  <c r="AP787" i="1"/>
  <c r="AR786" i="1"/>
  <c r="AP786" i="1"/>
  <c r="AV786" i="1" l="1"/>
  <c r="AV787" i="1"/>
  <c r="AV788" i="1"/>
  <c r="BE230" i="1"/>
  <c r="BA230" i="1"/>
  <c r="BK236" i="1" s="1"/>
  <c r="BM236" i="1" s="1"/>
  <c r="AL230" i="1"/>
  <c r="AR230" i="1" s="1"/>
  <c r="AG230" i="1"/>
  <c r="AI237" i="1" s="1"/>
  <c r="N230" i="1"/>
  <c r="S231" i="2"/>
  <c r="K231" i="2"/>
  <c r="Q232" i="2" l="1"/>
  <c r="M232" i="2"/>
  <c r="BG230" i="1"/>
  <c r="U231" i="2"/>
  <c r="S230" i="2"/>
  <c r="BE229" i="1" l="1"/>
  <c r="BA229" i="1"/>
  <c r="BK235" i="1" s="1"/>
  <c r="BM235" i="1" s="1"/>
  <c r="AL229" i="1"/>
  <c r="AG229" i="1"/>
  <c r="AI236" i="1" s="1"/>
  <c r="N229" i="1"/>
  <c r="K230" i="2"/>
  <c r="Q231" i="2" l="1"/>
  <c r="M231" i="2"/>
  <c r="AR229" i="1"/>
  <c r="BG229" i="1"/>
  <c r="U230" i="2"/>
  <c r="BE228" i="1"/>
  <c r="BA228" i="1"/>
  <c r="BK234" i="1" s="1"/>
  <c r="BM234" i="1" s="1"/>
  <c r="AL228" i="1"/>
  <c r="AR228" i="1" s="1"/>
  <c r="AG228" i="1"/>
  <c r="AI235" i="1" s="1"/>
  <c r="N228" i="1"/>
  <c r="S229" i="2"/>
  <c r="K229" i="2"/>
  <c r="BE227" i="1"/>
  <c r="BA227" i="1"/>
  <c r="AL227" i="1"/>
  <c r="AR227" i="1" s="1"/>
  <c r="AG227" i="1"/>
  <c r="AI234" i="1" s="1"/>
  <c r="N227" i="1"/>
  <c r="S228" i="2"/>
  <c r="K228" i="2"/>
  <c r="BE226" i="1"/>
  <c r="BA226" i="1"/>
  <c r="AL226" i="1"/>
  <c r="AR226" i="1" s="1"/>
  <c r="AG226" i="1"/>
  <c r="AI233" i="1" s="1"/>
  <c r="N226" i="1"/>
  <c r="S227" i="2"/>
  <c r="K227" i="2"/>
  <c r="Q228" i="2" l="1"/>
  <c r="M229" i="2"/>
  <c r="M230" i="2"/>
  <c r="Q230" i="2"/>
  <c r="BK233" i="1"/>
  <c r="BM233" i="1" s="1"/>
  <c r="BK232" i="1"/>
  <c r="BM232" i="1" s="1"/>
  <c r="BG228" i="1"/>
  <c r="U229" i="2"/>
  <c r="Q229" i="2"/>
  <c r="BG227" i="1"/>
  <c r="U228" i="2"/>
  <c r="M228" i="2"/>
  <c r="BG226" i="1"/>
  <c r="U227" i="2"/>
  <c r="BE225" i="1"/>
  <c r="BA225" i="1"/>
  <c r="BK231" i="1" s="1"/>
  <c r="BM231" i="1" s="1"/>
  <c r="AL225" i="1"/>
  <c r="AR225" i="1" s="1"/>
  <c r="AG225" i="1"/>
  <c r="AI232" i="1" s="1"/>
  <c r="N225" i="1"/>
  <c r="S226" i="2"/>
  <c r="K226" i="2"/>
  <c r="M227" i="2" l="1"/>
  <c r="Q227" i="2"/>
  <c r="BG225" i="1"/>
  <c r="U226" i="2"/>
  <c r="BE224" i="1"/>
  <c r="BA224" i="1"/>
  <c r="BK230" i="1" s="1"/>
  <c r="AL224" i="1"/>
  <c r="AR224" i="1" s="1"/>
  <c r="AG224" i="1"/>
  <c r="AI231" i="1" s="1"/>
  <c r="N224" i="1"/>
  <c r="S225" i="2"/>
  <c r="K225" i="2"/>
  <c r="Q226" i="2" l="1"/>
  <c r="M226" i="2"/>
  <c r="BM230" i="1"/>
  <c r="BG224" i="1"/>
  <c r="U225" i="2"/>
  <c r="S224" i="2"/>
  <c r="K224" i="2"/>
  <c r="Q225" i="2" s="1"/>
  <c r="BE223" i="1"/>
  <c r="BA223" i="1"/>
  <c r="BK229" i="1" s="1"/>
  <c r="BM229" i="1" s="1"/>
  <c r="AL223" i="1"/>
  <c r="AR223" i="1" s="1"/>
  <c r="AG223" i="1"/>
  <c r="AI230" i="1" s="1"/>
  <c r="N223" i="1"/>
  <c r="M225" i="2" l="1"/>
  <c r="U224" i="2"/>
  <c r="BG223" i="1"/>
  <c r="BE222" i="1" l="1"/>
  <c r="BA222" i="1"/>
  <c r="AL222" i="1"/>
  <c r="AR222" i="1" s="1"/>
  <c r="AG222" i="1"/>
  <c r="N222" i="1"/>
  <c r="S223" i="2"/>
  <c r="K223" i="2"/>
  <c r="Q224" i="2" l="1"/>
  <c r="M224" i="2"/>
  <c r="BK228" i="1"/>
  <c r="BM228" i="1" s="1"/>
  <c r="AI229" i="1"/>
  <c r="BG222" i="1"/>
  <c r="U223" i="2"/>
  <c r="BE221" i="1" l="1"/>
  <c r="BA221" i="1"/>
  <c r="BK227" i="1" s="1"/>
  <c r="BM227" i="1" s="1"/>
  <c r="AL221" i="1"/>
  <c r="AR221" i="1" s="1"/>
  <c r="AG221" i="1"/>
  <c r="N221" i="1"/>
  <c r="S222" i="2"/>
  <c r="K222" i="2"/>
  <c r="Q223" i="2" l="1"/>
  <c r="M223" i="2"/>
  <c r="AI228" i="1"/>
  <c r="BG221" i="1"/>
  <c r="U222" i="2"/>
  <c r="BE220" i="1" l="1"/>
  <c r="BA220" i="1"/>
  <c r="AL220" i="1"/>
  <c r="AR220" i="1" s="1"/>
  <c r="AG220" i="1"/>
  <c r="N220" i="1"/>
  <c r="S221" i="2"/>
  <c r="K221" i="2"/>
  <c r="M222" i="2" l="1"/>
  <c r="Q222" i="2"/>
  <c r="U221" i="2"/>
  <c r="BK226" i="1"/>
  <c r="BM226" i="1" s="1"/>
  <c r="AI227" i="1"/>
  <c r="BG220" i="1"/>
  <c r="BE219" i="1"/>
  <c r="BA219" i="1"/>
  <c r="AL219" i="1"/>
  <c r="AR219" i="1" s="1"/>
  <c r="AG219" i="1"/>
  <c r="AI226" i="1" s="1"/>
  <c r="N219" i="1"/>
  <c r="S220" i="2"/>
  <c r="K220" i="2"/>
  <c r="Q221" i="2" l="1"/>
  <c r="M221" i="2"/>
  <c r="BK225" i="1"/>
  <c r="BM225" i="1" s="1"/>
  <c r="BG219" i="1"/>
  <c r="U220" i="2"/>
  <c r="BE218" i="1" l="1"/>
  <c r="BA218" i="1"/>
  <c r="BK224" i="1" s="1"/>
  <c r="BM224" i="1" s="1"/>
  <c r="AL218" i="1"/>
  <c r="AR218" i="1" s="1"/>
  <c r="AG218" i="1"/>
  <c r="AI225" i="1" s="1"/>
  <c r="N218" i="1"/>
  <c r="S219" i="2"/>
  <c r="K219" i="2"/>
  <c r="Q220" i="2" l="1"/>
  <c r="M220" i="2"/>
  <c r="BG218" i="1"/>
  <c r="U219" i="2"/>
  <c r="BE217" i="1" l="1"/>
  <c r="BA217" i="1"/>
  <c r="BK223" i="1" s="1"/>
  <c r="BM223" i="1" s="1"/>
  <c r="AL217" i="1"/>
  <c r="AR217" i="1" s="1"/>
  <c r="AG217" i="1"/>
  <c r="AI224" i="1" s="1"/>
  <c r="N217" i="1"/>
  <c r="S218" i="2"/>
  <c r="K218" i="2"/>
  <c r="Q219" i="2" l="1"/>
  <c r="M219" i="2"/>
  <c r="BG217" i="1"/>
  <c r="U218" i="2"/>
  <c r="BE216" i="1"/>
  <c r="S217" i="2"/>
  <c r="BA832" i="1"/>
  <c r="N214" i="1"/>
  <c r="N204" i="1"/>
  <c r="BA831" i="1" s="1"/>
  <c r="N174" i="1"/>
  <c r="BA830" i="1" s="1"/>
  <c r="N112" i="1"/>
  <c r="BA216" i="1"/>
  <c r="BK222" i="1" s="1"/>
  <c r="BM222" i="1" s="1"/>
  <c r="AL216" i="1"/>
  <c r="AR216" i="1" s="1"/>
  <c r="AG216" i="1"/>
  <c r="AI223" i="1" s="1"/>
  <c r="N216" i="1"/>
  <c r="K217" i="2"/>
  <c r="M218" i="2" s="1"/>
  <c r="BC831" i="1" l="1"/>
  <c r="BE831" i="1" s="1"/>
  <c r="Q218" i="2"/>
  <c r="BC832" i="1"/>
  <c r="BE832" i="1" s="1"/>
  <c r="BG216" i="1"/>
  <c r="U217" i="2"/>
  <c r="BE215" i="1" l="1"/>
  <c r="BA215" i="1"/>
  <c r="BK221" i="1" s="1"/>
  <c r="BM221" i="1" s="1"/>
  <c r="AL215" i="1"/>
  <c r="AR215" i="1" s="1"/>
  <c r="AG215" i="1"/>
  <c r="AI222" i="1" s="1"/>
  <c r="N215" i="1"/>
  <c r="S216" i="2"/>
  <c r="K216" i="2"/>
  <c r="M217" i="2" l="1"/>
  <c r="Q217" i="2"/>
  <c r="BG215" i="1"/>
  <c r="U216" i="2"/>
  <c r="BE214" i="1" l="1"/>
  <c r="BA214" i="1"/>
  <c r="BK220" i="1" s="1"/>
  <c r="BM220" i="1" s="1"/>
  <c r="AL214" i="1"/>
  <c r="AR214" i="1" s="1"/>
  <c r="AG214" i="1"/>
  <c r="AI221" i="1" s="1"/>
  <c r="S215" i="2"/>
  <c r="K215" i="2"/>
  <c r="BE213" i="1"/>
  <c r="BA213" i="1"/>
  <c r="AL213" i="1"/>
  <c r="AR213" i="1" s="1"/>
  <c r="AG213" i="1"/>
  <c r="AI220" i="1" s="1"/>
  <c r="N213" i="1"/>
  <c r="S214" i="2"/>
  <c r="K214" i="2"/>
  <c r="M216" i="2" l="1"/>
  <c r="Q216" i="2"/>
  <c r="BK219" i="1"/>
  <c r="BM219" i="1" s="1"/>
  <c r="M215" i="2"/>
  <c r="BG214" i="1"/>
  <c r="Q215" i="2"/>
  <c r="U215" i="2"/>
  <c r="BG213" i="1"/>
  <c r="U214" i="2"/>
  <c r="S213" i="2" l="1"/>
  <c r="BE212" i="1" l="1"/>
  <c r="BA212" i="1"/>
  <c r="BK218" i="1" s="1"/>
  <c r="BM218" i="1" s="1"/>
  <c r="AL212" i="1"/>
  <c r="AR212" i="1" s="1"/>
  <c r="AG212" i="1"/>
  <c r="AI219" i="1" s="1"/>
  <c r="N212" i="1"/>
  <c r="K213" i="2"/>
  <c r="Q214" i="2" l="1"/>
  <c r="M214" i="2"/>
  <c r="BG212" i="1"/>
  <c r="U213" i="2"/>
  <c r="BE211" i="1" l="1"/>
  <c r="BA211" i="1"/>
  <c r="BK217" i="1" s="1"/>
  <c r="BM217" i="1" s="1"/>
  <c r="AL211" i="1"/>
  <c r="AR211" i="1" s="1"/>
  <c r="AG211" i="1"/>
  <c r="AI218" i="1" s="1"/>
  <c r="N211" i="1"/>
  <c r="S212" i="2"/>
  <c r="K212" i="2"/>
  <c r="BE210" i="1"/>
  <c r="BA210" i="1"/>
  <c r="AL210" i="1"/>
  <c r="AR210" i="1" s="1"/>
  <c r="AG210" i="1"/>
  <c r="AI217" i="1" s="1"/>
  <c r="N210" i="1"/>
  <c r="S211" i="2"/>
  <c r="K211" i="2"/>
  <c r="Q212" i="2" l="1"/>
  <c r="Q213" i="2"/>
  <c r="M213" i="2"/>
  <c r="BK216" i="1"/>
  <c r="BM216" i="1" s="1"/>
  <c r="BG211" i="1"/>
  <c r="U212" i="2"/>
  <c r="M212" i="2"/>
  <c r="BG210" i="1"/>
  <c r="U211" i="2"/>
  <c r="K210" i="2" l="1"/>
  <c r="BE209" i="1"/>
  <c r="BA209" i="1"/>
  <c r="BK215" i="1" s="1"/>
  <c r="BM215" i="1" s="1"/>
  <c r="AL209" i="1"/>
  <c r="AR209" i="1" s="1"/>
  <c r="AG209" i="1"/>
  <c r="AI216" i="1" s="1"/>
  <c r="N209" i="1"/>
  <c r="M211" i="2" l="1"/>
  <c r="Q211" i="2"/>
  <c r="U210" i="2"/>
  <c r="BG209" i="1"/>
  <c r="S209" i="2" l="1"/>
  <c r="BE208" i="1" l="1"/>
  <c r="BA208" i="1"/>
  <c r="BK214" i="1" s="1"/>
  <c r="AL208" i="1"/>
  <c r="AG208" i="1"/>
  <c r="AI215" i="1" s="1"/>
  <c r="N208" i="1"/>
  <c r="K209" i="2"/>
  <c r="S208" i="2"/>
  <c r="Q210" i="2" l="1"/>
  <c r="M210" i="2"/>
  <c r="BM214" i="1"/>
  <c r="AR208" i="1"/>
  <c r="BG208" i="1"/>
  <c r="U209" i="2"/>
  <c r="K208" i="2"/>
  <c r="M209" i="2" s="1"/>
  <c r="BE207" i="1"/>
  <c r="BA207" i="1"/>
  <c r="BK213" i="1" s="1"/>
  <c r="AL207" i="1"/>
  <c r="AR207" i="1" s="1"/>
  <c r="AG207" i="1"/>
  <c r="AI214" i="1" s="1"/>
  <c r="N207" i="1"/>
  <c r="S207" i="2"/>
  <c r="BE206" i="1"/>
  <c r="BA206" i="1"/>
  <c r="AL206" i="1"/>
  <c r="AR206" i="1" s="1"/>
  <c r="AG206" i="1"/>
  <c r="AI213" i="1" s="1"/>
  <c r="N206" i="1"/>
  <c r="K207" i="2"/>
  <c r="Q208" i="2" l="1"/>
  <c r="Q209" i="2"/>
  <c r="BK212" i="1"/>
  <c r="BM212" i="1" s="1"/>
  <c r="BM213" i="1"/>
  <c r="BG207" i="1"/>
  <c r="U208" i="2"/>
  <c r="M208" i="2"/>
  <c r="BG206" i="1"/>
  <c r="U207" i="2"/>
  <c r="BE205" i="1" l="1"/>
  <c r="BA205" i="1"/>
  <c r="BK211" i="1" s="1"/>
  <c r="BM211" i="1" s="1"/>
  <c r="AL205" i="1"/>
  <c r="AR205" i="1" s="1"/>
  <c r="AG205" i="1"/>
  <c r="AI212" i="1" s="1"/>
  <c r="N205" i="1"/>
  <c r="S206" i="2"/>
  <c r="K206" i="2"/>
  <c r="S205" i="2"/>
  <c r="D800" i="1"/>
  <c r="H800" i="1" s="1"/>
  <c r="Q207" i="2" l="1"/>
  <c r="M207" i="2"/>
  <c r="BG205" i="1"/>
  <c r="U206" i="2"/>
  <c r="BE204" i="1"/>
  <c r="BA204" i="1"/>
  <c r="BK210" i="1" s="1"/>
  <c r="BM210" i="1" s="1"/>
  <c r="AL204" i="1"/>
  <c r="AR204" i="1" s="1"/>
  <c r="AG204" i="1"/>
  <c r="AI211" i="1" s="1"/>
  <c r="K205" i="2"/>
  <c r="M206" i="2" l="1"/>
  <c r="Q206" i="2"/>
  <c r="BG204" i="1"/>
  <c r="U205" i="2"/>
  <c r="S204" i="2" l="1"/>
  <c r="BE203" i="1" l="1"/>
  <c r="BA203" i="1"/>
  <c r="AL203" i="1"/>
  <c r="AR203" i="1" s="1"/>
  <c r="AG203" i="1"/>
  <c r="AI210" i="1" s="1"/>
  <c r="N203" i="1"/>
  <c r="K204" i="2"/>
  <c r="M205" i="2" l="1"/>
  <c r="Q205" i="2"/>
  <c r="BK209" i="1"/>
  <c r="BG203" i="1"/>
  <c r="U204" i="2"/>
  <c r="BM209" i="1" l="1"/>
  <c r="BE202" i="1"/>
  <c r="BA202" i="1"/>
  <c r="AL202" i="1"/>
  <c r="AR202" i="1" s="1"/>
  <c r="AG202" i="1"/>
  <c r="N202" i="1"/>
  <c r="S203" i="2"/>
  <c r="K203" i="2"/>
  <c r="S202" i="2"/>
  <c r="BE201" i="1"/>
  <c r="BA201" i="1"/>
  <c r="AL201" i="1"/>
  <c r="AR201" i="1" s="1"/>
  <c r="AG201" i="1"/>
  <c r="N201" i="1"/>
  <c r="AP819" i="1" s="1"/>
  <c r="K202" i="2"/>
  <c r="M203" i="2" l="1"/>
  <c r="Q204" i="2"/>
  <c r="M204" i="2"/>
  <c r="AI209" i="1"/>
  <c r="BK207" i="1"/>
  <c r="BM207" i="1" s="1"/>
  <c r="BK208" i="1"/>
  <c r="BM208" i="1" s="1"/>
  <c r="AI208" i="1"/>
  <c r="BG202" i="1"/>
  <c r="U203" i="2"/>
  <c r="Q203" i="2"/>
  <c r="BG201" i="1"/>
  <c r="U202" i="2"/>
  <c r="BE200" i="1" l="1"/>
  <c r="BA200" i="1"/>
  <c r="AL200" i="1"/>
  <c r="AR200" i="1" s="1"/>
  <c r="AG200" i="1"/>
  <c r="N200" i="1"/>
  <c r="S201" i="2"/>
  <c r="K201" i="2"/>
  <c r="Q202" i="2" l="1"/>
  <c r="M202" i="2"/>
  <c r="U201" i="2"/>
  <c r="BG200" i="1"/>
  <c r="AI207" i="1"/>
  <c r="BK206" i="1"/>
  <c r="BM206" i="1" s="1"/>
  <c r="S200" i="2" l="1"/>
  <c r="BE199" i="1" l="1"/>
  <c r="BA199" i="1"/>
  <c r="AL199" i="1"/>
  <c r="AR199" i="1" s="1"/>
  <c r="AG199" i="1"/>
  <c r="N199" i="1"/>
  <c r="K200" i="2"/>
  <c r="S199" i="2"/>
  <c r="Q201" i="2" l="1"/>
  <c r="M201" i="2"/>
  <c r="AI206" i="1"/>
  <c r="BK205" i="1"/>
  <c r="BM205" i="1" s="1"/>
  <c r="U200" i="2"/>
  <c r="BG199" i="1"/>
  <c r="BE198" i="1" l="1"/>
  <c r="BA198" i="1"/>
  <c r="AL198" i="1"/>
  <c r="AR198" i="1" s="1"/>
  <c r="AG198" i="1"/>
  <c r="N198" i="1"/>
  <c r="K199" i="2"/>
  <c r="Q200" i="2" l="1"/>
  <c r="M200" i="2"/>
  <c r="BK204" i="1"/>
  <c r="BM204" i="1" s="1"/>
  <c r="AI205" i="1"/>
  <c r="BG198" i="1"/>
  <c r="U199" i="2"/>
  <c r="BE197" i="1"/>
  <c r="BA197" i="1"/>
  <c r="AL197" i="1"/>
  <c r="AR197" i="1" s="1"/>
  <c r="AG197" i="1"/>
  <c r="N197" i="1"/>
  <c r="S198" i="2"/>
  <c r="K198" i="2"/>
  <c r="U198" i="2" l="1"/>
  <c r="M199" i="2"/>
  <c r="Q199" i="2"/>
  <c r="BG197" i="1"/>
  <c r="BK203" i="1"/>
  <c r="BM203" i="1" s="1"/>
  <c r="AI204" i="1"/>
  <c r="S197" i="2"/>
  <c r="K197" i="2"/>
  <c r="Q198" i="2" s="1"/>
  <c r="AG196" i="1"/>
  <c r="BE196" i="1"/>
  <c r="BA196" i="1"/>
  <c r="AL196" i="1"/>
  <c r="N196" i="1"/>
  <c r="M198" i="2" l="1"/>
  <c r="BK202" i="1"/>
  <c r="BM202" i="1" s="1"/>
  <c r="AI203" i="1"/>
  <c r="U197" i="2"/>
  <c r="AR196" i="1"/>
  <c r="BG196" i="1"/>
  <c r="BE195" i="1"/>
  <c r="BA195" i="1"/>
  <c r="AL195" i="1"/>
  <c r="AR195" i="1" s="1"/>
  <c r="AG195" i="1"/>
  <c r="N195" i="1"/>
  <c r="BE194" i="1"/>
  <c r="BA194" i="1"/>
  <c r="AL194" i="1"/>
  <c r="AR194" i="1" s="1"/>
  <c r="AG194" i="1"/>
  <c r="N194" i="1"/>
  <c r="S196" i="2"/>
  <c r="K196" i="2"/>
  <c r="M197" i="2" s="1"/>
  <c r="Q197" i="2" l="1"/>
  <c r="AI202" i="1"/>
  <c r="AI201" i="1"/>
  <c r="BK200" i="1"/>
  <c r="BM200" i="1" s="1"/>
  <c r="BK201" i="1"/>
  <c r="BM201" i="1" s="1"/>
  <c r="BG195" i="1"/>
  <c r="BG194" i="1"/>
  <c r="U196" i="2"/>
  <c r="S195" i="2"/>
  <c r="K195" i="2"/>
  <c r="BE193" i="1"/>
  <c r="BA193" i="1"/>
  <c r="BK199" i="1" s="1"/>
  <c r="BM199" i="1" s="1"/>
  <c r="AL193" i="1"/>
  <c r="AR193" i="1" s="1"/>
  <c r="AG193" i="1"/>
  <c r="AI200" i="1" s="1"/>
  <c r="N193" i="1"/>
  <c r="S194" i="2"/>
  <c r="K194" i="2"/>
  <c r="BE192" i="1"/>
  <c r="BA192" i="1"/>
  <c r="AL192" i="1"/>
  <c r="AR192" i="1" s="1"/>
  <c r="AG192" i="1"/>
  <c r="AI199" i="1" s="1"/>
  <c r="N192" i="1"/>
  <c r="S193" i="2"/>
  <c r="K193" i="2"/>
  <c r="Q195" i="2" l="1"/>
  <c r="M194" i="2"/>
  <c r="Q196" i="2"/>
  <c r="M196" i="2"/>
  <c r="BK198" i="1"/>
  <c r="BM198" i="1" s="1"/>
  <c r="U195" i="2"/>
  <c r="M195" i="2"/>
  <c r="BG193" i="1"/>
  <c r="U194" i="2"/>
  <c r="Q194" i="2"/>
  <c r="BG192" i="1"/>
  <c r="U193" i="2"/>
  <c r="S192" i="2" l="1"/>
  <c r="BE191" i="1" l="1"/>
  <c r="BA191" i="1"/>
  <c r="AL191" i="1"/>
  <c r="AR191" i="1" s="1"/>
  <c r="AG191" i="1"/>
  <c r="N191" i="1"/>
  <c r="AI198" i="1" l="1"/>
  <c r="BK197" i="1"/>
  <c r="BM197" i="1" s="1"/>
  <c r="BG191" i="1"/>
  <c r="K192" i="2"/>
  <c r="BE190" i="1"/>
  <c r="BA190" i="1"/>
  <c r="AL190" i="1"/>
  <c r="AR190" i="1" s="1"/>
  <c r="AG190" i="1"/>
  <c r="N190" i="1"/>
  <c r="S191" i="2"/>
  <c r="K191" i="2"/>
  <c r="S190" i="2"/>
  <c r="M192" i="2" l="1"/>
  <c r="Q193" i="2"/>
  <c r="M193" i="2"/>
  <c r="AI197" i="1"/>
  <c r="BK196" i="1"/>
  <c r="BM196" i="1" s="1"/>
  <c r="U192" i="2"/>
  <c r="Q192" i="2"/>
  <c r="BG190" i="1"/>
  <c r="U191" i="2"/>
  <c r="BE189" i="1" l="1"/>
  <c r="BA189" i="1"/>
  <c r="BK195" i="1" s="1"/>
  <c r="BM195" i="1" s="1"/>
  <c r="AL189" i="1"/>
  <c r="AR189" i="1" s="1"/>
  <c r="AG189" i="1"/>
  <c r="AI196" i="1" s="1"/>
  <c r="N189" i="1"/>
  <c r="K190" i="2"/>
  <c r="S189" i="2"/>
  <c r="Q191" i="2" l="1"/>
  <c r="M191" i="2"/>
  <c r="BG189" i="1"/>
  <c r="U190" i="2"/>
  <c r="BE188" i="1" l="1"/>
  <c r="BA188" i="1"/>
  <c r="BK194" i="1" s="1"/>
  <c r="AL188" i="1"/>
  <c r="AG188" i="1"/>
  <c r="AI195" i="1" s="1"/>
  <c r="N188" i="1"/>
  <c r="K189" i="2"/>
  <c r="Q190" i="2" l="1"/>
  <c r="M190" i="2"/>
  <c r="BM194" i="1"/>
  <c r="BK772" i="1"/>
  <c r="AR188" i="1"/>
  <c r="BG188" i="1"/>
  <c r="U189" i="2"/>
  <c r="BE187" i="1"/>
  <c r="BA187" i="1"/>
  <c r="BK193" i="1" s="1"/>
  <c r="BM193" i="1" s="1"/>
  <c r="AL187" i="1"/>
  <c r="AR187" i="1" s="1"/>
  <c r="AG187" i="1"/>
  <c r="AI194" i="1" s="1"/>
  <c r="S188" i="2"/>
  <c r="K188" i="2"/>
  <c r="N187" i="1"/>
  <c r="BE186" i="1"/>
  <c r="BA186" i="1"/>
  <c r="AL186" i="1"/>
  <c r="AR186" i="1" s="1"/>
  <c r="AG186" i="1"/>
  <c r="AI193" i="1" s="1"/>
  <c r="Q186" i="1"/>
  <c r="S193" i="1" s="1"/>
  <c r="N186" i="1"/>
  <c r="S187" i="2"/>
  <c r="K187" i="2"/>
  <c r="BE185" i="1"/>
  <c r="BA185" i="1"/>
  <c r="AL185" i="1"/>
  <c r="AR185" i="1" s="1"/>
  <c r="AG185" i="1"/>
  <c r="AI192" i="1" s="1"/>
  <c r="Q185" i="1"/>
  <c r="S192" i="1" s="1"/>
  <c r="N185" i="1"/>
  <c r="S186" i="2"/>
  <c r="K186" i="2"/>
  <c r="Q187" i="2" l="1"/>
  <c r="M188" i="2"/>
  <c r="M189" i="2"/>
  <c r="Q189" i="2"/>
  <c r="BK191" i="1"/>
  <c r="BM191" i="1" s="1"/>
  <c r="BK192" i="1"/>
  <c r="BM192" i="1" s="1"/>
  <c r="BG187" i="1"/>
  <c r="U188" i="2"/>
  <c r="Q188" i="2"/>
  <c r="BG186" i="1"/>
  <c r="U187" i="2"/>
  <c r="M187" i="2"/>
  <c r="BG185" i="1"/>
  <c r="U186" i="2"/>
  <c r="BE184" i="1" l="1"/>
  <c r="BA184" i="1"/>
  <c r="BK190" i="1" s="1"/>
  <c r="BM190" i="1" s="1"/>
  <c r="AL184" i="1"/>
  <c r="AG184" i="1"/>
  <c r="AI191" i="1" s="1"/>
  <c r="Q184" i="1"/>
  <c r="S191" i="1" s="1"/>
  <c r="N184" i="1"/>
  <c r="S185" i="2"/>
  <c r="K185" i="2"/>
  <c r="Q186" i="2" l="1"/>
  <c r="M186" i="2"/>
  <c r="BG184" i="1"/>
  <c r="AR184" i="1"/>
  <c r="U185" i="2"/>
  <c r="BE183" i="1" l="1"/>
  <c r="BA183" i="1"/>
  <c r="BK189" i="1" s="1"/>
  <c r="BM189" i="1" s="1"/>
  <c r="AL183" i="1"/>
  <c r="AR183" i="1" s="1"/>
  <c r="AG183" i="1"/>
  <c r="AI190" i="1" s="1"/>
  <c r="Q183" i="1"/>
  <c r="S190" i="1" s="1"/>
  <c r="N183" i="1"/>
  <c r="S184" i="2"/>
  <c r="K184" i="2"/>
  <c r="M185" i="2" l="1"/>
  <c r="Q185" i="2"/>
  <c r="BG183" i="1"/>
  <c r="U184" i="2"/>
  <c r="S183" i="2"/>
  <c r="BE182" i="1" l="1"/>
  <c r="BA182" i="1"/>
  <c r="BK188" i="1" s="1"/>
  <c r="BM188" i="1" s="1"/>
  <c r="AL182" i="1"/>
  <c r="AR182" i="1" s="1"/>
  <c r="AG182" i="1"/>
  <c r="AI189" i="1" s="1"/>
  <c r="Q182" i="1"/>
  <c r="S189" i="1" s="1"/>
  <c r="N182" i="1"/>
  <c r="K183" i="2"/>
  <c r="BE181" i="1"/>
  <c r="BA181" i="1"/>
  <c r="AL181" i="1"/>
  <c r="AR181" i="1" s="1"/>
  <c r="AG181" i="1"/>
  <c r="AI188" i="1" s="1"/>
  <c r="Q181" i="1"/>
  <c r="S188" i="1" s="1"/>
  <c r="N181" i="1"/>
  <c r="S182" i="2"/>
  <c r="K182" i="2"/>
  <c r="BE180" i="1"/>
  <c r="BA180" i="1"/>
  <c r="AL180" i="1"/>
  <c r="AR180" i="1" s="1"/>
  <c r="AG180" i="1"/>
  <c r="Q180" i="1"/>
  <c r="S187" i="1" s="1"/>
  <c r="N180" i="1"/>
  <c r="S181" i="2"/>
  <c r="K181" i="2"/>
  <c r="S180" i="2"/>
  <c r="K180" i="2"/>
  <c r="BE179" i="1"/>
  <c r="BA179" i="1"/>
  <c r="AL179" i="1"/>
  <c r="AR179" i="1" s="1"/>
  <c r="AG179" i="1"/>
  <c r="Q179" i="1"/>
  <c r="N179" i="1"/>
  <c r="S179" i="2"/>
  <c r="BE178" i="1"/>
  <c r="BA178" i="1"/>
  <c r="AL178" i="1"/>
  <c r="AR178" i="1" s="1"/>
  <c r="AG178" i="1"/>
  <c r="Q178" i="1"/>
  <c r="S185" i="1" s="1"/>
  <c r="N178" i="1"/>
  <c r="K179" i="2"/>
  <c r="S178" i="2"/>
  <c r="BE177" i="1"/>
  <c r="BA177" i="1"/>
  <c r="AL177" i="1"/>
  <c r="AR177" i="1" s="1"/>
  <c r="AG177" i="1"/>
  <c r="Q177" i="1"/>
  <c r="N177" i="1"/>
  <c r="K178" i="2"/>
  <c r="M182" i="2" l="1"/>
  <c r="M181" i="2"/>
  <c r="U180" i="2"/>
  <c r="Q179" i="2"/>
  <c r="M183" i="2"/>
  <c r="Q184" i="2"/>
  <c r="M184" i="2"/>
  <c r="U182" i="2"/>
  <c r="S186" i="1"/>
  <c r="AI186" i="1"/>
  <c r="AI185" i="1"/>
  <c r="AI187" i="1"/>
  <c r="BK183" i="1"/>
  <c r="BM183" i="1" s="1"/>
  <c r="BK184" i="1"/>
  <c r="BM184" i="1" s="1"/>
  <c r="BK185" i="1"/>
  <c r="BM185" i="1" s="1"/>
  <c r="BK186" i="1"/>
  <c r="BM186" i="1" s="1"/>
  <c r="BK187" i="1"/>
  <c r="AI184" i="1"/>
  <c r="S184" i="1"/>
  <c r="U183" i="2"/>
  <c r="BG182" i="1"/>
  <c r="Q183" i="2"/>
  <c r="BG181" i="1"/>
  <c r="Q182" i="2"/>
  <c r="BG180" i="1"/>
  <c r="U181" i="2"/>
  <c r="Q181" i="2"/>
  <c r="M180" i="2"/>
  <c r="Q180" i="2"/>
  <c r="BG179" i="1"/>
  <c r="BG178" i="1"/>
  <c r="U179" i="2"/>
  <c r="M179" i="2"/>
  <c r="BG177" i="1"/>
  <c r="U178" i="2"/>
  <c r="BE176" i="1"/>
  <c r="BA176" i="1"/>
  <c r="AL176" i="1"/>
  <c r="AR176" i="1" s="1"/>
  <c r="AG176" i="1"/>
  <c r="Q176" i="1"/>
  <c r="S183" i="1" s="1"/>
  <c r="N176" i="1"/>
  <c r="S176" i="2"/>
  <c r="S177" i="2"/>
  <c r="K177" i="2"/>
  <c r="Q178" i="2" s="1"/>
  <c r="M178" i="2" l="1"/>
  <c r="BK770" i="1"/>
  <c r="BK773" i="1"/>
  <c r="AI183" i="1"/>
  <c r="BM187" i="1"/>
  <c r="BK182" i="1"/>
  <c r="BM182" i="1" s="1"/>
  <c r="BG176" i="1"/>
  <c r="U177" i="2"/>
  <c r="BE175" i="1"/>
  <c r="BA175" i="1"/>
  <c r="AL175" i="1"/>
  <c r="AR175" i="1" s="1"/>
  <c r="AG175" i="1"/>
  <c r="Q175" i="1"/>
  <c r="S182" i="1" s="1"/>
  <c r="N175" i="1"/>
  <c r="K176" i="2"/>
  <c r="M177" i="2" s="1"/>
  <c r="Q177" i="2" l="1"/>
  <c r="AI182" i="1"/>
  <c r="BK181" i="1"/>
  <c r="BM181" i="1" s="1"/>
  <c r="U176" i="2"/>
  <c r="BG175" i="1"/>
  <c r="S175" i="2" l="1"/>
  <c r="BE174" i="1" l="1"/>
  <c r="BA174" i="1"/>
  <c r="AL174" i="1"/>
  <c r="AR174" i="1" s="1"/>
  <c r="AG174" i="1"/>
  <c r="Q174" i="1"/>
  <c r="S181" i="1" s="1"/>
  <c r="K175" i="2"/>
  <c r="Q176" i="2" l="1"/>
  <c r="M176" i="2"/>
  <c r="AI181" i="1"/>
  <c r="BK180" i="1"/>
  <c r="BG174" i="1"/>
  <c r="U175" i="2"/>
  <c r="S174" i="2"/>
  <c r="BE173" i="1"/>
  <c r="BA173" i="1"/>
  <c r="AL173" i="1"/>
  <c r="AR173" i="1" s="1"/>
  <c r="AG173" i="1"/>
  <c r="Q173" i="1"/>
  <c r="N173" i="1"/>
  <c r="K174" i="2"/>
  <c r="S173" i="2"/>
  <c r="BE172" i="1"/>
  <c r="BA172" i="1"/>
  <c r="AL172" i="1"/>
  <c r="AG172" i="1"/>
  <c r="Q172" i="1"/>
  <c r="S179" i="1" s="1"/>
  <c r="N172" i="1"/>
  <c r="K173" i="2"/>
  <c r="Q174" i="2" l="1"/>
  <c r="M175" i="2"/>
  <c r="Q175" i="2"/>
  <c r="BK179" i="1"/>
  <c r="BM179" i="1" s="1"/>
  <c r="BM180" i="1"/>
  <c r="AI179" i="1"/>
  <c r="BK178" i="1"/>
  <c r="BM178" i="1" s="1"/>
  <c r="AI180" i="1"/>
  <c r="S180" i="1"/>
  <c r="BG173" i="1"/>
  <c r="U174" i="2"/>
  <c r="M174" i="2"/>
  <c r="BG172" i="1"/>
  <c r="AR172" i="1"/>
  <c r="U173" i="2"/>
  <c r="BE171" i="1"/>
  <c r="BA171" i="1"/>
  <c r="AL171" i="1"/>
  <c r="AR171" i="1" s="1"/>
  <c r="AG171" i="1"/>
  <c r="AI178" i="1" s="1"/>
  <c r="Q171" i="1"/>
  <c r="S178" i="1" s="1"/>
  <c r="N171" i="1"/>
  <c r="S172" i="2"/>
  <c r="K172" i="2"/>
  <c r="M173" i="2" s="1"/>
  <c r="Q173" i="2" l="1"/>
  <c r="BG171" i="1"/>
  <c r="BK177" i="1"/>
  <c r="BM177" i="1" s="1"/>
  <c r="U172" i="2"/>
  <c r="S170" i="2" l="1"/>
  <c r="K170" i="2"/>
  <c r="S171" i="2"/>
  <c r="K171" i="2"/>
  <c r="U171" i="2" l="1"/>
  <c r="Q172" i="2"/>
  <c r="M172" i="2"/>
  <c r="U170" i="2"/>
  <c r="Q171" i="2"/>
  <c r="M171" i="2"/>
  <c r="BE170" i="1" l="1"/>
  <c r="BA170" i="1"/>
  <c r="BK176" i="1" s="1"/>
  <c r="BM176" i="1" s="1"/>
  <c r="AL170" i="1"/>
  <c r="AG170" i="1"/>
  <c r="AI177" i="1" s="1"/>
  <c r="Q170" i="1"/>
  <c r="S177" i="1" s="1"/>
  <c r="N170" i="1"/>
  <c r="AR170" i="1" l="1"/>
  <c r="BG170" i="1"/>
  <c r="S169" i="2" l="1"/>
  <c r="BE169" i="1" l="1"/>
  <c r="BA169" i="1"/>
  <c r="BK175" i="1" s="1"/>
  <c r="BM175" i="1" s="1"/>
  <c r="AL169" i="1"/>
  <c r="AR169" i="1" s="1"/>
  <c r="AG169" i="1"/>
  <c r="AI176" i="1" s="1"/>
  <c r="Q169" i="1"/>
  <c r="S176" i="1" s="1"/>
  <c r="N169" i="1"/>
  <c r="K169" i="2"/>
  <c r="M170" i="2" l="1"/>
  <c r="Q170" i="2"/>
  <c r="U169" i="2"/>
  <c r="BG169" i="1"/>
  <c r="S168" i="2" l="1"/>
  <c r="BE168" i="1" l="1"/>
  <c r="BA168" i="1"/>
  <c r="BK174" i="1" s="1"/>
  <c r="BM174" i="1" s="1"/>
  <c r="AL168" i="1"/>
  <c r="AR168" i="1" s="1"/>
  <c r="AG168" i="1"/>
  <c r="AI175" i="1" s="1"/>
  <c r="Q168" i="1"/>
  <c r="S175" i="1" s="1"/>
  <c r="N168" i="1"/>
  <c r="K168" i="2"/>
  <c r="M169" i="2" l="1"/>
  <c r="Q169" i="2"/>
  <c r="BG168" i="1"/>
  <c r="U168" i="2"/>
  <c r="S167" i="2"/>
  <c r="BE167" i="1" l="1"/>
  <c r="BA167" i="1"/>
  <c r="BK173" i="1" s="1"/>
  <c r="BM173" i="1" s="1"/>
  <c r="AL167" i="1"/>
  <c r="AG167" i="1"/>
  <c r="AI174" i="1" s="1"/>
  <c r="Q167" i="1"/>
  <c r="S174" i="1" s="1"/>
  <c r="N167" i="1"/>
  <c r="K167" i="2"/>
  <c r="Q168" i="2" l="1"/>
  <c r="M168" i="2"/>
  <c r="AR167" i="1"/>
  <c r="BG167" i="1"/>
  <c r="U167" i="2"/>
  <c r="N110" i="1" l="1"/>
  <c r="N103" i="1"/>
  <c r="S166" i="2"/>
  <c r="BE166" i="1" l="1"/>
  <c r="BA166" i="1"/>
  <c r="BK172" i="1" s="1"/>
  <c r="BM172" i="1" s="1"/>
  <c r="AL166" i="1"/>
  <c r="AR166" i="1" s="1"/>
  <c r="AG166" i="1"/>
  <c r="AI173" i="1" s="1"/>
  <c r="Q166" i="1"/>
  <c r="S173" i="1" s="1"/>
  <c r="N166" i="1"/>
  <c r="K166" i="2"/>
  <c r="S165" i="2"/>
  <c r="BE165" i="1"/>
  <c r="BA165" i="1"/>
  <c r="AL165" i="1"/>
  <c r="AR165" i="1" s="1"/>
  <c r="AG165" i="1"/>
  <c r="AI172" i="1" s="1"/>
  <c r="Q165" i="1"/>
  <c r="S172" i="1" s="1"/>
  <c r="N165" i="1"/>
  <c r="BK171" i="1" l="1"/>
  <c r="BM171" i="1" s="1"/>
  <c r="M167" i="2"/>
  <c r="Q167" i="2"/>
  <c r="BG165" i="1"/>
  <c r="BG166" i="1"/>
  <c r="U166" i="2"/>
  <c r="BE164" i="1"/>
  <c r="BA164" i="1"/>
  <c r="BK170" i="1" s="1"/>
  <c r="BM170" i="1" s="1"/>
  <c r="AL164" i="1"/>
  <c r="AR164" i="1" s="1"/>
  <c r="AG164" i="1"/>
  <c r="AI171" i="1" s="1"/>
  <c r="Q164" i="1"/>
  <c r="S171" i="1" s="1"/>
  <c r="N164" i="1"/>
  <c r="K165" i="2"/>
  <c r="Q166" i="2" s="1"/>
  <c r="M166" i="2" l="1"/>
  <c r="BG164" i="1"/>
  <c r="U165" i="2"/>
  <c r="BE163" i="1" l="1"/>
  <c r="BA163" i="1"/>
  <c r="BK169" i="1" s="1"/>
  <c r="BM169" i="1" s="1"/>
  <c r="AL163" i="1"/>
  <c r="AG163" i="1"/>
  <c r="AI170" i="1" s="1"/>
  <c r="Q163" i="1"/>
  <c r="S170" i="1" s="1"/>
  <c r="N163" i="1"/>
  <c r="S164" i="2"/>
  <c r="K164" i="2"/>
  <c r="M165" i="2" l="1"/>
  <c r="Q165" i="2"/>
  <c r="BG163" i="1"/>
  <c r="AR163" i="1"/>
  <c r="U164" i="2"/>
  <c r="BE162" i="1"/>
  <c r="BA162" i="1"/>
  <c r="AL162" i="1"/>
  <c r="AG162" i="1"/>
  <c r="AI169" i="1" s="1"/>
  <c r="Q162" i="1"/>
  <c r="S169" i="1" s="1"/>
  <c r="N162" i="1"/>
  <c r="S163" i="2"/>
  <c r="S162" i="2"/>
  <c r="K163" i="2"/>
  <c r="M164" i="2" l="1"/>
  <c r="Q164" i="2"/>
  <c r="BK168" i="1"/>
  <c r="BG162" i="1"/>
  <c r="AR162" i="1"/>
  <c r="U163" i="2"/>
  <c r="BM168" i="1" l="1"/>
  <c r="BE161" i="1"/>
  <c r="BA161" i="1"/>
  <c r="AL161" i="1"/>
  <c r="AR161" i="1" s="1"/>
  <c r="AG161" i="1"/>
  <c r="Q161" i="1"/>
  <c r="S168" i="1" s="1"/>
  <c r="N161" i="1"/>
  <c r="K162" i="2"/>
  <c r="M163" i="2" l="1"/>
  <c r="Q163" i="2"/>
  <c r="AI168" i="1"/>
  <c r="BK167" i="1"/>
  <c r="BM167" i="1" s="1"/>
  <c r="BG161" i="1"/>
  <c r="U162" i="2"/>
  <c r="S161" i="2"/>
  <c r="BE160" i="1" l="1"/>
  <c r="BA160" i="1"/>
  <c r="AL160" i="1"/>
  <c r="AR160" i="1" s="1"/>
  <c r="AG160" i="1"/>
  <c r="Q160" i="1"/>
  <c r="N160" i="1"/>
  <c r="K161" i="2"/>
  <c r="S160" i="2"/>
  <c r="BE159" i="1"/>
  <c r="BA159" i="1"/>
  <c r="AL159" i="1"/>
  <c r="AR159" i="1" s="1"/>
  <c r="AG159" i="1"/>
  <c r="Q159" i="1"/>
  <c r="N159" i="1"/>
  <c r="K160" i="2"/>
  <c r="S159" i="2"/>
  <c r="BE158" i="1"/>
  <c r="BA158" i="1"/>
  <c r="AL158" i="1"/>
  <c r="AR158" i="1" s="1"/>
  <c r="AG158" i="1"/>
  <c r="Q158" i="1"/>
  <c r="K159" i="2"/>
  <c r="M160" i="2" l="1"/>
  <c r="Q161" i="2"/>
  <c r="Q162" i="2"/>
  <c r="M162" i="2"/>
  <c r="S165" i="1"/>
  <c r="S166" i="1"/>
  <c r="AI158" i="1"/>
  <c r="AI165" i="1"/>
  <c r="BK165" i="1"/>
  <c r="BM165" i="1" s="1"/>
  <c r="S167" i="1"/>
  <c r="AI166" i="1"/>
  <c r="AI167" i="1"/>
  <c r="BK164" i="1"/>
  <c r="BM164" i="1" s="1"/>
  <c r="BK166" i="1"/>
  <c r="BG160" i="1"/>
  <c r="U161" i="2"/>
  <c r="M161" i="2"/>
  <c r="AP820" i="1"/>
  <c r="AP821" i="1" s="1"/>
  <c r="U160" i="2"/>
  <c r="BG159" i="1"/>
  <c r="Q160" i="2"/>
  <c r="BG158" i="1"/>
  <c r="U159" i="2"/>
  <c r="BM166" i="1" l="1"/>
  <c r="BE157" i="1"/>
  <c r="BA157" i="1"/>
  <c r="AL157" i="1"/>
  <c r="AR157" i="1" s="1"/>
  <c r="AG157" i="1"/>
  <c r="AI164" i="1" s="1"/>
  <c r="Q157" i="1"/>
  <c r="S164" i="1" s="1"/>
  <c r="S158" i="2"/>
  <c r="K158" i="2"/>
  <c r="Q159" i="2" l="1"/>
  <c r="M159" i="2"/>
  <c r="BK163" i="1"/>
  <c r="BM163" i="1" s="1"/>
  <c r="BG157" i="1"/>
  <c r="AI157" i="1"/>
  <c r="U158" i="2"/>
  <c r="BE156" i="1"/>
  <c r="BA156" i="1"/>
  <c r="AL156" i="1"/>
  <c r="AG156" i="1"/>
  <c r="Q156" i="1"/>
  <c r="S163" i="1" s="1"/>
  <c r="S157" i="2"/>
  <c r="K157" i="2"/>
  <c r="M158" i="2" s="1"/>
  <c r="Q158" i="2" l="1"/>
  <c r="AI156" i="1"/>
  <c r="AI163" i="1"/>
  <c r="BK162" i="1"/>
  <c r="BM162" i="1" s="1"/>
  <c r="AR156" i="1"/>
  <c r="BG156" i="1"/>
  <c r="U157" i="2"/>
  <c r="N138" i="1" l="1"/>
  <c r="N145" i="1"/>
  <c r="N152" i="1"/>
  <c r="BE155" i="1"/>
  <c r="BA155" i="1"/>
  <c r="AL155" i="1"/>
  <c r="AR155" i="1" s="1"/>
  <c r="AG155" i="1"/>
  <c r="Q155" i="1"/>
  <c r="S162" i="1" s="1"/>
  <c r="S156" i="2"/>
  <c r="K156" i="2"/>
  <c r="M157" i="2" l="1"/>
  <c r="Q157" i="2"/>
  <c r="AI155" i="1"/>
  <c r="AI162" i="1"/>
  <c r="BK161" i="1"/>
  <c r="BM161" i="1" s="1"/>
  <c r="BG155" i="1"/>
  <c r="U156" i="2"/>
  <c r="S155" i="2" l="1"/>
  <c r="BE154" i="1" l="1"/>
  <c r="BA154" i="1"/>
  <c r="AL154" i="1"/>
  <c r="AG154" i="1"/>
  <c r="Q154" i="1"/>
  <c r="S161" i="1" s="1"/>
  <c r="K155" i="2"/>
  <c r="H815" i="1"/>
  <c r="H816" i="1"/>
  <c r="J816" i="1" s="1"/>
  <c r="H817" i="1"/>
  <c r="J817" i="1" s="1"/>
  <c r="S154" i="2"/>
  <c r="M156" i="2" l="1"/>
  <c r="Q156" i="2"/>
  <c r="O817" i="1"/>
  <c r="AI154" i="1"/>
  <c r="AI161" i="1"/>
  <c r="BK160" i="1"/>
  <c r="BM160" i="1" s="1"/>
  <c r="AR154" i="1"/>
  <c r="BG154" i="1"/>
  <c r="U155" i="2"/>
  <c r="J815" i="1"/>
  <c r="J822" i="1" s="1"/>
  <c r="BE153" i="1"/>
  <c r="BA153" i="1"/>
  <c r="BK159" i="1" s="1"/>
  <c r="BM159" i="1" s="1"/>
  <c r="AL153" i="1"/>
  <c r="AR153" i="1" s="1"/>
  <c r="AG153" i="1"/>
  <c r="AI160" i="1" s="1"/>
  <c r="Q153" i="1"/>
  <c r="S160" i="1" s="1"/>
  <c r="K154" i="2"/>
  <c r="M155" i="2" s="1"/>
  <c r="Q155" i="2" l="1"/>
  <c r="O818" i="1"/>
  <c r="AA817" i="1"/>
  <c r="BG153" i="1"/>
  <c r="AI153" i="1"/>
  <c r="U154" i="2"/>
  <c r="S153" i="2"/>
  <c r="AG112" i="1" l="1"/>
  <c r="N131" i="1"/>
  <c r="K153" i="2"/>
  <c r="K152" i="2"/>
  <c r="S152" i="2"/>
  <c r="U152" i="2" l="1"/>
  <c r="M153" i="2"/>
  <c r="M154" i="2"/>
  <c r="Q154" i="2"/>
  <c r="U153" i="2"/>
  <c r="Q153" i="2"/>
  <c r="BE152" i="1" l="1"/>
  <c r="BA152" i="1"/>
  <c r="BK158" i="1" s="1"/>
  <c r="BM158" i="1" s="1"/>
  <c r="AL152" i="1"/>
  <c r="AG152" i="1"/>
  <c r="AI159" i="1" s="1"/>
  <c r="Q152" i="1"/>
  <c r="S159" i="1" s="1"/>
  <c r="BE151" i="1"/>
  <c r="BA151" i="1"/>
  <c r="BK157" i="1" s="1"/>
  <c r="BM157" i="1" s="1"/>
  <c r="AL151" i="1"/>
  <c r="AR151" i="1" s="1"/>
  <c r="Q151" i="1"/>
  <c r="S158" i="1" s="1"/>
  <c r="AR152" i="1" l="1"/>
  <c r="BG152" i="1"/>
  <c r="BG151" i="1"/>
  <c r="S151" i="2"/>
  <c r="K151" i="2"/>
  <c r="BC149" i="1"/>
  <c r="BA150" i="1" s="1"/>
  <c r="BK156" i="1" s="1"/>
  <c r="BM156" i="1" s="1"/>
  <c r="AP149" i="1"/>
  <c r="AL150" i="1" s="1"/>
  <c r="BE150" i="1"/>
  <c r="Q150" i="1"/>
  <c r="S157" i="1" s="1"/>
  <c r="S150" i="2"/>
  <c r="M152" i="2" l="1"/>
  <c r="Q152" i="2"/>
  <c r="U151" i="2"/>
  <c r="BG150" i="1"/>
  <c r="AR150" i="1"/>
  <c r="BE149" i="1"/>
  <c r="BA149" i="1"/>
  <c r="BK155" i="1" s="1"/>
  <c r="BM155" i="1" s="1"/>
  <c r="AL149" i="1"/>
  <c r="Q149" i="1"/>
  <c r="S156" i="1" s="1"/>
  <c r="K150" i="2"/>
  <c r="Q151" i="2" l="1"/>
  <c r="M151" i="2"/>
  <c r="BG149" i="1"/>
  <c r="AR149" i="1"/>
  <c r="U150" i="2"/>
  <c r="S149" i="2"/>
  <c r="BE148" i="1" l="1"/>
  <c r="BA148" i="1"/>
  <c r="BK154" i="1" s="1"/>
  <c r="BM154" i="1" s="1"/>
  <c r="AL148" i="1"/>
  <c r="Q148" i="1"/>
  <c r="S155" i="1" s="1"/>
  <c r="K149" i="2"/>
  <c r="Q150" i="2" l="1"/>
  <c r="M150" i="2"/>
  <c r="AR148" i="1"/>
  <c r="BG148" i="1"/>
  <c r="U149" i="2"/>
  <c r="S148" i="2"/>
  <c r="BE147" i="1" l="1"/>
  <c r="BA147" i="1"/>
  <c r="BK153" i="1" s="1"/>
  <c r="AL147" i="1"/>
  <c r="AR147" i="1" s="1"/>
  <c r="Q147" i="1"/>
  <c r="S154" i="1" s="1"/>
  <c r="K148" i="2"/>
  <c r="F754" i="3"/>
  <c r="F755" i="3" s="1"/>
  <c r="S147" i="2"/>
  <c r="Q149" i="2" l="1"/>
  <c r="M149" i="2"/>
  <c r="BM153" i="1"/>
  <c r="BG147" i="1"/>
  <c r="U148" i="2"/>
  <c r="BE146" i="1" l="1"/>
  <c r="BA146" i="1"/>
  <c r="BK152" i="1" s="1"/>
  <c r="BM152" i="1" s="1"/>
  <c r="AL146" i="1"/>
  <c r="Q146" i="1"/>
  <c r="S153" i="1" s="1"/>
  <c r="K147" i="2"/>
  <c r="Q148" i="2" l="1"/>
  <c r="M148" i="2"/>
  <c r="AR146" i="1"/>
  <c r="BG146" i="1"/>
  <c r="U147" i="2"/>
  <c r="BE145" i="1"/>
  <c r="BA145" i="1"/>
  <c r="BK151" i="1" s="1"/>
  <c r="BM151" i="1" s="1"/>
  <c r="AL145" i="1"/>
  <c r="AR145" i="1" s="1"/>
  <c r="AG145" i="1"/>
  <c r="AI152" i="1" s="1"/>
  <c r="Q145" i="1"/>
  <c r="S152" i="1" s="1"/>
  <c r="S146" i="2"/>
  <c r="K146" i="2"/>
  <c r="BE144" i="1"/>
  <c r="BA144" i="1"/>
  <c r="AL144" i="1"/>
  <c r="Q144" i="1"/>
  <c r="S151" i="1" s="1"/>
  <c r="S145" i="2"/>
  <c r="K145" i="2"/>
  <c r="BE143" i="1"/>
  <c r="BA143" i="1"/>
  <c r="AL143" i="1"/>
  <c r="AR143" i="1" s="1"/>
  <c r="Q143" i="1"/>
  <c r="S150" i="1" s="1"/>
  <c r="S144" i="2"/>
  <c r="K144" i="2"/>
  <c r="Q146" i="2" l="1"/>
  <c r="M145" i="2"/>
  <c r="M147" i="2"/>
  <c r="Q147" i="2"/>
  <c r="BK150" i="1"/>
  <c r="BM150" i="1" s="1"/>
  <c r="BK149" i="1"/>
  <c r="BG145" i="1"/>
  <c r="U146" i="2"/>
  <c r="M146" i="2"/>
  <c r="BG144" i="1"/>
  <c r="AR144" i="1"/>
  <c r="Q145" i="2"/>
  <c r="U145" i="2"/>
  <c r="BG143" i="1"/>
  <c r="U144" i="2"/>
  <c r="BE142" i="1"/>
  <c r="BA142" i="1"/>
  <c r="BK148" i="1" s="1"/>
  <c r="BM148" i="1" s="1"/>
  <c r="AL142" i="1"/>
  <c r="AR142" i="1" s="1"/>
  <c r="Q142" i="1"/>
  <c r="S149" i="1" s="1"/>
  <c r="S143" i="2"/>
  <c r="K143" i="2"/>
  <c r="M144" i="2" s="1"/>
  <c r="BE141" i="1"/>
  <c r="BA141" i="1"/>
  <c r="AL141" i="1"/>
  <c r="AR141" i="1" s="1"/>
  <c r="Q141" i="1"/>
  <c r="S148" i="1" s="1"/>
  <c r="S142" i="2"/>
  <c r="K142" i="2"/>
  <c r="BK147" i="1" l="1"/>
  <c r="BM147" i="1" s="1"/>
  <c r="BM149" i="1"/>
  <c r="BG141" i="1"/>
  <c r="Q143" i="2"/>
  <c r="Q144" i="2"/>
  <c r="BG142" i="1"/>
  <c r="U143" i="2"/>
  <c r="M143" i="2"/>
  <c r="U142" i="2"/>
  <c r="S141" i="2"/>
  <c r="BE140" i="1" l="1"/>
  <c r="BA140" i="1"/>
  <c r="BK146" i="1" s="1"/>
  <c r="BM146" i="1" s="1"/>
  <c r="AL140" i="1"/>
  <c r="Q140" i="1"/>
  <c r="S147" i="1" s="1"/>
  <c r="K141" i="2"/>
  <c r="S140" i="2"/>
  <c r="W114" i="1"/>
  <c r="AG793" i="1" l="1"/>
  <c r="AR785" i="1" s="1"/>
  <c r="AG143" i="1"/>
  <c r="M142" i="2"/>
  <c r="Q142" i="2"/>
  <c r="AR140" i="1"/>
  <c r="BG140" i="1"/>
  <c r="U141" i="2"/>
  <c r="BE139" i="1" l="1"/>
  <c r="BA139" i="1"/>
  <c r="BK145" i="1" s="1"/>
  <c r="AL139" i="1"/>
  <c r="Q139" i="1"/>
  <c r="S146" i="1" s="1"/>
  <c r="K140" i="2"/>
  <c r="BM145" i="1" l="1"/>
  <c r="Q141" i="2"/>
  <c r="M141" i="2"/>
  <c r="AR139" i="1"/>
  <c r="BG139" i="1"/>
  <c r="U140" i="2"/>
  <c r="S139" i="2" l="1"/>
  <c r="AG792" i="1" l="1"/>
  <c r="V110" i="1"/>
  <c r="V111" i="1" s="1"/>
  <c r="V112" i="1" s="1"/>
  <c r="V113" i="1" s="1"/>
  <c r="V114" i="1" s="1"/>
  <c r="V115" i="1" s="1"/>
  <c r="V116" i="1" s="1"/>
  <c r="V117" i="1" s="1"/>
  <c r="V118" i="1" s="1"/>
  <c r="V119" i="1" s="1"/>
  <c r="V120" i="1" s="1"/>
  <c r="V121" i="1" s="1"/>
  <c r="V122" i="1" s="1"/>
  <c r="V123" i="1" s="1"/>
  <c r="V124" i="1" s="1"/>
  <c r="V125" i="1" s="1"/>
  <c r="V126" i="1" s="1"/>
  <c r="V127" i="1" s="1"/>
  <c r="V128" i="1" s="1"/>
  <c r="V129" i="1" s="1"/>
  <c r="V130" i="1" s="1"/>
  <c r="V131" i="1" s="1"/>
  <c r="V132" i="1" s="1"/>
  <c r="V133" i="1" s="1"/>
  <c r="V134" i="1" s="1"/>
  <c r="V135" i="1" s="1"/>
  <c r="V136" i="1" s="1"/>
  <c r="V137" i="1" s="1"/>
  <c r="V138" i="1" s="1"/>
  <c r="V139" i="1" s="1"/>
  <c r="V140" i="1" s="1"/>
  <c r="V141" i="1" s="1"/>
  <c r="V142" i="1" s="1"/>
  <c r="V143" i="1" s="1"/>
  <c r="V144" i="1" s="1"/>
  <c r="V145" i="1" s="1"/>
  <c r="V146" i="1" s="1"/>
  <c r="V147" i="1" s="1"/>
  <c r="V148" i="1" s="1"/>
  <c r="V149" i="1" s="1"/>
  <c r="V150" i="1" l="1"/>
  <c r="V151" i="1" s="1"/>
  <c r="V152" i="1" s="1"/>
  <c r="BE138" i="1"/>
  <c r="BA138" i="1"/>
  <c r="BK144" i="1" s="1"/>
  <c r="AL138" i="1"/>
  <c r="AG138" i="1"/>
  <c r="AI145" i="1" s="1"/>
  <c r="Q138" i="1"/>
  <c r="S145" i="1" s="1"/>
  <c r="K139" i="2"/>
  <c r="BE137" i="1"/>
  <c r="BA137" i="1"/>
  <c r="AL137" i="1"/>
  <c r="AR137" i="1" s="1"/>
  <c r="Q137" i="1"/>
  <c r="S144" i="1" s="1"/>
  <c r="V153" i="1" l="1"/>
  <c r="V154" i="1" s="1"/>
  <c r="BM144" i="1"/>
  <c r="BK143" i="1"/>
  <c r="BM143" i="1" s="1"/>
  <c r="Q140" i="2"/>
  <c r="M140" i="2"/>
  <c r="AR138" i="1"/>
  <c r="BG138" i="1"/>
  <c r="U139" i="2"/>
  <c r="BG137" i="1"/>
  <c r="V155" i="1" l="1"/>
  <c r="V156" i="1" s="1"/>
  <c r="V157" i="1" s="1"/>
  <c r="V158" i="1" s="1"/>
  <c r="V159" i="1" s="1"/>
  <c r="V160" i="1" s="1"/>
  <c r="V161" i="1" s="1"/>
  <c r="V162" i="1" s="1"/>
  <c r="V163" i="1" s="1"/>
  <c r="V164" i="1" s="1"/>
  <c r="V165" i="1" s="1"/>
  <c r="V166" i="1" s="1"/>
  <c r="V167" i="1" s="1"/>
  <c r="S138" i="2"/>
  <c r="K138" i="2"/>
  <c r="BE136" i="1"/>
  <c r="BA136" i="1"/>
  <c r="BK142" i="1" s="1"/>
  <c r="BM142" i="1" s="1"/>
  <c r="AL136" i="1"/>
  <c r="AR136" i="1" s="1"/>
  <c r="Q136" i="1"/>
  <c r="S143" i="1" s="1"/>
  <c r="U138" i="2" l="1"/>
  <c r="V168" i="1"/>
  <c r="V169" i="1" s="1"/>
  <c r="V170" i="1" s="1"/>
  <c r="V171" i="1" s="1"/>
  <c r="V172" i="1" s="1"/>
  <c r="V173" i="1" s="1"/>
  <c r="V174" i="1" s="1"/>
  <c r="V175" i="1" s="1"/>
  <c r="V176" i="1" s="1"/>
  <c r="V177" i="1" s="1"/>
  <c r="V178" i="1" s="1"/>
  <c r="V179" i="1" s="1"/>
  <c r="V180" i="1" s="1"/>
  <c r="V181" i="1" s="1"/>
  <c r="V182" i="1" s="1"/>
  <c r="V183" i="1" s="1"/>
  <c r="V184" i="1" s="1"/>
  <c r="V185" i="1" s="1"/>
  <c r="V186" i="1" s="1"/>
  <c r="V187" i="1" s="1"/>
  <c r="V188" i="1" s="1"/>
  <c r="V189" i="1" s="1"/>
  <c r="V190" i="1" s="1"/>
  <c r="V191" i="1" s="1"/>
  <c r="V192" i="1" s="1"/>
  <c r="V193" i="1" s="1"/>
  <c r="V194" i="1" s="1"/>
  <c r="V195" i="1" s="1"/>
  <c r="V196" i="1" s="1"/>
  <c r="V197" i="1" s="1"/>
  <c r="V198" i="1" s="1"/>
  <c r="V199" i="1" s="1"/>
  <c r="V200" i="1" s="1"/>
  <c r="V201" i="1" s="1"/>
  <c r="V202" i="1" s="1"/>
  <c r="V203" i="1" s="1"/>
  <c r="V204" i="1" s="1"/>
  <c r="V205" i="1" s="1"/>
  <c r="V206" i="1" s="1"/>
  <c r="V207" i="1" s="1"/>
  <c r="V208" i="1" s="1"/>
  <c r="Q138" i="2"/>
  <c r="M139" i="2"/>
  <c r="Q139" i="2"/>
  <c r="M138" i="2"/>
  <c r="BG136" i="1"/>
  <c r="BE135" i="1"/>
  <c r="BA135" i="1"/>
  <c r="BK141" i="1" s="1"/>
  <c r="BM141" i="1" s="1"/>
  <c r="AL135" i="1"/>
  <c r="AR135" i="1" s="1"/>
  <c r="Q135" i="1"/>
  <c r="S142" i="1" s="1"/>
  <c r="S136" i="2"/>
  <c r="K136" i="2"/>
  <c r="V209" i="1" l="1"/>
  <c r="V210" i="1" s="1"/>
  <c r="V211" i="1" s="1"/>
  <c r="V212" i="1" s="1"/>
  <c r="V213" i="1" s="1"/>
  <c r="BG135" i="1"/>
  <c r="U136" i="2"/>
  <c r="S135" i="2"/>
  <c r="V214" i="1" l="1"/>
  <c r="V215" i="1" s="1"/>
  <c r="V216" i="1" s="1"/>
  <c r="V217" i="1" s="1"/>
  <c r="V218" i="1" s="1"/>
  <c r="V219" i="1" s="1"/>
  <c r="V220" i="1" s="1"/>
  <c r="BE134" i="1"/>
  <c r="BA134" i="1"/>
  <c r="BK140" i="1" s="1"/>
  <c r="BM140" i="1" s="1"/>
  <c r="AL134" i="1"/>
  <c r="AR134" i="1" s="1"/>
  <c r="Q134" i="1"/>
  <c r="S141" i="1" s="1"/>
  <c r="K135" i="2"/>
  <c r="S134" i="2"/>
  <c r="BE133" i="1"/>
  <c r="BA133" i="1"/>
  <c r="AL133" i="1"/>
  <c r="AR133" i="1" s="1"/>
  <c r="Q133" i="1"/>
  <c r="S140" i="1" s="1"/>
  <c r="K134" i="2"/>
  <c r="V221" i="1" l="1"/>
  <c r="V222" i="1" s="1"/>
  <c r="V223" i="1" s="1"/>
  <c r="V224" i="1" s="1"/>
  <c r="V225" i="1" s="1"/>
  <c r="V226" i="1" s="1"/>
  <c r="V227" i="1" s="1"/>
  <c r="V228" i="1" s="1"/>
  <c r="V229" i="1" s="1"/>
  <c r="Q135" i="2"/>
  <c r="M136" i="2"/>
  <c r="Q136" i="2"/>
  <c r="BK139" i="1"/>
  <c r="BG134" i="1"/>
  <c r="U135" i="2"/>
  <c r="M135" i="2"/>
  <c r="BG133" i="1"/>
  <c r="U134" i="2"/>
  <c r="D797" i="1"/>
  <c r="S133" i="2"/>
  <c r="V230" i="1" l="1"/>
  <c r="V231" i="1" s="1"/>
  <c r="V232" i="1" s="1"/>
  <c r="BM139" i="1"/>
  <c r="W24" i="1"/>
  <c r="W25" i="1"/>
  <c r="BE132" i="1"/>
  <c r="BA132" i="1"/>
  <c r="BK138" i="1" s="1"/>
  <c r="AL132" i="1"/>
  <c r="AR132" i="1" s="1"/>
  <c r="Q132" i="1"/>
  <c r="S139" i="1" s="1"/>
  <c r="K133" i="2"/>
  <c r="V233" i="1" l="1"/>
  <c r="V234" i="1" s="1"/>
  <c r="V235" i="1" s="1"/>
  <c r="V236" i="1" s="1"/>
  <c r="V237" i="1" s="1"/>
  <c r="V238" i="1" s="1"/>
  <c r="V239" i="1" s="1"/>
  <c r="V240" i="1" s="1"/>
  <c r="M134" i="2"/>
  <c r="Q134" i="2"/>
  <c r="BM138" i="1"/>
  <c r="BG132" i="1"/>
  <c r="U133" i="2"/>
  <c r="V241" i="1" l="1"/>
  <c r="S132" i="2"/>
  <c r="K132" i="2"/>
  <c r="BE131" i="1"/>
  <c r="BA131" i="1"/>
  <c r="AL131" i="1"/>
  <c r="AR131" i="1" s="1"/>
  <c r="AG131" i="1"/>
  <c r="AI138" i="1" s="1"/>
  <c r="Q131" i="1"/>
  <c r="S138" i="1" s="1"/>
  <c r="BE130" i="1"/>
  <c r="BA130" i="1"/>
  <c r="AL130" i="1"/>
  <c r="AR130" i="1" s="1"/>
  <c r="Q130" i="1"/>
  <c r="K131" i="2"/>
  <c r="K130" i="2"/>
  <c r="U130" i="2" s="1"/>
  <c r="S129" i="2"/>
  <c r="Q131" i="2" l="1"/>
  <c r="V242" i="1"/>
  <c r="V243" i="1" s="1"/>
  <c r="V244" i="1" s="1"/>
  <c r="V245" i="1" s="1"/>
  <c r="S137" i="1"/>
  <c r="Q133" i="2"/>
  <c r="M133" i="2"/>
  <c r="U132" i="2"/>
  <c r="U131" i="2"/>
  <c r="M132" i="2"/>
  <c r="M131" i="2"/>
  <c r="Q132" i="2"/>
  <c r="BG131" i="1"/>
  <c r="BG130" i="1"/>
  <c r="V246" i="1" l="1"/>
  <c r="V247" i="1" s="1"/>
  <c r="V248" i="1" s="1"/>
  <c r="V249" i="1" s="1"/>
  <c r="V250" i="1" s="1"/>
  <c r="BE129" i="1"/>
  <c r="BA129" i="1"/>
  <c r="AL129" i="1"/>
  <c r="AR129" i="1" s="1"/>
  <c r="Q129" i="1"/>
  <c r="K129" i="2"/>
  <c r="V251" i="1" l="1"/>
  <c r="V252" i="1" s="1"/>
  <c r="V253" i="1" s="1"/>
  <c r="V254" i="1" s="1"/>
  <c r="V255" i="1" s="1"/>
  <c r="V256" i="1" s="1"/>
  <c r="V257" i="1" s="1"/>
  <c r="S136" i="1"/>
  <c r="Q130" i="2"/>
  <c r="M130" i="2"/>
  <c r="BG129" i="1"/>
  <c r="U129" i="2"/>
  <c r="BE128" i="1"/>
  <c r="BA128" i="1"/>
  <c r="AL128" i="1"/>
  <c r="AR128" i="1" s="1"/>
  <c r="Q128" i="1"/>
  <c r="S135" i="1" s="1"/>
  <c r="S128" i="2"/>
  <c r="V258" i="1" l="1"/>
  <c r="V259" i="1" s="1"/>
  <c r="V260" i="1" s="1"/>
  <c r="V261" i="1" s="1"/>
  <c r="V262" i="1" s="1"/>
  <c r="V263" i="1" s="1"/>
  <c r="V264" i="1" s="1"/>
  <c r="V265" i="1" s="1"/>
  <c r="V266" i="1" s="1"/>
  <c r="V267" i="1" s="1"/>
  <c r="V268" i="1" s="1"/>
  <c r="BG128" i="1"/>
  <c r="V269" i="1" l="1"/>
  <c r="V270" i="1" s="1"/>
  <c r="V271" i="1" s="1"/>
  <c r="V272" i="1" s="1"/>
  <c r="V273" i="1" s="1"/>
  <c r="V274" i="1" s="1"/>
  <c r="BE127" i="1"/>
  <c r="BA127" i="1"/>
  <c r="AL127" i="1"/>
  <c r="AR127" i="1" s="1"/>
  <c r="Q127" i="1"/>
  <c r="S134" i="1" s="1"/>
  <c r="K128" i="2"/>
  <c r="V275" i="1" l="1"/>
  <c r="V276" i="1" s="1"/>
  <c r="V277" i="1" s="1"/>
  <c r="V278" i="1" s="1"/>
  <c r="V279" i="1" s="1"/>
  <c r="V280" i="1" s="1"/>
  <c r="V281" i="1" s="1"/>
  <c r="V282" i="1" s="1"/>
  <c r="V283" i="1" s="1"/>
  <c r="V284" i="1" s="1"/>
  <c r="V285" i="1" s="1"/>
  <c r="V286" i="1" s="1"/>
  <c r="V287" i="1" s="1"/>
  <c r="V288" i="1" s="1"/>
  <c r="V289" i="1" s="1"/>
  <c r="V290" i="1" s="1"/>
  <c r="V291" i="1" s="1"/>
  <c r="V292" i="1" s="1"/>
  <c r="V293" i="1" s="1"/>
  <c r="V294" i="1" s="1"/>
  <c r="V295" i="1" s="1"/>
  <c r="Q129" i="2"/>
  <c r="M129" i="2"/>
  <c r="BG127" i="1"/>
  <c r="U128" i="2"/>
  <c r="S127" i="2"/>
  <c r="BE126" i="1"/>
  <c r="BA126" i="1"/>
  <c r="AL126" i="1"/>
  <c r="AR126" i="1" s="1"/>
  <c r="Q126" i="1"/>
  <c r="S133" i="1" s="1"/>
  <c r="K127" i="2"/>
  <c r="M128" i="2" s="1"/>
  <c r="S126" i="2"/>
  <c r="V296" i="1" l="1"/>
  <c r="V297" i="1" s="1"/>
  <c r="V298" i="1" s="1"/>
  <c r="V299" i="1" s="1"/>
  <c r="V300" i="1" s="1"/>
  <c r="V301" i="1" s="1"/>
  <c r="V302" i="1" s="1"/>
  <c r="Q128" i="2"/>
  <c r="BG126" i="1"/>
  <c r="U127" i="2"/>
  <c r="V303" i="1" l="1"/>
  <c r="V304" i="1" s="1"/>
  <c r="V305" i="1" s="1"/>
  <c r="V306" i="1" s="1"/>
  <c r="V307" i="1" s="1"/>
  <c r="V308" i="1" s="1"/>
  <c r="V309" i="1" s="1"/>
  <c r="BE125" i="1"/>
  <c r="BA125" i="1"/>
  <c r="BK131" i="1" s="1"/>
  <c r="BM131" i="1" s="1"/>
  <c r="AL125" i="1"/>
  <c r="AR125" i="1" s="1"/>
  <c r="Q125" i="1"/>
  <c r="S132" i="1" s="1"/>
  <c r="K126" i="2"/>
  <c r="V310" i="1" l="1"/>
  <c r="V311" i="1" s="1"/>
  <c r="V312" i="1" s="1"/>
  <c r="V313" i="1" s="1"/>
  <c r="V314" i="1" s="1"/>
  <c r="V315" i="1" s="1"/>
  <c r="V316" i="1" s="1"/>
  <c r="V317" i="1" s="1"/>
  <c r="V318" i="1" s="1"/>
  <c r="V319" i="1" s="1"/>
  <c r="V320" i="1" s="1"/>
  <c r="V321" i="1" s="1"/>
  <c r="V322" i="1" s="1"/>
  <c r="V323" i="1" s="1"/>
  <c r="M127" i="2"/>
  <c r="Q127" i="2"/>
  <c r="BG125" i="1"/>
  <c r="U126" i="2"/>
  <c r="V324" i="1" l="1"/>
  <c r="V325" i="1" s="1"/>
  <c r="V326" i="1" s="1"/>
  <c r="V327" i="1" s="1"/>
  <c r="V328" i="1" s="1"/>
  <c r="V329" i="1" s="1"/>
  <c r="V330" i="1" s="1"/>
  <c r="V331" i="1" s="1"/>
  <c r="V332" i="1" s="1"/>
  <c r="V333" i="1" s="1"/>
  <c r="V334" i="1" s="1"/>
  <c r="V335" i="1" s="1"/>
  <c r="V336" i="1" s="1"/>
  <c r="V337" i="1" s="1"/>
  <c r="V338" i="1" s="1"/>
  <c r="S125" i="2"/>
  <c r="AH114" i="1"/>
  <c r="AR784" i="1" s="1"/>
  <c r="AH113" i="1"/>
  <c r="AP784" i="1" s="1"/>
  <c r="BE124" i="1"/>
  <c r="BA124" i="1"/>
  <c r="AL124" i="1"/>
  <c r="AG124" i="1"/>
  <c r="AI131" i="1" s="1"/>
  <c r="K125" i="2"/>
  <c r="S124" i="2"/>
  <c r="V339" i="1" l="1"/>
  <c r="V340" i="1" s="1"/>
  <c r="V341" i="1" s="1"/>
  <c r="V342" i="1" s="1"/>
  <c r="V343" i="1" s="1"/>
  <c r="V344" i="1" s="1"/>
  <c r="V345" i="1" s="1"/>
  <c r="V346" i="1" s="1"/>
  <c r="V347" i="1" s="1"/>
  <c r="V348" i="1" s="1"/>
  <c r="AV784" i="1"/>
  <c r="AH115" i="1"/>
  <c r="Q126" i="2"/>
  <c r="M126" i="2"/>
  <c r="BG124" i="1"/>
  <c r="AR124" i="1"/>
  <c r="U125" i="2"/>
  <c r="V349" i="1" l="1"/>
  <c r="V350" i="1" s="1"/>
  <c r="V351" i="1" s="1"/>
  <c r="V352" i="1" s="1"/>
  <c r="V353" i="1" s="1"/>
  <c r="V354" i="1" s="1"/>
  <c r="V355" i="1" s="1"/>
  <c r="V356" i="1" s="1"/>
  <c r="V357" i="1" s="1"/>
  <c r="V358" i="1" s="1"/>
  <c r="V359" i="1" s="1"/>
  <c r="V360" i="1" s="1"/>
  <c r="V361" i="1" s="1"/>
  <c r="V362" i="1" s="1"/>
  <c r="V363" i="1" s="1"/>
  <c r="V364" i="1" s="1"/>
  <c r="V365" i="1" s="1"/>
  <c r="V366" i="1" s="1"/>
  <c r="V367" i="1" s="1"/>
  <c r="V368" i="1" s="1"/>
  <c r="V369" i="1" s="1"/>
  <c r="V370" i="1" s="1"/>
  <c r="V371" i="1" s="1"/>
  <c r="V372" i="1" s="1"/>
  <c r="V373" i="1" s="1"/>
  <c r="V374" i="1" s="1"/>
  <c r="V375" i="1" s="1"/>
  <c r="V376" i="1" s="1"/>
  <c r="V377" i="1" s="1"/>
  <c r="V378" i="1" s="1"/>
  <c r="V379" i="1" s="1"/>
  <c r="V380" i="1" s="1"/>
  <c r="V381" i="1" s="1"/>
  <c r="V382" i="1" s="1"/>
  <c r="V383" i="1" s="1"/>
  <c r="V384" i="1" s="1"/>
  <c r="V385" i="1" s="1"/>
  <c r="V386" i="1" s="1"/>
  <c r="V387" i="1" s="1"/>
  <c r="V388" i="1" s="1"/>
  <c r="V389" i="1" s="1"/>
  <c r="V390" i="1" s="1"/>
  <c r="V391" i="1" s="1"/>
  <c r="V392" i="1" s="1"/>
  <c r="V393" i="1" s="1"/>
  <c r="V394" i="1" s="1"/>
  <c r="V395" i="1" s="1"/>
  <c r="V396" i="1" s="1"/>
  <c r="V397" i="1" s="1"/>
  <c r="V398" i="1" s="1"/>
  <c r="V399" i="1" s="1"/>
  <c r="V400" i="1" s="1"/>
  <c r="V401" i="1" s="1"/>
  <c r="V402" i="1" s="1"/>
  <c r="V403" i="1" s="1"/>
  <c r="V404" i="1" s="1"/>
  <c r="V405" i="1" s="1"/>
  <c r="V406" i="1" s="1"/>
  <c r="V407" i="1" s="1"/>
  <c r="V408" i="1" s="1"/>
  <c r="V409" i="1" s="1"/>
  <c r="V410" i="1" s="1"/>
  <c r="V411" i="1" s="1"/>
  <c r="V412" i="1" s="1"/>
  <c r="V413" i="1" s="1"/>
  <c r="V414" i="1" s="1"/>
  <c r="V415" i="1" s="1"/>
  <c r="V416" i="1" s="1"/>
  <c r="BE123" i="1"/>
  <c r="BA123" i="1"/>
  <c r="AL123" i="1"/>
  <c r="AR123" i="1" s="1"/>
  <c r="K124" i="2"/>
  <c r="V417" i="1" l="1"/>
  <c r="V418" i="1" s="1"/>
  <c r="V419" i="1" s="1"/>
  <c r="V420" i="1" s="1"/>
  <c r="V421" i="1" s="1"/>
  <c r="V422" i="1" s="1"/>
  <c r="V423" i="1" s="1"/>
  <c r="V424" i="1" s="1"/>
  <c r="V425" i="1" s="1"/>
  <c r="V426" i="1" s="1"/>
  <c r="V427" i="1" s="1"/>
  <c r="V428" i="1" s="1"/>
  <c r="V429" i="1" s="1"/>
  <c r="V430" i="1" s="1"/>
  <c r="V431" i="1" s="1"/>
  <c r="V432" i="1" s="1"/>
  <c r="V433" i="1" s="1"/>
  <c r="V434" i="1" s="1"/>
  <c r="V435" i="1" s="1"/>
  <c r="V436" i="1" s="1"/>
  <c r="M125" i="2"/>
  <c r="Q125" i="2"/>
  <c r="BG123" i="1"/>
  <c r="U124" i="2"/>
  <c r="S123" i="2"/>
  <c r="V437" i="1" l="1"/>
  <c r="V438" i="1" s="1"/>
  <c r="V439" i="1" s="1"/>
  <c r="BE122" i="1"/>
  <c r="BA122" i="1"/>
  <c r="AL122" i="1"/>
  <c r="AR122" i="1" s="1"/>
  <c r="K123" i="2"/>
  <c r="V440" i="1" l="1"/>
  <c r="V441" i="1" s="1"/>
  <c r="V442" i="1" s="1"/>
  <c r="V443" i="1" s="1"/>
  <c r="M124" i="2"/>
  <c r="Q124" i="2"/>
  <c r="BG122" i="1"/>
  <c r="U123" i="2"/>
  <c r="S122" i="2"/>
  <c r="D804" i="1"/>
  <c r="BE121" i="1"/>
  <c r="BA121" i="1"/>
  <c r="AL121" i="1"/>
  <c r="AR121" i="1" s="1"/>
  <c r="K122" i="2"/>
  <c r="M123" i="2" s="1"/>
  <c r="V444" i="1" l="1"/>
  <c r="V445" i="1" s="1"/>
  <c r="V446" i="1" s="1"/>
  <c r="V447" i="1" s="1"/>
  <c r="V448" i="1" s="1"/>
  <c r="V449" i="1" s="1"/>
  <c r="V450" i="1" s="1"/>
  <c r="V451" i="1" s="1"/>
  <c r="V452" i="1" s="1"/>
  <c r="V453" i="1" s="1"/>
  <c r="V454" i="1" s="1"/>
  <c r="V455" i="1" s="1"/>
  <c r="V456" i="1" s="1"/>
  <c r="V457" i="1" s="1"/>
  <c r="V458" i="1" s="1"/>
  <c r="V459" i="1" s="1"/>
  <c r="V460" i="1" s="1"/>
  <c r="V461" i="1" s="1"/>
  <c r="Q123" i="2"/>
  <c r="BG121" i="1"/>
  <c r="U122" i="2"/>
  <c r="V462" i="1" l="1"/>
  <c r="E121" i="2"/>
  <c r="S121" i="2"/>
  <c r="V463" i="1" l="1"/>
  <c r="V464" i="1" s="1"/>
  <c r="V465" i="1" s="1"/>
  <c r="V466" i="1" s="1"/>
  <c r="BE120" i="1"/>
  <c r="BA120" i="1"/>
  <c r="AL120" i="1"/>
  <c r="AR120" i="1" s="1"/>
  <c r="K121" i="2"/>
  <c r="V467" i="1" l="1"/>
  <c r="V468" i="1" s="1"/>
  <c r="V469" i="1" s="1"/>
  <c r="V470" i="1" s="1"/>
  <c r="V471" i="1" s="1"/>
  <c r="V472" i="1" s="1"/>
  <c r="V473" i="1" s="1"/>
  <c r="V474" i="1" s="1"/>
  <c r="V475" i="1" s="1"/>
  <c r="V476" i="1" s="1"/>
  <c r="V477" i="1" s="1"/>
  <c r="V478" i="1" s="1"/>
  <c r="V479" i="1" s="1"/>
  <c r="V480" i="1" s="1"/>
  <c r="V481" i="1" s="1"/>
  <c r="V482" i="1" s="1"/>
  <c r="V483" i="1" s="1"/>
  <c r="V484" i="1" s="1"/>
  <c r="V485" i="1" s="1"/>
  <c r="V486" i="1" s="1"/>
  <c r="V487" i="1" s="1"/>
  <c r="M122" i="2"/>
  <c r="Q122" i="2"/>
  <c r="BG120" i="1"/>
  <c r="U121" i="2"/>
  <c r="V488" i="1" l="1"/>
  <c r="V489" i="1" s="1"/>
  <c r="V490" i="1" s="1"/>
  <c r="V491" i="1" s="1"/>
  <c r="V492" i="1" s="1"/>
  <c r="V493" i="1" s="1"/>
  <c r="V494" i="1" s="1"/>
  <c r="V495" i="1" s="1"/>
  <c r="V496" i="1" s="1"/>
  <c r="V497" i="1" s="1"/>
  <c r="V498" i="1" s="1"/>
  <c r="V499" i="1" s="1"/>
  <c r="V500" i="1" s="1"/>
  <c r="V501" i="1" s="1"/>
  <c r="V502" i="1" s="1"/>
  <c r="V503" i="1" s="1"/>
  <c r="V504" i="1" s="1"/>
  <c r="V505" i="1" s="1"/>
  <c r="V506" i="1" s="1"/>
  <c r="V507" i="1" s="1"/>
  <c r="D118" i="1"/>
  <c r="N124" i="1" s="1"/>
  <c r="D116" i="1"/>
  <c r="D115" i="1"/>
  <c r="D114" i="1"/>
  <c r="V508" i="1" l="1"/>
  <c r="V509" i="1" s="1"/>
  <c r="V510" i="1" s="1"/>
  <c r="V511" i="1" s="1"/>
  <c r="V512" i="1" s="1"/>
  <c r="V513" i="1" s="1"/>
  <c r="V514" i="1" s="1"/>
  <c r="V515" i="1" s="1"/>
  <c r="V516" i="1" s="1"/>
  <c r="V517" i="1" s="1"/>
  <c r="V518" i="1" s="1"/>
  <c r="V519" i="1" s="1"/>
  <c r="V520" i="1" s="1"/>
  <c r="V521" i="1" s="1"/>
  <c r="V522" i="1" s="1"/>
  <c r="V523" i="1" s="1"/>
  <c r="V524" i="1" s="1"/>
  <c r="V525" i="1" s="1"/>
  <c r="V526" i="1" s="1"/>
  <c r="AH145" i="1"/>
  <c r="N143" i="1"/>
  <c r="AG791" i="1"/>
  <c r="AP785" i="1" s="1"/>
  <c r="AV785" i="1" s="1"/>
  <c r="N117" i="1"/>
  <c r="AH138" i="1"/>
  <c r="AH131" i="1"/>
  <c r="Q124" i="1"/>
  <c r="S131" i="1" s="1"/>
  <c r="Q123" i="1"/>
  <c r="S130" i="1" s="1"/>
  <c r="AH124" i="1"/>
  <c r="Q120" i="1"/>
  <c r="Q121" i="1"/>
  <c r="Q122" i="1"/>
  <c r="S129" i="1" s="1"/>
  <c r="S120" i="2"/>
  <c r="V527" i="1" l="1"/>
  <c r="V528" i="1" s="1"/>
  <c r="V529" i="1" s="1"/>
  <c r="BA829" i="1"/>
  <c r="BC830" i="1" s="1"/>
  <c r="BE830" i="1" s="1"/>
  <c r="BE841" i="1"/>
  <c r="BE845" i="1" s="1"/>
  <c r="S127" i="1"/>
  <c r="S128" i="1"/>
  <c r="BE119" i="1"/>
  <c r="BA119" i="1"/>
  <c r="AL119" i="1"/>
  <c r="AR119" i="1" s="1"/>
  <c r="Q119" i="1"/>
  <c r="S126" i="1" s="1"/>
  <c r="K120" i="2"/>
  <c r="V530" i="1" l="1"/>
  <c r="V531" i="1" s="1"/>
  <c r="V532" i="1" s="1"/>
  <c r="V533" i="1" s="1"/>
  <c r="V534" i="1" s="1"/>
  <c r="V535" i="1" s="1"/>
  <c r="V536" i="1" s="1"/>
  <c r="V537" i="1" s="1"/>
  <c r="V538" i="1" s="1"/>
  <c r="BG832" i="1"/>
  <c r="Q121" i="2"/>
  <c r="M121" i="2"/>
  <c r="BG119" i="1"/>
  <c r="U120" i="2"/>
  <c r="S119" i="2"/>
  <c r="V539" i="1" l="1"/>
  <c r="V540" i="1" s="1"/>
  <c r="V541" i="1" s="1"/>
  <c r="V542" i="1" s="1"/>
  <c r="V543" i="1" s="1"/>
  <c r="BE118" i="1"/>
  <c r="BA118" i="1"/>
  <c r="AL118" i="1"/>
  <c r="AR118" i="1" s="1"/>
  <c r="Q118" i="1"/>
  <c r="S125" i="1" s="1"/>
  <c r="K119" i="2"/>
  <c r="V544" i="1" l="1"/>
  <c r="V545" i="1" s="1"/>
  <c r="V546" i="1" s="1"/>
  <c r="Q120" i="2"/>
  <c r="M120" i="2"/>
  <c r="BK124" i="1"/>
  <c r="BM124" i="1" s="1"/>
  <c r="BG118" i="1"/>
  <c r="U119" i="2"/>
  <c r="V547" i="1" l="1"/>
  <c r="S118" i="2"/>
  <c r="K118" i="2"/>
  <c r="BE117" i="1"/>
  <c r="BA117" i="1"/>
  <c r="AL117" i="1"/>
  <c r="AR117" i="1" s="1"/>
  <c r="AG117" i="1"/>
  <c r="Q117" i="1"/>
  <c r="S124" i="1" s="1"/>
  <c r="V548" i="1" l="1"/>
  <c r="V549" i="1" s="1"/>
  <c r="V550" i="1" s="1"/>
  <c r="V551" i="1" s="1"/>
  <c r="V552" i="1" s="1"/>
  <c r="V553" i="1" s="1"/>
  <c r="Q119" i="2"/>
  <c r="M119" i="2"/>
  <c r="AI124" i="1"/>
  <c r="U118" i="2"/>
  <c r="BG117" i="1"/>
  <c r="BE116" i="1"/>
  <c r="BA116" i="1"/>
  <c r="AL116" i="1"/>
  <c r="AR116" i="1" s="1"/>
  <c r="S117" i="2"/>
  <c r="K117" i="2"/>
  <c r="M118" i="2" s="1"/>
  <c r="S116" i="2"/>
  <c r="K116" i="2"/>
  <c r="BE115" i="1"/>
  <c r="BA115" i="1"/>
  <c r="AL115" i="1"/>
  <c r="AR115" i="1" s="1"/>
  <c r="S115" i="2"/>
  <c r="V554" i="1" l="1"/>
  <c r="V555" i="1" s="1"/>
  <c r="V556" i="1" s="1"/>
  <c r="V557" i="1" s="1"/>
  <c r="Q117" i="2"/>
  <c r="Q118" i="2"/>
  <c r="BG116" i="1"/>
  <c r="U117" i="2"/>
  <c r="M117" i="2"/>
  <c r="U116" i="2"/>
  <c r="BG115" i="1"/>
  <c r="V558" i="1" l="1"/>
  <c r="BE114" i="1"/>
  <c r="BA114" i="1"/>
  <c r="AL114" i="1"/>
  <c r="AR114" i="1" s="1"/>
  <c r="K115" i="2"/>
  <c r="S114" i="2"/>
  <c r="V559" i="1" l="1"/>
  <c r="V560" i="1" s="1"/>
  <c r="V561" i="1" s="1"/>
  <c r="V562" i="1" s="1"/>
  <c r="V563" i="1" s="1"/>
  <c r="V564" i="1" s="1"/>
  <c r="V565" i="1" s="1"/>
  <c r="V566" i="1" s="1"/>
  <c r="V567" i="1" s="1"/>
  <c r="V568" i="1" s="1"/>
  <c r="V569" i="1" s="1"/>
  <c r="V570" i="1" s="1"/>
  <c r="V571" i="1" s="1"/>
  <c r="Q116" i="2"/>
  <c r="M116" i="2"/>
  <c r="U115" i="2"/>
  <c r="BG114" i="1"/>
  <c r="V572" i="1" l="1"/>
  <c r="V573" i="1" s="1"/>
  <c r="V574" i="1" s="1"/>
  <c r="V575" i="1" s="1"/>
  <c r="V576" i="1" s="1"/>
  <c r="V577" i="1" s="1"/>
  <c r="BE113" i="1"/>
  <c r="BA113" i="1"/>
  <c r="BA841" i="1" s="1"/>
  <c r="AL113" i="1"/>
  <c r="K114" i="2"/>
  <c r="V578" i="1" l="1"/>
  <c r="BA845" i="1"/>
  <c r="BC843" i="1"/>
  <c r="BG841" i="1"/>
  <c r="M115" i="2"/>
  <c r="Q115" i="2"/>
  <c r="AR113" i="1"/>
  <c r="BG113" i="1"/>
  <c r="U114" i="2"/>
  <c r="V579" i="1" l="1"/>
  <c r="V580" i="1" s="1"/>
  <c r="V581" i="1" s="1"/>
  <c r="V582" i="1" s="1"/>
  <c r="V583" i="1" s="1"/>
  <c r="V584" i="1" s="1"/>
  <c r="V585" i="1" s="1"/>
  <c r="S113" i="2"/>
  <c r="BE112" i="1"/>
  <c r="BA112" i="1"/>
  <c r="AL112" i="1"/>
  <c r="K113" i="2"/>
  <c r="V586" i="1" l="1"/>
  <c r="V587" i="1" s="1"/>
  <c r="V588" i="1" s="1"/>
  <c r="V589" i="1" s="1"/>
  <c r="V590" i="1" s="1"/>
  <c r="V591" i="1" s="1"/>
  <c r="V592" i="1" s="1"/>
  <c r="M114" i="2"/>
  <c r="Q114" i="2"/>
  <c r="AR112" i="1"/>
  <c r="BG112" i="1"/>
  <c r="U113" i="2"/>
  <c r="AH82" i="1"/>
  <c r="AH81" i="1"/>
  <c r="AH80" i="1"/>
  <c r="AH79" i="1"/>
  <c r="AH77" i="1"/>
  <c r="AH76" i="1"/>
  <c r="AH75" i="1"/>
  <c r="AH74" i="1"/>
  <c r="AH73" i="1"/>
  <c r="AH72" i="1"/>
  <c r="AH71" i="1"/>
  <c r="AH70" i="1"/>
  <c r="AH69" i="1"/>
  <c r="AH68" i="1"/>
  <c r="AH67" i="1"/>
  <c r="AH66" i="1"/>
  <c r="AH65" i="1"/>
  <c r="AH64" i="1"/>
  <c r="AH63" i="1"/>
  <c r="AH62" i="1"/>
  <c r="AH61" i="1"/>
  <c r="AH60" i="1"/>
  <c r="AH59" i="1"/>
  <c r="AH58" i="1"/>
  <c r="AH57" i="1"/>
  <c r="AH56" i="1"/>
  <c r="AH55" i="1"/>
  <c r="AH54" i="1"/>
  <c r="AH53" i="1"/>
  <c r="AH52" i="1"/>
  <c r="V593" i="1" l="1"/>
  <c r="V594" i="1" s="1"/>
  <c r="V595" i="1" s="1"/>
  <c r="V596" i="1" s="1"/>
  <c r="V597" i="1" s="1"/>
  <c r="V598" i="1" s="1"/>
  <c r="V599" i="1" s="1"/>
  <c r="S112" i="2"/>
  <c r="V600" i="1" l="1"/>
  <c r="BE111" i="1"/>
  <c r="K112" i="2"/>
  <c r="V601" i="1" l="1"/>
  <c r="Q113" i="2"/>
  <c r="M113" i="2"/>
  <c r="U112" i="2"/>
  <c r="S111" i="2"/>
  <c r="AP110" i="1"/>
  <c r="BC110" i="1"/>
  <c r="K111" i="2"/>
  <c r="Q112" i="2" s="1"/>
  <c r="BE110" i="1"/>
  <c r="AG110" i="1"/>
  <c r="AI117" i="1" s="1"/>
  <c r="Q110" i="1"/>
  <c r="S117" i="1" s="1"/>
  <c r="BE109" i="1"/>
  <c r="BA109" i="1"/>
  <c r="AL109" i="1"/>
  <c r="AR109" i="1" s="1"/>
  <c r="S110" i="2"/>
  <c r="K110" i="2"/>
  <c r="S109" i="2"/>
  <c r="V602" i="1" l="1"/>
  <c r="Q111" i="2"/>
  <c r="M112" i="2"/>
  <c r="BA111" i="1"/>
  <c r="BK117" i="1" s="1"/>
  <c r="BM117" i="1" s="1"/>
  <c r="AL110" i="1"/>
  <c r="AR110" i="1" s="1"/>
  <c r="AL111" i="1"/>
  <c r="BA110" i="1"/>
  <c r="U111" i="2"/>
  <c r="M111" i="2"/>
  <c r="BG109" i="1"/>
  <c r="U110" i="2"/>
  <c r="K109" i="2"/>
  <c r="BE108" i="1"/>
  <c r="BA108" i="1"/>
  <c r="AL108" i="1"/>
  <c r="AR108" i="1" s="1"/>
  <c r="V603" i="1" l="1"/>
  <c r="V604" i="1" s="1"/>
  <c r="V605" i="1" s="1"/>
  <c r="V606" i="1" s="1"/>
  <c r="V607" i="1" s="1"/>
  <c r="V608" i="1" s="1"/>
  <c r="V609" i="1" s="1"/>
  <c r="V610" i="1" s="1"/>
  <c r="Q110" i="2"/>
  <c r="M110" i="2"/>
  <c r="AR111" i="1"/>
  <c r="BG111" i="1"/>
  <c r="BG110" i="1"/>
  <c r="U109" i="2"/>
  <c r="BG108" i="1"/>
  <c r="V611" i="1" l="1"/>
  <c r="V612" i="1" s="1"/>
  <c r="V613" i="1" s="1"/>
  <c r="V614" i="1" s="1"/>
  <c r="V615" i="1" s="1"/>
  <c r="V616" i="1" s="1"/>
  <c r="S108" i="2"/>
  <c r="V617" i="1" l="1"/>
  <c r="V618" i="1" s="1"/>
  <c r="V619" i="1" s="1"/>
  <c r="V620" i="1" s="1"/>
  <c r="BE107" i="1"/>
  <c r="AL107" i="1"/>
  <c r="AR107" i="1" s="1"/>
  <c r="K108" i="2"/>
  <c r="AA61" i="3"/>
  <c r="BC106" i="1"/>
  <c r="BA107" i="1" s="1"/>
  <c r="AA736" i="3"/>
  <c r="AA735" i="3"/>
  <c r="AA734" i="3"/>
  <c r="AA733" i="3"/>
  <c r="AA732" i="3"/>
  <c r="AA731" i="3"/>
  <c r="AA730" i="3"/>
  <c r="AA729" i="3"/>
  <c r="AA728" i="3"/>
  <c r="AA727" i="3"/>
  <c r="Y737" i="3"/>
  <c r="W737" i="3"/>
  <c r="S107" i="2"/>
  <c r="V621" i="1" l="1"/>
  <c r="V622" i="1" s="1"/>
  <c r="V623" i="1" s="1"/>
  <c r="V624" i="1" s="1"/>
  <c r="V625" i="1" s="1"/>
  <c r="V626" i="1" s="1"/>
  <c r="V627" i="1" s="1"/>
  <c r="V628" i="1" s="1"/>
  <c r="AA737" i="3"/>
  <c r="AA740" i="3" s="1"/>
  <c r="Q109" i="2"/>
  <c r="M109" i="2"/>
  <c r="BG107" i="1"/>
  <c r="U108" i="2"/>
  <c r="BE106" i="1"/>
  <c r="BA106" i="1"/>
  <c r="AL106" i="1"/>
  <c r="AR106" i="1" s="1"/>
  <c r="K107" i="2"/>
  <c r="Q108" i="2" s="1"/>
  <c r="M108" i="2" l="1"/>
  <c r="V629" i="1"/>
  <c r="U737" i="3"/>
  <c r="BG106" i="1"/>
  <c r="U107" i="2"/>
  <c r="V630" i="1" l="1"/>
  <c r="V631" i="1" s="1"/>
  <c r="V632" i="1" s="1"/>
  <c r="V633" i="1" s="1"/>
  <c r="S106" i="2"/>
  <c r="BE105" i="1"/>
  <c r="BA105" i="1"/>
  <c r="AL105" i="1"/>
  <c r="AR105" i="1" s="1"/>
  <c r="K106" i="2"/>
  <c r="S105" i="2"/>
  <c r="V634" i="1" l="1"/>
  <c r="V635" i="1" s="1"/>
  <c r="V636" i="1" s="1"/>
  <c r="V637" i="1" s="1"/>
  <c r="V638" i="1" s="1"/>
  <c r="V639" i="1" s="1"/>
  <c r="V640" i="1" s="1"/>
  <c r="Q107" i="2"/>
  <c r="M107" i="2"/>
  <c r="BG105" i="1"/>
  <c r="U106" i="2"/>
  <c r="V641" i="1" l="1"/>
  <c r="BE104" i="1"/>
  <c r="BA104" i="1"/>
  <c r="BK110" i="1" s="1"/>
  <c r="BM110" i="1" s="1"/>
  <c r="AL104" i="1"/>
  <c r="AR104" i="1" s="1"/>
  <c r="K105" i="2"/>
  <c r="V642" i="1" l="1"/>
  <c r="Q106" i="2"/>
  <c r="M106" i="2"/>
  <c r="BG104" i="1"/>
  <c r="U105" i="2"/>
  <c r="S104" i="2"/>
  <c r="K104" i="2"/>
  <c r="M105" i="2" s="1"/>
  <c r="BE103" i="1"/>
  <c r="BA103" i="1"/>
  <c r="AL103" i="1"/>
  <c r="AR103" i="1" s="1"/>
  <c r="AG103" i="1"/>
  <c r="Q103" i="1"/>
  <c r="S110" i="1" s="1"/>
  <c r="S103" i="2"/>
  <c r="V643" i="1" l="1"/>
  <c r="V644" i="1" s="1"/>
  <c r="V645" i="1" s="1"/>
  <c r="V646" i="1" s="1"/>
  <c r="V647" i="1" s="1"/>
  <c r="V648" i="1" s="1"/>
  <c r="V649" i="1" s="1"/>
  <c r="V650" i="1" s="1"/>
  <c r="V651" i="1" s="1"/>
  <c r="Q105" i="2"/>
  <c r="AI110" i="1"/>
  <c r="U104" i="2"/>
  <c r="BG103" i="1"/>
  <c r="BE102" i="1"/>
  <c r="BA102" i="1"/>
  <c r="AL102" i="1"/>
  <c r="AR102" i="1" s="1"/>
  <c r="K103" i="2"/>
  <c r="Q104" i="2" s="1"/>
  <c r="S102" i="2"/>
  <c r="BE101" i="1"/>
  <c r="BA101" i="1"/>
  <c r="AL101" i="1"/>
  <c r="AR101" i="1" s="1"/>
  <c r="S101" i="2"/>
  <c r="K102" i="2"/>
  <c r="V652" i="1" l="1"/>
  <c r="V653" i="1" s="1"/>
  <c r="V654" i="1" s="1"/>
  <c r="V655" i="1" s="1"/>
  <c r="M104" i="2"/>
  <c r="Q103" i="2"/>
  <c r="BG102" i="1"/>
  <c r="U103" i="2"/>
  <c r="M103" i="2"/>
  <c r="BG101" i="1"/>
  <c r="U102" i="2"/>
  <c r="V656" i="1" l="1"/>
  <c r="BE100" i="1"/>
  <c r="BA100" i="1"/>
  <c r="AL100" i="1"/>
  <c r="K101" i="2"/>
  <c r="S100" i="2"/>
  <c r="V657" i="1" l="1"/>
  <c r="V658" i="1" s="1"/>
  <c r="V659" i="1" s="1"/>
  <c r="V660" i="1" s="1"/>
  <c r="V661" i="1" s="1"/>
  <c r="V662" i="1" s="1"/>
  <c r="V663" i="1" s="1"/>
  <c r="V664" i="1" s="1"/>
  <c r="V665" i="1" s="1"/>
  <c r="V666" i="1" s="1"/>
  <c r="V667" i="1" s="1"/>
  <c r="Q102" i="2"/>
  <c r="M102" i="2"/>
  <c r="AR100" i="1"/>
  <c r="BG100" i="1"/>
  <c r="U101" i="2"/>
  <c r="BE99" i="1"/>
  <c r="BA99" i="1"/>
  <c r="AL99" i="1"/>
  <c r="AR99" i="1" s="1"/>
  <c r="K100" i="2"/>
  <c r="V668" i="1" l="1"/>
  <c r="V669" i="1" s="1"/>
  <c r="V670" i="1" s="1"/>
  <c r="V671" i="1" s="1"/>
  <c r="Q101" i="2"/>
  <c r="M101" i="2"/>
  <c r="BG99" i="1"/>
  <c r="U100" i="2"/>
  <c r="V672" i="1" l="1"/>
  <c r="V673" i="1" s="1"/>
  <c r="S99" i="2"/>
  <c r="BE98" i="1"/>
  <c r="BA98" i="1"/>
  <c r="AL98" i="1"/>
  <c r="AR98" i="1" s="1"/>
  <c r="K99" i="2"/>
  <c r="V674" i="1" l="1"/>
  <c r="V675" i="1" s="1"/>
  <c r="V676" i="1" s="1"/>
  <c r="V677" i="1" s="1"/>
  <c r="V678" i="1" s="1"/>
  <c r="V679" i="1" s="1"/>
  <c r="V680" i="1" s="1"/>
  <c r="V681" i="1" s="1"/>
  <c r="V682" i="1" s="1"/>
  <c r="V683" i="1" s="1"/>
  <c r="V684" i="1" s="1"/>
  <c r="V685" i="1" s="1"/>
  <c r="M100" i="2"/>
  <c r="Q100" i="2"/>
  <c r="BG98" i="1"/>
  <c r="U99" i="2"/>
  <c r="S98" i="2"/>
  <c r="V686" i="1" l="1"/>
  <c r="V687" i="1" s="1"/>
  <c r="V688" i="1" s="1"/>
  <c r="V689" i="1" s="1"/>
  <c r="BE97" i="1"/>
  <c r="BA97" i="1"/>
  <c r="AL97" i="1"/>
  <c r="AR97" i="1" s="1"/>
  <c r="K98" i="2"/>
  <c r="V690" i="1" l="1"/>
  <c r="V691" i="1" s="1"/>
  <c r="V692" i="1" s="1"/>
  <c r="Q99" i="2"/>
  <c r="M99" i="2"/>
  <c r="BK103" i="1"/>
  <c r="BM103" i="1" s="1"/>
  <c r="BG97" i="1"/>
  <c r="U98" i="2"/>
  <c r="V693" i="1" l="1"/>
  <c r="V694" i="1" s="1"/>
  <c r="V695" i="1" s="1"/>
  <c r="V696" i="1" s="1"/>
  <c r="V697" i="1" s="1"/>
  <c r="Q96" i="1"/>
  <c r="BE96" i="1"/>
  <c r="BA96" i="1"/>
  <c r="AL96" i="1"/>
  <c r="AR96" i="1" s="1"/>
  <c r="AG96" i="1"/>
  <c r="S97" i="2"/>
  <c r="K97" i="2"/>
  <c r="S96" i="2"/>
  <c r="K96" i="2"/>
  <c r="V698" i="1" l="1"/>
  <c r="V699" i="1" s="1"/>
  <c r="AI103" i="1"/>
  <c r="S103" i="1"/>
  <c r="Q97" i="2"/>
  <c r="Q98" i="2"/>
  <c r="M98" i="2"/>
  <c r="BG96" i="1"/>
  <c r="U97" i="2"/>
  <c r="M97" i="2"/>
  <c r="U96" i="2"/>
  <c r="V700" i="1" l="1"/>
  <c r="BE95" i="1"/>
  <c r="BA95" i="1"/>
  <c r="AL95" i="1"/>
  <c r="AR95" i="1" s="1"/>
  <c r="S95" i="2"/>
  <c r="V701" i="1" l="1"/>
  <c r="BG95" i="1"/>
  <c r="BE94" i="1"/>
  <c r="BA94" i="1"/>
  <c r="AL94" i="1"/>
  <c r="AR94" i="1" s="1"/>
  <c r="K95" i="2"/>
  <c r="V702" i="1" l="1"/>
  <c r="V703" i="1" s="1"/>
  <c r="Q96" i="2"/>
  <c r="M96" i="2"/>
  <c r="BG94" i="1"/>
  <c r="U95" i="2"/>
  <c r="V704" i="1" l="1"/>
  <c r="V705" i="1" s="1"/>
  <c r="V706" i="1" s="1"/>
  <c r="V707" i="1" s="1"/>
  <c r="V708" i="1" s="1"/>
  <c r="V709" i="1" s="1"/>
  <c r="V710" i="1" s="1"/>
  <c r="V711" i="1" s="1"/>
  <c r="S94" i="2"/>
  <c r="V712" i="1" l="1"/>
  <c r="BE93" i="1"/>
  <c r="BA93" i="1"/>
  <c r="AL93" i="1"/>
  <c r="AR93" i="1" s="1"/>
  <c r="K94" i="2"/>
  <c r="V713" i="1" l="1"/>
  <c r="V714" i="1" s="1"/>
  <c r="V715" i="1" s="1"/>
  <c r="V716" i="1" s="1"/>
  <c r="V717" i="1" s="1"/>
  <c r="V718" i="1" s="1"/>
  <c r="M95" i="2"/>
  <c r="Q95" i="2"/>
  <c r="BG93" i="1"/>
  <c r="U94" i="2"/>
  <c r="S93" i="2"/>
  <c r="K93" i="2"/>
  <c r="BE92" i="1"/>
  <c r="BA92" i="1"/>
  <c r="AL92" i="1"/>
  <c r="AR92" i="1" s="1"/>
  <c r="V719" i="1" l="1"/>
  <c r="V720" i="1" s="1"/>
  <c r="V721" i="1" s="1"/>
  <c r="V722" i="1" s="1"/>
  <c r="M94" i="2"/>
  <c r="Q94" i="2"/>
  <c r="U93" i="2"/>
  <c r="BG92" i="1"/>
  <c r="V723" i="1" l="1"/>
  <c r="V724" i="1" s="1"/>
  <c r="V725" i="1" s="1"/>
  <c r="V726" i="1" s="1"/>
  <c r="V727" i="1" s="1"/>
  <c r="V728" i="1" s="1"/>
  <c r="V729" i="1" s="1"/>
  <c r="V730" i="1" s="1"/>
  <c r="S92" i="2"/>
  <c r="V731" i="1" l="1"/>
  <c r="BE91" i="1"/>
  <c r="BA91" i="1"/>
  <c r="AL91" i="1"/>
  <c r="AR91" i="1" s="1"/>
  <c r="K92" i="2"/>
  <c r="V732" i="1" l="1"/>
  <c r="V733" i="1" s="1"/>
  <c r="M93" i="2"/>
  <c r="Q93" i="2"/>
  <c r="BG91" i="1"/>
  <c r="U92" i="2"/>
  <c r="S91" i="2"/>
  <c r="V734" i="1" l="1"/>
  <c r="V735" i="1" s="1"/>
  <c r="V736" i="1" s="1"/>
  <c r="V737" i="1" s="1"/>
  <c r="V738" i="1" s="1"/>
  <c r="V739" i="1" s="1"/>
  <c r="V740" i="1" s="1"/>
  <c r="V741" i="1" s="1"/>
  <c r="BE90" i="1"/>
  <c r="BA90" i="1"/>
  <c r="BK96" i="1" s="1"/>
  <c r="BM96" i="1" s="1"/>
  <c r="AL90" i="1"/>
  <c r="AR90" i="1" s="1"/>
  <c r="K91" i="2"/>
  <c r="V742" i="1" l="1"/>
  <c r="V743" i="1" s="1"/>
  <c r="Q92" i="2"/>
  <c r="M92" i="2"/>
  <c r="BG90" i="1"/>
  <c r="U91" i="2"/>
  <c r="S89" i="2"/>
  <c r="S90" i="2"/>
  <c r="K90" i="2"/>
  <c r="M91" i="2" s="1"/>
  <c r="AG75" i="1"/>
  <c r="AG68" i="1"/>
  <c r="AG61" i="1"/>
  <c r="AG47" i="1"/>
  <c r="AG40" i="1"/>
  <c r="Q82" i="1"/>
  <c r="Q75" i="1"/>
  <c r="Q61" i="1"/>
  <c r="Q54" i="1"/>
  <c r="Q47" i="1"/>
  <c r="Q48" i="1" s="1"/>
  <c r="Q40" i="1"/>
  <c r="Q33" i="1"/>
  <c r="BE89" i="1"/>
  <c r="BA89" i="1"/>
  <c r="AL89" i="1"/>
  <c r="AR89" i="1" s="1"/>
  <c r="AG89" i="1"/>
  <c r="AI96" i="1" s="1"/>
  <c r="Q89" i="1"/>
  <c r="V744" i="1" l="1"/>
  <c r="V745" i="1" s="1"/>
  <c r="V746" i="1" s="1"/>
  <c r="S54" i="1"/>
  <c r="S82" i="1"/>
  <c r="S89" i="1"/>
  <c r="S96" i="1"/>
  <c r="S40" i="1"/>
  <c r="AI68" i="1"/>
  <c r="S61" i="1"/>
  <c r="AI47" i="1"/>
  <c r="S47" i="1"/>
  <c r="AI75" i="1"/>
  <c r="Q91" i="2"/>
  <c r="U90" i="2"/>
  <c r="BG89" i="1"/>
  <c r="BE88" i="1"/>
  <c r="BA88" i="1"/>
  <c r="AL88" i="1"/>
  <c r="AR88" i="1" s="1"/>
  <c r="K89" i="2"/>
  <c r="V747" i="1" l="1"/>
  <c r="V748" i="1" s="1"/>
  <c r="V749" i="1" s="1"/>
  <c r="V750" i="1" s="1"/>
  <c r="V751" i="1" s="1"/>
  <c r="V752" i="1" s="1"/>
  <c r="V753" i="1" s="1"/>
  <c r="V754" i="1" s="1"/>
  <c r="V755" i="1" s="1"/>
  <c r="Q90" i="2"/>
  <c r="M90" i="2"/>
  <c r="BG88" i="1"/>
  <c r="U89" i="2"/>
  <c r="S88" i="2"/>
  <c r="V756" i="1" l="1"/>
  <c r="BE87" i="1"/>
  <c r="BA87" i="1"/>
  <c r="AL87" i="1"/>
  <c r="AR87" i="1" s="1"/>
  <c r="K88" i="2"/>
  <c r="V757" i="1" l="1"/>
  <c r="Q89" i="2"/>
  <c r="M89" i="2"/>
  <c r="BG87" i="1"/>
  <c r="U88" i="2"/>
  <c r="S87" i="2"/>
  <c r="K87" i="2"/>
  <c r="Q88" i="2" s="1"/>
  <c r="BE86" i="1"/>
  <c r="BA86" i="1"/>
  <c r="AL86" i="1"/>
  <c r="AR86" i="1" s="1"/>
  <c r="V758" i="1" l="1"/>
  <c r="U87" i="2"/>
  <c r="M88" i="2"/>
  <c r="BG86" i="1"/>
  <c r="S86" i="2"/>
  <c r="BE85" i="1" l="1"/>
  <c r="BA85" i="1"/>
  <c r="AL85" i="1"/>
  <c r="AR85" i="1" s="1"/>
  <c r="K86" i="2"/>
  <c r="Q87" i="2" l="1"/>
  <c r="M87" i="2"/>
  <c r="BG85" i="1"/>
  <c r="U86" i="2"/>
  <c r="S85" i="2"/>
  <c r="K85" i="2" l="1"/>
  <c r="BE84" i="1"/>
  <c r="BA84" i="1"/>
  <c r="AL84" i="1"/>
  <c r="AR84" i="1" s="1"/>
  <c r="Q86" i="2" l="1"/>
  <c r="M86" i="2"/>
  <c r="U85" i="2"/>
  <c r="BG84" i="1"/>
  <c r="BE83" i="1" l="1"/>
  <c r="BA83" i="1"/>
  <c r="AL83" i="1"/>
  <c r="AR83" i="1" s="1"/>
  <c r="S84" i="2"/>
  <c r="K84" i="2"/>
  <c r="F748" i="3"/>
  <c r="F751" i="3" s="1"/>
  <c r="S83" i="2"/>
  <c r="BK89" i="1" l="1"/>
  <c r="BM89" i="1" s="1"/>
  <c r="BK112" i="1"/>
  <c r="Q85" i="2"/>
  <c r="M85" i="2"/>
  <c r="BG83" i="1"/>
  <c r="U84" i="2"/>
  <c r="W78" i="1" l="1"/>
  <c r="K83" i="2"/>
  <c r="BE82" i="1"/>
  <c r="BA82" i="1"/>
  <c r="AL82" i="1"/>
  <c r="S82" i="2"/>
  <c r="K82" i="2"/>
  <c r="BE81" i="1"/>
  <c r="BA81" i="1"/>
  <c r="AL81" i="1"/>
  <c r="AG82" i="1" l="1"/>
  <c r="AI82" i="1" s="1"/>
  <c r="AH78" i="1"/>
  <c r="AG84" i="1" s="1"/>
  <c r="U83" i="2"/>
  <c r="Q84" i="2"/>
  <c r="M84" i="2"/>
  <c r="AR82" i="1"/>
  <c r="BG82" i="1"/>
  <c r="M83" i="2"/>
  <c r="Q83" i="2"/>
  <c r="U82" i="2"/>
  <c r="AR81" i="1"/>
  <c r="BG81" i="1"/>
  <c r="AL80" i="1"/>
  <c r="AR80" i="1" s="1"/>
  <c r="S81" i="2"/>
  <c r="K81" i="2"/>
  <c r="M82" i="2" s="1"/>
  <c r="BE80" i="1"/>
  <c r="BA80" i="1"/>
  <c r="AI89" i="1" l="1"/>
  <c r="AR783" i="1"/>
  <c r="U81" i="2"/>
  <c r="Q82" i="2"/>
  <c r="BG80" i="1"/>
  <c r="S80" i="2"/>
  <c r="K80" i="2"/>
  <c r="BE79" i="1"/>
  <c r="BA79" i="1"/>
  <c r="AL79" i="1"/>
  <c r="U80" i="2" l="1"/>
  <c r="Q81" i="2"/>
  <c r="M81" i="2"/>
  <c r="AR79" i="1"/>
  <c r="BG79" i="1"/>
  <c r="S79" i="2"/>
  <c r="K79" i="2" l="1"/>
  <c r="BE78" i="1"/>
  <c r="BA78" i="1"/>
  <c r="AL78" i="1"/>
  <c r="AR78" i="1" s="1"/>
  <c r="M80" i="2" l="1"/>
  <c r="Q80" i="2"/>
  <c r="U79" i="2"/>
  <c r="BG78" i="1"/>
  <c r="S78" i="2" l="1"/>
  <c r="BE77" i="1"/>
  <c r="BA77" i="1"/>
  <c r="AL77" i="1"/>
  <c r="AR77" i="1" s="1"/>
  <c r="K78" i="2"/>
  <c r="Q79" i="2" l="1"/>
  <c r="M79" i="2"/>
  <c r="BG77" i="1"/>
  <c r="U78" i="2"/>
  <c r="BE76" i="1"/>
  <c r="BA76" i="1"/>
  <c r="AL76" i="1"/>
  <c r="AR76" i="1" s="1"/>
  <c r="S77" i="2"/>
  <c r="K77" i="2"/>
  <c r="Q78" i="2" s="1"/>
  <c r="BK82" i="1" l="1"/>
  <c r="BK83" i="1"/>
  <c r="M78" i="2"/>
  <c r="BG76" i="1"/>
  <c r="U77" i="2"/>
  <c r="S76" i="2"/>
  <c r="BM82" i="1" l="1"/>
  <c r="BE75" i="1"/>
  <c r="BA75" i="1"/>
  <c r="AL75" i="1"/>
  <c r="AR75" i="1" s="1"/>
  <c r="K76" i="2"/>
  <c r="Q77" i="2" l="1"/>
  <c r="M77" i="2"/>
  <c r="BG75" i="1"/>
  <c r="U76" i="2"/>
  <c r="S75" i="2" l="1"/>
  <c r="BE74" i="1"/>
  <c r="BA74" i="1"/>
  <c r="AL74" i="1"/>
  <c r="AR74" i="1" s="1"/>
  <c r="K75" i="2"/>
  <c r="M76" i="2" l="1"/>
  <c r="Q76" i="2"/>
  <c r="BG74" i="1"/>
  <c r="U75" i="2"/>
  <c r="S74" i="2"/>
  <c r="K74" i="2"/>
  <c r="BE73" i="1"/>
  <c r="BA73" i="1"/>
  <c r="AL73" i="1"/>
  <c r="M75" i="2" l="1"/>
  <c r="Q75" i="2"/>
  <c r="AR73" i="1"/>
  <c r="U74" i="2"/>
  <c r="BG73" i="1"/>
  <c r="I60" i="3"/>
  <c r="AH217" i="1" l="1"/>
  <c r="AH215" i="1"/>
  <c r="AH216" i="1"/>
  <c r="AH214" i="1"/>
  <c r="AH213" i="1"/>
  <c r="AH210" i="1"/>
  <c r="AH212" i="1"/>
  <c r="AH211" i="1"/>
  <c r="AH209" i="1"/>
  <c r="AH208" i="1"/>
  <c r="AH207" i="1"/>
  <c r="AH206" i="1"/>
  <c r="AH205" i="1"/>
  <c r="AH204" i="1"/>
  <c r="AH203" i="1"/>
  <c r="AH202" i="1"/>
  <c r="AH201" i="1"/>
  <c r="AH200" i="1"/>
  <c r="AH199" i="1"/>
  <c r="AH196" i="1"/>
  <c r="AH197" i="1"/>
  <c r="AH198" i="1"/>
  <c r="AH195" i="1"/>
  <c r="AH194" i="1"/>
  <c r="AH192" i="1"/>
  <c r="AH193" i="1"/>
  <c r="AH191" i="1"/>
  <c r="AH190" i="1"/>
  <c r="AH189" i="1"/>
  <c r="AH187" i="1"/>
  <c r="AH188" i="1"/>
  <c r="AH186" i="1"/>
  <c r="AH185" i="1"/>
  <c r="AH184" i="1"/>
  <c r="AH181" i="1"/>
  <c r="AH182" i="1"/>
  <c r="AH178" i="1"/>
  <c r="AH179" i="1"/>
  <c r="AH180" i="1"/>
  <c r="AH177" i="1"/>
  <c r="AH183" i="1"/>
  <c r="AH176" i="1"/>
  <c r="AH175" i="1"/>
  <c r="AH174" i="1"/>
  <c r="AH173" i="1"/>
  <c r="AH172" i="1"/>
  <c r="AH171" i="1"/>
  <c r="AH170" i="1"/>
  <c r="AH169" i="1"/>
  <c r="AH168" i="1"/>
  <c r="AH167" i="1"/>
  <c r="AH166" i="1"/>
  <c r="AH165" i="1"/>
  <c r="AH158" i="1"/>
  <c r="AH156" i="1"/>
  <c r="AH157" i="1"/>
  <c r="AH155" i="1"/>
  <c r="AH154" i="1"/>
  <c r="AH164" i="1"/>
  <c r="AH160" i="1"/>
  <c r="AH163" i="1"/>
  <c r="AH159" i="1"/>
  <c r="AH162" i="1"/>
  <c r="AH161" i="1"/>
  <c r="AH153" i="1"/>
  <c r="AH152" i="1"/>
  <c r="S73" i="2"/>
  <c r="K73" i="2"/>
  <c r="S72" i="2"/>
  <c r="BE72" i="1"/>
  <c r="BA72" i="1"/>
  <c r="AL72" i="1"/>
  <c r="AR72" i="1" s="1"/>
  <c r="Q74" i="2" l="1"/>
  <c r="M74" i="2"/>
  <c r="BG72" i="1"/>
  <c r="U73" i="2"/>
  <c r="K72" i="2"/>
  <c r="BE71" i="1"/>
  <c r="BA71" i="1"/>
  <c r="AL71" i="1"/>
  <c r="AR71" i="1" s="1"/>
  <c r="M73" i="2" l="1"/>
  <c r="Q73" i="2"/>
  <c r="U72" i="2"/>
  <c r="BG71" i="1"/>
  <c r="S71" i="2"/>
  <c r="K71" i="2"/>
  <c r="M72" i="2" l="1"/>
  <c r="Q72" i="2"/>
  <c r="U71" i="2"/>
  <c r="BE70" i="1"/>
  <c r="BA70" i="1"/>
  <c r="AL70" i="1"/>
  <c r="AR70" i="1" s="1"/>
  <c r="BG70" i="1" l="1"/>
  <c r="S70" i="2"/>
  <c r="K70" i="2" l="1"/>
  <c r="BE69" i="1"/>
  <c r="BA69" i="1"/>
  <c r="BK75" i="1" s="1"/>
  <c r="AL69" i="1"/>
  <c r="AR69" i="1" s="1"/>
  <c r="BM75" i="1" l="1"/>
  <c r="Q71" i="2"/>
  <c r="M71" i="2"/>
  <c r="U70" i="2"/>
  <c r="BG69" i="1"/>
  <c r="S69" i="2"/>
  <c r="K69" i="2" l="1"/>
  <c r="BE68" i="1"/>
  <c r="BA68" i="1"/>
  <c r="AL68" i="1"/>
  <c r="AR68" i="1" s="1"/>
  <c r="Q70" i="2" l="1"/>
  <c r="M70" i="2"/>
  <c r="U69" i="2"/>
  <c r="BG68" i="1"/>
  <c r="S68" i="2"/>
  <c r="D65" i="1"/>
  <c r="K68" i="2"/>
  <c r="M69" i="2" s="1"/>
  <c r="BE67" i="1"/>
  <c r="BA67" i="1"/>
  <c r="AL67" i="1"/>
  <c r="Q68" i="1" l="1"/>
  <c r="S68" i="1" s="1"/>
  <c r="AG83" i="1"/>
  <c r="S75" i="1"/>
  <c r="Q69" i="2"/>
  <c r="AR67" i="1"/>
  <c r="U68" i="2"/>
  <c r="BG67" i="1"/>
  <c r="AG85" i="1" l="1"/>
  <c r="AP783" i="1"/>
  <c r="AV783" i="1" s="1"/>
  <c r="S67" i="2"/>
  <c r="K67" i="2"/>
  <c r="BE66" i="1"/>
  <c r="BA66" i="1"/>
  <c r="AL66" i="1"/>
  <c r="AR66" i="1" s="1"/>
  <c r="M68" i="2" l="1"/>
  <c r="Q68" i="2"/>
  <c r="U67" i="2"/>
  <c r="BG66" i="1"/>
  <c r="S66" i="2"/>
  <c r="K66" i="2" l="1"/>
  <c r="BE65" i="1"/>
  <c r="BA65" i="1"/>
  <c r="AL65" i="1"/>
  <c r="Q67" i="2" l="1"/>
  <c r="M67" i="2"/>
  <c r="AR65" i="1"/>
  <c r="U66" i="2"/>
  <c r="BG65" i="1"/>
  <c r="S65" i="2" l="1"/>
  <c r="I738" i="3" l="1"/>
  <c r="I735" i="3"/>
  <c r="L735" i="3" s="1"/>
  <c r="I78" i="3"/>
  <c r="I80" i="3" s="1"/>
  <c r="I77" i="3"/>
  <c r="BE64" i="1"/>
  <c r="BA64" i="1"/>
  <c r="AL64" i="1"/>
  <c r="AR64" i="1" s="1"/>
  <c r="K65" i="2"/>
  <c r="Y19" i="3"/>
  <c r="Q66" i="2" l="1"/>
  <c r="M66" i="2"/>
  <c r="L738" i="3"/>
  <c r="I79" i="3"/>
  <c r="I81" i="3" s="1"/>
  <c r="I82" i="3" s="1"/>
  <c r="BG64" i="1"/>
  <c r="U65" i="2"/>
  <c r="S64" i="2"/>
  <c r="N81" i="3" l="1"/>
  <c r="N82" i="3" s="1"/>
  <c r="I737" i="3"/>
  <c r="L737" i="3" s="1"/>
  <c r="K64" i="2"/>
  <c r="BE63" i="1"/>
  <c r="BA63" i="1"/>
  <c r="AL63" i="1"/>
  <c r="AR63" i="1" s="1"/>
  <c r="Y18" i="3"/>
  <c r="Q65" i="2" l="1"/>
  <c r="M65" i="2"/>
  <c r="I739" i="3"/>
  <c r="U64" i="2"/>
  <c r="BG63" i="1"/>
  <c r="L728" i="3" l="1"/>
  <c r="L739" i="3"/>
  <c r="L727" i="3"/>
  <c r="S63" i="2"/>
  <c r="BE62" i="1"/>
  <c r="BA62" i="1"/>
  <c r="BK68" i="1" s="1"/>
  <c r="AL62" i="1"/>
  <c r="AR62" i="1" s="1"/>
  <c r="K63" i="2"/>
  <c r="Y17" i="3"/>
  <c r="BM68" i="1" l="1"/>
  <c r="Q64" i="2"/>
  <c r="M64" i="2"/>
  <c r="BG62" i="1"/>
  <c r="U63" i="2"/>
  <c r="S62" i="2"/>
  <c r="BE61" i="1" l="1"/>
  <c r="BA61" i="1"/>
  <c r="AL61" i="1"/>
  <c r="AR61" i="1" s="1"/>
  <c r="K62" i="2"/>
  <c r="Y16" i="3"/>
  <c r="M63" i="2" l="1"/>
  <c r="Q63" i="2"/>
  <c r="BG61" i="1"/>
  <c r="U62" i="2"/>
  <c r="S61" i="2"/>
  <c r="Y15" i="3" l="1"/>
  <c r="K61" i="2"/>
  <c r="Q62" i="2" l="1"/>
  <c r="M62" i="2"/>
  <c r="U61" i="2"/>
  <c r="BE60" i="1"/>
  <c r="BA60" i="1"/>
  <c r="AL60" i="1"/>
  <c r="I58" i="3"/>
  <c r="I55" i="3"/>
  <c r="L55" i="3" l="1"/>
  <c r="L58" i="3"/>
  <c r="AR60" i="1"/>
  <c r="BG60" i="1"/>
  <c r="S60" i="2"/>
  <c r="S59" i="2"/>
  <c r="K60" i="2"/>
  <c r="BE59" i="1"/>
  <c r="BA59" i="1"/>
  <c r="AL59" i="1"/>
  <c r="AR59" i="1" s="1"/>
  <c r="Y14" i="3"/>
  <c r="M61" i="2" l="1"/>
  <c r="Q61" i="2"/>
  <c r="U60" i="2"/>
  <c r="BG59" i="1"/>
  <c r="K59" i="2"/>
  <c r="Y13" i="3"/>
  <c r="BE58" i="1"/>
  <c r="BA58" i="1"/>
  <c r="AL58" i="1"/>
  <c r="AR58" i="1" s="1"/>
  <c r="M60" i="2" l="1"/>
  <c r="Q60" i="2"/>
  <c r="U59" i="2"/>
  <c r="BG58" i="1"/>
  <c r="S58" i="2"/>
  <c r="AA11" i="3" l="1"/>
  <c r="AA10" i="3"/>
  <c r="AA9" i="3"/>
  <c r="AA8" i="3"/>
  <c r="AA7" i="3"/>
  <c r="K58" i="2" l="1"/>
  <c r="BE57" i="1"/>
  <c r="BA57" i="1"/>
  <c r="AL57" i="1"/>
  <c r="AR57" i="1" s="1"/>
  <c r="M59" i="2" l="1"/>
  <c r="Q59" i="2"/>
  <c r="U58" i="2"/>
  <c r="BG57" i="1"/>
  <c r="I47" i="3"/>
  <c r="I49" i="3" s="1"/>
  <c r="I46" i="3"/>
  <c r="U7" i="3"/>
  <c r="U8" i="3" s="1"/>
  <c r="U9" i="3" s="1"/>
  <c r="U10" i="3" s="1"/>
  <c r="U11" i="3" s="1"/>
  <c r="U12" i="3" s="1"/>
  <c r="U13" i="3" s="1"/>
  <c r="U14" i="3" s="1"/>
  <c r="U15" i="3" s="1"/>
  <c r="U16" i="3" s="1"/>
  <c r="U17" i="3" s="1"/>
  <c r="U18" i="3" s="1"/>
  <c r="U19" i="3" s="1"/>
  <c r="U20" i="3" s="1"/>
  <c r="U21" i="3" s="1"/>
  <c r="U22" i="3" s="1"/>
  <c r="U23" i="3" s="1"/>
  <c r="U24" i="3" s="1"/>
  <c r="U25" i="3" s="1"/>
  <c r="U26" i="3" s="1"/>
  <c r="U27" i="3" s="1"/>
  <c r="U28" i="3" s="1"/>
  <c r="U29" i="3" s="1"/>
  <c r="U30" i="3" s="1"/>
  <c r="U31" i="3" s="1"/>
  <c r="U32" i="3" s="1"/>
  <c r="U33" i="3" s="1"/>
  <c r="U34" i="3" s="1"/>
  <c r="U35" i="3" s="1"/>
  <c r="U36" i="3" s="1"/>
  <c r="U37" i="3" s="1"/>
  <c r="U38" i="3" s="1"/>
  <c r="U39" i="3" l="1"/>
  <c r="U40" i="3" s="1"/>
  <c r="U41" i="3" s="1"/>
  <c r="U42" i="3" s="1"/>
  <c r="U43" i="3" s="1"/>
  <c r="U44" i="3" s="1"/>
  <c r="U45" i="3" s="1"/>
  <c r="U46" i="3" s="1"/>
  <c r="U47" i="3" s="1"/>
  <c r="U48" i="3" s="1"/>
  <c r="U49" i="3" s="1"/>
  <c r="U50" i="3" s="1"/>
  <c r="U51" i="3" s="1"/>
  <c r="U52" i="3" s="1"/>
  <c r="U53" i="3" s="1"/>
  <c r="U54" i="3" s="1"/>
  <c r="U55" i="3" s="1"/>
  <c r="U56" i="3" s="1"/>
  <c r="U57" i="3" s="1"/>
  <c r="U58" i="3" s="1"/>
  <c r="I48" i="3"/>
  <c r="I50" i="3" s="1"/>
  <c r="I57" i="3" s="1"/>
  <c r="AF30" i="2"/>
  <c r="AD30" i="2"/>
  <c r="S57" i="2"/>
  <c r="K57" i="2"/>
  <c r="BE56" i="1"/>
  <c r="BA56" i="1"/>
  <c r="AL56" i="1"/>
  <c r="AR56" i="1" s="1"/>
  <c r="U59" i="3" l="1"/>
  <c r="U60" i="3" s="1"/>
  <c r="U61" i="3" s="1"/>
  <c r="U62" i="3" s="1"/>
  <c r="U63" i="3" s="1"/>
  <c r="U64" i="3" s="1"/>
  <c r="U65" i="3" s="1"/>
  <c r="U66" i="3" s="1"/>
  <c r="U67" i="3" s="1"/>
  <c r="U68" i="3" s="1"/>
  <c r="U69" i="3" s="1"/>
  <c r="U70" i="3" s="1"/>
  <c r="U71" i="3" s="1"/>
  <c r="U72" i="3" s="1"/>
  <c r="U73" i="3" s="1"/>
  <c r="U74" i="3" s="1"/>
  <c r="U75" i="3" s="1"/>
  <c r="U76" i="3" s="1"/>
  <c r="U77" i="3" s="1"/>
  <c r="U78" i="3" s="1"/>
  <c r="U79" i="3" s="1"/>
  <c r="U80" i="3" s="1"/>
  <c r="U81" i="3" s="1"/>
  <c r="U82" i="3" s="1"/>
  <c r="U83" i="3" s="1"/>
  <c r="U84" i="3" s="1"/>
  <c r="U85" i="3" s="1"/>
  <c r="U86" i="3" s="1"/>
  <c r="U87" i="3" s="1"/>
  <c r="U88" i="3" s="1"/>
  <c r="U89" i="3" s="1"/>
  <c r="U90" i="3" s="1"/>
  <c r="U91" i="3" s="1"/>
  <c r="U92" i="3" s="1"/>
  <c r="U93" i="3" s="1"/>
  <c r="Q58" i="2"/>
  <c r="M58" i="2"/>
  <c r="I59" i="3"/>
  <c r="L57" i="3"/>
  <c r="N50" i="3"/>
  <c r="I51" i="3"/>
  <c r="U57" i="2"/>
  <c r="BG56" i="1"/>
  <c r="S56" i="2"/>
  <c r="K56" i="2"/>
  <c r="Q57" i="2" s="1"/>
  <c r="BE55" i="1"/>
  <c r="BA55" i="1"/>
  <c r="BK61" i="1" s="1"/>
  <c r="AL55" i="1"/>
  <c r="AR55" i="1" s="1"/>
  <c r="BM61" i="1" l="1"/>
  <c r="BK84" i="1"/>
  <c r="BK85" i="1" s="1"/>
  <c r="U94" i="3"/>
  <c r="U95" i="3" s="1"/>
  <c r="U96" i="3" s="1"/>
  <c r="U97" i="3" s="1"/>
  <c r="U98" i="3" s="1"/>
  <c r="U99" i="3" s="1"/>
  <c r="U100" i="3" s="1"/>
  <c r="M57" i="2"/>
  <c r="I61" i="3"/>
  <c r="L61" i="3" s="1"/>
  <c r="L67" i="3"/>
  <c r="L66" i="3"/>
  <c r="L59" i="3"/>
  <c r="N51" i="3"/>
  <c r="U56" i="2"/>
  <c r="BG55" i="1"/>
  <c r="W48" i="1"/>
  <c r="AG54" i="1" s="1"/>
  <c r="S55" i="2"/>
  <c r="K55" i="2"/>
  <c r="Q56" i="2" s="1"/>
  <c r="BE54" i="1"/>
  <c r="BA54" i="1"/>
  <c r="AL54" i="1"/>
  <c r="AR54" i="1" s="1"/>
  <c r="U101" i="3" l="1"/>
  <c r="U102" i="3" s="1"/>
  <c r="U103" i="3" s="1"/>
  <c r="U104" i="3" s="1"/>
  <c r="U105" i="3" s="1"/>
  <c r="U106" i="3" s="1"/>
  <c r="AI54" i="1"/>
  <c r="AI61" i="1"/>
  <c r="U55" i="2"/>
  <c r="M56" i="2"/>
  <c r="BG54" i="1"/>
  <c r="S54" i="2"/>
  <c r="U107" i="3" l="1"/>
  <c r="U108" i="3" s="1"/>
  <c r="U109" i="3" s="1"/>
  <c r="U110" i="3" s="1"/>
  <c r="U111" i="3" s="1"/>
  <c r="U112" i="3" s="1"/>
  <c r="U113" i="3" s="1"/>
  <c r="U114" i="3" s="1"/>
  <c r="K54" i="2"/>
  <c r="BE53" i="1"/>
  <c r="BA53" i="1"/>
  <c r="AL53" i="1"/>
  <c r="AR53" i="1" s="1"/>
  <c r="S53" i="2"/>
  <c r="U115" i="3" l="1"/>
  <c r="U116" i="3" s="1"/>
  <c r="U117" i="3" s="1"/>
  <c r="U118" i="3" s="1"/>
  <c r="U119" i="3" s="1"/>
  <c r="U120" i="3" s="1"/>
  <c r="U121" i="3" s="1"/>
  <c r="Q55" i="2"/>
  <c r="M55" i="2"/>
  <c r="U54" i="2"/>
  <c r="BG53" i="1"/>
  <c r="K53" i="2"/>
  <c r="Q54" i="2" s="1"/>
  <c r="BE52" i="1"/>
  <c r="BA52" i="1"/>
  <c r="AL52" i="1"/>
  <c r="AR52" i="1" s="1"/>
  <c r="U122" i="3" l="1"/>
  <c r="U123" i="3" s="1"/>
  <c r="U124" i="3" s="1"/>
  <c r="U125" i="3" s="1"/>
  <c r="U126" i="3" s="1"/>
  <c r="U127" i="3" s="1"/>
  <c r="M54" i="2"/>
  <c r="U53" i="2"/>
  <c r="BG52" i="1"/>
  <c r="G46" i="2"/>
  <c r="AO780" i="2"/>
  <c r="S52" i="2"/>
  <c r="U128" i="3" l="1"/>
  <c r="U129" i="3" s="1"/>
  <c r="U130" i="3" s="1"/>
  <c r="U131" i="3" s="1"/>
  <c r="U132" i="3" s="1"/>
  <c r="U133" i="3" s="1"/>
  <c r="U134" i="3" s="1"/>
  <c r="U135" i="3" s="1"/>
  <c r="U136" i="3" s="1"/>
  <c r="U137" i="3" s="1"/>
  <c r="U138" i="3" s="1"/>
  <c r="AD29" i="2"/>
  <c r="G51" i="2"/>
  <c r="K51" i="2" s="1"/>
  <c r="G50" i="2"/>
  <c r="G49" i="2"/>
  <c r="K49" i="2" s="1"/>
  <c r="G48" i="2"/>
  <c r="K48" i="2" s="1"/>
  <c r="G47" i="2"/>
  <c r="K47" i="2" s="1"/>
  <c r="G45" i="2"/>
  <c r="K45" i="2" s="1"/>
  <c r="G44" i="2"/>
  <c r="K44" i="2" s="1"/>
  <c r="G43" i="2"/>
  <c r="G42" i="2"/>
  <c r="G41" i="2"/>
  <c r="G40" i="2"/>
  <c r="K40" i="2" s="1"/>
  <c r="G39" i="2"/>
  <c r="K39" i="2" s="1"/>
  <c r="G38" i="2"/>
  <c r="K38" i="2" s="1"/>
  <c r="G37" i="2"/>
  <c r="K37" i="2" s="1"/>
  <c r="G36" i="2"/>
  <c r="K36" i="2" s="1"/>
  <c r="G35" i="2"/>
  <c r="K35" i="2" s="1"/>
  <c r="G34" i="2"/>
  <c r="K34" i="2" s="1"/>
  <c r="G33" i="2"/>
  <c r="K33" i="2" s="1"/>
  <c r="G32" i="2"/>
  <c r="K32" i="2" s="1"/>
  <c r="G31" i="2"/>
  <c r="K31" i="2" s="1"/>
  <c r="K52" i="2"/>
  <c r="K50" i="2"/>
  <c r="K46" i="2"/>
  <c r="K43" i="2"/>
  <c r="K42" i="2"/>
  <c r="K41" i="2"/>
  <c r="G30" i="2"/>
  <c r="K30" i="2" s="1"/>
  <c r="I24" i="3"/>
  <c r="I26" i="3" s="1"/>
  <c r="BW11" i="1"/>
  <c r="BW12" i="1" s="1"/>
  <c r="N22" i="3"/>
  <c r="C12" i="2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AJ16" i="2"/>
  <c r="AJ19" i="2" s="1"/>
  <c r="AD28" i="2"/>
  <c r="AD27" i="2"/>
  <c r="AF41" i="2"/>
  <c r="AH41" i="2" s="1"/>
  <c r="AH40" i="2"/>
  <c r="AH39" i="2"/>
  <c r="AH38" i="2"/>
  <c r="S51" i="2"/>
  <c r="S50" i="2"/>
  <c r="S49" i="2"/>
  <c r="S48" i="2"/>
  <c r="S47" i="2"/>
  <c r="S46" i="2"/>
  <c r="S45" i="2"/>
  <c r="S44" i="2"/>
  <c r="S43" i="2"/>
  <c r="S42" i="2"/>
  <c r="S41" i="2"/>
  <c r="S40" i="2"/>
  <c r="S39" i="2"/>
  <c r="S38" i="2"/>
  <c r="S37" i="2"/>
  <c r="S36" i="2"/>
  <c r="S35" i="2"/>
  <c r="S34" i="2"/>
  <c r="S33" i="2"/>
  <c r="S32" i="2"/>
  <c r="S31" i="2"/>
  <c r="S30" i="2"/>
  <c r="S29" i="2"/>
  <c r="G29" i="2"/>
  <c r="K29" i="2" s="1"/>
  <c r="S28" i="2"/>
  <c r="K28" i="2"/>
  <c r="S27" i="2"/>
  <c r="K27" i="2"/>
  <c r="S26" i="2"/>
  <c r="K26" i="2"/>
  <c r="S25" i="2"/>
  <c r="K25" i="2"/>
  <c r="S24" i="2"/>
  <c r="K24" i="2"/>
  <c r="S23" i="2"/>
  <c r="K23" i="2"/>
  <c r="S22" i="2"/>
  <c r="K22" i="2"/>
  <c r="S21" i="2"/>
  <c r="K21" i="2"/>
  <c r="S20" i="2"/>
  <c r="K20" i="2"/>
  <c r="S19" i="2"/>
  <c r="K19" i="2"/>
  <c r="K18" i="2"/>
  <c r="W12" i="2"/>
  <c r="W13" i="2" s="1"/>
  <c r="W14" i="2" s="1"/>
  <c r="W15" i="2" s="1"/>
  <c r="W16" i="2" s="1"/>
  <c r="W17" i="2" s="1"/>
  <c r="W18" i="2" s="1"/>
  <c r="W19" i="2" s="1"/>
  <c r="W20" i="2" s="1"/>
  <c r="W21" i="2" s="1"/>
  <c r="W22" i="2" s="1"/>
  <c r="W23" i="2" s="1"/>
  <c r="W24" i="2" s="1"/>
  <c r="W25" i="2" s="1"/>
  <c r="W26" i="2" s="1"/>
  <c r="W27" i="2" s="1"/>
  <c r="W28" i="2" s="1"/>
  <c r="W29" i="2" s="1"/>
  <c r="W30" i="2" s="1"/>
  <c r="W31" i="2" s="1"/>
  <c r="W32" i="2" s="1"/>
  <c r="W33" i="2" s="1"/>
  <c r="W34" i="2" s="1"/>
  <c r="W35" i="2" s="1"/>
  <c r="W36" i="2" s="1"/>
  <c r="W37" i="2" s="1"/>
  <c r="W38" i="2" s="1"/>
  <c r="W39" i="2" s="1"/>
  <c r="W40" i="2" s="1"/>
  <c r="W41" i="2" s="1"/>
  <c r="W42" i="2" s="1"/>
  <c r="W43" i="2" s="1"/>
  <c r="W44" i="2" s="1"/>
  <c r="W45" i="2" s="1"/>
  <c r="W46" i="2" s="1"/>
  <c r="W47" i="2" s="1"/>
  <c r="W48" i="2" s="1"/>
  <c r="W49" i="2" s="1"/>
  <c r="W50" i="2" s="1"/>
  <c r="W51" i="2" s="1"/>
  <c r="W52" i="2" s="1"/>
  <c r="W53" i="2" s="1"/>
  <c r="W54" i="2" s="1"/>
  <c r="W55" i="2" s="1"/>
  <c r="W56" i="2" s="1"/>
  <c r="W57" i="2" s="1"/>
  <c r="W58" i="2" s="1"/>
  <c r="W59" i="2" s="1"/>
  <c r="W60" i="2" s="1"/>
  <c r="W61" i="2" s="1"/>
  <c r="W62" i="2" s="1"/>
  <c r="W63" i="2" s="1"/>
  <c r="W64" i="2" s="1"/>
  <c r="W65" i="2" s="1"/>
  <c r="W66" i="2" s="1"/>
  <c r="W67" i="2" s="1"/>
  <c r="W68" i="2" s="1"/>
  <c r="W69" i="2" s="1"/>
  <c r="W70" i="2" s="1"/>
  <c r="W71" i="2" s="1"/>
  <c r="W72" i="2" s="1"/>
  <c r="W73" i="2" s="1"/>
  <c r="W74" i="2" s="1"/>
  <c r="W75" i="2" s="1"/>
  <c r="W76" i="2" s="1"/>
  <c r="U139" i="3" l="1"/>
  <c r="U140" i="3" s="1"/>
  <c r="U141" i="3" s="1"/>
  <c r="U142" i="3" s="1"/>
  <c r="U143" i="3" s="1"/>
  <c r="U144" i="3" s="1"/>
  <c r="U145" i="3" s="1"/>
  <c r="U146" i="3" s="1"/>
  <c r="U147" i="3" s="1"/>
  <c r="U148" i="3" s="1"/>
  <c r="U149" i="3" s="1"/>
  <c r="Q33" i="2"/>
  <c r="Q36" i="2"/>
  <c r="Q49" i="2"/>
  <c r="C149" i="2"/>
  <c r="C150" i="2" s="1"/>
  <c r="C151" i="2" s="1"/>
  <c r="C152" i="2" s="1"/>
  <c r="C153" i="2" s="1"/>
  <c r="Q41" i="2"/>
  <c r="Q39" i="2"/>
  <c r="Q21" i="2"/>
  <c r="Q25" i="2"/>
  <c r="Q31" i="2"/>
  <c r="Q42" i="2"/>
  <c r="Q38" i="2"/>
  <c r="Q44" i="2"/>
  <c r="Q32" i="2"/>
  <c r="Q48" i="2"/>
  <c r="U50" i="2"/>
  <c r="Q50" i="2"/>
  <c r="Q26" i="2"/>
  <c r="Q43" i="2"/>
  <c r="Q40" i="2"/>
  <c r="Q23" i="2"/>
  <c r="Q34" i="2"/>
  <c r="Q45" i="2"/>
  <c r="AF16" i="2"/>
  <c r="AF19" i="2" s="1"/>
  <c r="Q52" i="2"/>
  <c r="M53" i="2"/>
  <c r="Q53" i="2"/>
  <c r="Q20" i="2"/>
  <c r="Q28" i="2"/>
  <c r="Q35" i="2"/>
  <c r="Q46" i="2"/>
  <c r="Q51" i="2"/>
  <c r="Q29" i="2"/>
  <c r="Q30" i="2"/>
  <c r="Q22" i="2"/>
  <c r="Q19" i="2"/>
  <c r="Q27" i="2"/>
  <c r="Q24" i="2"/>
  <c r="Q37" i="2"/>
  <c r="Q47" i="2"/>
  <c r="AJ49" i="2"/>
  <c r="AD50" i="2"/>
  <c r="W77" i="2"/>
  <c r="W78" i="2" s="1"/>
  <c r="W79" i="2" s="1"/>
  <c r="W80" i="2" s="1"/>
  <c r="W81" i="2" s="1"/>
  <c r="W82" i="2" s="1"/>
  <c r="W83" i="2" s="1"/>
  <c r="W84" i="2" s="1"/>
  <c r="W85" i="2" s="1"/>
  <c r="W86" i="2" s="1"/>
  <c r="W87" i="2" s="1"/>
  <c r="W88" i="2" s="1"/>
  <c r="W89" i="2" s="1"/>
  <c r="W90" i="2" s="1"/>
  <c r="W91" i="2" s="1"/>
  <c r="W92" i="2" s="1"/>
  <c r="W93" i="2" s="1"/>
  <c r="W94" i="2" s="1"/>
  <c r="W95" i="2" s="1"/>
  <c r="W96" i="2" s="1"/>
  <c r="W97" i="2" s="1"/>
  <c r="W98" i="2" s="1"/>
  <c r="W99" i="2" s="1"/>
  <c r="W100" i="2" s="1"/>
  <c r="W101" i="2" s="1"/>
  <c r="W102" i="2" s="1"/>
  <c r="W103" i="2" s="1"/>
  <c r="W104" i="2" s="1"/>
  <c r="W105" i="2" s="1"/>
  <c r="W106" i="2" s="1"/>
  <c r="W107" i="2" s="1"/>
  <c r="W108" i="2" s="1"/>
  <c r="W109" i="2" s="1"/>
  <c r="W110" i="2" s="1"/>
  <c r="W111" i="2" s="1"/>
  <c r="W112" i="2" s="1"/>
  <c r="BW13" i="1"/>
  <c r="AX12" i="1"/>
  <c r="AD31" i="2"/>
  <c r="AH30" i="2" s="1"/>
  <c r="AJ30" i="2" s="1"/>
  <c r="M32" i="2"/>
  <c r="M44" i="2"/>
  <c r="M35" i="2"/>
  <c r="M43" i="2"/>
  <c r="U20" i="2"/>
  <c r="U32" i="2"/>
  <c r="U48" i="2"/>
  <c r="M21" i="2"/>
  <c r="M41" i="2"/>
  <c r="M45" i="2"/>
  <c r="M49" i="2"/>
  <c r="U24" i="2"/>
  <c r="U36" i="2"/>
  <c r="M33" i="2"/>
  <c r="M29" i="2"/>
  <c r="U28" i="2"/>
  <c r="U44" i="2"/>
  <c r="M25" i="2"/>
  <c r="U25" i="2"/>
  <c r="U33" i="2"/>
  <c r="U37" i="2"/>
  <c r="U41" i="2"/>
  <c r="U45" i="2"/>
  <c r="U49" i="2"/>
  <c r="M38" i="2"/>
  <c r="M30" i="2"/>
  <c r="M51" i="2"/>
  <c r="M26" i="2"/>
  <c r="U19" i="2"/>
  <c r="U23" i="2"/>
  <c r="U27" i="2"/>
  <c r="M40" i="2"/>
  <c r="M48" i="2"/>
  <c r="U21" i="2"/>
  <c r="U29" i="2"/>
  <c r="M22" i="2"/>
  <c r="U26" i="2"/>
  <c r="M19" i="2"/>
  <c r="M23" i="2"/>
  <c r="M27" i="2"/>
  <c r="U30" i="2"/>
  <c r="U34" i="2"/>
  <c r="U42" i="2"/>
  <c r="U22" i="2"/>
  <c r="M36" i="2"/>
  <c r="M52" i="2"/>
  <c r="M20" i="2"/>
  <c r="M24" i="2"/>
  <c r="M28" i="2"/>
  <c r="U31" i="2"/>
  <c r="U35" i="2"/>
  <c r="U39" i="2"/>
  <c r="U43" i="2"/>
  <c r="U47" i="2"/>
  <c r="U51" i="2"/>
  <c r="M37" i="2"/>
  <c r="M47" i="2"/>
  <c r="M46" i="2"/>
  <c r="M39" i="2"/>
  <c r="U38" i="2"/>
  <c r="U46" i="2"/>
  <c r="M34" i="2"/>
  <c r="M42" i="2"/>
  <c r="M50" i="2"/>
  <c r="U40" i="2"/>
  <c r="M31" i="2"/>
  <c r="U52" i="2"/>
  <c r="BE51" i="1"/>
  <c r="BA51" i="1"/>
  <c r="AL51" i="1"/>
  <c r="AR51" i="1" s="1"/>
  <c r="U150" i="3" l="1"/>
  <c r="U151" i="3" s="1"/>
  <c r="U152" i="3" s="1"/>
  <c r="U153" i="3" s="1"/>
  <c r="U154" i="3" s="1"/>
  <c r="U155" i="3" s="1"/>
  <c r="U156" i="3" s="1"/>
  <c r="C154" i="2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W113" i="2"/>
  <c r="W114" i="2" s="1"/>
  <c r="W115" i="2" s="1"/>
  <c r="W116" i="2" s="1"/>
  <c r="W117" i="2" s="1"/>
  <c r="W118" i="2" s="1"/>
  <c r="W119" i="2" s="1"/>
  <c r="W120" i="2" s="1"/>
  <c r="W121" i="2" s="1"/>
  <c r="BW14" i="1"/>
  <c r="AX13" i="1"/>
  <c r="AH29" i="2"/>
  <c r="AJ29" i="2" s="1"/>
  <c r="AH28" i="2"/>
  <c r="AJ28" i="2" s="1"/>
  <c r="AH27" i="2"/>
  <c r="BG51" i="1"/>
  <c r="BE50" i="1"/>
  <c r="BA50" i="1"/>
  <c r="AL50" i="1"/>
  <c r="AR50" i="1" s="1"/>
  <c r="U157" i="3" l="1"/>
  <c r="U158" i="3" s="1"/>
  <c r="U159" i="3" s="1"/>
  <c r="U160" i="3" s="1"/>
  <c r="U161" i="3" s="1"/>
  <c r="U162" i="3" s="1"/>
  <c r="C167" i="2"/>
  <c r="C168" i="2" s="1"/>
  <c r="C169" i="2" s="1"/>
  <c r="C170" i="2" s="1"/>
  <c r="C171" i="2" s="1"/>
  <c r="C172" i="2" s="1"/>
  <c r="C173" i="2" s="1"/>
  <c r="C174" i="2" s="1"/>
  <c r="W122" i="2"/>
  <c r="W123" i="2" s="1"/>
  <c r="W124" i="2" s="1"/>
  <c r="W125" i="2" s="1"/>
  <c r="W126" i="2" s="1"/>
  <c r="W127" i="2" s="1"/>
  <c r="BW15" i="1"/>
  <c r="AX14" i="1"/>
  <c r="AJ27" i="2"/>
  <c r="AH31" i="2"/>
  <c r="BG50" i="1"/>
  <c r="U163" i="3" l="1"/>
  <c r="U164" i="3" s="1"/>
  <c r="U165" i="3" s="1"/>
  <c r="U166" i="3" s="1"/>
  <c r="U167" i="3" s="1"/>
  <c r="U168" i="3" s="1"/>
  <c r="U169" i="3" s="1"/>
  <c r="U170" i="3" s="1"/>
  <c r="U171" i="3" s="1"/>
  <c r="U172" i="3" s="1"/>
  <c r="U173" i="3" s="1"/>
  <c r="U174" i="3" s="1"/>
  <c r="U175" i="3" s="1"/>
  <c r="U176" i="3" s="1"/>
  <c r="U177" i="3" s="1"/>
  <c r="U178" i="3" s="1"/>
  <c r="C175" i="2"/>
  <c r="C176" i="2" s="1"/>
  <c r="C177" i="2" s="1"/>
  <c r="C178" i="2" s="1"/>
  <c r="C179" i="2" s="1"/>
  <c r="C180" i="2" s="1"/>
  <c r="C181" i="2" s="1"/>
  <c r="C182" i="2" s="1"/>
  <c r="W128" i="2"/>
  <c r="W129" i="2" s="1"/>
  <c r="W130" i="2" s="1"/>
  <c r="W131" i="2" s="1"/>
  <c r="W132" i="2" s="1"/>
  <c r="W133" i="2" s="1"/>
  <c r="W134" i="2" s="1"/>
  <c r="BW16" i="1"/>
  <c r="AX15" i="1"/>
  <c r="AJ31" i="2"/>
  <c r="AH16" i="2" s="1"/>
  <c r="BE49" i="1"/>
  <c r="BA49" i="1"/>
  <c r="AL49" i="1"/>
  <c r="AR49" i="1" s="1"/>
  <c r="U179" i="3" l="1"/>
  <c r="C183" i="2"/>
  <c r="C184" i="2" s="1"/>
  <c r="C185" i="2" s="1"/>
  <c r="C186" i="2" s="1"/>
  <c r="C187" i="2" s="1"/>
  <c r="C188" i="2" s="1"/>
  <c r="C189" i="2" s="1"/>
  <c r="C190" i="2" s="1"/>
  <c r="C191" i="2" s="1"/>
  <c r="C192" i="2" s="1"/>
  <c r="W135" i="2"/>
  <c r="W136" i="2" s="1"/>
  <c r="W137" i="2" s="1"/>
  <c r="W138" i="2" s="1"/>
  <c r="BW17" i="1"/>
  <c r="AX16" i="1"/>
  <c r="BG49" i="1"/>
  <c r="U180" i="3" l="1"/>
  <c r="U181" i="3" s="1"/>
  <c r="U182" i="3" s="1"/>
  <c r="U183" i="3" s="1"/>
  <c r="U184" i="3" s="1"/>
  <c r="U185" i="3" s="1"/>
  <c r="U186" i="3" s="1"/>
  <c r="C193" i="2"/>
  <c r="C194" i="2" s="1"/>
  <c r="C195" i="2" s="1"/>
  <c r="W139" i="2"/>
  <c r="W140" i="2" s="1"/>
  <c r="W141" i="2" s="1"/>
  <c r="W142" i="2" s="1"/>
  <c r="W143" i="2" s="1"/>
  <c r="W144" i="2" s="1"/>
  <c r="W145" i="2" s="1"/>
  <c r="W146" i="2" s="1"/>
  <c r="BW18" i="1"/>
  <c r="AX17" i="1"/>
  <c r="BE48" i="1"/>
  <c r="BA48" i="1"/>
  <c r="BK54" i="1" s="1"/>
  <c r="AL48" i="1"/>
  <c r="AR48" i="1" s="1"/>
  <c r="B828" i="1"/>
  <c r="B831" i="1"/>
  <c r="U187" i="3" l="1"/>
  <c r="U188" i="3" s="1"/>
  <c r="U189" i="3" s="1"/>
  <c r="U190" i="3" s="1"/>
  <c r="U191" i="3" s="1"/>
  <c r="U192" i="3" s="1"/>
  <c r="U193" i="3" s="1"/>
  <c r="U194" i="3" s="1"/>
  <c r="U195" i="3" s="1"/>
  <c r="C196" i="2"/>
  <c r="C197" i="2" s="1"/>
  <c r="C198" i="2" s="1"/>
  <c r="C199" i="2" s="1"/>
  <c r="C200" i="2" s="1"/>
  <c r="C201" i="2" s="1"/>
  <c r="W147" i="2"/>
  <c r="W148" i="2" s="1"/>
  <c r="BM54" i="1"/>
  <c r="BW19" i="1"/>
  <c r="AX18" i="1"/>
  <c r="BG48" i="1"/>
  <c r="BE47" i="1"/>
  <c r="BA47" i="1"/>
  <c r="AL47" i="1"/>
  <c r="AR47" i="1" s="1"/>
  <c r="U196" i="3" l="1"/>
  <c r="U197" i="3" s="1"/>
  <c r="U198" i="3" s="1"/>
  <c r="U199" i="3" s="1"/>
  <c r="U200" i="3" s="1"/>
  <c r="C202" i="2"/>
  <c r="C203" i="2" s="1"/>
  <c r="C204" i="2" s="1"/>
  <c r="C205" i="2" s="1"/>
  <c r="C206" i="2" s="1"/>
  <c r="W149" i="2"/>
  <c r="BW20" i="1"/>
  <c r="AX19" i="1"/>
  <c r="BG47" i="1"/>
  <c r="BE46" i="1"/>
  <c r="BA46" i="1"/>
  <c r="AL46" i="1"/>
  <c r="AR46" i="1" s="1"/>
  <c r="U201" i="3" l="1"/>
  <c r="U202" i="3" s="1"/>
  <c r="U203" i="3" s="1"/>
  <c r="U204" i="3" s="1"/>
  <c r="U205" i="3" s="1"/>
  <c r="C207" i="2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W150" i="2"/>
  <c r="W151" i="2" s="1"/>
  <c r="BW21" i="1"/>
  <c r="AX20" i="1"/>
  <c r="BG46" i="1"/>
  <c r="BE45" i="1"/>
  <c r="BA45" i="1"/>
  <c r="AL45" i="1"/>
  <c r="AR45" i="1" s="1"/>
  <c r="U206" i="3" l="1"/>
  <c r="U207" i="3" s="1"/>
  <c r="U208" i="3" s="1"/>
  <c r="U209" i="3" s="1"/>
  <c r="U210" i="3" s="1"/>
  <c r="U211" i="3" s="1"/>
  <c r="U212" i="3" s="1"/>
  <c r="C223" i="2"/>
  <c r="C224" i="2" s="1"/>
  <c r="C225" i="2" s="1"/>
  <c r="C226" i="2" s="1"/>
  <c r="C227" i="2" s="1"/>
  <c r="W152" i="2"/>
  <c r="W153" i="2" s="1"/>
  <c r="BW22" i="1"/>
  <c r="AX21" i="1"/>
  <c r="BG45" i="1"/>
  <c r="U213" i="3" l="1"/>
  <c r="U214" i="3" s="1"/>
  <c r="U215" i="3" s="1"/>
  <c r="U216" i="3" s="1"/>
  <c r="U217" i="3" s="1"/>
  <c r="U218" i="3" s="1"/>
  <c r="U219" i="3" s="1"/>
  <c r="U220" i="3" s="1"/>
  <c r="U221" i="3" s="1"/>
  <c r="C228" i="2"/>
  <c r="C229" i="2" s="1"/>
  <c r="C230" i="2" s="1"/>
  <c r="C231" i="2" s="1"/>
  <c r="C232" i="2" s="1"/>
  <c r="C233" i="2" s="1"/>
  <c r="C234" i="2" s="1"/>
  <c r="W154" i="2"/>
  <c r="W155" i="2" s="1"/>
  <c r="BW23" i="1"/>
  <c r="AX22" i="1"/>
  <c r="BE44" i="1"/>
  <c r="BA44" i="1"/>
  <c r="AL44" i="1"/>
  <c r="AR44" i="1" s="1"/>
  <c r="U222" i="3" l="1"/>
  <c r="U223" i="3" s="1"/>
  <c r="U224" i="3" s="1"/>
  <c r="U225" i="3" s="1"/>
  <c r="U226" i="3" s="1"/>
  <c r="U227" i="3" s="1"/>
  <c r="U228" i="3" s="1"/>
  <c r="U229" i="3" s="1"/>
  <c r="U230" i="3" s="1"/>
  <c r="C235" i="2"/>
  <c r="C236" i="2" s="1"/>
  <c r="C237" i="2" s="1"/>
  <c r="C238" i="2" s="1"/>
  <c r="C239" i="2" s="1"/>
  <c r="C240" i="2" s="1"/>
  <c r="C241" i="2" s="1"/>
  <c r="C242" i="2" s="1"/>
  <c r="C243" i="2" s="1"/>
  <c r="W156" i="2"/>
  <c r="W157" i="2" s="1"/>
  <c r="W158" i="2" s="1"/>
  <c r="W159" i="2" s="1"/>
  <c r="W160" i="2" s="1"/>
  <c r="W161" i="2" s="1"/>
  <c r="BW24" i="1"/>
  <c r="AX23" i="1"/>
  <c r="BG44" i="1"/>
  <c r="BA43" i="1"/>
  <c r="AL43" i="1"/>
  <c r="AR43" i="1" s="1"/>
  <c r="U231" i="3" l="1"/>
  <c r="U232" i="3" s="1"/>
  <c r="U233" i="3" s="1"/>
  <c r="U234" i="3" s="1"/>
  <c r="U235" i="3" s="1"/>
  <c r="U236" i="3" s="1"/>
  <c r="U237" i="3" s="1"/>
  <c r="U238" i="3" s="1"/>
  <c r="C244" i="2"/>
  <c r="C245" i="2" s="1"/>
  <c r="C246" i="2" s="1"/>
  <c r="C247" i="2" s="1"/>
  <c r="C248" i="2" s="1"/>
  <c r="C249" i="2" s="1"/>
  <c r="C250" i="2" s="1"/>
  <c r="C251" i="2" s="1"/>
  <c r="C252" i="2" s="1"/>
  <c r="W162" i="2"/>
  <c r="W163" i="2" s="1"/>
  <c r="W164" i="2" s="1"/>
  <c r="BW25" i="1"/>
  <c r="AX24" i="1"/>
  <c r="BE43" i="1"/>
  <c r="BG43" i="1" s="1"/>
  <c r="U239" i="3" l="1"/>
  <c r="U240" i="3" s="1"/>
  <c r="U241" i="3" s="1"/>
  <c r="U242" i="3" s="1"/>
  <c r="U243" i="3" s="1"/>
  <c r="U244" i="3" s="1"/>
  <c r="C253" i="2"/>
  <c r="C254" i="2" s="1"/>
  <c r="C255" i="2" s="1"/>
  <c r="C256" i="2" s="1"/>
  <c r="C257" i="2" s="1"/>
  <c r="C258" i="2" s="1"/>
  <c r="C259" i="2" s="1"/>
  <c r="W165" i="2"/>
  <c r="W166" i="2" s="1"/>
  <c r="BW26" i="1"/>
  <c r="AX25" i="1"/>
  <c r="BE42" i="1"/>
  <c r="BA42" i="1"/>
  <c r="AL42" i="1"/>
  <c r="AR42" i="1" s="1"/>
  <c r="U245" i="3" l="1"/>
  <c r="U246" i="3" s="1"/>
  <c r="U247" i="3" s="1"/>
  <c r="U248" i="3" s="1"/>
  <c r="U249" i="3" s="1"/>
  <c r="U250" i="3" s="1"/>
  <c r="U251" i="3" s="1"/>
  <c r="U252" i="3" s="1"/>
  <c r="U253" i="3" s="1"/>
  <c r="U254" i="3" s="1"/>
  <c r="U255" i="3" s="1"/>
  <c r="U256" i="3" s="1"/>
  <c r="U257" i="3" s="1"/>
  <c r="U258" i="3" s="1"/>
  <c r="U259" i="3" s="1"/>
  <c r="U260" i="3" s="1"/>
  <c r="U261" i="3" s="1"/>
  <c r="U262" i="3" s="1"/>
  <c r="C260" i="2"/>
  <c r="C261" i="2" s="1"/>
  <c r="C262" i="2" s="1"/>
  <c r="C263" i="2" s="1"/>
  <c r="C264" i="2" s="1"/>
  <c r="C265" i="2" s="1"/>
  <c r="C266" i="2" s="1"/>
  <c r="C267" i="2" s="1"/>
  <c r="W167" i="2"/>
  <c r="W168" i="2" s="1"/>
  <c r="W169" i="2" s="1"/>
  <c r="W170" i="2" s="1"/>
  <c r="W171" i="2" s="1"/>
  <c r="W172" i="2" s="1"/>
  <c r="W173" i="2" s="1"/>
  <c r="W174" i="2" s="1"/>
  <c r="W175" i="2" s="1"/>
  <c r="W176" i="2" s="1"/>
  <c r="W177" i="2" s="1"/>
  <c r="W178" i="2" s="1"/>
  <c r="W179" i="2" s="1"/>
  <c r="W180" i="2" s="1"/>
  <c r="W181" i="2" s="1"/>
  <c r="W182" i="2" s="1"/>
  <c r="BW27" i="1"/>
  <c r="AX26" i="1"/>
  <c r="BG42" i="1"/>
  <c r="U263" i="3" l="1"/>
  <c r="U264" i="3" s="1"/>
  <c r="U265" i="3" s="1"/>
  <c r="U266" i="3" s="1"/>
  <c r="U267" i="3" s="1"/>
  <c r="U268" i="3" s="1"/>
  <c r="C268" i="2"/>
  <c r="C269" i="2" s="1"/>
  <c r="C270" i="2" s="1"/>
  <c r="C271" i="2" s="1"/>
  <c r="C272" i="2" s="1"/>
  <c r="C273" i="2" s="1"/>
  <c r="C274" i="2" s="1"/>
  <c r="C275" i="2" s="1"/>
  <c r="W183" i="2"/>
  <c r="BW28" i="1"/>
  <c r="AX27" i="1"/>
  <c r="BE41" i="1"/>
  <c r="BA41" i="1"/>
  <c r="BK47" i="1" s="1"/>
  <c r="BM47" i="1" s="1"/>
  <c r="AL41" i="1"/>
  <c r="AR41" i="1" s="1"/>
  <c r="U269" i="3" l="1"/>
  <c r="U270" i="3" s="1"/>
  <c r="U271" i="3" s="1"/>
  <c r="U272" i="3" s="1"/>
  <c r="U273" i="3" s="1"/>
  <c r="U274" i="3" s="1"/>
  <c r="U275" i="3" s="1"/>
  <c r="C276" i="2"/>
  <c r="C277" i="2" s="1"/>
  <c r="C278" i="2" s="1"/>
  <c r="C279" i="2" s="1"/>
  <c r="C280" i="2" s="1"/>
  <c r="C281" i="2" s="1"/>
  <c r="C282" i="2" s="1"/>
  <c r="C283" i="2" s="1"/>
  <c r="W184" i="2"/>
  <c r="W185" i="2" s="1"/>
  <c r="W186" i="2" s="1"/>
  <c r="W187" i="2" s="1"/>
  <c r="W188" i="2" s="1"/>
  <c r="W189" i="2" s="1"/>
  <c r="W190" i="2" s="1"/>
  <c r="W191" i="2" s="1"/>
  <c r="W192" i="2" s="1"/>
  <c r="BW29" i="1"/>
  <c r="AX28" i="1"/>
  <c r="BG41" i="1"/>
  <c r="U276" i="3" l="1"/>
  <c r="U277" i="3" s="1"/>
  <c r="U278" i="3" s="1"/>
  <c r="U279" i="3" s="1"/>
  <c r="U280" i="3" s="1"/>
  <c r="U281" i="3" s="1"/>
  <c r="C284" i="2"/>
  <c r="C285" i="2" s="1"/>
  <c r="C286" i="2" s="1"/>
  <c r="C287" i="2" s="1"/>
  <c r="W193" i="2"/>
  <c r="BW30" i="1"/>
  <c r="AX29" i="1"/>
  <c r="BE40" i="1"/>
  <c r="BA40" i="1"/>
  <c r="AL40" i="1"/>
  <c r="AR40" i="1" s="1"/>
  <c r="BE39" i="1"/>
  <c r="BA39" i="1"/>
  <c r="AL39" i="1"/>
  <c r="AR39" i="1" s="1"/>
  <c r="U282" i="3" l="1"/>
  <c r="U283" i="3" s="1"/>
  <c r="U284" i="3" s="1"/>
  <c r="U285" i="3" s="1"/>
  <c r="U286" i="3" s="1"/>
  <c r="U287" i="3" s="1"/>
  <c r="C288" i="2"/>
  <c r="C289" i="2" s="1"/>
  <c r="C290" i="2" s="1"/>
  <c r="C291" i="2" s="1"/>
  <c r="C292" i="2" s="1"/>
  <c r="C293" i="2" s="1"/>
  <c r="C294" i="2" s="1"/>
  <c r="C295" i="2" s="1"/>
  <c r="C296" i="2" s="1"/>
  <c r="C297" i="2" s="1"/>
  <c r="W194" i="2"/>
  <c r="W195" i="2" s="1"/>
  <c r="BW31" i="1"/>
  <c r="AX30" i="1"/>
  <c r="BG40" i="1"/>
  <c r="U288" i="3" l="1"/>
  <c r="U289" i="3" s="1"/>
  <c r="U290" i="3" s="1"/>
  <c r="U291" i="3" s="1"/>
  <c r="U292" i="3" s="1"/>
  <c r="U293" i="3" s="1"/>
  <c r="U294" i="3" s="1"/>
  <c r="U295" i="3" s="1"/>
  <c r="U296" i="3" s="1"/>
  <c r="U297" i="3" s="1"/>
  <c r="U298" i="3" s="1"/>
  <c r="U299" i="3" s="1"/>
  <c r="U300" i="3" s="1"/>
  <c r="C298" i="2"/>
  <c r="C299" i="2" s="1"/>
  <c r="C300" i="2" s="1"/>
  <c r="C301" i="2" s="1"/>
  <c r="C302" i="2" s="1"/>
  <c r="C303" i="2" s="1"/>
  <c r="W196" i="2"/>
  <c r="BW32" i="1"/>
  <c r="AX31" i="1"/>
  <c r="BE38" i="1"/>
  <c r="BA38" i="1"/>
  <c r="AL38" i="1"/>
  <c r="AR38" i="1" s="1"/>
  <c r="U301" i="3" l="1"/>
  <c r="U302" i="3" s="1"/>
  <c r="U303" i="3" s="1"/>
  <c r="U304" i="3" s="1"/>
  <c r="U305" i="3" s="1"/>
  <c r="U306" i="3" s="1"/>
  <c r="U307" i="3" s="1"/>
  <c r="C304" i="2"/>
  <c r="C305" i="2" s="1"/>
  <c r="C306" i="2" s="1"/>
  <c r="C307" i="2" s="1"/>
  <c r="C308" i="2" s="1"/>
  <c r="C309" i="2" s="1"/>
  <c r="C310" i="2" s="1"/>
  <c r="C311" i="2" s="1"/>
  <c r="W197" i="2"/>
  <c r="W198" i="2" s="1"/>
  <c r="W199" i="2" s="1"/>
  <c r="W200" i="2" s="1"/>
  <c r="W201" i="2" s="1"/>
  <c r="W202" i="2" s="1"/>
  <c r="W203" i="2" s="1"/>
  <c r="W204" i="2" s="1"/>
  <c r="W205" i="2" s="1"/>
  <c r="W206" i="2" s="1"/>
  <c r="BW33" i="1"/>
  <c r="AX32" i="1"/>
  <c r="BE37" i="1"/>
  <c r="BA37" i="1"/>
  <c r="AL37" i="1"/>
  <c r="AR37" i="1" s="1"/>
  <c r="BE36" i="1"/>
  <c r="BA36" i="1"/>
  <c r="AL36" i="1"/>
  <c r="AR36" i="1" s="1"/>
  <c r="U308" i="3" l="1"/>
  <c r="U309" i="3" s="1"/>
  <c r="U310" i="3" s="1"/>
  <c r="U311" i="3" s="1"/>
  <c r="U312" i="3" s="1"/>
  <c r="C312" i="2"/>
  <c r="C313" i="2" s="1"/>
  <c r="C314" i="2" s="1"/>
  <c r="C315" i="2" s="1"/>
  <c r="C316" i="2" s="1"/>
  <c r="C317" i="2" s="1"/>
  <c r="C318" i="2" s="1"/>
  <c r="C319" i="2" s="1"/>
  <c r="W207" i="2"/>
  <c r="W208" i="2" s="1"/>
  <c r="W209" i="2" s="1"/>
  <c r="W210" i="2" s="1"/>
  <c r="W211" i="2" s="1"/>
  <c r="W212" i="2" s="1"/>
  <c r="W213" i="2" s="1"/>
  <c r="W214" i="2" s="1"/>
  <c r="W215" i="2" s="1"/>
  <c r="BW34" i="1"/>
  <c r="AX33" i="1"/>
  <c r="BE35" i="1"/>
  <c r="BA35" i="1"/>
  <c r="AL35" i="1"/>
  <c r="AR35" i="1" s="1"/>
  <c r="U313" i="3" l="1"/>
  <c r="U314" i="3" s="1"/>
  <c r="U315" i="3" s="1"/>
  <c r="U316" i="3" s="1"/>
  <c r="U317" i="3" s="1"/>
  <c r="U318" i="3" s="1"/>
  <c r="U319" i="3" s="1"/>
  <c r="U320" i="3" s="1"/>
  <c r="U321" i="3" s="1"/>
  <c r="C320" i="2"/>
  <c r="C321" i="2" s="1"/>
  <c r="C322" i="2" s="1"/>
  <c r="C323" i="2" s="1"/>
  <c r="C324" i="2" s="1"/>
  <c r="C325" i="2" s="1"/>
  <c r="C326" i="2" s="1"/>
  <c r="C327" i="2" s="1"/>
  <c r="C328" i="2" s="1"/>
  <c r="W216" i="2"/>
  <c r="W217" i="2" s="1"/>
  <c r="W218" i="2" s="1"/>
  <c r="W219" i="2" s="1"/>
  <c r="W220" i="2" s="1"/>
  <c r="W221" i="2" s="1"/>
  <c r="W222" i="2" s="1"/>
  <c r="BW35" i="1"/>
  <c r="AX34" i="1"/>
  <c r="BE34" i="1"/>
  <c r="BA34" i="1"/>
  <c r="BK40" i="1" s="1"/>
  <c r="BM40" i="1" s="1"/>
  <c r="AL34" i="1"/>
  <c r="AR34" i="1" s="1"/>
  <c r="U322" i="3" l="1"/>
  <c r="U323" i="3" s="1"/>
  <c r="U324" i="3" s="1"/>
  <c r="U325" i="3" s="1"/>
  <c r="U326" i="3" s="1"/>
  <c r="U327" i="3" s="1"/>
  <c r="C329" i="2"/>
  <c r="C330" i="2" s="1"/>
  <c r="C331" i="2" s="1"/>
  <c r="C332" i="2" s="1"/>
  <c r="C333" i="2" s="1"/>
  <c r="C334" i="2" s="1"/>
  <c r="C335" i="2" s="1"/>
  <c r="W223" i="2"/>
  <c r="BW36" i="1"/>
  <c r="AX35" i="1"/>
  <c r="BE33" i="1"/>
  <c r="BA33" i="1"/>
  <c r="AL33" i="1"/>
  <c r="AR33" i="1" s="1"/>
  <c r="BE32" i="1"/>
  <c r="BA32" i="1"/>
  <c r="AL32" i="1"/>
  <c r="AR32" i="1" s="1"/>
  <c r="U328" i="3" l="1"/>
  <c r="U329" i="3" s="1"/>
  <c r="U330" i="3" s="1"/>
  <c r="U331" i="3" s="1"/>
  <c r="U332" i="3" s="1"/>
  <c r="U333" i="3" s="1"/>
  <c r="U334" i="3" s="1"/>
  <c r="U335" i="3" s="1"/>
  <c r="C336" i="2"/>
  <c r="C337" i="2" s="1"/>
  <c r="C338" i="2" s="1"/>
  <c r="C339" i="2" s="1"/>
  <c r="C340" i="2" s="1"/>
  <c r="C341" i="2" s="1"/>
  <c r="C342" i="2" s="1"/>
  <c r="W224" i="2"/>
  <c r="BW37" i="1"/>
  <c r="AX36" i="1"/>
  <c r="BE31" i="1"/>
  <c r="BA31" i="1"/>
  <c r="AL31" i="1"/>
  <c r="AR31" i="1" s="1"/>
  <c r="U336" i="3" l="1"/>
  <c r="U337" i="3" s="1"/>
  <c r="U338" i="3" s="1"/>
  <c r="U339" i="3" s="1"/>
  <c r="C343" i="2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W225" i="2"/>
  <c r="W226" i="2" s="1"/>
  <c r="W227" i="2" s="1"/>
  <c r="BW38" i="1"/>
  <c r="AX37" i="1"/>
  <c r="W29" i="1"/>
  <c r="AG33" i="1" s="1"/>
  <c r="U340" i="3" l="1"/>
  <c r="U341" i="3" s="1"/>
  <c r="U342" i="3" s="1"/>
  <c r="U343" i="3" s="1"/>
  <c r="U344" i="3" s="1"/>
  <c r="U345" i="3" s="1"/>
  <c r="C356" i="2"/>
  <c r="C357" i="2" s="1"/>
  <c r="W228" i="2"/>
  <c r="W229" i="2" s="1"/>
  <c r="AI40" i="1"/>
  <c r="BW39" i="1"/>
  <c r="AX38" i="1"/>
  <c r="BE30" i="1"/>
  <c r="BA30" i="1"/>
  <c r="AL30" i="1"/>
  <c r="AR30" i="1" s="1"/>
  <c r="BA29" i="1"/>
  <c r="BE29" i="1"/>
  <c r="AL29" i="1"/>
  <c r="AR29" i="1" s="1"/>
  <c r="U346" i="3" l="1"/>
  <c r="U347" i="3" s="1"/>
  <c r="U348" i="3" s="1"/>
  <c r="U349" i="3" s="1"/>
  <c r="U350" i="3" s="1"/>
  <c r="U351" i="3" s="1"/>
  <c r="U352" i="3" s="1"/>
  <c r="U353" i="3" s="1"/>
  <c r="C358" i="2"/>
  <c r="C359" i="2" s="1"/>
  <c r="C360" i="2" s="1"/>
  <c r="C361" i="2" s="1"/>
  <c r="C362" i="2" s="1"/>
  <c r="C363" i="2" s="1"/>
  <c r="W230" i="2"/>
  <c r="W231" i="2" s="1"/>
  <c r="W232" i="2" s="1"/>
  <c r="W233" i="2" s="1"/>
  <c r="W234" i="2" s="1"/>
  <c r="BW40" i="1"/>
  <c r="BN40" i="1" s="1"/>
  <c r="AX39" i="1"/>
  <c r="BE28" i="1"/>
  <c r="BA28" i="1"/>
  <c r="AL28" i="1"/>
  <c r="AR28" i="1" s="1"/>
  <c r="U354" i="3" l="1"/>
  <c r="U355" i="3" s="1"/>
  <c r="U356" i="3" s="1"/>
  <c r="U357" i="3" s="1"/>
  <c r="U358" i="3" s="1"/>
  <c r="U359" i="3" s="1"/>
  <c r="C364" i="2"/>
  <c r="C365" i="2" s="1"/>
  <c r="C366" i="2" s="1"/>
  <c r="C367" i="2" s="1"/>
  <c r="C368" i="2" s="1"/>
  <c r="C369" i="2" s="1"/>
  <c r="C370" i="2" s="1"/>
  <c r="W235" i="2"/>
  <c r="W236" i="2" s="1"/>
  <c r="BW41" i="1"/>
  <c r="BN41" i="1" s="1"/>
  <c r="AX40" i="1"/>
  <c r="BE27" i="1"/>
  <c r="AL27" i="1"/>
  <c r="AR27" i="1" s="1"/>
  <c r="BE26" i="1"/>
  <c r="AL26" i="1"/>
  <c r="AR26" i="1" s="1"/>
  <c r="U360" i="3" l="1"/>
  <c r="U361" i="3" s="1"/>
  <c r="C371" i="2"/>
  <c r="C372" i="2" s="1"/>
  <c r="C373" i="2" s="1"/>
  <c r="C374" i="2" s="1"/>
  <c r="C375" i="2" s="1"/>
  <c r="C376" i="2" s="1"/>
  <c r="C377" i="2" s="1"/>
  <c r="W237" i="2"/>
  <c r="W238" i="2" s="1"/>
  <c r="W239" i="2" s="1"/>
  <c r="W240" i="2" s="1"/>
  <c r="W241" i="2" s="1"/>
  <c r="W242" i="2" s="1"/>
  <c r="W243" i="2" s="1"/>
  <c r="BW42" i="1"/>
  <c r="BN42" i="1" s="1"/>
  <c r="AX41" i="1"/>
  <c r="W23" i="1"/>
  <c r="W22" i="1"/>
  <c r="W21" i="1"/>
  <c r="W20" i="1"/>
  <c r="W17" i="1"/>
  <c r="W13" i="1"/>
  <c r="W12" i="1"/>
  <c r="W10" i="1"/>
  <c r="AH51" i="1" l="1"/>
  <c r="U362" i="3"/>
  <c r="U363" i="3" s="1"/>
  <c r="U364" i="3" s="1"/>
  <c r="U365" i="3" s="1"/>
  <c r="C378" i="2"/>
  <c r="C379" i="2" s="1"/>
  <c r="C380" i="2" s="1"/>
  <c r="C381" i="2" s="1"/>
  <c r="C382" i="2" s="1"/>
  <c r="C383" i="2" s="1"/>
  <c r="C384" i="2" s="1"/>
  <c r="W244" i="2"/>
  <c r="AG26" i="1"/>
  <c r="AI33" i="1" s="1"/>
  <c r="AR782" i="1"/>
  <c r="BW43" i="1"/>
  <c r="BN43" i="1" s="1"/>
  <c r="AX42" i="1"/>
  <c r="BE24" i="1"/>
  <c r="BC24" i="1"/>
  <c r="U366" i="3" l="1"/>
  <c r="U367" i="3" s="1"/>
  <c r="U368" i="3" s="1"/>
  <c r="U369" i="3" s="1"/>
  <c r="C385" i="2"/>
  <c r="C386" i="2" s="1"/>
  <c r="C387" i="2" s="1"/>
  <c r="C388" i="2" s="1"/>
  <c r="C389" i="2" s="1"/>
  <c r="C390" i="2" s="1"/>
  <c r="C391" i="2" s="1"/>
  <c r="C392" i="2" s="1"/>
  <c r="C393" i="2" s="1"/>
  <c r="W245" i="2"/>
  <c r="W246" i="2" s="1"/>
  <c r="W247" i="2" s="1"/>
  <c r="W248" i="2" s="1"/>
  <c r="W249" i="2" s="1"/>
  <c r="W250" i="2" s="1"/>
  <c r="W251" i="2" s="1"/>
  <c r="W252" i="2" s="1"/>
  <c r="AR790" i="1"/>
  <c r="AR792" i="1" s="1"/>
  <c r="AV792" i="1" s="1"/>
  <c r="BW44" i="1"/>
  <c r="BN44" i="1" s="1"/>
  <c r="AX43" i="1"/>
  <c r="BP24" i="1"/>
  <c r="AL25" i="1"/>
  <c r="AR25" i="1" s="1"/>
  <c r="BE25" i="1"/>
  <c r="BC25" i="1"/>
  <c r="BC26" i="1" s="1"/>
  <c r="BA27" i="1" s="1"/>
  <c r="BK51" i="1" s="1"/>
  <c r="U370" i="3" l="1"/>
  <c r="U371" i="3" s="1"/>
  <c r="U372" i="3" s="1"/>
  <c r="U373" i="3" s="1"/>
  <c r="U374" i="3" s="1"/>
  <c r="C394" i="2"/>
  <c r="C395" i="2" s="1"/>
  <c r="C396" i="2" s="1"/>
  <c r="C397" i="2" s="1"/>
  <c r="C398" i="2" s="1"/>
  <c r="W253" i="2"/>
  <c r="BW45" i="1"/>
  <c r="BN45" i="1" s="1"/>
  <c r="AX44" i="1"/>
  <c r="BP25" i="1"/>
  <c r="BR24" i="1"/>
  <c r="AL24" i="1"/>
  <c r="AR24" i="1" s="1"/>
  <c r="D23" i="1"/>
  <c r="AL23" i="1"/>
  <c r="AR23" i="1" s="1"/>
  <c r="U375" i="3" l="1"/>
  <c r="U376" i="3" s="1"/>
  <c r="U377" i="3" s="1"/>
  <c r="U378" i="3" s="1"/>
  <c r="C399" i="2"/>
  <c r="C400" i="2" s="1"/>
  <c r="C401" i="2" s="1"/>
  <c r="C402" i="2" s="1"/>
  <c r="C403" i="2" s="1"/>
  <c r="C404" i="2" s="1"/>
  <c r="C405" i="2" s="1"/>
  <c r="W254" i="2"/>
  <c r="W255" i="2" s="1"/>
  <c r="W256" i="2" s="1"/>
  <c r="W257" i="2" s="1"/>
  <c r="W258" i="2" s="1"/>
  <c r="W259" i="2" s="1"/>
  <c r="Q26" i="1"/>
  <c r="S33" i="1" s="1"/>
  <c r="AH50" i="1"/>
  <c r="BW46" i="1"/>
  <c r="BN46" i="1" s="1"/>
  <c r="AX45" i="1"/>
  <c r="BR25" i="1"/>
  <c r="BP26" i="1"/>
  <c r="U379" i="3" l="1"/>
  <c r="U380" i="3" s="1"/>
  <c r="C406" i="2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W260" i="2"/>
  <c r="W261" i="2" s="1"/>
  <c r="W262" i="2" s="1"/>
  <c r="W263" i="2" s="1"/>
  <c r="W264" i="2" s="1"/>
  <c r="W265" i="2" s="1"/>
  <c r="W266" i="2" s="1"/>
  <c r="W267" i="2" s="1"/>
  <c r="W268" i="2" s="1"/>
  <c r="W269" i="2" s="1"/>
  <c r="W270" i="2" s="1"/>
  <c r="W271" i="2" s="1"/>
  <c r="W272" i="2" s="1"/>
  <c r="W273" i="2" s="1"/>
  <c r="W274" i="2" s="1"/>
  <c r="W275" i="2" s="1"/>
  <c r="W276" i="2" s="1"/>
  <c r="W277" i="2" s="1"/>
  <c r="W278" i="2" s="1"/>
  <c r="W279" i="2" s="1"/>
  <c r="W280" i="2" s="1"/>
  <c r="W281" i="2" s="1"/>
  <c r="W282" i="2" s="1"/>
  <c r="W283" i="2" s="1"/>
  <c r="AP782" i="1"/>
  <c r="AV782" i="1" s="1"/>
  <c r="BA788" i="1" s="1"/>
  <c r="BA789" i="1" s="1"/>
  <c r="AH49" i="1"/>
  <c r="BW47" i="1"/>
  <c r="BN47" i="1" s="1"/>
  <c r="AX46" i="1"/>
  <c r="BR26" i="1"/>
  <c r="BP27" i="1"/>
  <c r="AL22" i="1"/>
  <c r="AR22" i="1" s="1"/>
  <c r="U381" i="3" l="1"/>
  <c r="U382" i="3" s="1"/>
  <c r="U383" i="3" s="1"/>
  <c r="U384" i="3" s="1"/>
  <c r="C419" i="2"/>
  <c r="C420" i="2" s="1"/>
  <c r="C421" i="2" s="1"/>
  <c r="W284" i="2"/>
  <c r="W285" i="2" s="1"/>
  <c r="W286" i="2" s="1"/>
  <c r="W287" i="2" s="1"/>
  <c r="W288" i="2" s="1"/>
  <c r="W289" i="2" s="1"/>
  <c r="W290" i="2" s="1"/>
  <c r="W291" i="2" s="1"/>
  <c r="W292" i="2" s="1"/>
  <c r="W293" i="2" s="1"/>
  <c r="W294" i="2" s="1"/>
  <c r="W295" i="2" s="1"/>
  <c r="W296" i="2" s="1"/>
  <c r="W297" i="2" s="1"/>
  <c r="W298" i="2" s="1"/>
  <c r="W299" i="2" s="1"/>
  <c r="W300" i="2" s="1"/>
  <c r="W301" i="2" s="1"/>
  <c r="W302" i="2" s="1"/>
  <c r="W303" i="2" s="1"/>
  <c r="W304" i="2" s="1"/>
  <c r="W305" i="2" s="1"/>
  <c r="W306" i="2" s="1"/>
  <c r="W307" i="2" s="1"/>
  <c r="W308" i="2" s="1"/>
  <c r="W309" i="2" s="1"/>
  <c r="W310" i="2" s="1"/>
  <c r="W311" i="2" s="1"/>
  <c r="W312" i="2" s="1"/>
  <c r="W313" i="2" s="1"/>
  <c r="W314" i="2" s="1"/>
  <c r="W315" i="2" s="1"/>
  <c r="W316" i="2" s="1"/>
  <c r="W317" i="2" s="1"/>
  <c r="W318" i="2" s="1"/>
  <c r="W319" i="2" s="1"/>
  <c r="W320" i="2" s="1"/>
  <c r="W321" i="2" s="1"/>
  <c r="W322" i="2" s="1"/>
  <c r="W323" i="2" s="1"/>
  <c r="W324" i="2" s="1"/>
  <c r="W325" i="2" s="1"/>
  <c r="W326" i="2" s="1"/>
  <c r="W327" i="2" s="1"/>
  <c r="W328" i="2" s="1"/>
  <c r="W329" i="2" s="1"/>
  <c r="W330" i="2" s="1"/>
  <c r="W331" i="2" s="1"/>
  <c r="W332" i="2" s="1"/>
  <c r="W333" i="2" s="1"/>
  <c r="W334" i="2" s="1"/>
  <c r="W335" i="2" s="1"/>
  <c r="BW48" i="1"/>
  <c r="BN48" i="1" s="1"/>
  <c r="AX47" i="1"/>
  <c r="BR27" i="1"/>
  <c r="BP28" i="1"/>
  <c r="U385" i="3" l="1"/>
  <c r="U386" i="3" s="1"/>
  <c r="U387" i="3" s="1"/>
  <c r="C422" i="2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435" i="2" s="1"/>
  <c r="C436" i="2" s="1"/>
  <c r="C437" i="2" s="1"/>
  <c r="C438" i="2" s="1"/>
  <c r="C439" i="2" s="1"/>
  <c r="C440" i="2" s="1"/>
  <c r="W336" i="2"/>
  <c r="W337" i="2" s="1"/>
  <c r="W338" i="2" s="1"/>
  <c r="W339" i="2" s="1"/>
  <c r="W340" i="2" s="1"/>
  <c r="W341" i="2" s="1"/>
  <c r="W342" i="2" s="1"/>
  <c r="BW49" i="1"/>
  <c r="BN49" i="1" s="1"/>
  <c r="AX48" i="1"/>
  <c r="BR28" i="1"/>
  <c r="BP29" i="1"/>
  <c r="AL21" i="1"/>
  <c r="AR21" i="1" s="1"/>
  <c r="C441" i="2" l="1"/>
  <c r="C442" i="2" s="1"/>
  <c r="C443" i="2" s="1"/>
  <c r="C444" i="2" s="1"/>
  <c r="C445" i="2" s="1"/>
  <c r="C446" i="2" s="1"/>
  <c r="C447" i="2" s="1"/>
  <c r="C448" i="2" s="1"/>
  <c r="U388" i="3"/>
  <c r="U389" i="3" s="1"/>
  <c r="U390" i="3" s="1"/>
  <c r="W343" i="2"/>
  <c r="W344" i="2" s="1"/>
  <c r="W345" i="2" s="1"/>
  <c r="W346" i="2" s="1"/>
  <c r="W347" i="2" s="1"/>
  <c r="W348" i="2" s="1"/>
  <c r="W349" i="2" s="1"/>
  <c r="W350" i="2" s="1"/>
  <c r="W351" i="2" s="1"/>
  <c r="W352" i="2" s="1"/>
  <c r="W353" i="2" s="1"/>
  <c r="W354" i="2" s="1"/>
  <c r="W355" i="2" s="1"/>
  <c r="BW50" i="1"/>
  <c r="BN50" i="1" s="1"/>
  <c r="AX49" i="1"/>
  <c r="BR29" i="1"/>
  <c r="BP30" i="1"/>
  <c r="AL20" i="1"/>
  <c r="AR20" i="1" s="1"/>
  <c r="AL19" i="1"/>
  <c r="AR19" i="1" s="1"/>
  <c r="AL18" i="1"/>
  <c r="AR18" i="1" s="1"/>
  <c r="C449" i="2" l="1"/>
  <c r="C450" i="2" s="1"/>
  <c r="C451" i="2" s="1"/>
  <c r="C452" i="2" s="1"/>
  <c r="C453" i="2" s="1"/>
  <c r="C454" i="2" s="1"/>
  <c r="U391" i="3"/>
  <c r="U392" i="3" s="1"/>
  <c r="U393" i="3" s="1"/>
  <c r="U394" i="3" s="1"/>
  <c r="U395" i="3" s="1"/>
  <c r="U396" i="3" s="1"/>
  <c r="W356" i="2"/>
  <c r="W357" i="2" s="1"/>
  <c r="W358" i="2" s="1"/>
  <c r="W359" i="2" s="1"/>
  <c r="W360" i="2" s="1"/>
  <c r="W361" i="2" s="1"/>
  <c r="W362" i="2" s="1"/>
  <c r="W363" i="2" s="1"/>
  <c r="W364" i="2" s="1"/>
  <c r="W365" i="2" s="1"/>
  <c r="W366" i="2" s="1"/>
  <c r="W367" i="2" s="1"/>
  <c r="W368" i="2" s="1"/>
  <c r="W369" i="2" s="1"/>
  <c r="W370" i="2" s="1"/>
  <c r="W371" i="2" s="1"/>
  <c r="W372" i="2" s="1"/>
  <c r="W373" i="2" s="1"/>
  <c r="W374" i="2" s="1"/>
  <c r="W375" i="2" s="1"/>
  <c r="W376" i="2" s="1"/>
  <c r="W377" i="2" s="1"/>
  <c r="W378" i="2" s="1"/>
  <c r="W379" i="2" s="1"/>
  <c r="W380" i="2" s="1"/>
  <c r="W381" i="2" s="1"/>
  <c r="W382" i="2" s="1"/>
  <c r="W383" i="2" s="1"/>
  <c r="W384" i="2" s="1"/>
  <c r="W385" i="2" s="1"/>
  <c r="W386" i="2" s="1"/>
  <c r="W387" i="2" s="1"/>
  <c r="W388" i="2" s="1"/>
  <c r="W389" i="2" s="1"/>
  <c r="W390" i="2" s="1"/>
  <c r="W391" i="2" s="1"/>
  <c r="W392" i="2" s="1"/>
  <c r="W393" i="2" s="1"/>
  <c r="W394" i="2" s="1"/>
  <c r="W395" i="2" s="1"/>
  <c r="W396" i="2" s="1"/>
  <c r="W397" i="2" s="1"/>
  <c r="W398" i="2" s="1"/>
  <c r="W399" i="2" s="1"/>
  <c r="W400" i="2" s="1"/>
  <c r="W401" i="2" s="1"/>
  <c r="W402" i="2" s="1"/>
  <c r="W403" i="2" s="1"/>
  <c r="W404" i="2" s="1"/>
  <c r="W405" i="2" s="1"/>
  <c r="W766" i="2" s="1"/>
  <c r="BW51" i="1"/>
  <c r="BN51" i="1" s="1"/>
  <c r="AX50" i="1"/>
  <c r="BR30" i="1"/>
  <c r="BP31" i="1"/>
  <c r="AL17" i="1"/>
  <c r="C455" i="2" l="1"/>
  <c r="C456" i="2" s="1"/>
  <c r="C457" i="2" s="1"/>
  <c r="C458" i="2" s="1"/>
  <c r="C459" i="2" s="1"/>
  <c r="C460" i="2" s="1"/>
  <c r="C461" i="2" s="1"/>
  <c r="U397" i="3"/>
  <c r="U398" i="3" s="1"/>
  <c r="U399" i="3" s="1"/>
  <c r="W406" i="2"/>
  <c r="W407" i="2" s="1"/>
  <c r="W408" i="2" s="1"/>
  <c r="W409" i="2" s="1"/>
  <c r="W410" i="2" s="1"/>
  <c r="W411" i="2" s="1"/>
  <c r="W412" i="2" s="1"/>
  <c r="W413" i="2" s="1"/>
  <c r="W414" i="2" s="1"/>
  <c r="W415" i="2" s="1"/>
  <c r="W416" i="2" s="1"/>
  <c r="W417" i="2" s="1"/>
  <c r="W418" i="2" s="1"/>
  <c r="W419" i="2" s="1"/>
  <c r="W420" i="2" s="1"/>
  <c r="W421" i="2" s="1"/>
  <c r="W422" i="2" s="1"/>
  <c r="W423" i="2" s="1"/>
  <c r="W424" i="2" s="1"/>
  <c r="W425" i="2" s="1"/>
  <c r="W426" i="2" s="1"/>
  <c r="W427" i="2" s="1"/>
  <c r="W428" i="2" s="1"/>
  <c r="W429" i="2" s="1"/>
  <c r="W430" i="2" s="1"/>
  <c r="W431" i="2" s="1"/>
  <c r="W432" i="2" s="1"/>
  <c r="W433" i="2" s="1"/>
  <c r="W434" i="2" s="1"/>
  <c r="W435" i="2" s="1"/>
  <c r="W436" i="2" s="1"/>
  <c r="W437" i="2" s="1"/>
  <c r="W438" i="2" s="1"/>
  <c r="W439" i="2" s="1"/>
  <c r="W440" i="2" s="1"/>
  <c r="W441" i="2" s="1"/>
  <c r="W442" i="2" s="1"/>
  <c r="W443" i="2" s="1"/>
  <c r="W444" i="2" s="1"/>
  <c r="W445" i="2" s="1"/>
  <c r="W446" i="2" s="1"/>
  <c r="W447" i="2" s="1"/>
  <c r="W448" i="2" s="1"/>
  <c r="W449" i="2" s="1"/>
  <c r="W450" i="2" s="1"/>
  <c r="W451" i="2" s="1"/>
  <c r="W452" i="2" s="1"/>
  <c r="W453" i="2" s="1"/>
  <c r="W454" i="2" s="1"/>
  <c r="W455" i="2" s="1"/>
  <c r="W456" i="2" s="1"/>
  <c r="W457" i="2" s="1"/>
  <c r="W458" i="2" s="1"/>
  <c r="W459" i="2" s="1"/>
  <c r="W460" i="2" s="1"/>
  <c r="W461" i="2" s="1"/>
  <c r="W462" i="2" s="1"/>
  <c r="W463" i="2" s="1"/>
  <c r="W464" i="2" s="1"/>
  <c r="W465" i="2" s="1"/>
  <c r="W466" i="2" s="1"/>
  <c r="W467" i="2" s="1"/>
  <c r="W468" i="2" s="1"/>
  <c r="W469" i="2" s="1"/>
  <c r="W470" i="2" s="1"/>
  <c r="W471" i="2" s="1"/>
  <c r="W472" i="2" s="1"/>
  <c r="W473" i="2" s="1"/>
  <c r="W474" i="2" s="1"/>
  <c r="W475" i="2" s="1"/>
  <c r="W476" i="2" s="1"/>
  <c r="W477" i="2" s="1"/>
  <c r="W478" i="2" s="1"/>
  <c r="W479" i="2" s="1"/>
  <c r="W480" i="2" s="1"/>
  <c r="W481" i="2" s="1"/>
  <c r="W482" i="2" s="1"/>
  <c r="W483" i="2" s="1"/>
  <c r="W484" i="2" s="1"/>
  <c r="W485" i="2" s="1"/>
  <c r="W486" i="2" s="1"/>
  <c r="W487" i="2" s="1"/>
  <c r="W488" i="2" s="1"/>
  <c r="W489" i="2" s="1"/>
  <c r="W490" i="2" s="1"/>
  <c r="W491" i="2" s="1"/>
  <c r="W492" i="2" s="1"/>
  <c r="W493" i="2" s="1"/>
  <c r="W494" i="2" s="1"/>
  <c r="W495" i="2" s="1"/>
  <c r="W496" i="2" s="1"/>
  <c r="W497" i="2" s="1"/>
  <c r="W498" i="2" s="1"/>
  <c r="W499" i="2" s="1"/>
  <c r="W500" i="2" s="1"/>
  <c r="W501" i="2" s="1"/>
  <c r="W502" i="2" s="1"/>
  <c r="W503" i="2" s="1"/>
  <c r="W504" i="2" s="1"/>
  <c r="W505" i="2" s="1"/>
  <c r="W506" i="2" s="1"/>
  <c r="W507" i="2" s="1"/>
  <c r="W508" i="2" s="1"/>
  <c r="W509" i="2" s="1"/>
  <c r="W510" i="2" s="1"/>
  <c r="W511" i="2" s="1"/>
  <c r="W512" i="2" s="1"/>
  <c r="W513" i="2" s="1"/>
  <c r="W514" i="2" s="1"/>
  <c r="W515" i="2" s="1"/>
  <c r="W516" i="2" s="1"/>
  <c r="W517" i="2" s="1"/>
  <c r="W518" i="2" s="1"/>
  <c r="W519" i="2" s="1"/>
  <c r="W520" i="2" s="1"/>
  <c r="W521" i="2" s="1"/>
  <c r="W522" i="2" s="1"/>
  <c r="W523" i="2" s="1"/>
  <c r="W524" i="2" s="1"/>
  <c r="W525" i="2" s="1"/>
  <c r="W526" i="2" s="1"/>
  <c r="W527" i="2" s="1"/>
  <c r="W528" i="2" s="1"/>
  <c r="W529" i="2" s="1"/>
  <c r="W530" i="2" s="1"/>
  <c r="W531" i="2" s="1"/>
  <c r="W532" i="2" s="1"/>
  <c r="W533" i="2" s="1"/>
  <c r="W534" i="2" s="1"/>
  <c r="W535" i="2" s="1"/>
  <c r="W536" i="2" s="1"/>
  <c r="W537" i="2" s="1"/>
  <c r="W538" i="2" s="1"/>
  <c r="W539" i="2" s="1"/>
  <c r="W540" i="2" s="1"/>
  <c r="W541" i="2" s="1"/>
  <c r="W542" i="2" s="1"/>
  <c r="W543" i="2" s="1"/>
  <c r="W544" i="2" s="1"/>
  <c r="W545" i="2" s="1"/>
  <c r="W546" i="2" s="1"/>
  <c r="W547" i="2" s="1"/>
  <c r="W548" i="2" s="1"/>
  <c r="W549" i="2" s="1"/>
  <c r="W550" i="2" s="1"/>
  <c r="W551" i="2" s="1"/>
  <c r="W552" i="2" s="1"/>
  <c r="W553" i="2" s="1"/>
  <c r="W554" i="2" s="1"/>
  <c r="W555" i="2" s="1"/>
  <c r="W556" i="2" s="1"/>
  <c r="W557" i="2" s="1"/>
  <c r="W558" i="2" s="1"/>
  <c r="W559" i="2" s="1"/>
  <c r="W560" i="2" s="1"/>
  <c r="W561" i="2" s="1"/>
  <c r="W562" i="2" s="1"/>
  <c r="W563" i="2" s="1"/>
  <c r="W564" i="2" s="1"/>
  <c r="W565" i="2" s="1"/>
  <c r="W566" i="2" s="1"/>
  <c r="W567" i="2" s="1"/>
  <c r="W568" i="2" s="1"/>
  <c r="W569" i="2" s="1"/>
  <c r="W570" i="2" s="1"/>
  <c r="W571" i="2" s="1"/>
  <c r="W572" i="2" s="1"/>
  <c r="W573" i="2" s="1"/>
  <c r="W574" i="2" s="1"/>
  <c r="W575" i="2" s="1"/>
  <c r="W576" i="2" s="1"/>
  <c r="W577" i="2" s="1"/>
  <c r="W578" i="2" s="1"/>
  <c r="W579" i="2" s="1"/>
  <c r="W580" i="2" s="1"/>
  <c r="W581" i="2" s="1"/>
  <c r="W582" i="2" s="1"/>
  <c r="W583" i="2" s="1"/>
  <c r="W584" i="2" s="1"/>
  <c r="W585" i="2" s="1"/>
  <c r="W586" i="2" s="1"/>
  <c r="W587" i="2" s="1"/>
  <c r="W588" i="2" s="1"/>
  <c r="W589" i="2" s="1"/>
  <c r="W590" i="2" s="1"/>
  <c r="W591" i="2" s="1"/>
  <c r="W592" i="2" s="1"/>
  <c r="W593" i="2" s="1"/>
  <c r="W594" i="2" s="1"/>
  <c r="W595" i="2" s="1"/>
  <c r="W596" i="2" s="1"/>
  <c r="W597" i="2" s="1"/>
  <c r="W598" i="2" s="1"/>
  <c r="W599" i="2" s="1"/>
  <c r="W600" i="2" s="1"/>
  <c r="W601" i="2" s="1"/>
  <c r="W602" i="2" s="1"/>
  <c r="W603" i="2" s="1"/>
  <c r="W604" i="2" s="1"/>
  <c r="W605" i="2" s="1"/>
  <c r="W606" i="2" s="1"/>
  <c r="W607" i="2" s="1"/>
  <c r="W608" i="2" s="1"/>
  <c r="W609" i="2" s="1"/>
  <c r="W610" i="2" s="1"/>
  <c r="W611" i="2" s="1"/>
  <c r="W612" i="2" s="1"/>
  <c r="W613" i="2" s="1"/>
  <c r="W614" i="2" s="1"/>
  <c r="W615" i="2" s="1"/>
  <c r="W616" i="2" s="1"/>
  <c r="W617" i="2" s="1"/>
  <c r="W618" i="2" s="1"/>
  <c r="W619" i="2" s="1"/>
  <c r="W620" i="2" s="1"/>
  <c r="W621" i="2" s="1"/>
  <c r="W622" i="2" s="1"/>
  <c r="W623" i="2" s="1"/>
  <c r="W624" i="2" s="1"/>
  <c r="W625" i="2" s="1"/>
  <c r="W626" i="2" s="1"/>
  <c r="W627" i="2" s="1"/>
  <c r="W628" i="2" s="1"/>
  <c r="W629" i="2" s="1"/>
  <c r="W630" i="2" s="1"/>
  <c r="W631" i="2" s="1"/>
  <c r="W632" i="2" s="1"/>
  <c r="W633" i="2" s="1"/>
  <c r="W634" i="2" s="1"/>
  <c r="W635" i="2" s="1"/>
  <c r="W636" i="2" s="1"/>
  <c r="W637" i="2" s="1"/>
  <c r="W638" i="2" s="1"/>
  <c r="W639" i="2" s="1"/>
  <c r="W640" i="2" s="1"/>
  <c r="W641" i="2" s="1"/>
  <c r="W642" i="2" s="1"/>
  <c r="W643" i="2" s="1"/>
  <c r="W644" i="2" s="1"/>
  <c r="W645" i="2" s="1"/>
  <c r="W646" i="2" s="1"/>
  <c r="W647" i="2" s="1"/>
  <c r="W648" i="2" s="1"/>
  <c r="W649" i="2" s="1"/>
  <c r="W650" i="2" s="1"/>
  <c r="W651" i="2" s="1"/>
  <c r="W652" i="2" s="1"/>
  <c r="W653" i="2" s="1"/>
  <c r="W654" i="2" s="1"/>
  <c r="W655" i="2" s="1"/>
  <c r="W656" i="2" s="1"/>
  <c r="W657" i="2" s="1"/>
  <c r="W658" i="2" s="1"/>
  <c r="W659" i="2" s="1"/>
  <c r="W660" i="2" s="1"/>
  <c r="W661" i="2" s="1"/>
  <c r="W662" i="2" s="1"/>
  <c r="W663" i="2" s="1"/>
  <c r="W664" i="2" s="1"/>
  <c r="W665" i="2" s="1"/>
  <c r="W666" i="2" s="1"/>
  <c r="W667" i="2" s="1"/>
  <c r="W668" i="2" s="1"/>
  <c r="W669" i="2" s="1"/>
  <c r="W670" i="2" s="1"/>
  <c r="W671" i="2" s="1"/>
  <c r="W672" i="2" s="1"/>
  <c r="W673" i="2" s="1"/>
  <c r="W674" i="2" s="1"/>
  <c r="W675" i="2" s="1"/>
  <c r="W676" i="2" s="1"/>
  <c r="W677" i="2" s="1"/>
  <c r="W678" i="2" s="1"/>
  <c r="W679" i="2" s="1"/>
  <c r="W680" i="2" s="1"/>
  <c r="W681" i="2" s="1"/>
  <c r="W682" i="2" s="1"/>
  <c r="W683" i="2" s="1"/>
  <c r="W684" i="2" s="1"/>
  <c r="W685" i="2" s="1"/>
  <c r="W686" i="2" s="1"/>
  <c r="W687" i="2" s="1"/>
  <c r="W688" i="2" s="1"/>
  <c r="W689" i="2" s="1"/>
  <c r="W690" i="2" s="1"/>
  <c r="W691" i="2" s="1"/>
  <c r="W692" i="2" s="1"/>
  <c r="W693" i="2" s="1"/>
  <c r="W694" i="2" s="1"/>
  <c r="W695" i="2" s="1"/>
  <c r="W696" i="2" s="1"/>
  <c r="W697" i="2" s="1"/>
  <c r="W698" i="2" s="1"/>
  <c r="W699" i="2" s="1"/>
  <c r="W700" i="2" s="1"/>
  <c r="W701" i="2" s="1"/>
  <c r="W702" i="2" s="1"/>
  <c r="W703" i="2" s="1"/>
  <c r="W704" i="2" s="1"/>
  <c r="W705" i="2" s="1"/>
  <c r="W706" i="2" s="1"/>
  <c r="W707" i="2" s="1"/>
  <c r="W708" i="2" s="1"/>
  <c r="W709" i="2" s="1"/>
  <c r="W710" i="2" s="1"/>
  <c r="W711" i="2" s="1"/>
  <c r="W712" i="2" s="1"/>
  <c r="W713" i="2" s="1"/>
  <c r="W714" i="2" s="1"/>
  <c r="W715" i="2" s="1"/>
  <c r="W716" i="2" s="1"/>
  <c r="W717" i="2" s="1"/>
  <c r="W718" i="2" s="1"/>
  <c r="W719" i="2" s="1"/>
  <c r="W720" i="2" s="1"/>
  <c r="W721" i="2" s="1"/>
  <c r="W722" i="2" s="1"/>
  <c r="W723" i="2" s="1"/>
  <c r="W724" i="2" s="1"/>
  <c r="W725" i="2" s="1"/>
  <c r="W726" i="2" s="1"/>
  <c r="W727" i="2" s="1"/>
  <c r="W728" i="2" s="1"/>
  <c r="W729" i="2" s="1"/>
  <c r="W730" i="2" s="1"/>
  <c r="W731" i="2" s="1"/>
  <c r="W732" i="2" s="1"/>
  <c r="W733" i="2" s="1"/>
  <c r="W734" i="2" s="1"/>
  <c r="W735" i="2" s="1"/>
  <c r="W736" i="2" s="1"/>
  <c r="W737" i="2" s="1"/>
  <c r="W738" i="2" s="1"/>
  <c r="W739" i="2" s="1"/>
  <c r="W740" i="2" s="1"/>
  <c r="W741" i="2" s="1"/>
  <c r="W742" i="2" s="1"/>
  <c r="W743" i="2" s="1"/>
  <c r="W744" i="2" s="1"/>
  <c r="W745" i="2" s="1"/>
  <c r="W746" i="2" s="1"/>
  <c r="W747" i="2" s="1"/>
  <c r="W748" i="2" s="1"/>
  <c r="W749" i="2" s="1"/>
  <c r="W750" i="2" s="1"/>
  <c r="W751" i="2" s="1"/>
  <c r="W752" i="2" s="1"/>
  <c r="W753" i="2" s="1"/>
  <c r="W754" i="2" s="1"/>
  <c r="W755" i="2" s="1"/>
  <c r="W756" i="2" s="1"/>
  <c r="W757" i="2" s="1"/>
  <c r="W758" i="2" s="1"/>
  <c r="W759" i="2" s="1"/>
  <c r="W760" i="2" s="1"/>
  <c r="BW52" i="1"/>
  <c r="BN52" i="1" s="1"/>
  <c r="AX51" i="1"/>
  <c r="BR31" i="1"/>
  <c r="BP32" i="1"/>
  <c r="AR17" i="1"/>
  <c r="B11" i="1"/>
  <c r="B12" i="1" s="1"/>
  <c r="B13" i="1" s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93" i="1" s="1"/>
  <c r="B94" i="1" s="1"/>
  <c r="B95" i="1" s="1"/>
  <c r="B96" i="1" s="1"/>
  <c r="B97" i="1" s="1"/>
  <c r="B98" i="1" s="1"/>
  <c r="B99" i="1" s="1"/>
  <c r="B100" i="1" s="1"/>
  <c r="B101" i="1" s="1"/>
  <c r="B102" i="1" s="1"/>
  <c r="AL16" i="1"/>
  <c r="AR16" i="1" s="1"/>
  <c r="AL15" i="1"/>
  <c r="AR15" i="1" s="1"/>
  <c r="AL14" i="1"/>
  <c r="AR14" i="1" s="1"/>
  <c r="AL13" i="1"/>
  <c r="AR13" i="1" s="1"/>
  <c r="AL12" i="1"/>
  <c r="AR12" i="1" s="1"/>
  <c r="AL11" i="1"/>
  <c r="AA10" i="1"/>
  <c r="AE10" i="1" s="1"/>
  <c r="C462" i="2" l="1"/>
  <c r="C463" i="2" s="1"/>
  <c r="C464" i="2" s="1"/>
  <c r="C465" i="2" s="1"/>
  <c r="C466" i="2" s="1"/>
  <c r="C467" i="2" s="1"/>
  <c r="C468" i="2" s="1"/>
  <c r="C469" i="2" s="1"/>
  <c r="U400" i="3"/>
  <c r="U401" i="3" s="1"/>
  <c r="U402" i="3" s="1"/>
  <c r="B103" i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3" i="1" s="1"/>
  <c r="B124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38" i="1" s="1"/>
  <c r="B139" i="1" s="1"/>
  <c r="B140" i="1" s="1"/>
  <c r="B141" i="1" s="1"/>
  <c r="B142" i="1" s="1"/>
  <c r="B143" i="1" s="1"/>
  <c r="B144" i="1" s="1"/>
  <c r="B145" i="1" s="1"/>
  <c r="B146" i="1" s="1"/>
  <c r="B147" i="1" s="1"/>
  <c r="B148" i="1" s="1"/>
  <c r="B149" i="1" s="1"/>
  <c r="B150" i="1" s="1"/>
  <c r="BW53" i="1"/>
  <c r="BN53" i="1" s="1"/>
  <c r="AX52" i="1"/>
  <c r="BR32" i="1"/>
  <c r="BP33" i="1"/>
  <c r="H10" i="1"/>
  <c r="J10" i="1"/>
  <c r="AA11" i="1"/>
  <c r="AE11" i="1" s="1"/>
  <c r="C470" i="2" l="1"/>
  <c r="C471" i="2" s="1"/>
  <c r="C472" i="2" s="1"/>
  <c r="C473" i="2" s="1"/>
  <c r="U403" i="3"/>
  <c r="U404" i="3" s="1"/>
  <c r="U405" i="3" s="1"/>
  <c r="U406" i="3" s="1"/>
  <c r="U407" i="3" s="1"/>
  <c r="U408" i="3" s="1"/>
  <c r="B151" i="1"/>
  <c r="B152" i="1" s="1"/>
  <c r="B153" i="1" s="1"/>
  <c r="B154" i="1" s="1"/>
  <c r="B155" i="1" s="1"/>
  <c r="BW54" i="1"/>
  <c r="BN54" i="1" s="1"/>
  <c r="AX53" i="1"/>
  <c r="J11" i="1"/>
  <c r="O10" i="1"/>
  <c r="BR33" i="1"/>
  <c r="BP34" i="1"/>
  <c r="H11" i="1"/>
  <c r="AC10" i="1"/>
  <c r="AA12" i="1"/>
  <c r="AE12" i="1" s="1"/>
  <c r="C474" i="2" l="1"/>
  <c r="C475" i="2" s="1"/>
  <c r="U409" i="3"/>
  <c r="U410" i="3" s="1"/>
  <c r="U411" i="3" s="1"/>
  <c r="B156" i="1"/>
  <c r="B157" i="1" s="1"/>
  <c r="B158" i="1" s="1"/>
  <c r="B159" i="1" s="1"/>
  <c r="B160" i="1" s="1"/>
  <c r="B161" i="1" s="1"/>
  <c r="B162" i="1" s="1"/>
  <c r="BW55" i="1"/>
  <c r="BN55" i="1" s="1"/>
  <c r="AX54" i="1"/>
  <c r="AC11" i="1"/>
  <c r="O11" i="1"/>
  <c r="J12" i="1"/>
  <c r="H12" i="1"/>
  <c r="AC12" i="1" s="1"/>
  <c r="BR34" i="1"/>
  <c r="BP35" i="1"/>
  <c r="AA13" i="1"/>
  <c r="AE13" i="1" s="1"/>
  <c r="C476" i="2" l="1"/>
  <c r="C477" i="2" s="1"/>
  <c r="C478" i="2" s="1"/>
  <c r="C479" i="2" s="1"/>
  <c r="C480" i="2" s="1"/>
  <c r="C481" i="2" s="1"/>
  <c r="C482" i="2" s="1"/>
  <c r="U412" i="3"/>
  <c r="U413" i="3" s="1"/>
  <c r="U414" i="3" s="1"/>
  <c r="B163" i="1"/>
  <c r="B164" i="1" s="1"/>
  <c r="B165" i="1" s="1"/>
  <c r="B166" i="1" s="1"/>
  <c r="B167" i="1" s="1"/>
  <c r="B168" i="1" s="1"/>
  <c r="BW56" i="1"/>
  <c r="BN56" i="1" s="1"/>
  <c r="AX55" i="1"/>
  <c r="AV12" i="1"/>
  <c r="O12" i="1"/>
  <c r="J13" i="1"/>
  <c r="H13" i="1"/>
  <c r="BR35" i="1"/>
  <c r="BP36" i="1"/>
  <c r="AA14" i="1"/>
  <c r="AE14" i="1" s="1"/>
  <c r="C483" i="2" l="1"/>
  <c r="C484" i="2" s="1"/>
  <c r="C485" i="2" s="1"/>
  <c r="C486" i="2" s="1"/>
  <c r="C487" i="2" s="1"/>
  <c r="U415" i="3"/>
  <c r="U416" i="3" s="1"/>
  <c r="U417" i="3" s="1"/>
  <c r="B169" i="1"/>
  <c r="B170" i="1" s="1"/>
  <c r="B171" i="1" s="1"/>
  <c r="B172" i="1" s="1"/>
  <c r="B173" i="1" s="1"/>
  <c r="BW57" i="1"/>
  <c r="BN57" i="1" s="1"/>
  <c r="AX56" i="1"/>
  <c r="AV13" i="1"/>
  <c r="O13" i="1"/>
  <c r="J14" i="1"/>
  <c r="H14" i="1"/>
  <c r="AC13" i="1"/>
  <c r="BR36" i="1"/>
  <c r="BP37" i="1"/>
  <c r="AA15" i="1"/>
  <c r="AE15" i="1" s="1"/>
  <c r="C488" i="2" l="1"/>
  <c r="C489" i="2" s="1"/>
  <c r="U418" i="3"/>
  <c r="U419" i="3" s="1"/>
  <c r="U420" i="3" s="1"/>
  <c r="U421" i="3" s="1"/>
  <c r="B174" i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W58" i="1"/>
  <c r="BN58" i="1" s="1"/>
  <c r="AX57" i="1"/>
  <c r="AV14" i="1"/>
  <c r="O14" i="1"/>
  <c r="J15" i="1"/>
  <c r="H15" i="1"/>
  <c r="O15" i="1" s="1"/>
  <c r="AC14" i="1"/>
  <c r="BR37" i="1"/>
  <c r="BP38" i="1"/>
  <c r="AA16" i="1"/>
  <c r="AE16" i="1" s="1"/>
  <c r="C490" i="2" l="1"/>
  <c r="C491" i="2" s="1"/>
  <c r="C492" i="2" s="1"/>
  <c r="C493" i="2" s="1"/>
  <c r="C494" i="2" s="1"/>
  <c r="C495" i="2" s="1"/>
  <c r="U422" i="3"/>
  <c r="U423" i="3" s="1"/>
  <c r="U424" i="3" s="1"/>
  <c r="U425" i="3" s="1"/>
  <c r="B187" i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AV15" i="1"/>
  <c r="BW59" i="1"/>
  <c r="BN59" i="1" s="1"/>
  <c r="AX58" i="1"/>
  <c r="J16" i="1"/>
  <c r="H16" i="1"/>
  <c r="H17" i="1" s="1"/>
  <c r="O17" i="1" s="1"/>
  <c r="AC15" i="1"/>
  <c r="BR38" i="1"/>
  <c r="BP39" i="1"/>
  <c r="AA17" i="1"/>
  <c r="AE17" i="1" s="1"/>
  <c r="C496" i="2" l="1"/>
  <c r="U426" i="3"/>
  <c r="U427" i="3" s="1"/>
  <c r="U428" i="3" s="1"/>
  <c r="U429" i="3" s="1"/>
  <c r="B206" i="1"/>
  <c r="B207" i="1" s="1"/>
  <c r="B208" i="1" s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 s="1"/>
  <c r="B231" i="1" s="1"/>
  <c r="B232" i="1" s="1"/>
  <c r="B233" i="1" s="1"/>
  <c r="BW60" i="1"/>
  <c r="AX59" i="1"/>
  <c r="AC16" i="1"/>
  <c r="AV16" i="1"/>
  <c r="J17" i="1"/>
  <c r="O16" i="1"/>
  <c r="BR39" i="1"/>
  <c r="BP40" i="1"/>
  <c r="J18" i="1"/>
  <c r="H18" i="1"/>
  <c r="O18" i="1" s="1"/>
  <c r="AA18" i="1"/>
  <c r="AE18" i="1" s="1"/>
  <c r="AC17" i="1"/>
  <c r="AV17" i="1"/>
  <c r="C497" i="2" l="1"/>
  <c r="C498" i="2" s="1"/>
  <c r="C499" i="2" s="1"/>
  <c r="C500" i="2" s="1"/>
  <c r="C501" i="2" s="1"/>
  <c r="C502" i="2" s="1"/>
  <c r="C503" i="2" s="1"/>
  <c r="C504" i="2" s="1"/>
  <c r="C505" i="2" s="1"/>
  <c r="C506" i="2" s="1"/>
  <c r="C507" i="2" s="1"/>
  <c r="C508" i="2" s="1"/>
  <c r="C509" i="2" s="1"/>
  <c r="U430" i="3"/>
  <c r="U431" i="3" s="1"/>
  <c r="U432" i="3" s="1"/>
  <c r="U433" i="3" s="1"/>
  <c r="B234" i="1"/>
  <c r="B235" i="1" s="1"/>
  <c r="B236" i="1" s="1"/>
  <c r="B237" i="1" s="1"/>
  <c r="B238" i="1" s="1"/>
  <c r="B239" i="1" s="1"/>
  <c r="B240" i="1" s="1"/>
  <c r="B241" i="1" s="1"/>
  <c r="B242" i="1" s="1"/>
  <c r="BW61" i="1"/>
  <c r="BW62" i="1" s="1"/>
  <c r="BN60" i="1"/>
  <c r="AX60" i="1"/>
  <c r="BR40" i="1"/>
  <c r="BP41" i="1"/>
  <c r="AA19" i="1"/>
  <c r="AE19" i="1" s="1"/>
  <c r="AC18" i="1"/>
  <c r="AV18" i="1"/>
  <c r="J19" i="1"/>
  <c r="H19" i="1"/>
  <c r="O19" i="1" s="1"/>
  <c r="C510" i="2" l="1"/>
  <c r="C511" i="2" s="1"/>
  <c r="C512" i="2" s="1"/>
  <c r="U434" i="3"/>
  <c r="U435" i="3" s="1"/>
  <c r="U436" i="3" s="1"/>
  <c r="B243" i="1"/>
  <c r="B244" i="1" s="1"/>
  <c r="B245" i="1" s="1"/>
  <c r="B246" i="1" s="1"/>
  <c r="BW63" i="1"/>
  <c r="BW64" i="1" s="1"/>
  <c r="BN62" i="1"/>
  <c r="AX62" i="1"/>
  <c r="AX61" i="1"/>
  <c r="BN61" i="1"/>
  <c r="AA20" i="1"/>
  <c r="BR41" i="1"/>
  <c r="BP42" i="1"/>
  <c r="H20" i="1"/>
  <c r="O20" i="1" s="1"/>
  <c r="J20" i="1"/>
  <c r="AV19" i="1"/>
  <c r="AC19" i="1"/>
  <c r="C513" i="2" l="1"/>
  <c r="C514" i="2" s="1"/>
  <c r="C515" i="2" s="1"/>
  <c r="C516" i="2" s="1"/>
  <c r="C517" i="2" s="1"/>
  <c r="U437" i="3"/>
  <c r="U438" i="3" s="1"/>
  <c r="U439" i="3" s="1"/>
  <c r="U440" i="3" s="1"/>
  <c r="U441" i="3" s="1"/>
  <c r="U442" i="3" s="1"/>
  <c r="B247" i="1"/>
  <c r="B248" i="1" s="1"/>
  <c r="B249" i="1" s="1"/>
  <c r="B250" i="1" s="1"/>
  <c r="B251" i="1" s="1"/>
  <c r="AX64" i="1"/>
  <c r="BW65" i="1"/>
  <c r="BN64" i="1"/>
  <c r="AX63" i="1"/>
  <c r="BN63" i="1"/>
  <c r="AA21" i="1"/>
  <c r="AE21" i="1" s="1"/>
  <c r="AE20" i="1"/>
  <c r="BR42" i="1"/>
  <c r="BP43" i="1"/>
  <c r="AC20" i="1"/>
  <c r="AV20" i="1"/>
  <c r="J21" i="1"/>
  <c r="H21" i="1"/>
  <c r="O21" i="1" s="1"/>
  <c r="C518" i="2" l="1"/>
  <c r="C519" i="2" s="1"/>
  <c r="C520" i="2" s="1"/>
  <c r="C521" i="2" s="1"/>
  <c r="C522" i="2" s="1"/>
  <c r="U443" i="3"/>
  <c r="U444" i="3" s="1"/>
  <c r="U445" i="3" s="1"/>
  <c r="U446" i="3" s="1"/>
  <c r="U447" i="3" s="1"/>
  <c r="B252" i="1"/>
  <c r="B253" i="1" s="1"/>
  <c r="B254" i="1" s="1"/>
  <c r="B255" i="1" s="1"/>
  <c r="B256" i="1" s="1"/>
  <c r="B257" i="1" s="1"/>
  <c r="B258" i="1" s="1"/>
  <c r="BW66" i="1"/>
  <c r="BW67" i="1" s="1"/>
  <c r="AX65" i="1"/>
  <c r="BN65" i="1"/>
  <c r="AA22" i="1"/>
  <c r="AE22" i="1" s="1"/>
  <c r="AC21" i="1"/>
  <c r="BR43" i="1"/>
  <c r="BP44" i="1"/>
  <c r="J22" i="1"/>
  <c r="H22" i="1"/>
  <c r="O22" i="1" s="1"/>
  <c r="AV21" i="1"/>
  <c r="C523" i="2" l="1"/>
  <c r="C524" i="2" s="1"/>
  <c r="U448" i="3"/>
  <c r="U449" i="3" s="1"/>
  <c r="U450" i="3" s="1"/>
  <c r="U451" i="3" s="1"/>
  <c r="U452" i="3" s="1"/>
  <c r="U453" i="3" s="1"/>
  <c r="U454" i="3" s="1"/>
  <c r="U455" i="3" s="1"/>
  <c r="B259" i="1"/>
  <c r="B260" i="1" s="1"/>
  <c r="B261" i="1" s="1"/>
  <c r="B262" i="1" s="1"/>
  <c r="B263" i="1" s="1"/>
  <c r="B264" i="1" s="1"/>
  <c r="B265" i="1" s="1"/>
  <c r="B266" i="1" s="1"/>
  <c r="B267" i="1" s="1"/>
  <c r="B268" i="1" s="1"/>
  <c r="B269" i="1" s="1"/>
  <c r="AA23" i="1"/>
  <c r="AE23" i="1" s="1"/>
  <c r="BW68" i="1"/>
  <c r="AX67" i="1"/>
  <c r="BN67" i="1"/>
  <c r="BN66" i="1"/>
  <c r="AX66" i="1"/>
  <c r="AC22" i="1"/>
  <c r="BR44" i="1"/>
  <c r="BP45" i="1"/>
  <c r="AV22" i="1"/>
  <c r="J23" i="1"/>
  <c r="H23" i="1"/>
  <c r="O23" i="1" s="1"/>
  <c r="C525" i="2" l="1"/>
  <c r="C526" i="2" s="1"/>
  <c r="C527" i="2" s="1"/>
  <c r="C528" i="2" s="1"/>
  <c r="C529" i="2" s="1"/>
  <c r="C530" i="2" s="1"/>
  <c r="U456" i="3"/>
  <c r="U457" i="3" s="1"/>
  <c r="U458" i="3" s="1"/>
  <c r="AA24" i="1"/>
  <c r="AA25" i="1" s="1"/>
  <c r="AE25" i="1" s="1"/>
  <c r="B270" i="1"/>
  <c r="B271" i="1" s="1"/>
  <c r="B272" i="1" s="1"/>
  <c r="B273" i="1" s="1"/>
  <c r="B274" i="1" s="1"/>
  <c r="B275" i="1" s="1"/>
  <c r="BW69" i="1"/>
  <c r="BN68" i="1"/>
  <c r="AX68" i="1"/>
  <c r="H24" i="1"/>
  <c r="O24" i="1" s="1"/>
  <c r="BR45" i="1"/>
  <c r="BP46" i="1"/>
  <c r="J24" i="1"/>
  <c r="AC23" i="1"/>
  <c r="AV23" i="1"/>
  <c r="C531" i="2" l="1"/>
  <c r="C532" i="2" s="1"/>
  <c r="C533" i="2" s="1"/>
  <c r="C534" i="2" s="1"/>
  <c r="C535" i="2" s="1"/>
  <c r="C536" i="2" s="1"/>
  <c r="C537" i="2" s="1"/>
  <c r="U459" i="3"/>
  <c r="U460" i="3" s="1"/>
  <c r="U461" i="3" s="1"/>
  <c r="U462" i="3" s="1"/>
  <c r="U463" i="3" s="1"/>
  <c r="AE24" i="1"/>
  <c r="B276" i="1"/>
  <c r="B277" i="1" s="1"/>
  <c r="B278" i="1" s="1"/>
  <c r="B279" i="1" s="1"/>
  <c r="B280" i="1" s="1"/>
  <c r="B281" i="1" s="1"/>
  <c r="B282" i="1" s="1"/>
  <c r="BW70" i="1"/>
  <c r="BW71" i="1" s="1"/>
  <c r="BN69" i="1"/>
  <c r="AX69" i="1"/>
  <c r="AA26" i="1"/>
  <c r="AA27" i="1" s="1"/>
  <c r="AE27" i="1" s="1"/>
  <c r="BR46" i="1"/>
  <c r="BP47" i="1"/>
  <c r="AV24" i="1"/>
  <c r="J25" i="1"/>
  <c r="H25" i="1"/>
  <c r="O25" i="1" s="1"/>
  <c r="AC24" i="1"/>
  <c r="C538" i="2" l="1"/>
  <c r="C539" i="2" s="1"/>
  <c r="C540" i="2" s="1"/>
  <c r="C541" i="2" s="1"/>
  <c r="C542" i="2" s="1"/>
  <c r="U464" i="3"/>
  <c r="U465" i="3" s="1"/>
  <c r="U466" i="3" s="1"/>
  <c r="U467" i="3" s="1"/>
  <c r="B283" i="1"/>
  <c r="B284" i="1" s="1"/>
  <c r="B285" i="1" s="1"/>
  <c r="B286" i="1" s="1"/>
  <c r="B287" i="1" s="1"/>
  <c r="B288" i="1" s="1"/>
  <c r="B289" i="1" s="1"/>
  <c r="B290" i="1" s="1"/>
  <c r="B291" i="1" s="1"/>
  <c r="BW72" i="1"/>
  <c r="BN71" i="1"/>
  <c r="AX71" i="1"/>
  <c r="BN70" i="1"/>
  <c r="AX70" i="1"/>
  <c r="AE26" i="1"/>
  <c r="AA28" i="1"/>
  <c r="AE28" i="1" s="1"/>
  <c r="BR47" i="1"/>
  <c r="BP48" i="1"/>
  <c r="H26" i="1"/>
  <c r="J26" i="1"/>
  <c r="AV25" i="1"/>
  <c r="AC25" i="1"/>
  <c r="C543" i="2" l="1"/>
  <c r="C544" i="2" s="1"/>
  <c r="C545" i="2" s="1"/>
  <c r="C546" i="2" s="1"/>
  <c r="U468" i="3"/>
  <c r="U469" i="3" s="1"/>
  <c r="U470" i="3" s="1"/>
  <c r="U471" i="3" s="1"/>
  <c r="U472" i="3" s="1"/>
  <c r="U473" i="3" s="1"/>
  <c r="U474" i="3" s="1"/>
  <c r="U475" i="3" s="1"/>
  <c r="U476" i="3" s="1"/>
  <c r="U477" i="3" s="1"/>
  <c r="U478" i="3" s="1"/>
  <c r="U479" i="3" s="1"/>
  <c r="B292" i="1"/>
  <c r="B293" i="1" s="1"/>
  <c r="B294" i="1" s="1"/>
  <c r="B295" i="1" s="1"/>
  <c r="B296" i="1" s="1"/>
  <c r="BW73" i="1"/>
  <c r="BN72" i="1"/>
  <c r="AX72" i="1"/>
  <c r="O26" i="1"/>
  <c r="AA29" i="1"/>
  <c r="AE29" i="1" s="1"/>
  <c r="BR48" i="1"/>
  <c r="BP49" i="1"/>
  <c r="H27" i="1"/>
  <c r="O27" i="1" s="1"/>
  <c r="J27" i="1"/>
  <c r="AV26" i="1"/>
  <c r="AC26" i="1"/>
  <c r="C547" i="2" l="1"/>
  <c r="C548" i="2" s="1"/>
  <c r="C549" i="2" s="1"/>
  <c r="C550" i="2" s="1"/>
  <c r="C551" i="2" s="1"/>
  <c r="C552" i="2" s="1"/>
  <c r="U480" i="3"/>
  <c r="B297" i="1"/>
  <c r="B298" i="1" s="1"/>
  <c r="B299" i="1" s="1"/>
  <c r="B300" i="1" s="1"/>
  <c r="B301" i="1" s="1"/>
  <c r="B302" i="1" s="1"/>
  <c r="B303" i="1" s="1"/>
  <c r="BW74" i="1"/>
  <c r="AX73" i="1"/>
  <c r="BN73" i="1"/>
  <c r="AA30" i="1"/>
  <c r="AE30" i="1" s="1"/>
  <c r="BR49" i="1"/>
  <c r="BP50" i="1"/>
  <c r="J28" i="1"/>
  <c r="H28" i="1"/>
  <c r="O28" i="1" s="1"/>
  <c r="AV27" i="1"/>
  <c r="AC27" i="1"/>
  <c r="C553" i="2" l="1"/>
  <c r="C554" i="2" s="1"/>
  <c r="C555" i="2" s="1"/>
  <c r="C556" i="2" s="1"/>
  <c r="U481" i="3"/>
  <c r="U482" i="3" s="1"/>
  <c r="U483" i="3" s="1"/>
  <c r="U484" i="3" s="1"/>
  <c r="B304" i="1"/>
  <c r="B305" i="1" s="1"/>
  <c r="B306" i="1" s="1"/>
  <c r="B307" i="1" s="1"/>
  <c r="B308" i="1" s="1"/>
  <c r="B309" i="1" s="1"/>
  <c r="B310" i="1" s="1"/>
  <c r="BW75" i="1"/>
  <c r="BW76" i="1" s="1"/>
  <c r="AX74" i="1"/>
  <c r="BN74" i="1"/>
  <c r="AA31" i="1"/>
  <c r="AE31" i="1" s="1"/>
  <c r="BR50" i="1"/>
  <c r="BP51" i="1"/>
  <c r="H29" i="1"/>
  <c r="O29" i="1" s="1"/>
  <c r="J29" i="1"/>
  <c r="AV28" i="1"/>
  <c r="AC28" i="1"/>
  <c r="C557" i="2" l="1"/>
  <c r="C558" i="2" s="1"/>
  <c r="C559" i="2" s="1"/>
  <c r="U485" i="3"/>
  <c r="U486" i="3" s="1"/>
  <c r="U487" i="3" s="1"/>
  <c r="U488" i="3" s="1"/>
  <c r="B311" i="1"/>
  <c r="B312" i="1" s="1"/>
  <c r="B313" i="1" s="1"/>
  <c r="B314" i="1" s="1"/>
  <c r="B315" i="1" s="1"/>
  <c r="B316" i="1" s="1"/>
  <c r="B317" i="1" s="1"/>
  <c r="BW77" i="1"/>
  <c r="BN76" i="1"/>
  <c r="AX76" i="1"/>
  <c r="AX75" i="1"/>
  <c r="BN75" i="1"/>
  <c r="AA32" i="1"/>
  <c r="AE32" i="1" s="1"/>
  <c r="BR51" i="1"/>
  <c r="BP52" i="1"/>
  <c r="H30" i="1"/>
  <c r="O30" i="1" s="1"/>
  <c r="J30" i="1"/>
  <c r="AV29" i="1"/>
  <c r="AC29" i="1"/>
  <c r="C560" i="2" l="1"/>
  <c r="C561" i="2" s="1"/>
  <c r="C562" i="2" s="1"/>
  <c r="C563" i="2" s="1"/>
  <c r="C564" i="2" s="1"/>
  <c r="C565" i="2" s="1"/>
  <c r="U489" i="3"/>
  <c r="U490" i="3" s="1"/>
  <c r="U491" i="3" s="1"/>
  <c r="U492" i="3" s="1"/>
  <c r="U493" i="3" s="1"/>
  <c r="B318" i="1"/>
  <c r="B319" i="1" s="1"/>
  <c r="B320" i="1" s="1"/>
  <c r="B321" i="1" s="1"/>
  <c r="B322" i="1" s="1"/>
  <c r="B323" i="1" s="1"/>
  <c r="B324" i="1" s="1"/>
  <c r="AA33" i="1"/>
  <c r="AE33" i="1" s="1"/>
  <c r="BW78" i="1"/>
  <c r="BW79" i="1" s="1"/>
  <c r="AX77" i="1"/>
  <c r="BN77" i="1"/>
  <c r="BR52" i="1"/>
  <c r="BP53" i="1"/>
  <c r="H31" i="1"/>
  <c r="J31" i="1"/>
  <c r="AV30" i="1"/>
  <c r="AC30" i="1"/>
  <c r="C566" i="2" l="1"/>
  <c r="C567" i="2" s="1"/>
  <c r="C568" i="2" s="1"/>
  <c r="C569" i="2" s="1"/>
  <c r="C570" i="2" s="1"/>
  <c r="C571" i="2" s="1"/>
  <c r="U494" i="3"/>
  <c r="U495" i="3" s="1"/>
  <c r="U496" i="3" s="1"/>
  <c r="U497" i="3" s="1"/>
  <c r="B325" i="1"/>
  <c r="B326" i="1" s="1"/>
  <c r="B327" i="1" s="1"/>
  <c r="B328" i="1" s="1"/>
  <c r="B329" i="1" s="1"/>
  <c r="B330" i="1" s="1"/>
  <c r="B331" i="1" s="1"/>
  <c r="AA34" i="1"/>
  <c r="AA35" i="1" s="1"/>
  <c r="AE35" i="1" s="1"/>
  <c r="BW80" i="1"/>
  <c r="BN79" i="1"/>
  <c r="AX79" i="1"/>
  <c r="BN78" i="1"/>
  <c r="AX78" i="1"/>
  <c r="J32" i="1"/>
  <c r="O31" i="1"/>
  <c r="BR53" i="1"/>
  <c r="BP54" i="1"/>
  <c r="H32" i="1"/>
  <c r="AC31" i="1"/>
  <c r="AV31" i="1"/>
  <c r="C572" i="2" l="1"/>
  <c r="C573" i="2" s="1"/>
  <c r="U498" i="3"/>
  <c r="U499" i="3" s="1"/>
  <c r="U500" i="3" s="1"/>
  <c r="U501" i="3" s="1"/>
  <c r="AE34" i="1"/>
  <c r="B332" i="1"/>
  <c r="B333" i="1" s="1"/>
  <c r="B334" i="1" s="1"/>
  <c r="B335" i="1" s="1"/>
  <c r="B336" i="1" s="1"/>
  <c r="B337" i="1" s="1"/>
  <c r="B338" i="1" s="1"/>
  <c r="B339" i="1" s="1"/>
  <c r="BW81" i="1"/>
  <c r="BN80" i="1"/>
  <c r="AX80" i="1"/>
  <c r="J33" i="1"/>
  <c r="O32" i="1"/>
  <c r="H33" i="1"/>
  <c r="BR54" i="1"/>
  <c r="BP55" i="1"/>
  <c r="AV32" i="1"/>
  <c r="AC32" i="1"/>
  <c r="AA36" i="1"/>
  <c r="AE36" i="1" s="1"/>
  <c r="C574" i="2" l="1"/>
  <c r="C575" i="2" s="1"/>
  <c r="C576" i="2" s="1"/>
  <c r="C577" i="2" s="1"/>
  <c r="U502" i="3"/>
  <c r="U503" i="3" s="1"/>
  <c r="U504" i="3" s="1"/>
  <c r="U505" i="3" s="1"/>
  <c r="B340" i="1"/>
  <c r="B341" i="1" s="1"/>
  <c r="B342" i="1" s="1"/>
  <c r="B343" i="1" s="1"/>
  <c r="B344" i="1" s="1"/>
  <c r="B345" i="1" s="1"/>
  <c r="B346" i="1" s="1"/>
  <c r="B347" i="1" s="1"/>
  <c r="BW82" i="1"/>
  <c r="BN81" i="1"/>
  <c r="AX81" i="1"/>
  <c r="O33" i="1"/>
  <c r="AC33" i="1"/>
  <c r="AV33" i="1"/>
  <c r="H34" i="1"/>
  <c r="H35" i="1" s="1"/>
  <c r="BR55" i="1"/>
  <c r="BP56" i="1"/>
  <c r="J34" i="1"/>
  <c r="AA37" i="1"/>
  <c r="AE37" i="1" s="1"/>
  <c r="C578" i="2" l="1"/>
  <c r="C579" i="2" s="1"/>
  <c r="C580" i="2" s="1"/>
  <c r="U506" i="3"/>
  <c r="U507" i="3" s="1"/>
  <c r="U508" i="3" s="1"/>
  <c r="B348" i="1"/>
  <c r="B349" i="1" s="1"/>
  <c r="B350" i="1" s="1"/>
  <c r="B351" i="1" s="1"/>
  <c r="B352" i="1" s="1"/>
  <c r="O34" i="1"/>
  <c r="BW83" i="1"/>
  <c r="BW84" i="1" s="1"/>
  <c r="BN82" i="1"/>
  <c r="AX82" i="1"/>
  <c r="AC34" i="1"/>
  <c r="J35" i="1"/>
  <c r="O35" i="1"/>
  <c r="AV34" i="1"/>
  <c r="BR56" i="1"/>
  <c r="BP57" i="1"/>
  <c r="AA38" i="1"/>
  <c r="AE38" i="1" s="1"/>
  <c r="C581" i="2" l="1"/>
  <c r="C582" i="2" s="1"/>
  <c r="C583" i="2" s="1"/>
  <c r="C584" i="2" s="1"/>
  <c r="C585" i="2" s="1"/>
  <c r="C586" i="2" s="1"/>
  <c r="C587" i="2" s="1"/>
  <c r="U509" i="3"/>
  <c r="U510" i="3" s="1"/>
  <c r="U511" i="3" s="1"/>
  <c r="U512" i="3" s="1"/>
  <c r="U513" i="3" s="1"/>
  <c r="U514" i="3" s="1"/>
  <c r="U515" i="3" s="1"/>
  <c r="B353" i="1"/>
  <c r="B354" i="1" s="1"/>
  <c r="B355" i="1" s="1"/>
  <c r="B356" i="1" s="1"/>
  <c r="B357" i="1" s="1"/>
  <c r="B358" i="1" s="1"/>
  <c r="J36" i="1"/>
  <c r="BW85" i="1"/>
  <c r="BN84" i="1"/>
  <c r="AX84" i="1"/>
  <c r="BN83" i="1"/>
  <c r="AX83" i="1"/>
  <c r="H36" i="1"/>
  <c r="O36" i="1" s="1"/>
  <c r="AC35" i="1"/>
  <c r="AV35" i="1"/>
  <c r="BR57" i="1"/>
  <c r="BP58" i="1"/>
  <c r="AA39" i="1"/>
  <c r="AE39" i="1" s="1"/>
  <c r="C588" i="2" l="1"/>
  <c r="C589" i="2" s="1"/>
  <c r="C590" i="2" s="1"/>
  <c r="U516" i="3"/>
  <c r="U517" i="3" s="1"/>
  <c r="U518" i="3" s="1"/>
  <c r="U519" i="3" s="1"/>
  <c r="B359" i="1"/>
  <c r="B360" i="1" s="1"/>
  <c r="B361" i="1" s="1"/>
  <c r="B362" i="1" s="1"/>
  <c r="B363" i="1" s="1"/>
  <c r="B364" i="1" s="1"/>
  <c r="B365" i="1" s="1"/>
  <c r="B366" i="1" s="1"/>
  <c r="B367" i="1" s="1"/>
  <c r="B368" i="1" s="1"/>
  <c r="BW86" i="1"/>
  <c r="BW87" i="1" s="1"/>
  <c r="BN85" i="1"/>
  <c r="AX85" i="1"/>
  <c r="J37" i="1"/>
  <c r="H37" i="1"/>
  <c r="O37" i="1" s="1"/>
  <c r="AV36" i="1"/>
  <c r="AC36" i="1"/>
  <c r="BR58" i="1"/>
  <c r="BP59" i="1"/>
  <c r="AA40" i="1"/>
  <c r="AE40" i="1" s="1"/>
  <c r="C591" i="2" l="1"/>
  <c r="C592" i="2" s="1"/>
  <c r="C593" i="2" s="1"/>
  <c r="C594" i="2" s="1"/>
  <c r="C595" i="2" s="1"/>
  <c r="U520" i="3"/>
  <c r="U521" i="3" s="1"/>
  <c r="U522" i="3" s="1"/>
  <c r="U523" i="3" s="1"/>
  <c r="U524" i="3" s="1"/>
  <c r="U525" i="3" s="1"/>
  <c r="B369" i="1"/>
  <c r="B370" i="1" s="1"/>
  <c r="B371" i="1" s="1"/>
  <c r="BW88" i="1"/>
  <c r="BN87" i="1"/>
  <c r="AX87" i="1"/>
  <c r="AC37" i="1"/>
  <c r="AX86" i="1"/>
  <c r="BN86" i="1"/>
  <c r="AV37" i="1"/>
  <c r="H38" i="1"/>
  <c r="O38" i="1" s="1"/>
  <c r="J38" i="1"/>
  <c r="BR59" i="1"/>
  <c r="BP60" i="1"/>
  <c r="AA41" i="1"/>
  <c r="AE41" i="1" s="1"/>
  <c r="C596" i="2" l="1"/>
  <c r="C597" i="2" s="1"/>
  <c r="U526" i="3"/>
  <c r="U527" i="3" s="1"/>
  <c r="U528" i="3" s="1"/>
  <c r="U529" i="3" s="1"/>
  <c r="U530" i="3" s="1"/>
  <c r="U531" i="3" s="1"/>
  <c r="U532" i="3" s="1"/>
  <c r="B372" i="1"/>
  <c r="B373" i="1" s="1"/>
  <c r="B374" i="1" s="1"/>
  <c r="B375" i="1" s="1"/>
  <c r="B376" i="1" s="1"/>
  <c r="B377" i="1" s="1"/>
  <c r="B378" i="1" s="1"/>
  <c r="B379" i="1" s="1"/>
  <c r="B380" i="1" s="1"/>
  <c r="BW89" i="1"/>
  <c r="AX88" i="1"/>
  <c r="BN88" i="1"/>
  <c r="AC38" i="1"/>
  <c r="AV38" i="1"/>
  <c r="J39" i="1"/>
  <c r="H39" i="1"/>
  <c r="O39" i="1" s="1"/>
  <c r="BR60" i="1"/>
  <c r="BP61" i="1"/>
  <c r="AA42" i="1"/>
  <c r="AE42" i="1" s="1"/>
  <c r="C598" i="2" l="1"/>
  <c r="C599" i="2" s="1"/>
  <c r="C600" i="2" s="1"/>
  <c r="C601" i="2" s="1"/>
  <c r="U533" i="3"/>
  <c r="U534" i="3" s="1"/>
  <c r="U535" i="3" s="1"/>
  <c r="U536" i="3" s="1"/>
  <c r="B381" i="1"/>
  <c r="B382" i="1" s="1"/>
  <c r="B383" i="1" s="1"/>
  <c r="B384" i="1" s="1"/>
  <c r="B385" i="1" s="1"/>
  <c r="B386" i="1" s="1"/>
  <c r="B387" i="1" s="1"/>
  <c r="B388" i="1" s="1"/>
  <c r="B389" i="1" s="1"/>
  <c r="B390" i="1" s="1"/>
  <c r="BW90" i="1"/>
  <c r="BW91" i="1" s="1"/>
  <c r="AX89" i="1"/>
  <c r="BN89" i="1"/>
  <c r="H40" i="1"/>
  <c r="J41" i="1" s="1"/>
  <c r="AC39" i="1"/>
  <c r="AV39" i="1"/>
  <c r="J40" i="1"/>
  <c r="BR61" i="1"/>
  <c r="BP62" i="1"/>
  <c r="AA43" i="1"/>
  <c r="AE43" i="1" s="1"/>
  <c r="C602" i="2" l="1"/>
  <c r="C603" i="2" s="1"/>
  <c r="C604" i="2" s="1"/>
  <c r="C605" i="2" s="1"/>
  <c r="C606" i="2" s="1"/>
  <c r="C607" i="2" s="1"/>
  <c r="C608" i="2" s="1"/>
  <c r="U537" i="3"/>
  <c r="U538" i="3" s="1"/>
  <c r="U539" i="3" s="1"/>
  <c r="U540" i="3" s="1"/>
  <c r="U541" i="3" s="1"/>
  <c r="B391" i="1"/>
  <c r="B392" i="1" s="1"/>
  <c r="B393" i="1" s="1"/>
  <c r="B394" i="1" s="1"/>
  <c r="B395" i="1" s="1"/>
  <c r="B396" i="1" s="1"/>
  <c r="B397" i="1" s="1"/>
  <c r="B398" i="1" s="1"/>
  <c r="O40" i="1"/>
  <c r="AC40" i="1"/>
  <c r="AV40" i="1"/>
  <c r="H41" i="1"/>
  <c r="O41" i="1" s="1"/>
  <c r="BW92" i="1"/>
  <c r="BN91" i="1"/>
  <c r="AX91" i="1"/>
  <c r="BN90" i="1"/>
  <c r="AX90" i="1"/>
  <c r="BR62" i="1"/>
  <c r="BP63" i="1"/>
  <c r="AA44" i="1"/>
  <c r="AE44" i="1" s="1"/>
  <c r="C609" i="2" l="1"/>
  <c r="C610" i="2" s="1"/>
  <c r="C611" i="2" s="1"/>
  <c r="C612" i="2" s="1"/>
  <c r="U542" i="3"/>
  <c r="U543" i="3" s="1"/>
  <c r="U544" i="3" s="1"/>
  <c r="U545" i="3" s="1"/>
  <c r="H42" i="1"/>
  <c r="O42" i="1" s="1"/>
  <c r="J42" i="1"/>
  <c r="B399" i="1"/>
  <c r="B400" i="1" s="1"/>
  <c r="B401" i="1" s="1"/>
  <c r="B402" i="1" s="1"/>
  <c r="B403" i="1" s="1"/>
  <c r="AC41" i="1"/>
  <c r="AV41" i="1"/>
  <c r="BW93" i="1"/>
  <c r="BN92" i="1"/>
  <c r="AX92" i="1"/>
  <c r="BP64" i="1"/>
  <c r="BR63" i="1"/>
  <c r="AA45" i="1"/>
  <c r="AE45" i="1" s="1"/>
  <c r="J43" i="1"/>
  <c r="H43" i="1"/>
  <c r="O43" i="1" s="1"/>
  <c r="AV42" i="1"/>
  <c r="C613" i="2" l="1"/>
  <c r="C614" i="2" s="1"/>
  <c r="C615" i="2" s="1"/>
  <c r="C616" i="2" s="1"/>
  <c r="AC42" i="1"/>
  <c r="U546" i="3"/>
  <c r="U547" i="3" s="1"/>
  <c r="U548" i="3" s="1"/>
  <c r="B404" i="1"/>
  <c r="B405" i="1" s="1"/>
  <c r="B406" i="1" s="1"/>
  <c r="BW94" i="1"/>
  <c r="BN93" i="1"/>
  <c r="AX93" i="1"/>
  <c r="BP65" i="1"/>
  <c r="BR64" i="1"/>
  <c r="AA46" i="1"/>
  <c r="AE46" i="1" s="1"/>
  <c r="J44" i="1"/>
  <c r="H44" i="1"/>
  <c r="AV43" i="1"/>
  <c r="AC43" i="1"/>
  <c r="C617" i="2" l="1"/>
  <c r="C618" i="2" s="1"/>
  <c r="C619" i="2" s="1"/>
  <c r="C620" i="2" s="1"/>
  <c r="C621" i="2" s="1"/>
  <c r="U549" i="3"/>
  <c r="U550" i="3" s="1"/>
  <c r="U551" i="3" s="1"/>
  <c r="U552" i="3" s="1"/>
  <c r="B407" i="1"/>
  <c r="B408" i="1" s="1"/>
  <c r="B409" i="1" s="1"/>
  <c r="B410" i="1" s="1"/>
  <c r="B411" i="1" s="1"/>
  <c r="BW95" i="1"/>
  <c r="BW96" i="1" s="1"/>
  <c r="AX94" i="1"/>
  <c r="BN94" i="1"/>
  <c r="BP66" i="1"/>
  <c r="BR65" i="1"/>
  <c r="O44" i="1"/>
  <c r="AA47" i="1"/>
  <c r="AE47" i="1" s="1"/>
  <c r="AV44" i="1"/>
  <c r="J45" i="1"/>
  <c r="AC44" i="1"/>
  <c r="H45" i="1"/>
  <c r="C622" i="2" l="1"/>
  <c r="C623" i="2" s="1"/>
  <c r="U553" i="3"/>
  <c r="U554" i="3" s="1"/>
  <c r="U555" i="3" s="1"/>
  <c r="U556" i="3" s="1"/>
  <c r="B412" i="1"/>
  <c r="B413" i="1" s="1"/>
  <c r="B414" i="1" s="1"/>
  <c r="B415" i="1" s="1"/>
  <c r="B416" i="1" s="1"/>
  <c r="B417" i="1" s="1"/>
  <c r="O45" i="1"/>
  <c r="H46" i="1"/>
  <c r="BW97" i="1"/>
  <c r="BN96" i="1"/>
  <c r="AX96" i="1"/>
  <c r="BN95" i="1"/>
  <c r="AX95" i="1"/>
  <c r="BP67" i="1"/>
  <c r="BR66" i="1"/>
  <c r="AA48" i="1"/>
  <c r="AE48" i="1" s="1"/>
  <c r="J46" i="1"/>
  <c r="AV45" i="1"/>
  <c r="AC45" i="1"/>
  <c r="C624" i="2" l="1"/>
  <c r="C625" i="2" s="1"/>
  <c r="C626" i="2" s="1"/>
  <c r="C627" i="2" s="1"/>
  <c r="C628" i="2" s="1"/>
  <c r="U557" i="3"/>
  <c r="U558" i="3" s="1"/>
  <c r="U559" i="3" s="1"/>
  <c r="U560" i="3" s="1"/>
  <c r="B418" i="1"/>
  <c r="B419" i="1" s="1"/>
  <c r="B420" i="1" s="1"/>
  <c r="BN97" i="1"/>
  <c r="AX97" i="1"/>
  <c r="BW98" i="1"/>
  <c r="BP68" i="1"/>
  <c r="BP69" i="1" s="1"/>
  <c r="BR67" i="1"/>
  <c r="J47" i="1"/>
  <c r="O46" i="1"/>
  <c r="H47" i="1"/>
  <c r="AA49" i="1"/>
  <c r="AE49" i="1" s="1"/>
  <c r="AV46" i="1"/>
  <c r="AC46" i="1"/>
  <c r="C629" i="2" l="1"/>
  <c r="C630" i="2" s="1"/>
  <c r="C631" i="2" s="1"/>
  <c r="U561" i="3"/>
  <c r="U562" i="3" s="1"/>
  <c r="U563" i="3" s="1"/>
  <c r="U564" i="3" s="1"/>
  <c r="B421" i="1"/>
  <c r="B422" i="1" s="1"/>
  <c r="B423" i="1" s="1"/>
  <c r="B424" i="1" s="1"/>
  <c r="B425" i="1" s="1"/>
  <c r="BW99" i="1"/>
  <c r="BW100" i="1" s="1"/>
  <c r="BN98" i="1"/>
  <c r="AX98" i="1"/>
  <c r="BR69" i="1"/>
  <c r="BP70" i="1"/>
  <c r="BR68" i="1"/>
  <c r="AV47" i="1"/>
  <c r="O47" i="1"/>
  <c r="AC47" i="1"/>
  <c r="H48" i="1"/>
  <c r="AV48" i="1" s="1"/>
  <c r="J48" i="1"/>
  <c r="AA50" i="1"/>
  <c r="AE50" i="1" s="1"/>
  <c r="C632" i="2" l="1"/>
  <c r="C633" i="2" s="1"/>
  <c r="C634" i="2" s="1"/>
  <c r="C635" i="2" s="1"/>
  <c r="U565" i="3"/>
  <c r="U566" i="3" s="1"/>
  <c r="U567" i="3" s="1"/>
  <c r="U568" i="3" s="1"/>
  <c r="B426" i="1"/>
  <c r="B427" i="1" s="1"/>
  <c r="B428" i="1" s="1"/>
  <c r="B429" i="1" s="1"/>
  <c r="BW101" i="1"/>
  <c r="BN100" i="1"/>
  <c r="AX100" i="1"/>
  <c r="BN99" i="1"/>
  <c r="AX99" i="1"/>
  <c r="BR70" i="1"/>
  <c r="BP71" i="1"/>
  <c r="AC48" i="1"/>
  <c r="J49" i="1"/>
  <c r="O48" i="1"/>
  <c r="H49" i="1"/>
  <c r="H50" i="1" s="1"/>
  <c r="O50" i="1" s="1"/>
  <c r="AA51" i="1"/>
  <c r="C636" i="2" l="1"/>
  <c r="C637" i="2" s="1"/>
  <c r="C638" i="2" s="1"/>
  <c r="C639" i="2" s="1"/>
  <c r="U569" i="3"/>
  <c r="U570" i="3" s="1"/>
  <c r="U571" i="3" s="1"/>
  <c r="U572" i="3" s="1"/>
  <c r="B430" i="1"/>
  <c r="B431" i="1" s="1"/>
  <c r="B432" i="1" s="1"/>
  <c r="B433" i="1" s="1"/>
  <c r="BW102" i="1"/>
  <c r="AX101" i="1"/>
  <c r="BN101" i="1"/>
  <c r="AV49" i="1"/>
  <c r="AC49" i="1"/>
  <c r="BR71" i="1"/>
  <c r="BP72" i="1"/>
  <c r="BP73" i="1" s="1"/>
  <c r="O49" i="1"/>
  <c r="J50" i="1"/>
  <c r="AA52" i="1"/>
  <c r="AE51" i="1"/>
  <c r="J51" i="1"/>
  <c r="H51" i="1"/>
  <c r="AV50" i="1"/>
  <c r="AC50" i="1"/>
  <c r="C640" i="2" l="1"/>
  <c r="C641" i="2" s="1"/>
  <c r="C642" i="2" s="1"/>
  <c r="C643" i="2" s="1"/>
  <c r="U573" i="3"/>
  <c r="U574" i="3" s="1"/>
  <c r="U575" i="3" s="1"/>
  <c r="U576" i="3" s="1"/>
  <c r="B434" i="1"/>
  <c r="B435" i="1" s="1"/>
  <c r="B436" i="1" s="1"/>
  <c r="B437" i="1" s="1"/>
  <c r="B438" i="1" s="1"/>
  <c r="B439" i="1" s="1"/>
  <c r="B440" i="1" s="1"/>
  <c r="BW103" i="1"/>
  <c r="AX102" i="1"/>
  <c r="BN102" i="1"/>
  <c r="BR73" i="1"/>
  <c r="BP74" i="1"/>
  <c r="BR72" i="1"/>
  <c r="O51" i="1"/>
  <c r="AA53" i="1"/>
  <c r="AE52" i="1"/>
  <c r="H52" i="1"/>
  <c r="O52" i="1" s="1"/>
  <c r="J52" i="1"/>
  <c r="AC51" i="1"/>
  <c r="AV51" i="1"/>
  <c r="C644" i="2" l="1"/>
  <c r="C645" i="2" s="1"/>
  <c r="C646" i="2" s="1"/>
  <c r="C647" i="2" s="1"/>
  <c r="C648" i="2" s="1"/>
  <c r="C649" i="2" s="1"/>
  <c r="C650" i="2" s="1"/>
  <c r="C651" i="2" s="1"/>
  <c r="U577" i="3"/>
  <c r="U578" i="3" s="1"/>
  <c r="U579" i="3" s="1"/>
  <c r="U580" i="3" s="1"/>
  <c r="B441" i="1"/>
  <c r="B442" i="1" s="1"/>
  <c r="B443" i="1" s="1"/>
  <c r="B444" i="1" s="1"/>
  <c r="BW104" i="1"/>
  <c r="AX103" i="1"/>
  <c r="BN103" i="1"/>
  <c r="BR74" i="1"/>
  <c r="BP75" i="1"/>
  <c r="AA54" i="1"/>
  <c r="AE53" i="1"/>
  <c r="AV52" i="1"/>
  <c r="H53" i="1"/>
  <c r="J53" i="1"/>
  <c r="AC52" i="1"/>
  <c r="C652" i="2" l="1"/>
  <c r="C653" i="2" s="1"/>
  <c r="C654" i="2" s="1"/>
  <c r="C655" i="2" s="1"/>
  <c r="C656" i="2" s="1"/>
  <c r="U581" i="3"/>
  <c r="U582" i="3" s="1"/>
  <c r="U583" i="3" s="1"/>
  <c r="U584" i="3" s="1"/>
  <c r="B445" i="1"/>
  <c r="B446" i="1" s="1"/>
  <c r="B447" i="1" s="1"/>
  <c r="BW105" i="1"/>
  <c r="BN104" i="1"/>
  <c r="AX104" i="1"/>
  <c r="BP76" i="1"/>
  <c r="BR75" i="1"/>
  <c r="O53" i="1"/>
  <c r="AE54" i="1"/>
  <c r="AA55" i="1"/>
  <c r="AV53" i="1"/>
  <c r="H54" i="1"/>
  <c r="J54" i="1"/>
  <c r="AC53" i="1"/>
  <c r="C657" i="2" l="1"/>
  <c r="C658" i="2" s="1"/>
  <c r="C659" i="2" s="1"/>
  <c r="C660" i="2" s="1"/>
  <c r="C661" i="2" s="1"/>
  <c r="C662" i="2" s="1"/>
  <c r="C663" i="2" s="1"/>
  <c r="C664" i="2" s="1"/>
  <c r="C665" i="2" s="1"/>
  <c r="C666" i="2" s="1"/>
  <c r="C667" i="2" s="1"/>
  <c r="C668" i="2" s="1"/>
  <c r="C669" i="2" s="1"/>
  <c r="C670" i="2" s="1"/>
  <c r="C671" i="2" s="1"/>
  <c r="C672" i="2" s="1"/>
  <c r="C673" i="2" s="1"/>
  <c r="C674" i="2" s="1"/>
  <c r="C675" i="2" s="1"/>
  <c r="C676" i="2" s="1"/>
  <c r="C677" i="2" s="1"/>
  <c r="C678" i="2" s="1"/>
  <c r="C679" i="2" s="1"/>
  <c r="C680" i="2" s="1"/>
  <c r="C681" i="2" s="1"/>
  <c r="C682" i="2" s="1"/>
  <c r="C683" i="2" s="1"/>
  <c r="C684" i="2" s="1"/>
  <c r="C685" i="2" s="1"/>
  <c r="C686" i="2" s="1"/>
  <c r="C687" i="2" s="1"/>
  <c r="C688" i="2" s="1"/>
  <c r="C689" i="2" s="1"/>
  <c r="C690" i="2" s="1"/>
  <c r="C691" i="2" s="1"/>
  <c r="C692" i="2" s="1"/>
  <c r="C693" i="2" s="1"/>
  <c r="C694" i="2" s="1"/>
  <c r="C695" i="2" s="1"/>
  <c r="C696" i="2" s="1"/>
  <c r="C697" i="2" s="1"/>
  <c r="C698" i="2" s="1"/>
  <c r="C699" i="2" s="1"/>
  <c r="C700" i="2" s="1"/>
  <c r="C701" i="2" s="1"/>
  <c r="C702" i="2" s="1"/>
  <c r="C703" i="2" s="1"/>
  <c r="C704" i="2" s="1"/>
  <c r="C705" i="2" s="1"/>
  <c r="C706" i="2" s="1"/>
  <c r="U585" i="3"/>
  <c r="U586" i="3" s="1"/>
  <c r="U587" i="3" s="1"/>
  <c r="U588" i="3" s="1"/>
  <c r="B448" i="1"/>
  <c r="B449" i="1" s="1"/>
  <c r="B450" i="1" s="1"/>
  <c r="B451" i="1" s="1"/>
  <c r="B452" i="1" s="1"/>
  <c r="BW106" i="1"/>
  <c r="BN105" i="1"/>
  <c r="AX105" i="1"/>
  <c r="BR76" i="1"/>
  <c r="BP77" i="1"/>
  <c r="H55" i="1"/>
  <c r="J55" i="1"/>
  <c r="O54" i="1"/>
  <c r="AE55" i="1"/>
  <c r="AA56" i="1"/>
  <c r="AV54" i="1"/>
  <c r="AC54" i="1"/>
  <c r="C707" i="2" l="1"/>
  <c r="C708" i="2" s="1"/>
  <c r="C709" i="2" s="1"/>
  <c r="C710" i="2" s="1"/>
  <c r="U589" i="3"/>
  <c r="U590" i="3" s="1"/>
  <c r="U591" i="3" s="1"/>
  <c r="U592" i="3" s="1"/>
  <c r="B453" i="1"/>
  <c r="B454" i="1" s="1"/>
  <c r="B455" i="1" s="1"/>
  <c r="B456" i="1" s="1"/>
  <c r="BN106" i="1"/>
  <c r="AX106" i="1"/>
  <c r="BW107" i="1"/>
  <c r="BR77" i="1"/>
  <c r="BP78" i="1"/>
  <c r="BP79" i="1" s="1"/>
  <c r="O55" i="1"/>
  <c r="AE56" i="1"/>
  <c r="AA57" i="1"/>
  <c r="J56" i="1"/>
  <c r="H56" i="1"/>
  <c r="AV55" i="1"/>
  <c r="AC55" i="1"/>
  <c r="C711" i="2" l="1"/>
  <c r="C712" i="2" s="1"/>
  <c r="C713" i="2" s="1"/>
  <c r="C714" i="2" s="1"/>
  <c r="C715" i="2" s="1"/>
  <c r="C716" i="2" s="1"/>
  <c r="C717" i="2" s="1"/>
  <c r="C718" i="2" s="1"/>
  <c r="C719" i="2" s="1"/>
  <c r="C720" i="2" s="1"/>
  <c r="C721" i="2" s="1"/>
  <c r="U593" i="3"/>
  <c r="U594" i="3" s="1"/>
  <c r="U595" i="3" s="1"/>
  <c r="U596" i="3" s="1"/>
  <c r="B457" i="1"/>
  <c r="B458" i="1" s="1"/>
  <c r="B459" i="1" s="1"/>
  <c r="B460" i="1" s="1"/>
  <c r="B461" i="1" s="1"/>
  <c r="BW108" i="1"/>
  <c r="BW109" i="1" s="1"/>
  <c r="AX107" i="1"/>
  <c r="BN107" i="1"/>
  <c r="BR79" i="1"/>
  <c r="BP80" i="1"/>
  <c r="BR78" i="1"/>
  <c r="O56" i="1"/>
  <c r="H57" i="1"/>
  <c r="AC57" i="1" s="1"/>
  <c r="J57" i="1"/>
  <c r="AE57" i="1"/>
  <c r="AA58" i="1"/>
  <c r="AV56" i="1"/>
  <c r="AC56" i="1"/>
  <c r="C722" i="2" l="1"/>
  <c r="C723" i="2" s="1"/>
  <c r="C724" i="2" s="1"/>
  <c r="C725" i="2" s="1"/>
  <c r="C726" i="2" s="1"/>
  <c r="C727" i="2" s="1"/>
  <c r="U597" i="3"/>
  <c r="U598" i="3" s="1"/>
  <c r="U599" i="3" s="1"/>
  <c r="B462" i="1"/>
  <c r="B463" i="1" s="1"/>
  <c r="B464" i="1" s="1"/>
  <c r="B465" i="1" s="1"/>
  <c r="B466" i="1" s="1"/>
  <c r="B467" i="1" s="1"/>
  <c r="B468" i="1" s="1"/>
  <c r="B469" i="1" s="1"/>
  <c r="B470" i="1" s="1"/>
  <c r="B471" i="1" s="1"/>
  <c r="B472" i="1" s="1"/>
  <c r="BW110" i="1"/>
  <c r="BN109" i="1"/>
  <c r="AX109" i="1"/>
  <c r="AX108" i="1"/>
  <c r="BN108" i="1"/>
  <c r="BR80" i="1"/>
  <c r="BP81" i="1"/>
  <c r="AE58" i="1"/>
  <c r="AA59" i="1"/>
  <c r="AA60" i="1" s="1"/>
  <c r="AV57" i="1"/>
  <c r="O57" i="1"/>
  <c r="J58" i="1"/>
  <c r="H58" i="1"/>
  <c r="AC58" i="1" s="1"/>
  <c r="C728" i="2" l="1"/>
  <c r="C729" i="2" s="1"/>
  <c r="C730" i="2" s="1"/>
  <c r="C731" i="2" s="1"/>
  <c r="C732" i="2" s="1"/>
  <c r="C733" i="2" s="1"/>
  <c r="U600" i="3"/>
  <c r="U601" i="3" s="1"/>
  <c r="U602" i="3" s="1"/>
  <c r="U603" i="3" s="1"/>
  <c r="U604" i="3" s="1"/>
  <c r="B473" i="1"/>
  <c r="B474" i="1" s="1"/>
  <c r="BW111" i="1"/>
  <c r="AX110" i="1"/>
  <c r="BN110" i="1"/>
  <c r="BR81" i="1"/>
  <c r="BP82" i="1"/>
  <c r="AA61" i="1"/>
  <c r="AE60" i="1"/>
  <c r="AE59" i="1"/>
  <c r="AV58" i="1"/>
  <c r="J59" i="1"/>
  <c r="H59" i="1"/>
  <c r="O58" i="1"/>
  <c r="C734" i="2" l="1"/>
  <c r="C735" i="2" s="1"/>
  <c r="U605" i="3"/>
  <c r="U606" i="3" s="1"/>
  <c r="U607" i="3" s="1"/>
  <c r="U608" i="3" s="1"/>
  <c r="B475" i="1"/>
  <c r="B476" i="1" s="1"/>
  <c r="B477" i="1" s="1"/>
  <c r="B478" i="1" s="1"/>
  <c r="B479" i="1" s="1"/>
  <c r="B480" i="1" s="1"/>
  <c r="B481" i="1" s="1"/>
  <c r="BW112" i="1"/>
  <c r="AX111" i="1"/>
  <c r="BN111" i="1"/>
  <c r="BP83" i="1"/>
  <c r="BP84" i="1" s="1"/>
  <c r="BR82" i="1"/>
  <c r="AA62" i="1"/>
  <c r="AE61" i="1"/>
  <c r="J60" i="1"/>
  <c r="H60" i="1"/>
  <c r="AV59" i="1"/>
  <c r="O59" i="1"/>
  <c r="AC59" i="1"/>
  <c r="AA12" i="3"/>
  <c r="AA13" i="3"/>
  <c r="C736" i="2" l="1"/>
  <c r="C737" i="2" s="1"/>
  <c r="C738" i="2" s="1"/>
  <c r="U609" i="3"/>
  <c r="U610" i="3" s="1"/>
  <c r="U611" i="3" s="1"/>
  <c r="B482" i="1"/>
  <c r="B483" i="1" s="1"/>
  <c r="B484" i="1" s="1"/>
  <c r="BW113" i="1"/>
  <c r="BW114" i="1" s="1"/>
  <c r="BN112" i="1"/>
  <c r="AX112" i="1"/>
  <c r="BR84" i="1"/>
  <c r="BP85" i="1"/>
  <c r="BP86" i="1" s="1"/>
  <c r="BP87" i="1" s="1"/>
  <c r="BR83" i="1"/>
  <c r="AE62" i="1"/>
  <c r="AA63" i="1"/>
  <c r="J61" i="1"/>
  <c r="H61" i="1"/>
  <c r="AV60" i="1"/>
  <c r="O60" i="1"/>
  <c r="AC60" i="1"/>
  <c r="C739" i="2" l="1"/>
  <c r="C740" i="2" s="1"/>
  <c r="C741" i="2" s="1"/>
  <c r="U612" i="3"/>
  <c r="U613" i="3" s="1"/>
  <c r="U614" i="3" s="1"/>
  <c r="U615" i="3" s="1"/>
  <c r="U616" i="3" s="1"/>
  <c r="U617" i="3" s="1"/>
  <c r="U618" i="3" s="1"/>
  <c r="U619" i="3" s="1"/>
  <c r="U620" i="3" s="1"/>
  <c r="B485" i="1"/>
  <c r="B486" i="1" s="1"/>
  <c r="B487" i="1" s="1"/>
  <c r="B488" i="1" s="1"/>
  <c r="BW115" i="1"/>
  <c r="BN114" i="1"/>
  <c r="AX114" i="1"/>
  <c r="BN113" i="1"/>
  <c r="AX113" i="1"/>
  <c r="BR87" i="1"/>
  <c r="BP88" i="1"/>
  <c r="BR86" i="1"/>
  <c r="BR85" i="1"/>
  <c r="AA64" i="1"/>
  <c r="AA65" i="1" s="1"/>
  <c r="H62" i="1"/>
  <c r="J62" i="1"/>
  <c r="AE63" i="1"/>
  <c r="AV61" i="1"/>
  <c r="O61" i="1"/>
  <c r="AC61" i="1"/>
  <c r="C742" i="2" l="1"/>
  <c r="C743" i="2" s="1"/>
  <c r="C744" i="2" s="1"/>
  <c r="C745" i="2" s="1"/>
  <c r="C746" i="2" s="1"/>
  <c r="U621" i="3"/>
  <c r="U622" i="3" s="1"/>
  <c r="U623" i="3" s="1"/>
  <c r="U624" i="3" s="1"/>
  <c r="B489" i="1"/>
  <c r="B490" i="1" s="1"/>
  <c r="B491" i="1" s="1"/>
  <c r="B492" i="1" s="1"/>
  <c r="B493" i="1" s="1"/>
  <c r="B494" i="1" s="1"/>
  <c r="BW116" i="1"/>
  <c r="AX115" i="1"/>
  <c r="BN115" i="1"/>
  <c r="BP89" i="1"/>
  <c r="BR88" i="1"/>
  <c r="AE65" i="1"/>
  <c r="AA66" i="1"/>
  <c r="AE64" i="1"/>
  <c r="AV62" i="1"/>
  <c r="H63" i="1"/>
  <c r="J63" i="1"/>
  <c r="O62" i="1"/>
  <c r="AC62" i="1"/>
  <c r="C747" i="2" l="1"/>
  <c r="C748" i="2" s="1"/>
  <c r="C749" i="2" s="1"/>
  <c r="U625" i="3"/>
  <c r="U626" i="3" s="1"/>
  <c r="U627" i="3" s="1"/>
  <c r="U628" i="3" s="1"/>
  <c r="B495" i="1"/>
  <c r="B496" i="1" s="1"/>
  <c r="B497" i="1" s="1"/>
  <c r="B498" i="1" s="1"/>
  <c r="BW117" i="1"/>
  <c r="AX116" i="1"/>
  <c r="BN116" i="1"/>
  <c r="BR89" i="1"/>
  <c r="BP90" i="1"/>
  <c r="BP91" i="1" s="1"/>
  <c r="AA67" i="1"/>
  <c r="AE66" i="1"/>
  <c r="J64" i="1"/>
  <c r="H64" i="1"/>
  <c r="AV63" i="1"/>
  <c r="O63" i="1"/>
  <c r="AC63" i="1"/>
  <c r="AA17" i="3"/>
  <c r="AA18" i="3"/>
  <c r="AA15" i="3"/>
  <c r="AA16" i="3"/>
  <c r="AA14" i="3"/>
  <c r="C750" i="2" l="1"/>
  <c r="C751" i="2" s="1"/>
  <c r="C752" i="2" s="1"/>
  <c r="C753" i="2" s="1"/>
  <c r="C754" i="2" s="1"/>
  <c r="U629" i="3"/>
  <c r="U630" i="3" s="1"/>
  <c r="U631" i="3" s="1"/>
  <c r="U632" i="3" s="1"/>
  <c r="U633" i="3" s="1"/>
  <c r="U634" i="3" s="1"/>
  <c r="B499" i="1"/>
  <c r="B500" i="1" s="1"/>
  <c r="B501" i="1" s="1"/>
  <c r="B502" i="1" s="1"/>
  <c r="B503" i="1" s="1"/>
  <c r="BW118" i="1"/>
  <c r="AX117" i="1"/>
  <c r="BN117" i="1"/>
  <c r="BR91" i="1"/>
  <c r="BP92" i="1"/>
  <c r="BR90" i="1"/>
  <c r="AA68" i="1"/>
  <c r="AA69" i="1" s="1"/>
  <c r="AE67" i="1"/>
  <c r="H65" i="1"/>
  <c r="J65" i="1"/>
  <c r="AV64" i="1"/>
  <c r="O64" i="1"/>
  <c r="AC64" i="1"/>
  <c r="C755" i="2" l="1"/>
  <c r="C756" i="2" s="1"/>
  <c r="C757" i="2" s="1"/>
  <c r="C758" i="2" s="1"/>
  <c r="C759" i="2" s="1"/>
  <c r="C760" i="2" s="1"/>
  <c r="C766" i="2" s="1"/>
  <c r="U635" i="3"/>
  <c r="U636" i="3" s="1"/>
  <c r="U637" i="3" s="1"/>
  <c r="U638" i="3" s="1"/>
  <c r="B504" i="1"/>
  <c r="B505" i="1" s="1"/>
  <c r="B506" i="1" s="1"/>
  <c r="B507" i="1" s="1"/>
  <c r="B508" i="1" s="1"/>
  <c r="BW119" i="1"/>
  <c r="BN118" i="1"/>
  <c r="AX118" i="1"/>
  <c r="BR92" i="1"/>
  <c r="BP93" i="1"/>
  <c r="AA70" i="1"/>
  <c r="AA71" i="1" s="1"/>
  <c r="AE69" i="1"/>
  <c r="AE68" i="1"/>
  <c r="AC65" i="1"/>
  <c r="J66" i="1"/>
  <c r="H66" i="1"/>
  <c r="AV65" i="1"/>
  <c r="O65" i="1"/>
  <c r="U639" i="3" l="1"/>
  <c r="U640" i="3" s="1"/>
  <c r="U641" i="3" s="1"/>
  <c r="B509" i="1"/>
  <c r="B510" i="1" s="1"/>
  <c r="B511" i="1" s="1"/>
  <c r="B512" i="1" s="1"/>
  <c r="BW120" i="1"/>
  <c r="BN119" i="1"/>
  <c r="AX119" i="1"/>
  <c r="BR93" i="1"/>
  <c r="BP94" i="1"/>
  <c r="AA72" i="1"/>
  <c r="AE71" i="1"/>
  <c r="AE70" i="1"/>
  <c r="J67" i="1"/>
  <c r="H67" i="1"/>
  <c r="AV66" i="1"/>
  <c r="O66" i="1"/>
  <c r="AC66" i="1"/>
  <c r="AA20" i="3"/>
  <c r="AA19" i="3"/>
  <c r="U642" i="3" l="1"/>
  <c r="U643" i="3" s="1"/>
  <c r="U644" i="3" s="1"/>
  <c r="B513" i="1"/>
  <c r="B514" i="1" s="1"/>
  <c r="B515" i="1" s="1"/>
  <c r="B516" i="1" s="1"/>
  <c r="B517" i="1" s="1"/>
  <c r="B518" i="1" s="1"/>
  <c r="B519" i="1" s="1"/>
  <c r="B520" i="1" s="1"/>
  <c r="B521" i="1" s="1"/>
  <c r="B522" i="1" s="1"/>
  <c r="B523" i="1" s="1"/>
  <c r="B524" i="1" s="1"/>
  <c r="B525" i="1" s="1"/>
  <c r="B526" i="1" s="1"/>
  <c r="B527" i="1" s="1"/>
  <c r="BW121" i="1"/>
  <c r="BW122" i="1" s="1"/>
  <c r="AX120" i="1"/>
  <c r="BN120" i="1"/>
  <c r="BP95" i="1"/>
  <c r="BP96" i="1" s="1"/>
  <c r="BR94" i="1"/>
  <c r="AA73" i="1"/>
  <c r="AE72" i="1"/>
  <c r="H68" i="1"/>
  <c r="J68" i="1"/>
  <c r="AV67" i="1"/>
  <c r="O67" i="1"/>
  <c r="AC67" i="1"/>
  <c r="U645" i="3" l="1"/>
  <c r="U646" i="3" s="1"/>
  <c r="U647" i="3" s="1"/>
  <c r="B528" i="1"/>
  <c r="B529" i="1" s="1"/>
  <c r="B530" i="1" s="1"/>
  <c r="AX122" i="1"/>
  <c r="BW123" i="1"/>
  <c r="BN122" i="1"/>
  <c r="BN121" i="1"/>
  <c r="AX121" i="1"/>
  <c r="BR96" i="1"/>
  <c r="BP97" i="1"/>
  <c r="BR95" i="1"/>
  <c r="AA74" i="1"/>
  <c r="AE73" i="1"/>
  <c r="J69" i="1"/>
  <c r="H69" i="1"/>
  <c r="AV68" i="1"/>
  <c r="O68" i="1"/>
  <c r="AC68" i="1"/>
  <c r="U648" i="3" l="1"/>
  <c r="U649" i="3" s="1"/>
  <c r="U650" i="3" s="1"/>
  <c r="U651" i="3" s="1"/>
  <c r="B531" i="1"/>
  <c r="B532" i="1" s="1"/>
  <c r="B533" i="1" s="1"/>
  <c r="B534" i="1" s="1"/>
  <c r="BW124" i="1"/>
  <c r="BN123" i="1"/>
  <c r="AX123" i="1"/>
  <c r="BP98" i="1"/>
  <c r="BR97" i="1"/>
  <c r="AA75" i="1"/>
  <c r="AE74" i="1"/>
  <c r="J70" i="1"/>
  <c r="H70" i="1"/>
  <c r="AV69" i="1"/>
  <c r="AC69" i="1"/>
  <c r="O69" i="1"/>
  <c r="AA22" i="3"/>
  <c r="AA21" i="3"/>
  <c r="U652" i="3" l="1"/>
  <c r="U653" i="3" s="1"/>
  <c r="U654" i="3" s="1"/>
  <c r="B535" i="1"/>
  <c r="B536" i="1" s="1"/>
  <c r="B537" i="1" s="1"/>
  <c r="B538" i="1" s="1"/>
  <c r="B539" i="1" s="1"/>
  <c r="BW125" i="1"/>
  <c r="AX124" i="1"/>
  <c r="BN124" i="1"/>
  <c r="BP99" i="1"/>
  <c r="BP100" i="1" s="1"/>
  <c r="BR98" i="1"/>
  <c r="AA76" i="1"/>
  <c r="AE75" i="1"/>
  <c r="H71" i="1"/>
  <c r="J71" i="1"/>
  <c r="O70" i="1"/>
  <c r="AV70" i="1"/>
  <c r="AC70" i="1"/>
  <c r="U655" i="3" l="1"/>
  <c r="U656" i="3" s="1"/>
  <c r="U657" i="3" s="1"/>
  <c r="U658" i="3" s="1"/>
  <c r="B540" i="1"/>
  <c r="B541" i="1" s="1"/>
  <c r="B542" i="1" s="1"/>
  <c r="B543" i="1" s="1"/>
  <c r="B544" i="1" s="1"/>
  <c r="BW126" i="1"/>
  <c r="BN125" i="1"/>
  <c r="AX125" i="1"/>
  <c r="BR100" i="1"/>
  <c r="BP101" i="1"/>
  <c r="BR99" i="1"/>
  <c r="AA77" i="1"/>
  <c r="AE76" i="1"/>
  <c r="AV71" i="1"/>
  <c r="H72" i="1"/>
  <c r="AC71" i="1"/>
  <c r="O71" i="1"/>
  <c r="J72" i="1"/>
  <c r="AA24" i="3"/>
  <c r="AA23" i="3"/>
  <c r="U659" i="3" l="1"/>
  <c r="U660" i="3" s="1"/>
  <c r="U661" i="3" s="1"/>
  <c r="B545" i="1"/>
  <c r="B546" i="1" s="1"/>
  <c r="B547" i="1" s="1"/>
  <c r="B548" i="1" s="1"/>
  <c r="BW127" i="1"/>
  <c r="AX126" i="1"/>
  <c r="BN126" i="1"/>
  <c r="BP102" i="1"/>
  <c r="BR101" i="1"/>
  <c r="AE77" i="1"/>
  <c r="AA78" i="1"/>
  <c r="AA79" i="1" s="1"/>
  <c r="J73" i="1"/>
  <c r="H73" i="1"/>
  <c r="AV72" i="1"/>
  <c r="AC72" i="1"/>
  <c r="O72" i="1"/>
  <c r="U662" i="3" l="1"/>
  <c r="U663" i="3" s="1"/>
  <c r="U664" i="3" s="1"/>
  <c r="U665" i="3" s="1"/>
  <c r="U666" i="3" s="1"/>
  <c r="B549" i="1"/>
  <c r="B550" i="1" s="1"/>
  <c r="B551" i="1" s="1"/>
  <c r="B552" i="1" s="1"/>
  <c r="B553" i="1" s="1"/>
  <c r="B554" i="1" s="1"/>
  <c r="BW128" i="1"/>
  <c r="BW129" i="1" s="1"/>
  <c r="AX127" i="1"/>
  <c r="BN127" i="1"/>
  <c r="BP103" i="1"/>
  <c r="BR102" i="1"/>
  <c r="AE79" i="1"/>
  <c r="AA80" i="1"/>
  <c r="AE78" i="1"/>
  <c r="J74" i="1"/>
  <c r="H74" i="1"/>
  <c r="AV73" i="1"/>
  <c r="AC73" i="1"/>
  <c r="O73" i="1"/>
  <c r="AA26" i="3"/>
  <c r="AA25" i="3"/>
  <c r="U667" i="3" l="1"/>
  <c r="U668" i="3" s="1"/>
  <c r="U669" i="3" s="1"/>
  <c r="B555" i="1"/>
  <c r="B556" i="1" s="1"/>
  <c r="B557" i="1" s="1"/>
  <c r="B558" i="1" s="1"/>
  <c r="B559" i="1" s="1"/>
  <c r="BN129" i="1"/>
  <c r="BW130" i="1"/>
  <c r="AX129" i="1"/>
  <c r="AX128" i="1"/>
  <c r="BN128" i="1"/>
  <c r="BR103" i="1"/>
  <c r="BP104" i="1"/>
  <c r="AE80" i="1"/>
  <c r="AA81" i="1"/>
  <c r="AV74" i="1"/>
  <c r="J75" i="1"/>
  <c r="H75" i="1"/>
  <c r="AC74" i="1"/>
  <c r="O74" i="1"/>
  <c r="U670" i="3" l="1"/>
  <c r="U671" i="3" s="1"/>
  <c r="U672" i="3" s="1"/>
  <c r="U673" i="3" s="1"/>
  <c r="U674" i="3" s="1"/>
  <c r="B560" i="1"/>
  <c r="B561" i="1" s="1"/>
  <c r="B562" i="1" s="1"/>
  <c r="B563" i="1" s="1"/>
  <c r="B564" i="1" s="1"/>
  <c r="BW131" i="1"/>
  <c r="BN130" i="1"/>
  <c r="AX130" i="1"/>
  <c r="BP105" i="1"/>
  <c r="BR104" i="1"/>
  <c r="AE81" i="1"/>
  <c r="AA82" i="1"/>
  <c r="AA83" i="1" s="1"/>
  <c r="AA84" i="1" s="1"/>
  <c r="AV75" i="1"/>
  <c r="J76" i="1"/>
  <c r="H76" i="1"/>
  <c r="AC75" i="1"/>
  <c r="O75" i="1"/>
  <c r="AA30" i="3"/>
  <c r="AA31" i="3"/>
  <c r="AA28" i="3"/>
  <c r="AA29" i="3"/>
  <c r="U675" i="3" l="1"/>
  <c r="U676" i="3" s="1"/>
  <c r="U677" i="3" s="1"/>
  <c r="U678" i="3" s="1"/>
  <c r="B565" i="1"/>
  <c r="B566" i="1" s="1"/>
  <c r="B567" i="1" s="1"/>
  <c r="B568" i="1" s="1"/>
  <c r="B569" i="1" s="1"/>
  <c r="BW132" i="1"/>
  <c r="BN131" i="1"/>
  <c r="AX131" i="1"/>
  <c r="BP106" i="1"/>
  <c r="BR105" i="1"/>
  <c r="AE84" i="1"/>
  <c r="AA85" i="1"/>
  <c r="AA86" i="1" s="1"/>
  <c r="AA87" i="1" s="1"/>
  <c r="AE83" i="1"/>
  <c r="AE82" i="1"/>
  <c r="AV76" i="1"/>
  <c r="J77" i="1"/>
  <c r="H77" i="1"/>
  <c r="O76" i="1"/>
  <c r="AC76" i="1"/>
  <c r="AA27" i="3"/>
  <c r="U679" i="3" l="1"/>
  <c r="U680" i="3" s="1"/>
  <c r="U681" i="3" s="1"/>
  <c r="U682" i="3" s="1"/>
  <c r="U683" i="3" s="1"/>
  <c r="U684" i="3" s="1"/>
  <c r="U685" i="3" s="1"/>
  <c r="U686" i="3" s="1"/>
  <c r="B570" i="1"/>
  <c r="B571" i="1" s="1"/>
  <c r="B572" i="1" s="1"/>
  <c r="B573" i="1" s="1"/>
  <c r="BW133" i="1"/>
  <c r="BN132" i="1"/>
  <c r="AX132" i="1"/>
  <c r="BR106" i="1"/>
  <c r="BP107" i="1"/>
  <c r="AE87" i="1"/>
  <c r="AA88" i="1"/>
  <c r="AE86" i="1"/>
  <c r="AE85" i="1"/>
  <c r="H78" i="1"/>
  <c r="J78" i="1"/>
  <c r="O77" i="1"/>
  <c r="AV77" i="1"/>
  <c r="AC77" i="1"/>
  <c r="U687" i="3" l="1"/>
  <c r="U688" i="3" s="1"/>
  <c r="B574" i="1"/>
  <c r="B575" i="1" s="1"/>
  <c r="B576" i="1" s="1"/>
  <c r="B577" i="1" s="1"/>
  <c r="B578" i="1" s="1"/>
  <c r="B579" i="1" s="1"/>
  <c r="BW134" i="1"/>
  <c r="BN133" i="1"/>
  <c r="AX133" i="1"/>
  <c r="BP108" i="1"/>
  <c r="BP109" i="1" s="1"/>
  <c r="BR107" i="1"/>
  <c r="AA89" i="1"/>
  <c r="AE88" i="1"/>
  <c r="J79" i="1"/>
  <c r="H79" i="1"/>
  <c r="AV78" i="1"/>
  <c r="O78" i="1"/>
  <c r="AC78" i="1"/>
  <c r="U689" i="3" l="1"/>
  <c r="U690" i="3" s="1"/>
  <c r="U691" i="3" s="1"/>
  <c r="U692" i="3" s="1"/>
  <c r="U693" i="3" s="1"/>
  <c r="B580" i="1"/>
  <c r="B581" i="1" s="1"/>
  <c r="B582" i="1" s="1"/>
  <c r="BN134" i="1"/>
  <c r="BW135" i="1"/>
  <c r="AX134" i="1"/>
  <c r="BR109" i="1"/>
  <c r="BP110" i="1"/>
  <c r="BR108" i="1"/>
  <c r="AE89" i="1"/>
  <c r="AA90" i="1"/>
  <c r="AA91" i="1" s="1"/>
  <c r="O79" i="1"/>
  <c r="J80" i="1"/>
  <c r="H80" i="1"/>
  <c r="AC79" i="1"/>
  <c r="AV79" i="1"/>
  <c r="AA32" i="3"/>
  <c r="U694" i="3" l="1"/>
  <c r="U695" i="3" s="1"/>
  <c r="U696" i="3" s="1"/>
  <c r="B583" i="1"/>
  <c r="B584" i="1" s="1"/>
  <c r="B585" i="1" s="1"/>
  <c r="B586" i="1" s="1"/>
  <c r="BN135" i="1"/>
  <c r="BW136" i="1"/>
  <c r="AX135" i="1"/>
  <c r="BP111" i="1"/>
  <c r="BP112" i="1" s="1"/>
  <c r="BR110" i="1"/>
  <c r="AA92" i="1"/>
  <c r="AE91" i="1"/>
  <c r="AE90" i="1"/>
  <c r="H81" i="1"/>
  <c r="J81" i="1"/>
  <c r="AV80" i="1"/>
  <c r="O80" i="1"/>
  <c r="AC80" i="1"/>
  <c r="U697" i="3" l="1"/>
  <c r="U698" i="3" s="1"/>
  <c r="U699" i="3" s="1"/>
  <c r="U700" i="3" s="1"/>
  <c r="B587" i="1"/>
  <c r="B588" i="1" s="1"/>
  <c r="B589" i="1" s="1"/>
  <c r="BN136" i="1"/>
  <c r="AX136" i="1"/>
  <c r="BW137" i="1"/>
  <c r="BR112" i="1"/>
  <c r="BP113" i="1"/>
  <c r="BP114" i="1" s="1"/>
  <c r="BP115" i="1" s="1"/>
  <c r="BR111" i="1"/>
  <c r="AA93" i="1"/>
  <c r="AA94" i="1" s="1"/>
  <c r="AE92" i="1"/>
  <c r="O81" i="1"/>
  <c r="H82" i="1"/>
  <c r="J82" i="1"/>
  <c r="AC81" i="1"/>
  <c r="AV81" i="1"/>
  <c r="AA36" i="3"/>
  <c r="AA34" i="3"/>
  <c r="AA35" i="3"/>
  <c r="AA33" i="3"/>
  <c r="U701" i="3" l="1"/>
  <c r="U702" i="3" s="1"/>
  <c r="U703" i="3" s="1"/>
  <c r="U704" i="3" s="1"/>
  <c r="U705" i="3" s="1"/>
  <c r="B590" i="1"/>
  <c r="B591" i="1" s="1"/>
  <c r="B592" i="1" s="1"/>
  <c r="B593" i="1" s="1"/>
  <c r="BW138" i="1"/>
  <c r="BW139" i="1" s="1"/>
  <c r="BW140" i="1" s="1"/>
  <c r="BN137" i="1"/>
  <c r="AX137" i="1"/>
  <c r="BP116" i="1"/>
  <c r="BR115" i="1"/>
  <c r="BR114" i="1"/>
  <c r="BR113" i="1"/>
  <c r="AA95" i="1"/>
  <c r="AA96" i="1" s="1"/>
  <c r="AE94" i="1"/>
  <c r="AE93" i="1"/>
  <c r="J83" i="1"/>
  <c r="H83" i="1"/>
  <c r="AV82" i="1"/>
  <c r="O82" i="1"/>
  <c r="AC82" i="1"/>
  <c r="U706" i="3" l="1"/>
  <c r="U707" i="3" s="1"/>
  <c r="U708" i="3" s="1"/>
  <c r="U709" i="3" s="1"/>
  <c r="B594" i="1"/>
  <c r="B595" i="1" s="1"/>
  <c r="B596" i="1" s="1"/>
  <c r="B597" i="1" s="1"/>
  <c r="B598" i="1" s="1"/>
  <c r="B599" i="1" s="1"/>
  <c r="B600" i="1" s="1"/>
  <c r="BW141" i="1"/>
  <c r="BN140" i="1"/>
  <c r="AX140" i="1"/>
  <c r="BN139" i="1"/>
  <c r="AX139" i="1"/>
  <c r="AX138" i="1"/>
  <c r="BN138" i="1"/>
  <c r="BR116" i="1"/>
  <c r="BP117" i="1"/>
  <c r="AA97" i="1"/>
  <c r="AE96" i="1"/>
  <c r="AE95" i="1"/>
  <c r="J84" i="1"/>
  <c r="H84" i="1"/>
  <c r="AV83" i="1"/>
  <c r="O83" i="1"/>
  <c r="AC83" i="1"/>
  <c r="U710" i="3" l="1"/>
  <c r="U711" i="3" s="1"/>
  <c r="U712" i="3" s="1"/>
  <c r="U719" i="3" s="1"/>
  <c r="B601" i="1"/>
  <c r="B602" i="1" s="1"/>
  <c r="B603" i="1" s="1"/>
  <c r="AX141" i="1"/>
  <c r="BW142" i="1"/>
  <c r="BN141" i="1"/>
  <c r="BR117" i="1"/>
  <c r="BP118" i="1"/>
  <c r="AE97" i="1"/>
  <c r="AA98" i="1"/>
  <c r="AV84" i="1"/>
  <c r="J85" i="1"/>
  <c r="H85" i="1"/>
  <c r="O84" i="1"/>
  <c r="AC84" i="1"/>
  <c r="B604" i="1" l="1"/>
  <c r="B605" i="1" s="1"/>
  <c r="B606" i="1" s="1"/>
  <c r="B607" i="1" s="1"/>
  <c r="AX142" i="1"/>
  <c r="BN142" i="1"/>
  <c r="BW143" i="1"/>
  <c r="BP119" i="1"/>
  <c r="BP120" i="1" s="1"/>
  <c r="BR118" i="1"/>
  <c r="AA99" i="1"/>
  <c r="AA100" i="1" s="1"/>
  <c r="AE98" i="1"/>
  <c r="H86" i="1"/>
  <c r="J86" i="1"/>
  <c r="AV85" i="1"/>
  <c r="O85" i="1"/>
  <c r="AC85" i="1"/>
  <c r="AA39" i="3"/>
  <c r="AA38" i="3"/>
  <c r="AA37" i="3"/>
  <c r="B608" i="1" l="1"/>
  <c r="B609" i="1" s="1"/>
  <c r="B610" i="1" s="1"/>
  <c r="B611" i="1" s="1"/>
  <c r="BW144" i="1"/>
  <c r="AX143" i="1"/>
  <c r="BN143" i="1"/>
  <c r="BP121" i="1"/>
  <c r="BP122" i="1" s="1"/>
  <c r="BR120" i="1"/>
  <c r="BR119" i="1"/>
  <c r="AE100" i="1"/>
  <c r="AA101" i="1"/>
  <c r="AE99" i="1"/>
  <c r="J87" i="1"/>
  <c r="H87" i="1"/>
  <c r="AV86" i="1"/>
  <c r="O86" i="1"/>
  <c r="AC86" i="1"/>
  <c r="B612" i="1" l="1"/>
  <c r="B613" i="1" s="1"/>
  <c r="B614" i="1" s="1"/>
  <c r="BW145" i="1"/>
  <c r="BW146" i="1" s="1"/>
  <c r="BN144" i="1"/>
  <c r="AX144" i="1"/>
  <c r="BR122" i="1"/>
  <c r="BP123" i="1"/>
  <c r="BR121" i="1"/>
  <c r="AE101" i="1"/>
  <c r="AA102" i="1"/>
  <c r="AV87" i="1"/>
  <c r="J88" i="1"/>
  <c r="H88" i="1"/>
  <c r="O87" i="1"/>
  <c r="AC87" i="1"/>
  <c r="B615" i="1" l="1"/>
  <c r="B616" i="1" s="1"/>
  <c r="B617" i="1" s="1"/>
  <c r="AX146" i="1"/>
  <c r="BW147" i="1"/>
  <c r="BN146" i="1"/>
  <c r="AX145" i="1"/>
  <c r="BN145" i="1"/>
  <c r="BR123" i="1"/>
  <c r="BP124" i="1"/>
  <c r="AA103" i="1"/>
  <c r="AE102" i="1"/>
  <c r="AV88" i="1"/>
  <c r="J89" i="1"/>
  <c r="H89" i="1"/>
  <c r="O88" i="1"/>
  <c r="AC88" i="1"/>
  <c r="AA45" i="3"/>
  <c r="AA43" i="3"/>
  <c r="AA44" i="3"/>
  <c r="AA41" i="3"/>
  <c r="AA42" i="3"/>
  <c r="AA40" i="3"/>
  <c r="B618" i="1" l="1"/>
  <c r="B619" i="1" s="1"/>
  <c r="B620" i="1" s="1"/>
  <c r="B621" i="1" s="1"/>
  <c r="B622" i="1" s="1"/>
  <c r="AX147" i="1"/>
  <c r="BN147" i="1"/>
  <c r="BW148" i="1"/>
  <c r="BP125" i="1"/>
  <c r="BR124" i="1"/>
  <c r="AE103" i="1"/>
  <c r="AA104" i="1"/>
  <c r="J90" i="1"/>
  <c r="H90" i="1"/>
  <c r="O89" i="1"/>
  <c r="AV89" i="1"/>
  <c r="AC89" i="1"/>
  <c r="B623" i="1" l="1"/>
  <c r="B624" i="1" s="1"/>
  <c r="B625" i="1" s="1"/>
  <c r="B626" i="1" s="1"/>
  <c r="BW149" i="1"/>
  <c r="AX148" i="1"/>
  <c r="BN148" i="1"/>
  <c r="BR125" i="1"/>
  <c r="BP126" i="1"/>
  <c r="AE104" i="1"/>
  <c r="AA105" i="1"/>
  <c r="J91" i="1"/>
  <c r="H91" i="1"/>
  <c r="AV90" i="1"/>
  <c r="O90" i="1"/>
  <c r="AC90" i="1"/>
  <c r="B627" i="1" l="1"/>
  <c r="B628" i="1" s="1"/>
  <c r="B629" i="1" s="1"/>
  <c r="B630" i="1" s="1"/>
  <c r="BW150" i="1"/>
  <c r="BW151" i="1" s="1"/>
  <c r="BN149" i="1"/>
  <c r="AX149" i="1"/>
  <c r="BR126" i="1"/>
  <c r="BP127" i="1"/>
  <c r="AA106" i="1"/>
  <c r="AE105" i="1"/>
  <c r="O91" i="1"/>
  <c r="H92" i="1"/>
  <c r="J92" i="1"/>
  <c r="AV91" i="1"/>
  <c r="AC91" i="1"/>
  <c r="B631" i="1" l="1"/>
  <c r="B632" i="1" s="1"/>
  <c r="B633" i="1" s="1"/>
  <c r="B634" i="1" s="1"/>
  <c r="BN151" i="1"/>
  <c r="BW152" i="1"/>
  <c r="AX151" i="1"/>
  <c r="AX150" i="1"/>
  <c r="BN150" i="1"/>
  <c r="BP128" i="1"/>
  <c r="BP129" i="1" s="1"/>
  <c r="BP130" i="1" s="1"/>
  <c r="BR127" i="1"/>
  <c r="AA107" i="1"/>
  <c r="AA108" i="1" s="1"/>
  <c r="AA109" i="1" s="1"/>
  <c r="AE106" i="1"/>
  <c r="Y739" i="3"/>
  <c r="Y740" i="3" s="1"/>
  <c r="O92" i="1"/>
  <c r="H93" i="1"/>
  <c r="J93" i="1"/>
  <c r="AC92" i="1"/>
  <c r="AV92" i="1"/>
  <c r="B635" i="1" l="1"/>
  <c r="B636" i="1" s="1"/>
  <c r="BW153" i="1"/>
  <c r="BW154" i="1" s="1"/>
  <c r="BN152" i="1"/>
  <c r="AX152" i="1"/>
  <c r="BP131" i="1"/>
  <c r="BR130" i="1"/>
  <c r="BR129" i="1"/>
  <c r="BR128" i="1"/>
  <c r="AA110" i="1"/>
  <c r="AE109" i="1"/>
  <c r="AE108" i="1"/>
  <c r="AE107" i="1"/>
  <c r="H94" i="1"/>
  <c r="J94" i="1"/>
  <c r="O93" i="1"/>
  <c r="AV93" i="1"/>
  <c r="AC93" i="1"/>
  <c r="AA46" i="3"/>
  <c r="B637" i="1" l="1"/>
  <c r="B638" i="1" s="1"/>
  <c r="B639" i="1" s="1"/>
  <c r="B640" i="1" s="1"/>
  <c r="B641" i="1" s="1"/>
  <c r="BN154" i="1"/>
  <c r="BW155" i="1"/>
  <c r="BW156" i="1" s="1"/>
  <c r="AX154" i="1"/>
  <c r="BN153" i="1"/>
  <c r="AX153" i="1"/>
  <c r="BP132" i="1"/>
  <c r="BP133" i="1" s="1"/>
  <c r="BR131" i="1"/>
  <c r="AA111" i="1"/>
  <c r="AA112" i="1" s="1"/>
  <c r="AE110" i="1"/>
  <c r="H95" i="1"/>
  <c r="J95" i="1"/>
  <c r="O94" i="1"/>
  <c r="AV94" i="1"/>
  <c r="AC94" i="1"/>
  <c r="B642" i="1" l="1"/>
  <c r="B643" i="1" s="1"/>
  <c r="B644" i="1" s="1"/>
  <c r="BW157" i="1"/>
  <c r="BN156" i="1"/>
  <c r="AX156" i="1"/>
  <c r="BN155" i="1"/>
  <c r="AX155" i="1"/>
  <c r="BR133" i="1"/>
  <c r="BP134" i="1"/>
  <c r="BR132" i="1"/>
  <c r="AA113" i="1"/>
  <c r="AA114" i="1" s="1"/>
  <c r="AE112" i="1"/>
  <c r="AE111" i="1"/>
  <c r="J96" i="1"/>
  <c r="H96" i="1"/>
  <c r="O95" i="1"/>
  <c r="AV95" i="1"/>
  <c r="AC95" i="1"/>
  <c r="AA48" i="3"/>
  <c r="AA49" i="3"/>
  <c r="AA47" i="3"/>
  <c r="B645" i="1" l="1"/>
  <c r="B646" i="1" s="1"/>
  <c r="B647" i="1" s="1"/>
  <c r="B648" i="1" s="1"/>
  <c r="B649" i="1" s="1"/>
  <c r="BW158" i="1"/>
  <c r="BN157" i="1"/>
  <c r="AX157" i="1"/>
  <c r="BR134" i="1"/>
  <c r="BP135" i="1"/>
  <c r="AA115" i="1"/>
  <c r="AE114" i="1"/>
  <c r="AE113" i="1"/>
  <c r="AV96" i="1"/>
  <c r="H97" i="1"/>
  <c r="J97" i="1"/>
  <c r="O96" i="1"/>
  <c r="AC96" i="1"/>
  <c r="B650" i="1" l="1"/>
  <c r="B651" i="1" s="1"/>
  <c r="B652" i="1" s="1"/>
  <c r="AX158" i="1"/>
  <c r="BN158" i="1"/>
  <c r="BW159" i="1"/>
  <c r="BR135" i="1"/>
  <c r="BP136" i="1"/>
  <c r="AA116" i="1"/>
  <c r="AE115" i="1"/>
  <c r="O97" i="1"/>
  <c r="H98" i="1"/>
  <c r="J98" i="1"/>
  <c r="AV97" i="1"/>
  <c r="AC97" i="1"/>
  <c r="B653" i="1" l="1"/>
  <c r="B654" i="1" s="1"/>
  <c r="B655" i="1" s="1"/>
  <c r="B656" i="1" s="1"/>
  <c r="B657" i="1" s="1"/>
  <c r="BW160" i="1"/>
  <c r="AX159" i="1"/>
  <c r="BN159" i="1"/>
  <c r="BP137" i="1"/>
  <c r="BR136" i="1"/>
  <c r="AA117" i="1"/>
  <c r="AE116" i="1"/>
  <c r="J99" i="1"/>
  <c r="H99" i="1"/>
  <c r="O98" i="1"/>
  <c r="AV98" i="1"/>
  <c r="AC98" i="1"/>
  <c r="AA53" i="3"/>
  <c r="AA51" i="3"/>
  <c r="AA52" i="3"/>
  <c r="AA50" i="3"/>
  <c r="B658" i="1" l="1"/>
  <c r="B659" i="1" s="1"/>
  <c r="B660" i="1" s="1"/>
  <c r="B661" i="1" s="1"/>
  <c r="BN160" i="1"/>
  <c r="BW161" i="1"/>
  <c r="AX160" i="1"/>
  <c r="BR137" i="1"/>
  <c r="BP138" i="1"/>
  <c r="BP139" i="1" s="1"/>
  <c r="BP140" i="1" s="1"/>
  <c r="AE117" i="1"/>
  <c r="AA118" i="1"/>
  <c r="H100" i="1"/>
  <c r="J100" i="1"/>
  <c r="O99" i="1"/>
  <c r="AV99" i="1"/>
  <c r="AC99" i="1"/>
  <c r="B662" i="1" l="1"/>
  <c r="B663" i="1" s="1"/>
  <c r="B664" i="1" s="1"/>
  <c r="BN161" i="1"/>
  <c r="AX161" i="1"/>
  <c r="BW162" i="1"/>
  <c r="BW163" i="1" s="1"/>
  <c r="BR140" i="1"/>
  <c r="BP141" i="1"/>
  <c r="BR139" i="1"/>
  <c r="BR138" i="1"/>
  <c r="AE118" i="1"/>
  <c r="AA119" i="1"/>
  <c r="AV100" i="1"/>
  <c r="J101" i="1"/>
  <c r="H101" i="1"/>
  <c r="O100" i="1"/>
  <c r="AC100" i="1"/>
  <c r="B665" i="1" l="1"/>
  <c r="B666" i="1" s="1"/>
  <c r="B667" i="1" s="1"/>
  <c r="B668" i="1" s="1"/>
  <c r="BW164" i="1"/>
  <c r="BN163" i="1"/>
  <c r="AX163" i="1"/>
  <c r="BN162" i="1"/>
  <c r="AX162" i="1"/>
  <c r="BR141" i="1"/>
  <c r="BP142" i="1"/>
  <c r="AA120" i="1"/>
  <c r="AE119" i="1"/>
  <c r="O101" i="1"/>
  <c r="J102" i="1"/>
  <c r="H102" i="1"/>
  <c r="AV101" i="1"/>
  <c r="AC101" i="1"/>
  <c r="B669" i="1" l="1"/>
  <c r="B670" i="1" s="1"/>
  <c r="B671" i="1" s="1"/>
  <c r="B672" i="1" s="1"/>
  <c r="AX164" i="1"/>
  <c r="BN164" i="1"/>
  <c r="BW165" i="1"/>
  <c r="BR142" i="1"/>
  <c r="BP143" i="1"/>
  <c r="AE120" i="1"/>
  <c r="AA121" i="1"/>
  <c r="AA122" i="1" s="1"/>
  <c r="O102" i="1"/>
  <c r="J103" i="1"/>
  <c r="H103" i="1"/>
  <c r="AV102" i="1"/>
  <c r="AC102" i="1"/>
  <c r="AA59" i="3"/>
  <c r="AA60" i="3"/>
  <c r="AA57" i="3"/>
  <c r="AA58" i="3"/>
  <c r="AA55" i="3"/>
  <c r="AA56" i="3"/>
  <c r="AA54" i="3"/>
  <c r="B673" i="1" l="1"/>
  <c r="B674" i="1" s="1"/>
  <c r="B675" i="1" s="1"/>
  <c r="AX165" i="1"/>
  <c r="BW166" i="1"/>
  <c r="BN165" i="1"/>
  <c r="BR143" i="1"/>
  <c r="BP144" i="1"/>
  <c r="AA123" i="1"/>
  <c r="AE122" i="1"/>
  <c r="AE121" i="1"/>
  <c r="J104" i="1"/>
  <c r="H104" i="1"/>
  <c r="AV103" i="1"/>
  <c r="O103" i="1"/>
  <c r="AC103" i="1"/>
  <c r="B676" i="1" l="1"/>
  <c r="B677" i="1" s="1"/>
  <c r="B678" i="1" s="1"/>
  <c r="B679" i="1" s="1"/>
  <c r="AX166" i="1"/>
  <c r="BN166" i="1"/>
  <c r="BW167" i="1"/>
  <c r="BP145" i="1"/>
  <c r="BP146" i="1" s="1"/>
  <c r="BR144" i="1"/>
  <c r="AE123" i="1"/>
  <c r="AA124" i="1"/>
  <c r="O104" i="1"/>
  <c r="H105" i="1"/>
  <c r="J105" i="1"/>
  <c r="AV104" i="1"/>
  <c r="AC104" i="1"/>
  <c r="B680" i="1" l="1"/>
  <c r="B681" i="1" s="1"/>
  <c r="BW168" i="1"/>
  <c r="BW169" i="1" s="1"/>
  <c r="BN167" i="1"/>
  <c r="AX167" i="1"/>
  <c r="BP147" i="1"/>
  <c r="BR146" i="1"/>
  <c r="BR145" i="1"/>
  <c r="AE124" i="1"/>
  <c r="AA125" i="1"/>
  <c r="AA126" i="1" s="1"/>
  <c r="O105" i="1"/>
  <c r="J106" i="1"/>
  <c r="H106" i="1"/>
  <c r="H107" i="1" s="1"/>
  <c r="AV105" i="1"/>
  <c r="AC105" i="1"/>
  <c r="B682" i="1" l="1"/>
  <c r="B683" i="1" s="1"/>
  <c r="BN169" i="1"/>
  <c r="AX169" i="1"/>
  <c r="BW170" i="1"/>
  <c r="AX168" i="1"/>
  <c r="BN168" i="1"/>
  <c r="BP148" i="1"/>
  <c r="BR147" i="1"/>
  <c r="AA127" i="1"/>
  <c r="AE126" i="1"/>
  <c r="AE125" i="1"/>
  <c r="AV106" i="1"/>
  <c r="J107" i="1"/>
  <c r="O106" i="1"/>
  <c r="W739" i="3"/>
  <c r="W740" i="3" s="1"/>
  <c r="AC106" i="1"/>
  <c r="B684" i="1" l="1"/>
  <c r="B685" i="1" s="1"/>
  <c r="B686" i="1" s="1"/>
  <c r="BW171" i="1"/>
  <c r="BN170" i="1"/>
  <c r="AX170" i="1"/>
  <c r="BR148" i="1"/>
  <c r="BP149" i="1"/>
  <c r="BP150" i="1" s="1"/>
  <c r="BP151" i="1" s="1"/>
  <c r="AE127" i="1"/>
  <c r="AA128" i="1"/>
  <c r="AA129" i="1" s="1"/>
  <c r="AA130" i="1" s="1"/>
  <c r="J108" i="1"/>
  <c r="H108" i="1"/>
  <c r="O107" i="1"/>
  <c r="AV107" i="1"/>
  <c r="AC107" i="1"/>
  <c r="B687" i="1" l="1"/>
  <c r="B688" i="1" s="1"/>
  <c r="B689" i="1" s="1"/>
  <c r="B690" i="1" s="1"/>
  <c r="BW172" i="1"/>
  <c r="BN171" i="1"/>
  <c r="AX171" i="1"/>
  <c r="BR151" i="1"/>
  <c r="BP152" i="1"/>
  <c r="BP153" i="1" s="1"/>
  <c r="BP154" i="1" s="1"/>
  <c r="BR150" i="1"/>
  <c r="BR149" i="1"/>
  <c r="AA131" i="1"/>
  <c r="AE130" i="1"/>
  <c r="AE129" i="1"/>
  <c r="AE128" i="1"/>
  <c r="H109" i="1"/>
  <c r="J109" i="1"/>
  <c r="AV108" i="1"/>
  <c r="O108" i="1"/>
  <c r="AC108" i="1"/>
  <c r="B691" i="1" l="1"/>
  <c r="B692" i="1" s="1"/>
  <c r="B693" i="1" s="1"/>
  <c r="BN172" i="1"/>
  <c r="AX172" i="1"/>
  <c r="BW173" i="1"/>
  <c r="BW174" i="1" s="1"/>
  <c r="BR154" i="1"/>
  <c r="BP155" i="1"/>
  <c r="BP156" i="1" s="1"/>
  <c r="BR153" i="1"/>
  <c r="BR152" i="1"/>
  <c r="AA132" i="1"/>
  <c r="AA133" i="1" s="1"/>
  <c r="AE131" i="1"/>
  <c r="O109" i="1"/>
  <c r="J110" i="1"/>
  <c r="H110" i="1"/>
  <c r="AC109" i="1"/>
  <c r="AV109" i="1"/>
  <c r="B694" i="1" l="1"/>
  <c r="B695" i="1" s="1"/>
  <c r="B696" i="1" s="1"/>
  <c r="B697" i="1" s="1"/>
  <c r="B698" i="1" s="1"/>
  <c r="BN174" i="1"/>
  <c r="BW175" i="1"/>
  <c r="AX174" i="1"/>
  <c r="BN173" i="1"/>
  <c r="AX173" i="1"/>
  <c r="BR156" i="1"/>
  <c r="BP157" i="1"/>
  <c r="BR155" i="1"/>
  <c r="AA134" i="1"/>
  <c r="AE133" i="1"/>
  <c r="AE132" i="1"/>
  <c r="O110" i="1"/>
  <c r="J111" i="1"/>
  <c r="H111" i="1"/>
  <c r="AC110" i="1"/>
  <c r="AV110" i="1"/>
  <c r="AA65" i="3"/>
  <c r="AA63" i="3"/>
  <c r="AA64" i="3"/>
  <c r="AA62" i="3"/>
  <c r="B699" i="1" l="1"/>
  <c r="B700" i="1" s="1"/>
  <c r="B701" i="1" s="1"/>
  <c r="B702" i="1" s="1"/>
  <c r="BW176" i="1"/>
  <c r="BN175" i="1"/>
  <c r="AX175" i="1"/>
  <c r="BP158" i="1"/>
  <c r="BR157" i="1"/>
  <c r="AA135" i="1"/>
  <c r="AE134" i="1"/>
  <c r="J112" i="1"/>
  <c r="H112" i="1"/>
  <c r="O111" i="1"/>
  <c r="AC111" i="1"/>
  <c r="AV111" i="1"/>
  <c r="B703" i="1" l="1"/>
  <c r="B704" i="1" s="1"/>
  <c r="BW177" i="1"/>
  <c r="AX176" i="1"/>
  <c r="BN176" i="1"/>
  <c r="BP159" i="1"/>
  <c r="BR158" i="1"/>
  <c r="AE135" i="1"/>
  <c r="AA136" i="1"/>
  <c r="AV112" i="1"/>
  <c r="J113" i="1"/>
  <c r="H113" i="1"/>
  <c r="H114" i="1" s="1"/>
  <c r="O112" i="1"/>
  <c r="AC112" i="1"/>
  <c r="B705" i="1" l="1"/>
  <c r="BW178" i="1"/>
  <c r="BN177" i="1"/>
  <c r="AX177" i="1"/>
  <c r="BR159" i="1"/>
  <c r="BP160" i="1"/>
  <c r="AA137" i="1"/>
  <c r="AE136" i="1"/>
  <c r="J114" i="1"/>
  <c r="O113" i="1"/>
  <c r="AV113" i="1"/>
  <c r="AC113" i="1"/>
  <c r="B706" i="1" l="1"/>
  <c r="B707" i="1" s="1"/>
  <c r="B708" i="1" s="1"/>
  <c r="B709" i="1" s="1"/>
  <c r="B710" i="1" s="1"/>
  <c r="BW179" i="1"/>
  <c r="AX178" i="1"/>
  <c r="BN178" i="1"/>
  <c r="BP161" i="1"/>
  <c r="BR160" i="1"/>
  <c r="AE137" i="1"/>
  <c r="AA138" i="1"/>
  <c r="AA139" i="1" s="1"/>
  <c r="AA140" i="1" s="1"/>
  <c r="H115" i="1"/>
  <c r="H116" i="1" s="1"/>
  <c r="J115" i="1"/>
  <c r="O114" i="1"/>
  <c r="AV114" i="1"/>
  <c r="AC114" i="1"/>
  <c r="AA67" i="3"/>
  <c r="AA66" i="3"/>
  <c r="B711" i="1" l="1"/>
  <c r="B712" i="1" s="1"/>
  <c r="B713" i="1" s="1"/>
  <c r="BW180" i="1"/>
  <c r="BN179" i="1"/>
  <c r="AX179" i="1"/>
  <c r="BP162" i="1"/>
  <c r="BP163" i="1" s="1"/>
  <c r="BR161" i="1"/>
  <c r="AE140" i="1"/>
  <c r="AA141" i="1"/>
  <c r="AE139" i="1"/>
  <c r="AE138" i="1"/>
  <c r="O115" i="1"/>
  <c r="J116" i="1"/>
  <c r="AV115" i="1"/>
  <c r="AC115" i="1"/>
  <c r="B714" i="1" l="1"/>
  <c r="B715" i="1" s="1"/>
  <c r="B716" i="1" s="1"/>
  <c r="B717" i="1" s="1"/>
  <c r="B718" i="1" s="1"/>
  <c r="B719" i="1" s="1"/>
  <c r="BW181" i="1"/>
  <c r="BW182" i="1" s="1"/>
  <c r="BN180" i="1"/>
  <c r="AX180" i="1"/>
  <c r="BP164" i="1"/>
  <c r="BR163" i="1"/>
  <c r="BR162" i="1"/>
  <c r="AE141" i="1"/>
  <c r="AA142" i="1"/>
  <c r="O116" i="1"/>
  <c r="J117" i="1"/>
  <c r="H117" i="1"/>
  <c r="AC116" i="1"/>
  <c r="AV116" i="1"/>
  <c r="AA71" i="3"/>
  <c r="AA72" i="3"/>
  <c r="AA69" i="3"/>
  <c r="AA70" i="3"/>
  <c r="AA68" i="3"/>
  <c r="B720" i="1" l="1"/>
  <c r="B721" i="1" s="1"/>
  <c r="B722" i="1" s="1"/>
  <c r="B723" i="1" s="1"/>
  <c r="BN182" i="1"/>
  <c r="BW183" i="1"/>
  <c r="AX182" i="1"/>
  <c r="BN181" i="1"/>
  <c r="AX181" i="1"/>
  <c r="BP165" i="1"/>
  <c r="BR164" i="1"/>
  <c r="AE142" i="1"/>
  <c r="AA143" i="1"/>
  <c r="AV117" i="1"/>
  <c r="H118" i="1"/>
  <c r="J118" i="1"/>
  <c r="AC117" i="1"/>
  <c r="O117" i="1"/>
  <c r="B724" i="1" l="1"/>
  <c r="B725" i="1" s="1"/>
  <c r="B726" i="1" s="1"/>
  <c r="B727" i="1" s="1"/>
  <c r="B728" i="1" s="1"/>
  <c r="BW184" i="1"/>
  <c r="BN183" i="1"/>
  <c r="AX183" i="1"/>
  <c r="BR165" i="1"/>
  <c r="BP166" i="1"/>
  <c r="AE143" i="1"/>
  <c r="AA144" i="1"/>
  <c r="H119" i="1"/>
  <c r="J119" i="1"/>
  <c r="O118" i="1"/>
  <c r="AC118" i="1"/>
  <c r="AV118" i="1"/>
  <c r="B729" i="1" l="1"/>
  <c r="B730" i="1" s="1"/>
  <c r="B731" i="1" s="1"/>
  <c r="B732" i="1" s="1"/>
  <c r="BN184" i="1"/>
  <c r="AX184" i="1"/>
  <c r="BW185" i="1"/>
  <c r="BR166" i="1"/>
  <c r="BP167" i="1"/>
  <c r="BP168" i="1" s="1"/>
  <c r="BP169" i="1" s="1"/>
  <c r="AE144" i="1"/>
  <c r="AA145" i="1"/>
  <c r="AA146" i="1" s="1"/>
  <c r="H120" i="1"/>
  <c r="J120" i="1"/>
  <c r="O119" i="1"/>
  <c r="AV119" i="1"/>
  <c r="AC119" i="1"/>
  <c r="B733" i="1" l="1"/>
  <c r="B734" i="1" s="1"/>
  <c r="BW186" i="1"/>
  <c r="AX185" i="1"/>
  <c r="BN185" i="1"/>
  <c r="BR169" i="1"/>
  <c r="BP170" i="1"/>
  <c r="BR168" i="1"/>
  <c r="BR167" i="1"/>
  <c r="AA147" i="1"/>
  <c r="AE146" i="1"/>
  <c r="AE145" i="1"/>
  <c r="O120" i="1"/>
  <c r="J121" i="1"/>
  <c r="H121" i="1"/>
  <c r="AV120" i="1"/>
  <c r="AC120" i="1"/>
  <c r="B735" i="1" l="1"/>
  <c r="B736" i="1" s="1"/>
  <c r="B737" i="1" s="1"/>
  <c r="B738" i="1" s="1"/>
  <c r="BW187" i="1"/>
  <c r="BW188" i="1" s="1"/>
  <c r="AX186" i="1"/>
  <c r="BN186" i="1"/>
  <c r="BR170" i="1"/>
  <c r="BP171" i="1"/>
  <c r="AE147" i="1"/>
  <c r="AA148" i="1"/>
  <c r="J122" i="1"/>
  <c r="H122" i="1"/>
  <c r="O121" i="1"/>
  <c r="AV121" i="1"/>
  <c r="AC121" i="1"/>
  <c r="AA75" i="3"/>
  <c r="AA76" i="3"/>
  <c r="AA73" i="3"/>
  <c r="AA74" i="3"/>
  <c r="B739" i="1" l="1"/>
  <c r="B740" i="1" s="1"/>
  <c r="B741" i="1" s="1"/>
  <c r="B742" i="1" s="1"/>
  <c r="BW189" i="1"/>
  <c r="BN188" i="1"/>
  <c r="AX188" i="1"/>
  <c r="BN187" i="1"/>
  <c r="AX187" i="1"/>
  <c r="BP172" i="1"/>
  <c r="BR171" i="1"/>
  <c r="AE148" i="1"/>
  <c r="AA149" i="1"/>
  <c r="AA150" i="1" s="1"/>
  <c r="AA151" i="1" s="1"/>
  <c r="AV122" i="1"/>
  <c r="J123" i="1"/>
  <c r="H123" i="1"/>
  <c r="O122" i="1"/>
  <c r="AC122" i="1"/>
  <c r="B743" i="1" l="1"/>
  <c r="B744" i="1" s="1"/>
  <c r="BN189" i="1"/>
  <c r="AX189" i="1"/>
  <c r="BW190" i="1"/>
  <c r="BR172" i="1"/>
  <c r="BP173" i="1"/>
  <c r="BP174" i="1" s="1"/>
  <c r="AA152" i="1"/>
  <c r="AA153" i="1" s="1"/>
  <c r="AA154" i="1" s="1"/>
  <c r="AE151" i="1"/>
  <c r="AE150" i="1"/>
  <c r="AE149" i="1"/>
  <c r="O123" i="1"/>
  <c r="J124" i="1"/>
  <c r="H124" i="1"/>
  <c r="AV123" i="1"/>
  <c r="AC123" i="1"/>
  <c r="B745" i="1" l="1"/>
  <c r="B746" i="1" s="1"/>
  <c r="B747" i="1" s="1"/>
  <c r="BW191" i="1"/>
  <c r="AX190" i="1"/>
  <c r="BN190" i="1"/>
  <c r="BR174" i="1"/>
  <c r="BP175" i="1"/>
  <c r="BR173" i="1"/>
  <c r="AA155" i="1"/>
  <c r="AA156" i="1" s="1"/>
  <c r="AE154" i="1"/>
  <c r="AE153" i="1"/>
  <c r="AE152" i="1"/>
  <c r="O124" i="1"/>
  <c r="H125" i="1"/>
  <c r="J125" i="1"/>
  <c r="AV124" i="1"/>
  <c r="AC124" i="1"/>
  <c r="AA78" i="3"/>
  <c r="AA79" i="3"/>
  <c r="AA77" i="3"/>
  <c r="B748" i="1" l="1"/>
  <c r="B749" i="1" s="1"/>
  <c r="B750" i="1" s="1"/>
  <c r="B751" i="1" s="1"/>
  <c r="B752" i="1" s="1"/>
  <c r="BW192" i="1"/>
  <c r="BN191" i="1"/>
  <c r="AX191" i="1"/>
  <c r="BR175" i="1"/>
  <c r="BP176" i="1"/>
  <c r="AA157" i="1"/>
  <c r="AE156" i="1"/>
  <c r="AE155" i="1"/>
  <c r="H126" i="1"/>
  <c r="J126" i="1"/>
  <c r="AV125" i="1"/>
  <c r="O125" i="1"/>
  <c r="AC125" i="1"/>
  <c r="B753" i="1" l="1"/>
  <c r="B754" i="1" s="1"/>
  <c r="B755" i="1" s="1"/>
  <c r="B756" i="1" s="1"/>
  <c r="BN192" i="1"/>
  <c r="AX192" i="1"/>
  <c r="BW193" i="1"/>
  <c r="BP177" i="1"/>
  <c r="BR176" i="1"/>
  <c r="AE157" i="1"/>
  <c r="AA158" i="1"/>
  <c r="AC126" i="1"/>
  <c r="J127" i="1"/>
  <c r="H127" i="1"/>
  <c r="O126" i="1"/>
  <c r="AV126" i="1"/>
  <c r="B757" i="1" l="1"/>
  <c r="B758" i="1" s="1"/>
  <c r="B759" i="1" s="1"/>
  <c r="B765" i="1" s="1"/>
  <c r="BW194" i="1"/>
  <c r="BN193" i="1"/>
  <c r="AX193" i="1"/>
  <c r="BR177" i="1"/>
  <c r="BP178" i="1"/>
  <c r="AA159" i="1"/>
  <c r="AE158" i="1"/>
  <c r="AV127" i="1"/>
  <c r="H128" i="1"/>
  <c r="J128" i="1"/>
  <c r="O127" i="1"/>
  <c r="AC127" i="1"/>
  <c r="BW195" i="1" l="1"/>
  <c r="BW196" i="1" s="1"/>
  <c r="BN194" i="1"/>
  <c r="AX194" i="1"/>
  <c r="BR178" i="1"/>
  <c r="BP179" i="1"/>
  <c r="AE159" i="1"/>
  <c r="AA160" i="1"/>
  <c r="J129" i="1"/>
  <c r="H129" i="1"/>
  <c r="AC128" i="1"/>
  <c r="O128" i="1"/>
  <c r="AV128" i="1"/>
  <c r="AA81" i="3"/>
  <c r="AA82" i="3"/>
  <c r="AA80" i="3"/>
  <c r="BW197" i="1" l="1"/>
  <c r="AX196" i="1"/>
  <c r="BN196" i="1"/>
  <c r="BN195" i="1"/>
  <c r="AX195" i="1"/>
  <c r="BR179" i="1"/>
  <c r="BP180" i="1"/>
  <c r="AA161" i="1"/>
  <c r="AE160" i="1"/>
  <c r="J130" i="1"/>
  <c r="H130" i="1"/>
  <c r="O129" i="1"/>
  <c r="AV129" i="1"/>
  <c r="AC129" i="1"/>
  <c r="BW198" i="1" l="1"/>
  <c r="AX197" i="1"/>
  <c r="BN197" i="1"/>
  <c r="BR180" i="1"/>
  <c r="BP181" i="1"/>
  <c r="BP182" i="1" s="1"/>
  <c r="AE161" i="1"/>
  <c r="AA162" i="1"/>
  <c r="AA163" i="1" s="1"/>
  <c r="AV130" i="1"/>
  <c r="J131" i="1"/>
  <c r="H131" i="1"/>
  <c r="O130" i="1"/>
  <c r="AC130" i="1"/>
  <c r="BW199" i="1" l="1"/>
  <c r="BN198" i="1"/>
  <c r="AX198" i="1"/>
  <c r="BP183" i="1"/>
  <c r="BR182" i="1"/>
  <c r="BR181" i="1"/>
  <c r="AA164" i="1"/>
  <c r="AE163" i="1"/>
  <c r="AE162" i="1"/>
  <c r="AV131" i="1"/>
  <c r="J132" i="1"/>
  <c r="H132" i="1"/>
  <c r="O131" i="1"/>
  <c r="AC131" i="1"/>
  <c r="AA86" i="3"/>
  <c r="AA84" i="3"/>
  <c r="AA85" i="3"/>
  <c r="AA83" i="3"/>
  <c r="BN199" i="1" l="1"/>
  <c r="BW200" i="1"/>
  <c r="AX199" i="1"/>
  <c r="BP184" i="1"/>
  <c r="BP185" i="1" s="1"/>
  <c r="BR183" i="1"/>
  <c r="AA165" i="1"/>
  <c r="AE164" i="1"/>
  <c r="J133" i="1"/>
  <c r="H133" i="1"/>
  <c r="O132" i="1"/>
  <c r="AV132" i="1"/>
  <c r="AC132" i="1"/>
  <c r="AX200" i="1" l="1"/>
  <c r="BW201" i="1"/>
  <c r="BN200" i="1"/>
  <c r="BP186" i="1"/>
  <c r="BR185" i="1"/>
  <c r="BR184" i="1"/>
  <c r="AE165" i="1"/>
  <c r="AA166" i="1"/>
  <c r="AV133" i="1"/>
  <c r="H134" i="1"/>
  <c r="J134" i="1"/>
  <c r="O133" i="1"/>
  <c r="AC133" i="1"/>
  <c r="AX201" i="1" l="1"/>
  <c r="BW202" i="1"/>
  <c r="BN201" i="1"/>
  <c r="BR186" i="1"/>
  <c r="BP187" i="1"/>
  <c r="BP188" i="1" s="1"/>
  <c r="AE166" i="1"/>
  <c r="AA167" i="1"/>
  <c r="AA168" i="1" s="1"/>
  <c r="AA169" i="1" s="1"/>
  <c r="AV134" i="1"/>
  <c r="J135" i="1"/>
  <c r="H135" i="1"/>
  <c r="O134" i="1"/>
  <c r="AC134" i="1"/>
  <c r="BN202" i="1" l="1"/>
  <c r="AX202" i="1"/>
  <c r="BW203" i="1"/>
  <c r="BR188" i="1"/>
  <c r="BP189" i="1"/>
  <c r="BR187" i="1"/>
  <c r="AE169" i="1"/>
  <c r="AA170" i="1"/>
  <c r="AE168" i="1"/>
  <c r="AE167" i="1"/>
  <c r="O135" i="1"/>
  <c r="J136" i="1"/>
  <c r="H136" i="1"/>
  <c r="AV135" i="1"/>
  <c r="AC135" i="1"/>
  <c r="AA92" i="3"/>
  <c r="AA90" i="3"/>
  <c r="AA91" i="3"/>
  <c r="AA88" i="3"/>
  <c r="AA89" i="3"/>
  <c r="AA87" i="3"/>
  <c r="BW204" i="1" l="1"/>
  <c r="BN203" i="1"/>
  <c r="AX203" i="1"/>
  <c r="BR189" i="1"/>
  <c r="BP190" i="1"/>
  <c r="AE170" i="1"/>
  <c r="AA171" i="1"/>
  <c r="O136" i="1"/>
  <c r="J137" i="1"/>
  <c r="H137" i="1"/>
  <c r="AV136" i="1"/>
  <c r="AC136" i="1"/>
  <c r="AX204" i="1" l="1"/>
  <c r="BW205" i="1"/>
  <c r="BW206" i="1" s="1"/>
  <c r="BN204" i="1"/>
  <c r="BR190" i="1"/>
  <c r="BP191" i="1"/>
  <c r="AA172" i="1"/>
  <c r="AE171" i="1"/>
  <c r="AV137" i="1"/>
  <c r="J138" i="1"/>
  <c r="H138" i="1"/>
  <c r="O137" i="1"/>
  <c r="AC137" i="1"/>
  <c r="AX206" i="1" l="1"/>
  <c r="BW207" i="1"/>
  <c r="BN206" i="1"/>
  <c r="BN205" i="1"/>
  <c r="AX205" i="1"/>
  <c r="BR191" i="1"/>
  <c r="BP192" i="1"/>
  <c r="AE172" i="1"/>
  <c r="AA173" i="1"/>
  <c r="AA174" i="1" s="1"/>
  <c r="J139" i="1"/>
  <c r="H139" i="1"/>
  <c r="AV138" i="1"/>
  <c r="O138" i="1"/>
  <c r="AC138" i="1"/>
  <c r="BN207" i="1" l="1"/>
  <c r="AX207" i="1"/>
  <c r="BW208" i="1"/>
  <c r="BP193" i="1"/>
  <c r="BR192" i="1"/>
  <c r="AA175" i="1"/>
  <c r="AE174" i="1"/>
  <c r="AE173" i="1"/>
  <c r="J140" i="1"/>
  <c r="H140" i="1"/>
  <c r="AV139" i="1"/>
  <c r="O139" i="1"/>
  <c r="AC139" i="1"/>
  <c r="BW209" i="1" l="1"/>
  <c r="AX208" i="1"/>
  <c r="BN208" i="1"/>
  <c r="BR193" i="1"/>
  <c r="BP194" i="1"/>
  <c r="AA176" i="1"/>
  <c r="AE175" i="1"/>
  <c r="O140" i="1"/>
  <c r="H141" i="1"/>
  <c r="J141" i="1"/>
  <c r="AV140" i="1"/>
  <c r="AC140" i="1"/>
  <c r="BN209" i="1" l="1"/>
  <c r="AX209" i="1"/>
  <c r="BW210" i="1"/>
  <c r="BR194" i="1"/>
  <c r="BP195" i="1"/>
  <c r="BP196" i="1" s="1"/>
  <c r="AE176" i="1"/>
  <c r="AA177" i="1"/>
  <c r="O141" i="1"/>
  <c r="J142" i="1"/>
  <c r="H142" i="1"/>
  <c r="AV141" i="1"/>
  <c r="AC141" i="1"/>
  <c r="AA98" i="3"/>
  <c r="AA99" i="3"/>
  <c r="AA94" i="3"/>
  <c r="AA95" i="3"/>
  <c r="AA93" i="3"/>
  <c r="BW211" i="1" l="1"/>
  <c r="AX210" i="1"/>
  <c r="BN210" i="1"/>
  <c r="BR196" i="1"/>
  <c r="BP197" i="1"/>
  <c r="BR195" i="1"/>
  <c r="AE177" i="1"/>
  <c r="AA178" i="1"/>
  <c r="H143" i="1"/>
  <c r="J143" i="1"/>
  <c r="O142" i="1"/>
  <c r="AV142" i="1"/>
  <c r="AC142" i="1"/>
  <c r="AA96" i="3"/>
  <c r="AA97" i="3"/>
  <c r="BW212" i="1" l="1"/>
  <c r="AX211" i="1"/>
  <c r="BN211" i="1"/>
  <c r="BR197" i="1"/>
  <c r="BP198" i="1"/>
  <c r="AE178" i="1"/>
  <c r="AA179" i="1"/>
  <c r="O143" i="1"/>
  <c r="J144" i="1"/>
  <c r="H144" i="1"/>
  <c r="AV143" i="1"/>
  <c r="AC143" i="1"/>
  <c r="AX212" i="1" l="1"/>
  <c r="BN212" i="1"/>
  <c r="BW213" i="1"/>
  <c r="BR198" i="1"/>
  <c r="BP199" i="1"/>
  <c r="BP200" i="1" s="1"/>
  <c r="AA180" i="1"/>
  <c r="AE179" i="1"/>
  <c r="O144" i="1"/>
  <c r="H145" i="1"/>
  <c r="J145" i="1"/>
  <c r="AV144" i="1"/>
  <c r="AC144" i="1"/>
  <c r="BW214" i="1" l="1"/>
  <c r="BW215" i="1" s="1"/>
  <c r="BN213" i="1"/>
  <c r="AX213" i="1"/>
  <c r="BR200" i="1"/>
  <c r="BP201" i="1"/>
  <c r="BR199" i="1"/>
  <c r="AE180" i="1"/>
  <c r="AA181" i="1"/>
  <c r="AA182" i="1" s="1"/>
  <c r="J146" i="1"/>
  <c r="H146" i="1"/>
  <c r="AV145" i="1"/>
  <c r="O145" i="1"/>
  <c r="AC145" i="1"/>
  <c r="BN215" i="1" l="1"/>
  <c r="BW216" i="1"/>
  <c r="AX215" i="1"/>
  <c r="BN214" i="1"/>
  <c r="AX214" i="1"/>
  <c r="BR201" i="1"/>
  <c r="BP202" i="1"/>
  <c r="AE182" i="1"/>
  <c r="AA183" i="1"/>
  <c r="AE181" i="1"/>
  <c r="J147" i="1"/>
  <c r="H147" i="1"/>
  <c r="O146" i="1"/>
  <c r="AV146" i="1"/>
  <c r="AC146" i="1"/>
  <c r="BW217" i="1" l="1"/>
  <c r="AX216" i="1"/>
  <c r="BN216" i="1"/>
  <c r="BR202" i="1"/>
  <c r="BP203" i="1"/>
  <c r="AA184" i="1"/>
  <c r="AA185" i="1" s="1"/>
  <c r="AE183" i="1"/>
  <c r="AV147" i="1"/>
  <c r="H148" i="1"/>
  <c r="J148" i="1"/>
  <c r="O147" i="1"/>
  <c r="AC147" i="1"/>
  <c r="AX217" i="1" l="1"/>
  <c r="BW218" i="1"/>
  <c r="BN217" i="1"/>
  <c r="BR203" i="1"/>
  <c r="BP204" i="1"/>
  <c r="AE185" i="1"/>
  <c r="AA186" i="1"/>
  <c r="AE184" i="1"/>
  <c r="O148" i="1"/>
  <c r="J149" i="1"/>
  <c r="H149" i="1"/>
  <c r="AV148" i="1"/>
  <c r="AC148" i="1"/>
  <c r="AA103" i="3"/>
  <c r="AA100" i="3"/>
  <c r="AX218" i="1" l="1"/>
  <c r="BW219" i="1"/>
  <c r="BN218" i="1"/>
  <c r="BR204" i="1"/>
  <c r="BP205" i="1"/>
  <c r="BP206" i="1" s="1"/>
  <c r="AA187" i="1"/>
  <c r="AA188" i="1" s="1"/>
  <c r="AE186" i="1"/>
  <c r="H150" i="1"/>
  <c r="J150" i="1"/>
  <c r="O149" i="1"/>
  <c r="AV149" i="1"/>
  <c r="AC149" i="1"/>
  <c r="AA101" i="3"/>
  <c r="AA102" i="3"/>
  <c r="AX219" i="1" l="1"/>
  <c r="BW220" i="1"/>
  <c r="BN219" i="1"/>
  <c r="BR206" i="1"/>
  <c r="BP207" i="1"/>
  <c r="BR205" i="1"/>
  <c r="AE188" i="1"/>
  <c r="AA189" i="1"/>
  <c r="AE187" i="1"/>
  <c r="J151" i="1"/>
  <c r="H151" i="1"/>
  <c r="O150" i="1"/>
  <c r="AV150" i="1"/>
  <c r="AC150" i="1"/>
  <c r="BN220" i="1" l="1"/>
  <c r="BW221" i="1"/>
  <c r="BW222" i="1" s="1"/>
  <c r="AX220" i="1"/>
  <c r="BP208" i="1"/>
  <c r="BR207" i="1"/>
  <c r="AE189" i="1"/>
  <c r="AA190" i="1"/>
  <c r="O151" i="1"/>
  <c r="AV151" i="1"/>
  <c r="J152" i="1"/>
  <c r="H152" i="1"/>
  <c r="AC151" i="1"/>
  <c r="BN222" i="1" l="1"/>
  <c r="BW223" i="1"/>
  <c r="AX222" i="1"/>
  <c r="BN221" i="1"/>
  <c r="AX221" i="1"/>
  <c r="BR208" i="1"/>
  <c r="BP209" i="1"/>
  <c r="BP210" i="1" s="1"/>
  <c r="AE190" i="1"/>
  <c r="AA191" i="1"/>
  <c r="J153" i="1"/>
  <c r="H153" i="1"/>
  <c r="O152" i="1"/>
  <c r="AV152" i="1"/>
  <c r="AC152" i="1"/>
  <c r="AA105" i="3"/>
  <c r="AA106" i="3"/>
  <c r="AA104" i="3"/>
  <c r="BN223" i="1" l="1"/>
  <c r="BW224" i="1"/>
  <c r="AX223" i="1"/>
  <c r="BR210" i="1"/>
  <c r="BP211" i="1"/>
  <c r="BR209" i="1"/>
  <c r="AA192" i="1"/>
  <c r="AE191" i="1"/>
  <c r="J154" i="1"/>
  <c r="H154" i="1"/>
  <c r="O153" i="1"/>
  <c r="AV153" i="1"/>
  <c r="AC153" i="1"/>
  <c r="BN224" i="1" l="1"/>
  <c r="BW225" i="1"/>
  <c r="AX224" i="1"/>
  <c r="BR211" i="1"/>
  <c r="BP212" i="1"/>
  <c r="AE192" i="1"/>
  <c r="AA193" i="1"/>
  <c r="AV154" i="1"/>
  <c r="J155" i="1"/>
  <c r="H155" i="1"/>
  <c r="O154" i="1"/>
  <c r="AC154" i="1"/>
  <c r="BN225" i="1" l="1"/>
  <c r="BW226" i="1"/>
  <c r="AX225" i="1"/>
  <c r="BR212" i="1"/>
  <c r="BP213" i="1"/>
  <c r="AE193" i="1"/>
  <c r="AA194" i="1"/>
  <c r="J156" i="1"/>
  <c r="H156" i="1"/>
  <c r="AV155" i="1"/>
  <c r="O155" i="1"/>
  <c r="AC155" i="1"/>
  <c r="AA108" i="3"/>
  <c r="AA109" i="3"/>
  <c r="AA107" i="3"/>
  <c r="AX226" i="1" l="1"/>
  <c r="BW227" i="1"/>
  <c r="BN226" i="1"/>
  <c r="BR213" i="1"/>
  <c r="BP214" i="1"/>
  <c r="BP215" i="1" s="1"/>
  <c r="AE194" i="1"/>
  <c r="AA195" i="1"/>
  <c r="AA196" i="1" s="1"/>
  <c r="AV156" i="1"/>
  <c r="J157" i="1"/>
  <c r="H157" i="1"/>
  <c r="O156" i="1"/>
  <c r="AC156" i="1"/>
  <c r="AX227" i="1" l="1"/>
  <c r="BW228" i="1"/>
  <c r="BN227" i="1"/>
  <c r="BP216" i="1"/>
  <c r="BP217" i="1" s="1"/>
  <c r="BR215" i="1"/>
  <c r="BR214" i="1"/>
  <c r="AE196" i="1"/>
  <c r="AA197" i="1"/>
  <c r="AE195" i="1"/>
  <c r="O157" i="1"/>
  <c r="J158" i="1"/>
  <c r="H158" i="1"/>
  <c r="AV157" i="1"/>
  <c r="AC157" i="1"/>
  <c r="BW229" i="1" l="1"/>
  <c r="BN228" i="1"/>
  <c r="AX228" i="1"/>
  <c r="BR217" i="1"/>
  <c r="BP218" i="1"/>
  <c r="BR216" i="1"/>
  <c r="AA198" i="1"/>
  <c r="AE197" i="1"/>
  <c r="AV158" i="1"/>
  <c r="J159" i="1"/>
  <c r="H159" i="1"/>
  <c r="O158" i="1"/>
  <c r="AC158" i="1"/>
  <c r="AA117" i="3"/>
  <c r="AA115" i="3"/>
  <c r="AA116" i="3"/>
  <c r="AA113" i="3"/>
  <c r="AA114" i="3"/>
  <c r="AA111" i="3"/>
  <c r="AA112" i="3"/>
  <c r="AA110" i="3"/>
  <c r="BN229" i="1" l="1"/>
  <c r="BW230" i="1"/>
  <c r="BW231" i="1" s="1"/>
  <c r="AX229" i="1"/>
  <c r="BR218" i="1"/>
  <c r="BP219" i="1"/>
  <c r="AA199" i="1"/>
  <c r="AA200" i="1" s="1"/>
  <c r="AE198" i="1"/>
  <c r="AV159" i="1"/>
  <c r="J160" i="1"/>
  <c r="H160" i="1"/>
  <c r="O159" i="1"/>
  <c r="AC159" i="1"/>
  <c r="BN231" i="1" l="1"/>
  <c r="BW232" i="1"/>
  <c r="AX231" i="1"/>
  <c r="BN230" i="1"/>
  <c r="AX230" i="1"/>
  <c r="BR219" i="1"/>
  <c r="BP220" i="1"/>
  <c r="AA201" i="1"/>
  <c r="AE200" i="1"/>
  <c r="AE199" i="1"/>
  <c r="O160" i="1"/>
  <c r="H161" i="1"/>
  <c r="J161" i="1"/>
  <c r="AV160" i="1"/>
  <c r="AC160" i="1"/>
  <c r="BN232" i="1" l="1"/>
  <c r="BW233" i="1"/>
  <c r="BW234" i="1" s="1"/>
  <c r="AX232" i="1"/>
  <c r="BR220" i="1"/>
  <c r="BP221" i="1"/>
  <c r="BP222" i="1" s="1"/>
  <c r="AE201" i="1"/>
  <c r="AA202" i="1"/>
  <c r="O161" i="1"/>
  <c r="H162" i="1"/>
  <c r="J162" i="1"/>
  <c r="AV161" i="1"/>
  <c r="AC161" i="1"/>
  <c r="AX234" i="1" l="1"/>
  <c r="BW235" i="1"/>
  <c r="BN234" i="1"/>
  <c r="BN233" i="1"/>
  <c r="AX233" i="1"/>
  <c r="BR222" i="1"/>
  <c r="BP223" i="1"/>
  <c r="BR221" i="1"/>
  <c r="AA203" i="1"/>
  <c r="AE202" i="1"/>
  <c r="J163" i="1"/>
  <c r="H163" i="1"/>
  <c r="O162" i="1"/>
  <c r="AV162" i="1"/>
  <c r="AC162" i="1"/>
  <c r="BW236" i="1" l="1"/>
  <c r="AX235" i="1"/>
  <c r="BN235" i="1"/>
  <c r="BR223" i="1"/>
  <c r="BP224" i="1"/>
  <c r="AA204" i="1"/>
  <c r="AE203" i="1"/>
  <c r="O163" i="1"/>
  <c r="J164" i="1"/>
  <c r="H164" i="1"/>
  <c r="AV163" i="1"/>
  <c r="AC163" i="1"/>
  <c r="AX236" i="1" l="1"/>
  <c r="BW237" i="1"/>
  <c r="BN236" i="1"/>
  <c r="BR224" i="1"/>
  <c r="BP225" i="1"/>
  <c r="AA205" i="1"/>
  <c r="AA206" i="1" s="1"/>
  <c r="H801" i="1"/>
  <c r="AE204" i="1"/>
  <c r="O164" i="1"/>
  <c r="H165" i="1"/>
  <c r="AV164" i="1"/>
  <c r="J165" i="1"/>
  <c r="AC164" i="1"/>
  <c r="BN237" i="1" l="1"/>
  <c r="BW238" i="1"/>
  <c r="AX237" i="1"/>
  <c r="BR225" i="1"/>
  <c r="BP226" i="1"/>
  <c r="AE206" i="1"/>
  <c r="AA207" i="1"/>
  <c r="AE205" i="1"/>
  <c r="O165" i="1"/>
  <c r="AV165" i="1"/>
  <c r="H166" i="1"/>
  <c r="J166" i="1"/>
  <c r="AC165" i="1"/>
  <c r="AA121" i="3"/>
  <c r="AA119" i="3"/>
  <c r="AA120" i="3"/>
  <c r="AA118" i="3"/>
  <c r="BN238" i="1" l="1"/>
  <c r="BW239" i="1"/>
  <c r="AX238" i="1"/>
  <c r="BR226" i="1"/>
  <c r="BP227" i="1"/>
  <c r="AE207" i="1"/>
  <c r="AA208" i="1"/>
  <c r="J167" i="1"/>
  <c r="O166" i="1"/>
  <c r="AV166" i="1"/>
  <c r="H167" i="1"/>
  <c r="AC166" i="1"/>
  <c r="AX239" i="1" l="1"/>
  <c r="BW240" i="1"/>
  <c r="BN239" i="1"/>
  <c r="BR227" i="1"/>
  <c r="BP228" i="1"/>
  <c r="AA209" i="1"/>
  <c r="AA210" i="1" s="1"/>
  <c r="AE208" i="1"/>
  <c r="H168" i="1"/>
  <c r="J168" i="1"/>
  <c r="O167" i="1"/>
  <c r="AV167" i="1"/>
  <c r="AC167" i="1"/>
  <c r="BW241" i="1" l="1"/>
  <c r="BN240" i="1"/>
  <c r="AX240" i="1"/>
  <c r="BR228" i="1"/>
  <c r="BP229" i="1"/>
  <c r="AE210" i="1"/>
  <c r="AA211" i="1"/>
  <c r="AE209" i="1"/>
  <c r="J169" i="1"/>
  <c r="H169" i="1"/>
  <c r="AV168" i="1"/>
  <c r="O168" i="1"/>
  <c r="AC168" i="1"/>
  <c r="BN241" i="1" l="1"/>
  <c r="BW242" i="1"/>
  <c r="BW243" i="1" s="1"/>
  <c r="AX241" i="1"/>
  <c r="BP230" i="1"/>
  <c r="BP231" i="1" s="1"/>
  <c r="BR229" i="1"/>
  <c r="AE211" i="1"/>
  <c r="AA212" i="1"/>
  <c r="O169" i="1"/>
  <c r="J170" i="1"/>
  <c r="H170" i="1"/>
  <c r="AV169" i="1"/>
  <c r="AC169" i="1"/>
  <c r="BN243" i="1" l="1"/>
  <c r="BW244" i="1"/>
  <c r="AX243" i="1"/>
  <c r="BN242" i="1"/>
  <c r="AX242" i="1"/>
  <c r="BR231" i="1"/>
  <c r="BP232" i="1"/>
  <c r="BR230" i="1"/>
  <c r="AE212" i="1"/>
  <c r="AA213" i="1"/>
  <c r="AV170" i="1"/>
  <c r="H171" i="1"/>
  <c r="J171" i="1"/>
  <c r="O170" i="1"/>
  <c r="AC170" i="1"/>
  <c r="AA127" i="3"/>
  <c r="AA128" i="3"/>
  <c r="AA125" i="3"/>
  <c r="AA126" i="3"/>
  <c r="AA123" i="3"/>
  <c r="AA124" i="3"/>
  <c r="AA122" i="3"/>
  <c r="BN244" i="1" l="1"/>
  <c r="BW245" i="1"/>
  <c r="AX244" i="1"/>
  <c r="BR232" i="1"/>
  <c r="BP233" i="1"/>
  <c r="BP234" i="1" s="1"/>
  <c r="AE213" i="1"/>
  <c r="AA214" i="1"/>
  <c r="AA215" i="1" s="1"/>
  <c r="O171" i="1"/>
  <c r="J172" i="1"/>
  <c r="H172" i="1"/>
  <c r="AV171" i="1"/>
  <c r="AC171" i="1"/>
  <c r="BN245" i="1" l="1"/>
  <c r="BW246" i="1"/>
  <c r="BW247" i="1" s="1"/>
  <c r="AX245" i="1"/>
  <c r="BP235" i="1"/>
  <c r="BR234" i="1"/>
  <c r="BR233" i="1"/>
  <c r="AA216" i="1"/>
  <c r="AA217" i="1" s="1"/>
  <c r="AE215" i="1"/>
  <c r="AE214" i="1"/>
  <c r="O172" i="1"/>
  <c r="J173" i="1"/>
  <c r="H173" i="1"/>
  <c r="AV172" i="1"/>
  <c r="AC172" i="1"/>
  <c r="AX247" i="1" l="1"/>
  <c r="BW248" i="1"/>
  <c r="BN247" i="1"/>
  <c r="BN246" i="1"/>
  <c r="AX246" i="1"/>
  <c r="BR235" i="1"/>
  <c r="BP236" i="1"/>
  <c r="AA218" i="1"/>
  <c r="AE217" i="1"/>
  <c r="AE216" i="1"/>
  <c r="J174" i="1"/>
  <c r="H174" i="1"/>
  <c r="BA854" i="1" s="1"/>
  <c r="O173" i="1"/>
  <c r="AV173" i="1"/>
  <c r="AC173" i="1"/>
  <c r="BE854" i="1" l="1"/>
  <c r="BA876" i="1"/>
  <c r="BN248" i="1"/>
  <c r="AX248" i="1"/>
  <c r="BW249" i="1"/>
  <c r="BR236" i="1"/>
  <c r="BP237" i="1"/>
  <c r="AA219" i="1"/>
  <c r="AE218" i="1"/>
  <c r="O174" i="1"/>
  <c r="J175" i="1"/>
  <c r="H175" i="1"/>
  <c r="AV174" i="1"/>
  <c r="AC174" i="1"/>
  <c r="BE876" i="1" l="1"/>
  <c r="BP854" i="1"/>
  <c r="AX249" i="1"/>
  <c r="BW250" i="1"/>
  <c r="BN249" i="1"/>
  <c r="BR237" i="1"/>
  <c r="BP238" i="1"/>
  <c r="AA220" i="1"/>
  <c r="AE219" i="1"/>
  <c r="AV175" i="1"/>
  <c r="J176" i="1"/>
  <c r="H176" i="1"/>
  <c r="O175" i="1"/>
  <c r="AC175" i="1"/>
  <c r="BR876" i="1" l="1"/>
  <c r="CA876" i="1" s="1"/>
  <c r="BC876" i="1"/>
  <c r="BN250" i="1"/>
  <c r="BW251" i="1"/>
  <c r="BW252" i="1" s="1"/>
  <c r="AX250" i="1"/>
  <c r="BR238" i="1"/>
  <c r="BP239" i="1"/>
  <c r="AE220" i="1"/>
  <c r="AA221" i="1"/>
  <c r="AA222" i="1" s="1"/>
  <c r="O176" i="1"/>
  <c r="J177" i="1"/>
  <c r="H177" i="1"/>
  <c r="AV176" i="1"/>
  <c r="AC176" i="1"/>
  <c r="AA136" i="3"/>
  <c r="AA134" i="3"/>
  <c r="AA135" i="3"/>
  <c r="AA132" i="3"/>
  <c r="AA133" i="3"/>
  <c r="AA130" i="3"/>
  <c r="AA131" i="3"/>
  <c r="AA129" i="3"/>
  <c r="AX252" i="1" l="1"/>
  <c r="BW253" i="1"/>
  <c r="BN252" i="1"/>
  <c r="AX251" i="1"/>
  <c r="BN251" i="1"/>
  <c r="BR239" i="1"/>
  <c r="BP240" i="1"/>
  <c r="AE222" i="1"/>
  <c r="AA223" i="1"/>
  <c r="AE221" i="1"/>
  <c r="AV177" i="1"/>
  <c r="H178" i="1"/>
  <c r="J178" i="1"/>
  <c r="O177" i="1"/>
  <c r="AC177" i="1"/>
  <c r="BW254" i="1" l="1"/>
  <c r="BN253" i="1"/>
  <c r="AX253" i="1"/>
  <c r="BR240" i="1"/>
  <c r="BP241" i="1"/>
  <c r="AE223" i="1"/>
  <c r="AA224" i="1"/>
  <c r="AV178" i="1"/>
  <c r="J179" i="1"/>
  <c r="H179" i="1"/>
  <c r="O178" i="1"/>
  <c r="AC178" i="1"/>
  <c r="BW255" i="1" l="1"/>
  <c r="AX254" i="1"/>
  <c r="BN254" i="1"/>
  <c r="BR241" i="1"/>
  <c r="BP242" i="1"/>
  <c r="BP243" i="1" s="1"/>
  <c r="AE224" i="1"/>
  <c r="AA225" i="1"/>
  <c r="AV179" i="1"/>
  <c r="J180" i="1"/>
  <c r="H180" i="1"/>
  <c r="O179" i="1"/>
  <c r="AC179" i="1"/>
  <c r="BN255" i="1" l="1"/>
  <c r="AX255" i="1"/>
  <c r="BW256" i="1"/>
  <c r="BR243" i="1"/>
  <c r="BP244" i="1"/>
  <c r="BR242" i="1"/>
  <c r="AE225" i="1"/>
  <c r="AA226" i="1"/>
  <c r="AV180" i="1"/>
  <c r="J181" i="1"/>
  <c r="H181" i="1"/>
  <c r="O180" i="1"/>
  <c r="AC180" i="1"/>
  <c r="AX256" i="1" l="1"/>
  <c r="BW257" i="1"/>
  <c r="BN256" i="1"/>
  <c r="BR244" i="1"/>
  <c r="BP245" i="1"/>
  <c r="AE226" i="1"/>
  <c r="AA227" i="1"/>
  <c r="J182" i="1"/>
  <c r="H182" i="1"/>
  <c r="O181" i="1"/>
  <c r="AV181" i="1"/>
  <c r="AC181" i="1"/>
  <c r="BN257" i="1" l="1"/>
  <c r="BW258" i="1"/>
  <c r="BW259" i="1" s="1"/>
  <c r="AX257" i="1"/>
  <c r="BR245" i="1"/>
  <c r="BP246" i="1"/>
  <c r="BP247" i="1" s="1"/>
  <c r="AA228" i="1"/>
  <c r="AE227" i="1"/>
  <c r="AV182" i="1"/>
  <c r="J183" i="1"/>
  <c r="O182" i="1"/>
  <c r="H183" i="1"/>
  <c r="AC182" i="1"/>
  <c r="AX259" i="1" l="1"/>
  <c r="BW260" i="1"/>
  <c r="BN259" i="1"/>
  <c r="AX258" i="1"/>
  <c r="BN258" i="1"/>
  <c r="BR247" i="1"/>
  <c r="BP248" i="1"/>
  <c r="BR246" i="1"/>
  <c r="AE228" i="1"/>
  <c r="AA229" i="1"/>
  <c r="AC183" i="1"/>
  <c r="AV183" i="1"/>
  <c r="H184" i="1"/>
  <c r="J184" i="1"/>
  <c r="O183" i="1"/>
  <c r="BN260" i="1" l="1"/>
  <c r="BW261" i="1"/>
  <c r="AX260" i="1"/>
  <c r="BR248" i="1"/>
  <c r="BP249" i="1"/>
  <c r="AE229" i="1"/>
  <c r="AA230" i="1"/>
  <c r="AA231" i="1" s="1"/>
  <c r="H185" i="1"/>
  <c r="J185" i="1"/>
  <c r="AV184" i="1"/>
  <c r="O184" i="1"/>
  <c r="AC184" i="1"/>
  <c r="AA138" i="3"/>
  <c r="AA137" i="3"/>
  <c r="AX261" i="1" l="1"/>
  <c r="BW262" i="1"/>
  <c r="BN261" i="1"/>
  <c r="BR249" i="1"/>
  <c r="BP250" i="1"/>
  <c r="AA232" i="1"/>
  <c r="AE231" i="1"/>
  <c r="AE230" i="1"/>
  <c r="AV185" i="1"/>
  <c r="O185" i="1"/>
  <c r="J186" i="1"/>
  <c r="H186" i="1"/>
  <c r="AC185" i="1"/>
  <c r="BW263" i="1" l="1"/>
  <c r="AX262" i="1"/>
  <c r="BN262" i="1"/>
  <c r="BP251" i="1"/>
  <c r="BP252" i="1" s="1"/>
  <c r="BR250" i="1"/>
  <c r="AA233" i="1"/>
  <c r="AA234" i="1" s="1"/>
  <c r="AE232" i="1"/>
  <c r="O186" i="1"/>
  <c r="H187" i="1"/>
  <c r="J187" i="1"/>
  <c r="AV186" i="1"/>
  <c r="AC186" i="1"/>
  <c r="AX263" i="1" l="1"/>
  <c r="BW264" i="1"/>
  <c r="BN263" i="1"/>
  <c r="BP253" i="1"/>
  <c r="BR252" i="1"/>
  <c r="BR251" i="1"/>
  <c r="AE234" i="1"/>
  <c r="AA235" i="1"/>
  <c r="AE233" i="1"/>
  <c r="H188" i="1"/>
  <c r="J188" i="1"/>
  <c r="O187" i="1"/>
  <c r="AV187" i="1"/>
  <c r="AC187" i="1"/>
  <c r="AA140" i="3"/>
  <c r="AA141" i="3"/>
  <c r="AA139" i="3"/>
  <c r="AX264" i="1" l="1"/>
  <c r="BW265" i="1"/>
  <c r="BN264" i="1"/>
  <c r="BP254" i="1"/>
  <c r="BR253" i="1"/>
  <c r="AA236" i="1"/>
  <c r="AE235" i="1"/>
  <c r="AV188" i="1"/>
  <c r="J189" i="1"/>
  <c r="H189" i="1"/>
  <c r="O188" i="1"/>
  <c r="AC188" i="1"/>
  <c r="BW266" i="1" l="1"/>
  <c r="BN265" i="1"/>
  <c r="AX265" i="1"/>
  <c r="BR254" i="1"/>
  <c r="BP255" i="1"/>
  <c r="AE236" i="1"/>
  <c r="AA237" i="1"/>
  <c r="O189" i="1"/>
  <c r="J190" i="1"/>
  <c r="H190" i="1"/>
  <c r="AV189" i="1"/>
  <c r="AC189" i="1"/>
  <c r="AX266" i="1" l="1"/>
  <c r="BW267" i="1"/>
  <c r="BN266" i="1"/>
  <c r="BR255" i="1"/>
  <c r="BP256" i="1"/>
  <c r="AA238" i="1"/>
  <c r="AE237" i="1"/>
  <c r="O190" i="1"/>
  <c r="J191" i="1"/>
  <c r="H191" i="1"/>
  <c r="AV190" i="1"/>
  <c r="AC190" i="1"/>
  <c r="AA149" i="3"/>
  <c r="AA147" i="3"/>
  <c r="AA148" i="3"/>
  <c r="AA145" i="3"/>
  <c r="AA146" i="3"/>
  <c r="AA143" i="3"/>
  <c r="AA144" i="3"/>
  <c r="AA142" i="3"/>
  <c r="BN267" i="1" l="1"/>
  <c r="AX267" i="1"/>
  <c r="BW268" i="1"/>
  <c r="BR256" i="1"/>
  <c r="BP257" i="1"/>
  <c r="AA239" i="1"/>
  <c r="AE238" i="1"/>
  <c r="AV191" i="1"/>
  <c r="J192" i="1"/>
  <c r="H192" i="1"/>
  <c r="O191" i="1"/>
  <c r="AC191" i="1"/>
  <c r="BN268" i="1" l="1"/>
  <c r="AX268" i="1"/>
  <c r="BW269" i="1"/>
  <c r="BW270" i="1" s="1"/>
  <c r="BP258" i="1"/>
  <c r="BP259" i="1" s="1"/>
  <c r="BR257" i="1"/>
  <c r="AE239" i="1"/>
  <c r="AA240" i="1"/>
  <c r="J193" i="1"/>
  <c r="H193" i="1"/>
  <c r="AV192" i="1"/>
  <c r="O192" i="1"/>
  <c r="AC192" i="1"/>
  <c r="AX270" i="1" l="1"/>
  <c r="BW271" i="1"/>
  <c r="BW272" i="1" s="1"/>
  <c r="BN270" i="1"/>
  <c r="BR259" i="1"/>
  <c r="BP260" i="1"/>
  <c r="BN269" i="1"/>
  <c r="AX269" i="1"/>
  <c r="BR258" i="1"/>
  <c r="AA241" i="1"/>
  <c r="AE240" i="1"/>
  <c r="J194" i="1"/>
  <c r="H194" i="1"/>
  <c r="O193" i="1"/>
  <c r="AV193" i="1"/>
  <c r="AC193" i="1"/>
  <c r="AX272" i="1" l="1"/>
  <c r="BW273" i="1"/>
  <c r="BN272" i="1"/>
  <c r="AX271" i="1"/>
  <c r="BN271" i="1"/>
  <c r="BR260" i="1"/>
  <c r="BP261" i="1"/>
  <c r="AE241" i="1"/>
  <c r="AA242" i="1"/>
  <c r="AA243" i="1" s="1"/>
  <c r="AV194" i="1"/>
  <c r="J195" i="1"/>
  <c r="H195" i="1"/>
  <c r="O194" i="1"/>
  <c r="AC194" i="1"/>
  <c r="AX273" i="1" l="1"/>
  <c r="BW274" i="1"/>
  <c r="BN273" i="1"/>
  <c r="BR261" i="1"/>
  <c r="BP262" i="1"/>
  <c r="AE243" i="1"/>
  <c r="AA244" i="1"/>
  <c r="AE242" i="1"/>
  <c r="H196" i="1"/>
  <c r="J196" i="1"/>
  <c r="AV195" i="1"/>
  <c r="O195" i="1"/>
  <c r="AC195" i="1"/>
  <c r="BN274" i="1" l="1"/>
  <c r="BW275" i="1"/>
  <c r="BW276" i="1" s="1"/>
  <c r="AX274" i="1"/>
  <c r="BP263" i="1"/>
  <c r="BR262" i="1"/>
  <c r="AA245" i="1"/>
  <c r="AE244" i="1"/>
  <c r="AV196" i="1"/>
  <c r="J197" i="1"/>
  <c r="H197" i="1"/>
  <c r="O196" i="1"/>
  <c r="AC196" i="1"/>
  <c r="BN276" i="1" l="1"/>
  <c r="AX276" i="1"/>
  <c r="BW277" i="1"/>
  <c r="AX275" i="1"/>
  <c r="BN275" i="1"/>
  <c r="BR263" i="1"/>
  <c r="BP264" i="1"/>
  <c r="AE245" i="1"/>
  <c r="AA246" i="1"/>
  <c r="AA247" i="1" s="1"/>
  <c r="H198" i="1"/>
  <c r="J198" i="1"/>
  <c r="O197" i="1"/>
  <c r="AV197" i="1"/>
  <c r="AC197" i="1"/>
  <c r="AX277" i="1" l="1"/>
  <c r="BW278" i="1"/>
  <c r="BN277" i="1"/>
  <c r="BR264" i="1"/>
  <c r="BP265" i="1"/>
  <c r="AE247" i="1"/>
  <c r="AA248" i="1"/>
  <c r="AE246" i="1"/>
  <c r="J199" i="1"/>
  <c r="O198" i="1"/>
  <c r="H199" i="1"/>
  <c r="AV198" i="1"/>
  <c r="AC198" i="1"/>
  <c r="AA151" i="3"/>
  <c r="AA150" i="3"/>
  <c r="AX278" i="1" l="1"/>
  <c r="BW279" i="1"/>
  <c r="BN278" i="1"/>
  <c r="BR265" i="1"/>
  <c r="BP266" i="1"/>
  <c r="AE248" i="1"/>
  <c r="AA249" i="1"/>
  <c r="J200" i="1"/>
  <c r="H200" i="1"/>
  <c r="AV199" i="1"/>
  <c r="O199" i="1"/>
  <c r="AC199" i="1"/>
  <c r="AA152" i="3"/>
  <c r="AA153" i="3"/>
  <c r="AX279" i="1" l="1"/>
  <c r="BW280" i="1"/>
  <c r="BN279" i="1"/>
  <c r="BP267" i="1"/>
  <c r="BR266" i="1"/>
  <c r="AE249" i="1"/>
  <c r="AA250" i="1"/>
  <c r="O200" i="1"/>
  <c r="H201" i="1"/>
  <c r="J201" i="1"/>
  <c r="AV200" i="1"/>
  <c r="AC200" i="1"/>
  <c r="BN280" i="1" l="1"/>
  <c r="BW281" i="1"/>
  <c r="AX280" i="1"/>
  <c r="BR267" i="1"/>
  <c r="BP268" i="1"/>
  <c r="AA251" i="1"/>
  <c r="AA252" i="1" s="1"/>
  <c r="AE250" i="1"/>
  <c r="AV201" i="1"/>
  <c r="J202" i="1"/>
  <c r="H202" i="1"/>
  <c r="O201" i="1"/>
  <c r="AC201" i="1"/>
  <c r="AX281" i="1" l="1"/>
  <c r="BW282" i="1"/>
  <c r="BW283" i="1" s="1"/>
  <c r="BN281" i="1"/>
  <c r="BR268" i="1"/>
  <c r="BP269" i="1"/>
  <c r="BP270" i="1" s="1"/>
  <c r="AE252" i="1"/>
  <c r="AA253" i="1"/>
  <c r="AE251" i="1"/>
  <c r="AV202" i="1"/>
  <c r="H203" i="1"/>
  <c r="J203" i="1"/>
  <c r="O202" i="1"/>
  <c r="AC202" i="1"/>
  <c r="AA159" i="3"/>
  <c r="AA160" i="3"/>
  <c r="AA157" i="3"/>
  <c r="AA158" i="3"/>
  <c r="AA155" i="3"/>
  <c r="AA156" i="3"/>
  <c r="AA154" i="3"/>
  <c r="AX283" i="1" l="1"/>
  <c r="BW284" i="1"/>
  <c r="BN283" i="1"/>
  <c r="AX282" i="1"/>
  <c r="BN282" i="1"/>
  <c r="BR270" i="1"/>
  <c r="BP271" i="1"/>
  <c r="BP272" i="1" s="1"/>
  <c r="BR269" i="1"/>
  <c r="AA254" i="1"/>
  <c r="AE253" i="1"/>
  <c r="AV203" i="1"/>
  <c r="H204" i="1"/>
  <c r="J204" i="1"/>
  <c r="O203" i="1"/>
  <c r="AC203" i="1"/>
  <c r="BN284" i="1" l="1"/>
  <c r="BW285" i="1"/>
  <c r="AX284" i="1"/>
  <c r="BR272" i="1"/>
  <c r="BP273" i="1"/>
  <c r="BR271" i="1"/>
  <c r="AE254" i="1"/>
  <c r="AA255" i="1"/>
  <c r="AV204" i="1"/>
  <c r="H205" i="1"/>
  <c r="J205" i="1"/>
  <c r="O204" i="1"/>
  <c r="AC204" i="1"/>
  <c r="BN285" i="1" l="1"/>
  <c r="BW286" i="1"/>
  <c r="AX285" i="1"/>
  <c r="BR273" i="1"/>
  <c r="BP274" i="1"/>
  <c r="AE255" i="1"/>
  <c r="AA256" i="1"/>
  <c r="H206" i="1"/>
  <c r="J206" i="1"/>
  <c r="AV205" i="1"/>
  <c r="O205" i="1"/>
  <c r="AC205" i="1"/>
  <c r="BN286" i="1" l="1"/>
  <c r="BW287" i="1"/>
  <c r="AX286" i="1"/>
  <c r="BR274" i="1"/>
  <c r="BP275" i="1"/>
  <c r="AE256" i="1"/>
  <c r="AA257" i="1"/>
  <c r="AV206" i="1"/>
  <c r="H207" i="1"/>
  <c r="J207" i="1"/>
  <c r="O206" i="1"/>
  <c r="AC206" i="1"/>
  <c r="AX287" i="1" l="1"/>
  <c r="BW288" i="1"/>
  <c r="BN287" i="1"/>
  <c r="BR275" i="1"/>
  <c r="BP276" i="1"/>
  <c r="AE257" i="1"/>
  <c r="AA258" i="1"/>
  <c r="AA259" i="1" s="1"/>
  <c r="O207" i="1"/>
  <c r="J208" i="1"/>
  <c r="H208" i="1"/>
  <c r="AV207" i="1"/>
  <c r="AC207" i="1"/>
  <c r="BN288" i="1" l="1"/>
  <c r="BW289" i="1"/>
  <c r="AX288" i="1"/>
  <c r="BR276" i="1"/>
  <c r="BP277" i="1"/>
  <c r="AE259" i="1"/>
  <c r="AA260" i="1"/>
  <c r="AE258" i="1"/>
  <c r="J209" i="1"/>
  <c r="H209" i="1"/>
  <c r="AV208" i="1"/>
  <c r="O208" i="1"/>
  <c r="AC208" i="1"/>
  <c r="AA162" i="3"/>
  <c r="AA163" i="3"/>
  <c r="AA161" i="3"/>
  <c r="BN289" i="1" l="1"/>
  <c r="BW290" i="1"/>
  <c r="AX289" i="1"/>
  <c r="BR277" i="1"/>
  <c r="BP278" i="1"/>
  <c r="AE260" i="1"/>
  <c r="AA261" i="1"/>
  <c r="J210" i="1"/>
  <c r="H210" i="1"/>
  <c r="AV209" i="1"/>
  <c r="O209" i="1"/>
  <c r="AC209" i="1"/>
  <c r="AX290" i="1" l="1"/>
  <c r="BW291" i="1"/>
  <c r="BW292" i="1" s="1"/>
  <c r="BN290" i="1"/>
  <c r="BR278" i="1"/>
  <c r="BP279" i="1"/>
  <c r="AA262" i="1"/>
  <c r="AE261" i="1"/>
  <c r="O210" i="1"/>
  <c r="H211" i="1"/>
  <c r="J211" i="1"/>
  <c r="AV210" i="1"/>
  <c r="AC210" i="1"/>
  <c r="BN292" i="1" l="1"/>
  <c r="BW293" i="1"/>
  <c r="AX292" i="1"/>
  <c r="BN291" i="1"/>
  <c r="AX291" i="1"/>
  <c r="BR279" i="1"/>
  <c r="BP280" i="1"/>
  <c r="AE262" i="1"/>
  <c r="AA263" i="1"/>
  <c r="O211" i="1"/>
  <c r="J212" i="1"/>
  <c r="H212" i="1"/>
  <c r="AV211" i="1"/>
  <c r="AC211" i="1"/>
  <c r="AX293" i="1" l="1"/>
  <c r="BW294" i="1"/>
  <c r="BN293" i="1"/>
  <c r="BR280" i="1"/>
  <c r="BP281" i="1"/>
  <c r="AE263" i="1"/>
  <c r="AA264" i="1"/>
  <c r="AV212" i="1"/>
  <c r="J213" i="1"/>
  <c r="H213" i="1"/>
  <c r="O212" i="1"/>
  <c r="AC212" i="1"/>
  <c r="AA169" i="3"/>
  <c r="AA167" i="3"/>
  <c r="AA168" i="3"/>
  <c r="AA165" i="3"/>
  <c r="AA166" i="3"/>
  <c r="AA164" i="3"/>
  <c r="BN294" i="1" l="1"/>
  <c r="AX294" i="1"/>
  <c r="BW295" i="1"/>
  <c r="BR281" i="1"/>
  <c r="BP282" i="1"/>
  <c r="BP283" i="1" s="1"/>
  <c r="AE264" i="1"/>
  <c r="AA265" i="1"/>
  <c r="AV213" i="1"/>
  <c r="J214" i="1"/>
  <c r="H214" i="1"/>
  <c r="O213" i="1"/>
  <c r="AC213" i="1"/>
  <c r="BW296" i="1" l="1"/>
  <c r="BW297" i="1" s="1"/>
  <c r="AX295" i="1"/>
  <c r="BN295" i="1"/>
  <c r="BR283" i="1"/>
  <c r="BP284" i="1"/>
  <c r="BR282" i="1"/>
  <c r="AE265" i="1"/>
  <c r="AA266" i="1"/>
  <c r="J215" i="1"/>
  <c r="H215" i="1"/>
  <c r="O214" i="1"/>
  <c r="AV214" i="1"/>
  <c r="AC214" i="1"/>
  <c r="BN297" i="1" l="1"/>
  <c r="AX297" i="1"/>
  <c r="BW298" i="1"/>
  <c r="BN296" i="1"/>
  <c r="AX296" i="1"/>
  <c r="BR284" i="1"/>
  <c r="BP285" i="1"/>
  <c r="AA267" i="1"/>
  <c r="AE266" i="1"/>
  <c r="AV215" i="1"/>
  <c r="H216" i="1"/>
  <c r="J216" i="1"/>
  <c r="AC215" i="1"/>
  <c r="O215" i="1"/>
  <c r="AX298" i="1" l="1"/>
  <c r="BW299" i="1"/>
  <c r="BN298" i="1"/>
  <c r="BR285" i="1"/>
  <c r="BP286" i="1"/>
  <c r="AE267" i="1"/>
  <c r="AA268" i="1"/>
  <c r="H217" i="1"/>
  <c r="J217" i="1"/>
  <c r="O216" i="1"/>
  <c r="AV216" i="1"/>
  <c r="AC216" i="1"/>
  <c r="BW300" i="1" l="1"/>
  <c r="AX299" i="1"/>
  <c r="BN299" i="1"/>
  <c r="BR286" i="1"/>
  <c r="BP287" i="1"/>
  <c r="AE268" i="1"/>
  <c r="AA269" i="1"/>
  <c r="AA270" i="1" s="1"/>
  <c r="AV217" i="1"/>
  <c r="J218" i="1"/>
  <c r="H218" i="1"/>
  <c r="O217" i="1"/>
  <c r="AC217" i="1"/>
  <c r="AA170" i="3"/>
  <c r="BN300" i="1" l="1"/>
  <c r="BW301" i="1"/>
  <c r="AX300" i="1"/>
  <c r="BR287" i="1"/>
  <c r="BP288" i="1"/>
  <c r="AA271" i="1"/>
  <c r="AA272" i="1" s="1"/>
  <c r="AE270" i="1"/>
  <c r="AE269" i="1"/>
  <c r="O218" i="1"/>
  <c r="J219" i="1"/>
  <c r="H219" i="1"/>
  <c r="AV218" i="1"/>
  <c r="AC218" i="1"/>
  <c r="BN301" i="1" l="1"/>
  <c r="AX301" i="1"/>
  <c r="BW302" i="1"/>
  <c r="BR288" i="1"/>
  <c r="BP289" i="1"/>
  <c r="AE272" i="1"/>
  <c r="AA273" i="1"/>
  <c r="AE271" i="1"/>
  <c r="AV219" i="1"/>
  <c r="J220" i="1"/>
  <c r="H220" i="1"/>
  <c r="O219" i="1"/>
  <c r="AC219" i="1"/>
  <c r="AA176" i="3"/>
  <c r="AA174" i="3"/>
  <c r="AA175" i="3"/>
  <c r="AA172" i="3"/>
  <c r="AA173" i="3"/>
  <c r="AA171" i="3"/>
  <c r="BN302" i="1" l="1"/>
  <c r="BW303" i="1"/>
  <c r="BW304" i="1" s="1"/>
  <c r="AX302" i="1"/>
  <c r="BR289" i="1"/>
  <c r="BP290" i="1"/>
  <c r="AE273" i="1"/>
  <c r="AA274" i="1"/>
  <c r="AV220" i="1"/>
  <c r="H221" i="1"/>
  <c r="J221" i="1"/>
  <c r="O220" i="1"/>
  <c r="AC220" i="1"/>
  <c r="AX304" i="1" l="1"/>
  <c r="BW305" i="1"/>
  <c r="BN304" i="1"/>
  <c r="BN303" i="1"/>
  <c r="AX303" i="1"/>
  <c r="BR290" i="1"/>
  <c r="BP291" i="1"/>
  <c r="BP292" i="1" s="1"/>
  <c r="AE274" i="1"/>
  <c r="AA275" i="1"/>
  <c r="J222" i="1"/>
  <c r="H222" i="1"/>
  <c r="AV221" i="1"/>
  <c r="O221" i="1"/>
  <c r="AC221" i="1"/>
  <c r="BN305" i="1" l="1"/>
  <c r="AX305" i="1"/>
  <c r="BW306" i="1"/>
  <c r="BR292" i="1"/>
  <c r="BP293" i="1"/>
  <c r="BR291" i="1"/>
  <c r="AE275" i="1"/>
  <c r="AA276" i="1"/>
  <c r="AV222" i="1"/>
  <c r="H223" i="1"/>
  <c r="J223" i="1"/>
  <c r="O222" i="1"/>
  <c r="AC222" i="1"/>
  <c r="BN306" i="1" l="1"/>
  <c r="BW307" i="1"/>
  <c r="AX306" i="1"/>
  <c r="BR293" i="1"/>
  <c r="BP294" i="1"/>
  <c r="AE276" i="1"/>
  <c r="AA277" i="1"/>
  <c r="AV223" i="1"/>
  <c r="H224" i="1"/>
  <c r="J224" i="1"/>
  <c r="O223" i="1"/>
  <c r="AC223" i="1"/>
  <c r="BN307" i="1" l="1"/>
  <c r="BW308" i="1"/>
  <c r="AX307" i="1"/>
  <c r="BP295" i="1"/>
  <c r="BR294" i="1"/>
  <c r="AA278" i="1"/>
  <c r="AE277" i="1"/>
  <c r="AV224" i="1"/>
  <c r="H225" i="1"/>
  <c r="J225" i="1"/>
  <c r="O224" i="1"/>
  <c r="AC224" i="1"/>
  <c r="AA184" i="3"/>
  <c r="AA182" i="3"/>
  <c r="AA183" i="3"/>
  <c r="AA180" i="3"/>
  <c r="AA181" i="3"/>
  <c r="AA178" i="3"/>
  <c r="AA179" i="3"/>
  <c r="AA177" i="3"/>
  <c r="BN308" i="1" l="1"/>
  <c r="BW309" i="1"/>
  <c r="AX308" i="1"/>
  <c r="BR295" i="1"/>
  <c r="BP296" i="1"/>
  <c r="BP297" i="1" s="1"/>
  <c r="AA279" i="1"/>
  <c r="AE278" i="1"/>
  <c r="O225" i="1"/>
  <c r="H226" i="1"/>
  <c r="J226" i="1"/>
  <c r="AV225" i="1"/>
  <c r="AC225" i="1"/>
  <c r="BN309" i="1" l="1"/>
  <c r="AX309" i="1"/>
  <c r="BW310" i="1"/>
  <c r="BW311" i="1" s="1"/>
  <c r="BR297" i="1"/>
  <c r="BP298" i="1"/>
  <c r="BR296" i="1"/>
  <c r="AA280" i="1"/>
  <c r="AE279" i="1"/>
  <c r="O226" i="1"/>
  <c r="J227" i="1"/>
  <c r="H227" i="1"/>
  <c r="AV226" i="1"/>
  <c r="AC226" i="1"/>
  <c r="BN311" i="1" l="1"/>
  <c r="BW312" i="1"/>
  <c r="AX311" i="1"/>
  <c r="BN310" i="1"/>
  <c r="AX310" i="1"/>
  <c r="BP299" i="1"/>
  <c r="BR298" i="1"/>
  <c r="AA281" i="1"/>
  <c r="AE280" i="1"/>
  <c r="AV227" i="1"/>
  <c r="H228" i="1"/>
  <c r="J228" i="1"/>
  <c r="O227" i="1"/>
  <c r="AC227" i="1"/>
  <c r="BN312" i="1" l="1"/>
  <c r="BW313" i="1"/>
  <c r="AX312" i="1"/>
  <c r="BP300" i="1"/>
  <c r="BR299" i="1"/>
  <c r="AA282" i="1"/>
  <c r="AA283" i="1" s="1"/>
  <c r="AE281" i="1"/>
  <c r="J229" i="1"/>
  <c r="H229" i="1"/>
  <c r="O228" i="1"/>
  <c r="AV228" i="1"/>
  <c r="AC228" i="1"/>
  <c r="AX313" i="1" l="1"/>
  <c r="BW314" i="1"/>
  <c r="BN313" i="1"/>
  <c r="BR300" i="1"/>
  <c r="BP301" i="1"/>
  <c r="AA284" i="1"/>
  <c r="AE283" i="1"/>
  <c r="AE282" i="1"/>
  <c r="O229" i="1"/>
  <c r="H230" i="1"/>
  <c r="J230" i="1"/>
  <c r="AV229" i="1"/>
  <c r="AC229" i="1"/>
  <c r="BN314" i="1" l="1"/>
  <c r="BW315" i="1"/>
  <c r="AX314" i="1"/>
  <c r="BP302" i="1"/>
  <c r="BR301" i="1"/>
  <c r="AE284" i="1"/>
  <c r="AA285" i="1"/>
  <c r="J231" i="1"/>
  <c r="H231" i="1"/>
  <c r="AV230" i="1"/>
  <c r="O230" i="1"/>
  <c r="AC230" i="1"/>
  <c r="BN315" i="1" l="1"/>
  <c r="BW316" i="1"/>
  <c r="AX315" i="1"/>
  <c r="BR302" i="1"/>
  <c r="BP303" i="1"/>
  <c r="BP304" i="1" s="1"/>
  <c r="AE285" i="1"/>
  <c r="AA286" i="1"/>
  <c r="O231" i="1"/>
  <c r="H232" i="1"/>
  <c r="J232" i="1"/>
  <c r="AV231" i="1"/>
  <c r="AC231" i="1"/>
  <c r="BN316" i="1" l="1"/>
  <c r="AX316" i="1"/>
  <c r="BW317" i="1"/>
  <c r="BW318" i="1" s="1"/>
  <c r="BR304" i="1"/>
  <c r="BP305" i="1"/>
  <c r="BR303" i="1"/>
  <c r="AE286" i="1"/>
  <c r="AA287" i="1"/>
  <c r="O232" i="1"/>
  <c r="H233" i="1"/>
  <c r="J233" i="1"/>
  <c r="AV232" i="1"/>
  <c r="AC232" i="1"/>
  <c r="BW319" i="1" l="1"/>
  <c r="BW320" i="1" s="1"/>
  <c r="BN318" i="1"/>
  <c r="AX318" i="1"/>
  <c r="BN317" i="1"/>
  <c r="AX317" i="1"/>
  <c r="BR305" i="1"/>
  <c r="BP306" i="1"/>
  <c r="AE287" i="1"/>
  <c r="AA288" i="1"/>
  <c r="J234" i="1"/>
  <c r="H234" i="1"/>
  <c r="O233" i="1"/>
  <c r="AV233" i="1"/>
  <c r="AC233" i="1"/>
  <c r="AA186" i="3"/>
  <c r="AA187" i="3"/>
  <c r="AA185" i="3"/>
  <c r="BN320" i="1" l="1"/>
  <c r="BW321" i="1"/>
  <c r="AX320" i="1"/>
  <c r="BN319" i="1"/>
  <c r="AX319" i="1"/>
  <c r="BR306" i="1"/>
  <c r="BP307" i="1"/>
  <c r="AE288" i="1"/>
  <c r="AA289" i="1"/>
  <c r="AV234" i="1"/>
  <c r="H235" i="1"/>
  <c r="BA867" i="1" s="1"/>
  <c r="BA855" i="1" s="1"/>
  <c r="J235" i="1"/>
  <c r="O234" i="1"/>
  <c r="AC234" i="1"/>
  <c r="BE855" i="1" l="1"/>
  <c r="BA877" i="1"/>
  <c r="BN321" i="1"/>
  <c r="BW322" i="1"/>
  <c r="AX321" i="1"/>
  <c r="BR307" i="1"/>
  <c r="BP308" i="1"/>
  <c r="AA290" i="1"/>
  <c r="AE289" i="1"/>
  <c r="AV235" i="1"/>
  <c r="J236" i="1"/>
  <c r="H236" i="1"/>
  <c r="O235" i="1"/>
  <c r="AC235" i="1"/>
  <c r="BP855" i="1" l="1"/>
  <c r="BE877" i="1"/>
  <c r="AX322" i="1"/>
  <c r="BW323" i="1"/>
  <c r="BN322" i="1"/>
  <c r="BR308" i="1"/>
  <c r="BP309" i="1"/>
  <c r="AE290" i="1"/>
  <c r="AA291" i="1"/>
  <c r="AA292" i="1" s="1"/>
  <c r="AV236" i="1"/>
  <c r="J237" i="1"/>
  <c r="H237" i="1"/>
  <c r="O236" i="1"/>
  <c r="AC236" i="1"/>
  <c r="AA197" i="3"/>
  <c r="AA195" i="3"/>
  <c r="AA196" i="3"/>
  <c r="AA193" i="3"/>
  <c r="AA194" i="3"/>
  <c r="AA191" i="3"/>
  <c r="AA192" i="3"/>
  <c r="AA189" i="3"/>
  <c r="AA190" i="3"/>
  <c r="AA188" i="3"/>
  <c r="BR877" i="1" l="1"/>
  <c r="BC877" i="1"/>
  <c r="BC881" i="1" s="1"/>
  <c r="BN323" i="1"/>
  <c r="BW324" i="1"/>
  <c r="BW325" i="1" s="1"/>
  <c r="AX323" i="1"/>
  <c r="BR309" i="1"/>
  <c r="BP310" i="1"/>
  <c r="BP311" i="1" s="1"/>
  <c r="AE292" i="1"/>
  <c r="AA293" i="1"/>
  <c r="AE291" i="1"/>
  <c r="O237" i="1"/>
  <c r="H238" i="1"/>
  <c r="J238" i="1"/>
  <c r="AV237" i="1"/>
  <c r="AC237" i="1"/>
  <c r="BN325" i="1" l="1"/>
  <c r="AX325" i="1"/>
  <c r="BW326" i="1"/>
  <c r="AX324" i="1"/>
  <c r="BN324" i="1"/>
  <c r="BR311" i="1"/>
  <c r="BP312" i="1"/>
  <c r="BR310" i="1"/>
  <c r="AA294" i="1"/>
  <c r="AE293" i="1"/>
  <c r="AV238" i="1"/>
  <c r="J239" i="1"/>
  <c r="H239" i="1"/>
  <c r="O238" i="1"/>
  <c r="AC238" i="1"/>
  <c r="AX326" i="1" l="1"/>
  <c r="BW327" i="1"/>
  <c r="BW328" i="1" s="1"/>
  <c r="BN326" i="1"/>
  <c r="BR312" i="1"/>
  <c r="BP313" i="1"/>
  <c r="AA295" i="1"/>
  <c r="AE294" i="1"/>
  <c r="AV239" i="1"/>
  <c r="H240" i="1"/>
  <c r="J240" i="1"/>
  <c r="O239" i="1"/>
  <c r="AC239" i="1"/>
  <c r="AX328" i="1" l="1"/>
  <c r="BW329" i="1"/>
  <c r="BN328" i="1"/>
  <c r="AX327" i="1"/>
  <c r="BN327" i="1"/>
  <c r="BR313" i="1"/>
  <c r="BP314" i="1"/>
  <c r="AA296" i="1"/>
  <c r="AA297" i="1" s="1"/>
  <c r="AE295" i="1"/>
  <c r="J241" i="1"/>
  <c r="H241" i="1"/>
  <c r="O240" i="1"/>
  <c r="AV240" i="1"/>
  <c r="AC240" i="1"/>
  <c r="AX329" i="1" l="1"/>
  <c r="BW330" i="1"/>
  <c r="BN329" i="1"/>
  <c r="BR314" i="1"/>
  <c r="BP315" i="1"/>
  <c r="AE297" i="1"/>
  <c r="AA298" i="1"/>
  <c r="AE296" i="1"/>
  <c r="O241" i="1"/>
  <c r="J242" i="1"/>
  <c r="H242" i="1"/>
  <c r="AV241" i="1"/>
  <c r="AC241" i="1"/>
  <c r="BN330" i="1" l="1"/>
  <c r="AX330" i="1"/>
  <c r="BW331" i="1"/>
  <c r="BW332" i="1" s="1"/>
  <c r="BR315" i="1"/>
  <c r="BP316" i="1"/>
  <c r="AE298" i="1"/>
  <c r="AA299" i="1"/>
  <c r="J243" i="1"/>
  <c r="H243" i="1"/>
  <c r="O242" i="1"/>
  <c r="AV242" i="1"/>
  <c r="AC242" i="1"/>
  <c r="BN332" i="1" l="1"/>
  <c r="AX332" i="1"/>
  <c r="BW333" i="1"/>
  <c r="BN331" i="1"/>
  <c r="AX331" i="1"/>
  <c r="BR316" i="1"/>
  <c r="BP317" i="1"/>
  <c r="BP318" i="1" s="1"/>
  <c r="AE299" i="1"/>
  <c r="AA300" i="1"/>
  <c r="O243" i="1"/>
  <c r="J244" i="1"/>
  <c r="H244" i="1"/>
  <c r="AV243" i="1"/>
  <c r="AC243" i="1"/>
  <c r="BN333" i="1" l="1"/>
  <c r="AX333" i="1"/>
  <c r="BW334" i="1"/>
  <c r="BR318" i="1"/>
  <c r="BP319" i="1"/>
  <c r="BP320" i="1" s="1"/>
  <c r="BR317" i="1"/>
  <c r="AE300" i="1"/>
  <c r="AA301" i="1"/>
  <c r="AV244" i="1"/>
  <c r="J245" i="1"/>
  <c r="H245" i="1"/>
  <c r="O244" i="1"/>
  <c r="AC244" i="1"/>
  <c r="AA201" i="3"/>
  <c r="AA199" i="3"/>
  <c r="AA200" i="3"/>
  <c r="AA198" i="3"/>
  <c r="AX334" i="1" l="1"/>
  <c r="BW335" i="1"/>
  <c r="BN334" i="1"/>
  <c r="BR320" i="1"/>
  <c r="BP321" i="1"/>
  <c r="BR319" i="1"/>
  <c r="AE301" i="1"/>
  <c r="AA302" i="1"/>
  <c r="AC245" i="1"/>
  <c r="J246" i="1"/>
  <c r="H246" i="1"/>
  <c r="O245" i="1"/>
  <c r="AV245" i="1"/>
  <c r="BN335" i="1" l="1"/>
  <c r="BW336" i="1"/>
  <c r="AX335" i="1"/>
  <c r="BR321" i="1"/>
  <c r="BP322" i="1"/>
  <c r="AE302" i="1"/>
  <c r="AA303" i="1"/>
  <c r="H247" i="1"/>
  <c r="J247" i="1"/>
  <c r="O246" i="1"/>
  <c r="AV246" i="1"/>
  <c r="AC246" i="1"/>
  <c r="AX336" i="1" l="1"/>
  <c r="BW337" i="1"/>
  <c r="BN336" i="1"/>
  <c r="BR322" i="1"/>
  <c r="BP323" i="1"/>
  <c r="AA304" i="1"/>
  <c r="AE303" i="1"/>
  <c r="H248" i="1"/>
  <c r="J248" i="1"/>
  <c r="O247" i="1"/>
  <c r="AV247" i="1"/>
  <c r="AC247" i="1"/>
  <c r="BN337" i="1" l="1"/>
  <c r="BW338" i="1"/>
  <c r="AX337" i="1"/>
  <c r="BR323" i="1"/>
  <c r="BP324" i="1"/>
  <c r="BP325" i="1" s="1"/>
  <c r="AA305" i="1"/>
  <c r="AE304" i="1"/>
  <c r="O248" i="1"/>
  <c r="H249" i="1"/>
  <c r="AV248" i="1"/>
  <c r="J249" i="1"/>
  <c r="AC248" i="1"/>
  <c r="BW339" i="1" l="1"/>
  <c r="BW340" i="1" s="1"/>
  <c r="BN338" i="1"/>
  <c r="AX338" i="1"/>
  <c r="BR325" i="1"/>
  <c r="BP326" i="1"/>
  <c r="BR324" i="1"/>
  <c r="AE305" i="1"/>
  <c r="AA306" i="1"/>
  <c r="AA307" i="1" s="1"/>
  <c r="AV249" i="1"/>
  <c r="J250" i="1"/>
  <c r="H250" i="1"/>
  <c r="O249" i="1"/>
  <c r="AC249" i="1"/>
  <c r="AA205" i="3"/>
  <c r="AA203" i="3"/>
  <c r="AA204" i="3"/>
  <c r="AA202" i="3"/>
  <c r="AX340" i="1" l="1"/>
  <c r="BW341" i="1"/>
  <c r="BN340" i="1"/>
  <c r="AX339" i="1"/>
  <c r="BN339" i="1"/>
  <c r="BR326" i="1"/>
  <c r="BP327" i="1"/>
  <c r="BP328" i="1" s="1"/>
  <c r="AE307" i="1"/>
  <c r="AA308" i="1"/>
  <c r="AE306" i="1"/>
  <c r="O250" i="1"/>
  <c r="J251" i="1"/>
  <c r="AV250" i="1"/>
  <c r="H251" i="1"/>
  <c r="AC250" i="1"/>
  <c r="AX341" i="1" l="1"/>
  <c r="BW342" i="1"/>
  <c r="BN341" i="1"/>
  <c r="BR328" i="1"/>
  <c r="BP329" i="1"/>
  <c r="BR327" i="1"/>
  <c r="AE308" i="1"/>
  <c r="AA309" i="1"/>
  <c r="H252" i="1"/>
  <c r="J252" i="1"/>
  <c r="AV251" i="1"/>
  <c r="O251" i="1"/>
  <c r="AC251" i="1"/>
  <c r="AX342" i="1" l="1"/>
  <c r="BW343" i="1"/>
  <c r="BN342" i="1"/>
  <c r="BR329" i="1"/>
  <c r="BP330" i="1"/>
  <c r="AE309" i="1"/>
  <c r="AA310" i="1"/>
  <c r="AA311" i="1" s="1"/>
  <c r="AV252" i="1"/>
  <c r="H253" i="1"/>
  <c r="J253" i="1"/>
  <c r="O252" i="1"/>
  <c r="AC252" i="1"/>
  <c r="AX343" i="1" l="1"/>
  <c r="BW344" i="1"/>
  <c r="BN343" i="1"/>
  <c r="BR330" i="1"/>
  <c r="BP331" i="1"/>
  <c r="BP332" i="1" s="1"/>
  <c r="AA312" i="1"/>
  <c r="AE311" i="1"/>
  <c r="AE310" i="1"/>
  <c r="O253" i="1"/>
  <c r="J254" i="1"/>
  <c r="H254" i="1"/>
  <c r="AV253" i="1"/>
  <c r="AC253" i="1"/>
  <c r="BN344" i="1" l="1"/>
  <c r="BW345" i="1"/>
  <c r="AX344" i="1"/>
  <c r="BR332" i="1"/>
  <c r="BP333" i="1"/>
  <c r="BR331" i="1"/>
  <c r="AA313" i="1"/>
  <c r="AE312" i="1"/>
  <c r="O254" i="1"/>
  <c r="J255" i="1"/>
  <c r="H255" i="1"/>
  <c r="AV254" i="1"/>
  <c r="AC254" i="1"/>
  <c r="AA212" i="3"/>
  <c r="AA213" i="3"/>
  <c r="AA210" i="3"/>
  <c r="AA211" i="3"/>
  <c r="AA207" i="3"/>
  <c r="AA209" i="3"/>
  <c r="AA206" i="3"/>
  <c r="AX345" i="1" l="1"/>
  <c r="BW346" i="1"/>
  <c r="BN345" i="1"/>
  <c r="BR333" i="1"/>
  <c r="BP334" i="1"/>
  <c r="AA314" i="1"/>
  <c r="AE313" i="1"/>
  <c r="O255" i="1"/>
  <c r="J256" i="1"/>
  <c r="H256" i="1"/>
  <c r="AV255" i="1"/>
  <c r="AC255" i="1"/>
  <c r="BN346" i="1" l="1"/>
  <c r="BW347" i="1"/>
  <c r="BW348" i="1" s="1"/>
  <c r="AX346" i="1"/>
  <c r="BR334" i="1"/>
  <c r="BP335" i="1"/>
  <c r="AE314" i="1"/>
  <c r="AA315" i="1"/>
  <c r="AV256" i="1"/>
  <c r="H257" i="1"/>
  <c r="J257" i="1"/>
  <c r="O256" i="1"/>
  <c r="AC256" i="1"/>
  <c r="AX348" i="1" l="1"/>
  <c r="BW349" i="1"/>
  <c r="BW350" i="1" s="1"/>
  <c r="BN348" i="1"/>
  <c r="BN347" i="1"/>
  <c r="AX347" i="1"/>
  <c r="BP336" i="1"/>
  <c r="BR335" i="1"/>
  <c r="AA316" i="1"/>
  <c r="AE315" i="1"/>
  <c r="O257" i="1"/>
  <c r="J258" i="1"/>
  <c r="H258" i="1"/>
  <c r="AV257" i="1"/>
  <c r="AC257" i="1"/>
  <c r="BN350" i="1" l="1"/>
  <c r="AX350" i="1"/>
  <c r="BW351" i="1"/>
  <c r="BN349" i="1"/>
  <c r="AX349" i="1"/>
  <c r="BR336" i="1"/>
  <c r="BP337" i="1"/>
  <c r="AE316" i="1"/>
  <c r="AA317" i="1"/>
  <c r="AA318" i="1" s="1"/>
  <c r="H259" i="1"/>
  <c r="J259" i="1"/>
  <c r="O258" i="1"/>
  <c r="AV258" i="1"/>
  <c r="AC258" i="1"/>
  <c r="BN351" i="1" l="1"/>
  <c r="BW352" i="1"/>
  <c r="AX351" i="1"/>
  <c r="BR337" i="1"/>
  <c r="BP338" i="1"/>
  <c r="AA319" i="1"/>
  <c r="AA320" i="1" s="1"/>
  <c r="AE318" i="1"/>
  <c r="AE317" i="1"/>
  <c r="O259" i="1"/>
  <c r="H260" i="1"/>
  <c r="J260" i="1"/>
  <c r="AV259" i="1"/>
  <c r="AC259" i="1"/>
  <c r="BN352" i="1" l="1"/>
  <c r="BW353" i="1"/>
  <c r="AX352" i="1"/>
  <c r="BP339" i="1"/>
  <c r="BP340" i="1" s="1"/>
  <c r="BR338" i="1"/>
  <c r="AA321" i="1"/>
  <c r="AE320" i="1"/>
  <c r="AE319" i="1"/>
  <c r="O260" i="1"/>
  <c r="J261" i="1"/>
  <c r="H261" i="1"/>
  <c r="AV260" i="1"/>
  <c r="AC260" i="1"/>
  <c r="BN353" i="1" l="1"/>
  <c r="BW354" i="1"/>
  <c r="AX353" i="1"/>
  <c r="BR340" i="1"/>
  <c r="BP341" i="1"/>
  <c r="BR339" i="1"/>
  <c r="AE321" i="1"/>
  <c r="AA322" i="1"/>
  <c r="AV261" i="1"/>
  <c r="H262" i="1"/>
  <c r="J262" i="1"/>
  <c r="O261" i="1"/>
  <c r="AC261" i="1"/>
  <c r="AA223" i="3"/>
  <c r="AA224" i="3"/>
  <c r="AA221" i="3"/>
  <c r="AA222" i="3"/>
  <c r="AA219" i="3"/>
  <c r="AA220" i="3"/>
  <c r="AA217" i="3"/>
  <c r="AA218" i="3"/>
  <c r="AA215" i="3"/>
  <c r="AA216" i="3"/>
  <c r="AA214" i="3"/>
  <c r="BN354" i="1" l="1"/>
  <c r="BW355" i="1"/>
  <c r="BW356" i="1" s="1"/>
  <c r="AX354" i="1"/>
  <c r="BR341" i="1"/>
  <c r="BP342" i="1"/>
  <c r="AA323" i="1"/>
  <c r="AE322" i="1"/>
  <c r="AV262" i="1"/>
  <c r="H263" i="1"/>
  <c r="J263" i="1"/>
  <c r="O262" i="1"/>
  <c r="AC262" i="1"/>
  <c r="BN356" i="1" l="1"/>
  <c r="BW357" i="1"/>
  <c r="AX356" i="1"/>
  <c r="AX355" i="1"/>
  <c r="BN355" i="1"/>
  <c r="BR342" i="1"/>
  <c r="BP343" i="1"/>
  <c r="AE323" i="1"/>
  <c r="AA324" i="1"/>
  <c r="AA325" i="1" s="1"/>
  <c r="AV263" i="1"/>
  <c r="J264" i="1"/>
  <c r="H264" i="1"/>
  <c r="O263" i="1"/>
  <c r="AC263" i="1"/>
  <c r="BW358" i="1" l="1"/>
  <c r="BW359" i="1" s="1"/>
  <c r="AX357" i="1"/>
  <c r="BN357" i="1"/>
  <c r="BR343" i="1"/>
  <c r="BP344" i="1"/>
  <c r="AA326" i="1"/>
  <c r="AE325" i="1"/>
  <c r="AE324" i="1"/>
  <c r="AV264" i="1"/>
  <c r="J265" i="1"/>
  <c r="H265" i="1"/>
  <c r="O264" i="1"/>
  <c r="AC264" i="1"/>
  <c r="AX359" i="1" l="1"/>
  <c r="BW360" i="1"/>
  <c r="BN359" i="1"/>
  <c r="BN358" i="1"/>
  <c r="AX358" i="1"/>
  <c r="BR344" i="1"/>
  <c r="BP345" i="1"/>
  <c r="AA327" i="1"/>
  <c r="AA328" i="1" s="1"/>
  <c r="AE326" i="1"/>
  <c r="AV265" i="1"/>
  <c r="H266" i="1"/>
  <c r="J266" i="1"/>
  <c r="O265" i="1"/>
  <c r="AC265" i="1"/>
  <c r="AX360" i="1" l="1"/>
  <c r="BW361" i="1"/>
  <c r="BN360" i="1"/>
  <c r="BR345" i="1"/>
  <c r="BP346" i="1"/>
  <c r="AA329" i="1"/>
  <c r="AE328" i="1"/>
  <c r="AE327" i="1"/>
  <c r="AV266" i="1"/>
  <c r="J267" i="1"/>
  <c r="H267" i="1"/>
  <c r="O266" i="1"/>
  <c r="AC266" i="1"/>
  <c r="BN361" i="1" l="1"/>
  <c r="BW362" i="1"/>
  <c r="BW363" i="1" s="1"/>
  <c r="AX361" i="1"/>
  <c r="BP347" i="1"/>
  <c r="BP348" i="1" s="1"/>
  <c r="BR346" i="1"/>
  <c r="AA330" i="1"/>
  <c r="AE329" i="1"/>
  <c r="O267" i="1"/>
  <c r="J268" i="1"/>
  <c r="H268" i="1"/>
  <c r="AV267" i="1"/>
  <c r="AC267" i="1"/>
  <c r="AX363" i="1" l="1"/>
  <c r="BW364" i="1"/>
  <c r="BN363" i="1"/>
  <c r="AX362" i="1"/>
  <c r="BN362" i="1"/>
  <c r="BR348" i="1"/>
  <c r="BP349" i="1"/>
  <c r="BP350" i="1" s="1"/>
  <c r="BR347" i="1"/>
  <c r="AA331" i="1"/>
  <c r="AA332" i="1" s="1"/>
  <c r="AE330" i="1"/>
  <c r="O268" i="1"/>
  <c r="J269" i="1"/>
  <c r="H269" i="1"/>
  <c r="AV268" i="1"/>
  <c r="AC268" i="1"/>
  <c r="BN364" i="1" l="1"/>
  <c r="BW365" i="1"/>
  <c r="AX364" i="1"/>
  <c r="BR350" i="1"/>
  <c r="BP351" i="1"/>
  <c r="BR349" i="1"/>
  <c r="AA333" i="1"/>
  <c r="AE332" i="1"/>
  <c r="AE331" i="1"/>
  <c r="H270" i="1"/>
  <c r="J270" i="1"/>
  <c r="O269" i="1"/>
  <c r="H781" i="1"/>
  <c r="AV269" i="1"/>
  <c r="H782" i="1"/>
  <c r="AC269" i="1"/>
  <c r="BN365" i="1" l="1"/>
  <c r="AX365" i="1"/>
  <c r="BW366" i="1"/>
  <c r="BR351" i="1"/>
  <c r="BP352" i="1"/>
  <c r="AE333" i="1"/>
  <c r="AA334" i="1"/>
  <c r="AV270" i="1"/>
  <c r="H271" i="1"/>
  <c r="J271" i="1"/>
  <c r="O270" i="1"/>
  <c r="AC270" i="1"/>
  <c r="BW367" i="1" l="1"/>
  <c r="AX366" i="1"/>
  <c r="BN366" i="1"/>
  <c r="BR352" i="1"/>
  <c r="BP353" i="1"/>
  <c r="AE334" i="1"/>
  <c r="AA335" i="1"/>
  <c r="J272" i="1"/>
  <c r="H272" i="1"/>
  <c r="AV271" i="1"/>
  <c r="O271" i="1"/>
  <c r="AC271" i="1"/>
  <c r="BN367" i="1" l="1"/>
  <c r="BW368" i="1"/>
  <c r="BW369" i="1" s="1"/>
  <c r="AX367" i="1"/>
  <c r="BR353" i="1"/>
  <c r="BP354" i="1"/>
  <c r="AA336" i="1"/>
  <c r="AE335" i="1"/>
  <c r="J273" i="1"/>
  <c r="H273" i="1"/>
  <c r="O272" i="1"/>
  <c r="AV272" i="1"/>
  <c r="AC272" i="1"/>
  <c r="AA225" i="3"/>
  <c r="BN369" i="1" l="1"/>
  <c r="BW370" i="1"/>
  <c r="AX369" i="1"/>
  <c r="AX368" i="1"/>
  <c r="BN368" i="1"/>
  <c r="BR354" i="1"/>
  <c r="BP355" i="1"/>
  <c r="BP356" i="1" s="1"/>
  <c r="AE336" i="1"/>
  <c r="AA337" i="1"/>
  <c r="H274" i="1"/>
  <c r="J274" i="1"/>
  <c r="AV273" i="1"/>
  <c r="O273" i="1"/>
  <c r="AC273" i="1"/>
  <c r="AX370" i="1" l="1"/>
  <c r="BW371" i="1"/>
  <c r="BW372" i="1" s="1"/>
  <c r="BN370" i="1"/>
  <c r="BR356" i="1"/>
  <c r="BP357" i="1"/>
  <c r="BR355" i="1"/>
  <c r="AA338" i="1"/>
  <c r="AE337" i="1"/>
  <c r="AV274" i="1"/>
  <c r="J275" i="1"/>
  <c r="H275" i="1"/>
  <c r="O274" i="1"/>
  <c r="AC274" i="1"/>
  <c r="AA229" i="3"/>
  <c r="AA227" i="3"/>
  <c r="AA228" i="3"/>
  <c r="AA226" i="3"/>
  <c r="AX372" i="1" l="1"/>
  <c r="BW373" i="1"/>
  <c r="BN372" i="1"/>
  <c r="BN371" i="1"/>
  <c r="AX371" i="1"/>
  <c r="BR357" i="1"/>
  <c r="BP358" i="1"/>
  <c r="BP359" i="1" s="1"/>
  <c r="AE338" i="1"/>
  <c r="AA339" i="1"/>
  <c r="AA340" i="1" s="1"/>
  <c r="H276" i="1"/>
  <c r="J276" i="1"/>
  <c r="AC275" i="1"/>
  <c r="O275" i="1"/>
  <c r="AV275" i="1"/>
  <c r="AX373" i="1" l="1"/>
  <c r="BN373" i="1"/>
  <c r="BW374" i="1"/>
  <c r="BR359" i="1"/>
  <c r="BP360" i="1"/>
  <c r="BR358" i="1"/>
  <c r="AE340" i="1"/>
  <c r="AA341" i="1"/>
  <c r="AE339" i="1"/>
  <c r="AV276" i="1"/>
  <c r="J277" i="1"/>
  <c r="H277" i="1"/>
  <c r="O276" i="1"/>
  <c r="AC276" i="1"/>
  <c r="AX374" i="1" l="1"/>
  <c r="BW375" i="1"/>
  <c r="BN374" i="1"/>
  <c r="BR360" i="1"/>
  <c r="BP361" i="1"/>
  <c r="AA342" i="1"/>
  <c r="AE341" i="1"/>
  <c r="AV277" i="1"/>
  <c r="O277" i="1"/>
  <c r="H278" i="1"/>
  <c r="J278" i="1"/>
  <c r="AC277" i="1"/>
  <c r="AA237" i="3"/>
  <c r="AA235" i="3"/>
  <c r="AA236" i="3"/>
  <c r="AA233" i="3"/>
  <c r="AA234" i="3"/>
  <c r="AA231" i="3"/>
  <c r="AA232" i="3"/>
  <c r="AA230" i="3"/>
  <c r="AX375" i="1" l="1"/>
  <c r="BW376" i="1"/>
  <c r="BN375" i="1"/>
  <c r="BR361" i="1"/>
  <c r="BP362" i="1"/>
  <c r="BP363" i="1" s="1"/>
  <c r="AA343" i="1"/>
  <c r="AE342" i="1"/>
  <c r="AV278" i="1"/>
  <c r="H279" i="1"/>
  <c r="J279" i="1"/>
  <c r="O278" i="1"/>
  <c r="AC278" i="1"/>
  <c r="BN376" i="1" l="1"/>
  <c r="BW377" i="1"/>
  <c r="AX376" i="1"/>
  <c r="BR363" i="1"/>
  <c r="BP364" i="1"/>
  <c r="BR362" i="1"/>
  <c r="AE343" i="1"/>
  <c r="AA344" i="1"/>
  <c r="AV279" i="1"/>
  <c r="J280" i="1"/>
  <c r="H280" i="1"/>
  <c r="O279" i="1"/>
  <c r="AC279" i="1"/>
  <c r="BN377" i="1" l="1"/>
  <c r="BW378" i="1"/>
  <c r="AX377" i="1"/>
  <c r="BR364" i="1"/>
  <c r="BP365" i="1"/>
  <c r="AE344" i="1"/>
  <c r="AA345" i="1"/>
  <c r="AV280" i="1"/>
  <c r="H281" i="1"/>
  <c r="J281" i="1"/>
  <c r="O280" i="1"/>
  <c r="AC280" i="1"/>
  <c r="AX378" i="1" l="1"/>
  <c r="BN378" i="1"/>
  <c r="BW379" i="1"/>
  <c r="BR365" i="1"/>
  <c r="BP366" i="1"/>
  <c r="AA346" i="1"/>
  <c r="AE345" i="1"/>
  <c r="AV281" i="1"/>
  <c r="J282" i="1"/>
  <c r="H282" i="1"/>
  <c r="O281" i="1"/>
  <c r="AC281" i="1"/>
  <c r="BN379" i="1" l="1"/>
  <c r="BW380" i="1"/>
  <c r="BW381" i="1" s="1"/>
  <c r="AX379" i="1"/>
  <c r="BR366" i="1"/>
  <c r="BP367" i="1"/>
  <c r="AE346" i="1"/>
  <c r="AA347" i="1"/>
  <c r="AA348" i="1" s="1"/>
  <c r="H283" i="1"/>
  <c r="J283" i="1"/>
  <c r="O282" i="1"/>
  <c r="AV282" i="1"/>
  <c r="AC282" i="1"/>
  <c r="AX381" i="1" l="1"/>
  <c r="BW382" i="1"/>
  <c r="BN381" i="1"/>
  <c r="BN380" i="1"/>
  <c r="AX380" i="1"/>
  <c r="BR367" i="1"/>
  <c r="BP368" i="1"/>
  <c r="BP369" i="1" s="1"/>
  <c r="AE348" i="1"/>
  <c r="AA349" i="1"/>
  <c r="AA350" i="1" s="1"/>
  <c r="AE347" i="1"/>
  <c r="AV283" i="1"/>
  <c r="J284" i="1"/>
  <c r="H284" i="1"/>
  <c r="O283" i="1"/>
  <c r="AC283" i="1"/>
  <c r="BW383" i="1" l="1"/>
  <c r="AX382" i="1"/>
  <c r="BN382" i="1"/>
  <c r="BR369" i="1"/>
  <c r="BP370" i="1"/>
  <c r="BR368" i="1"/>
  <c r="AA351" i="1"/>
  <c r="AE350" i="1"/>
  <c r="AE349" i="1"/>
  <c r="AV284" i="1"/>
  <c r="J285" i="1"/>
  <c r="H285" i="1"/>
  <c r="O284" i="1"/>
  <c r="AC284" i="1"/>
  <c r="AX383" i="1" l="1"/>
  <c r="BW384" i="1"/>
  <c r="BN383" i="1"/>
  <c r="BR370" i="1"/>
  <c r="BP371" i="1"/>
  <c r="BP372" i="1" s="1"/>
  <c r="AE351" i="1"/>
  <c r="AA352" i="1"/>
  <c r="AV285" i="1"/>
  <c r="J286" i="1"/>
  <c r="H286" i="1"/>
  <c r="O285" i="1"/>
  <c r="AC285" i="1"/>
  <c r="AA245" i="3"/>
  <c r="AA243" i="3"/>
  <c r="AA244" i="3"/>
  <c r="AA241" i="3"/>
  <c r="AA242" i="3"/>
  <c r="AA239" i="3"/>
  <c r="AA240" i="3"/>
  <c r="AA238" i="3"/>
  <c r="BN384" i="1" l="1"/>
  <c r="AX384" i="1"/>
  <c r="BW385" i="1"/>
  <c r="BR372" i="1"/>
  <c r="BP373" i="1"/>
  <c r="BR371" i="1"/>
  <c r="AA353" i="1"/>
  <c r="AE352" i="1"/>
  <c r="AV286" i="1"/>
  <c r="J287" i="1"/>
  <c r="H287" i="1"/>
  <c r="O286" i="1"/>
  <c r="AC286" i="1"/>
  <c r="BN385" i="1" l="1"/>
  <c r="BW386" i="1"/>
  <c r="AX385" i="1"/>
  <c r="BR373" i="1"/>
  <c r="BP374" i="1"/>
  <c r="AA354" i="1"/>
  <c r="AE353" i="1"/>
  <c r="O287" i="1"/>
  <c r="J288" i="1"/>
  <c r="H288" i="1"/>
  <c r="AV287" i="1"/>
  <c r="AC287" i="1"/>
  <c r="AX386" i="1" l="1"/>
  <c r="BN386" i="1"/>
  <c r="BW387" i="1"/>
  <c r="BR374" i="1"/>
  <c r="BP375" i="1"/>
  <c r="AA355" i="1"/>
  <c r="AA356" i="1" s="1"/>
  <c r="AE354" i="1"/>
  <c r="O288" i="1"/>
  <c r="J289" i="1"/>
  <c r="H289" i="1"/>
  <c r="AV288" i="1"/>
  <c r="AC288" i="1"/>
  <c r="BW388" i="1" l="1"/>
  <c r="BN387" i="1"/>
  <c r="AX387" i="1"/>
  <c r="BR375" i="1"/>
  <c r="BP376" i="1"/>
  <c r="AE356" i="1"/>
  <c r="AA357" i="1"/>
  <c r="AE355" i="1"/>
  <c r="AV289" i="1"/>
  <c r="J290" i="1"/>
  <c r="O289" i="1"/>
  <c r="H290" i="1"/>
  <c r="AC289" i="1"/>
  <c r="AX388" i="1" l="1"/>
  <c r="BW389" i="1"/>
  <c r="BN388" i="1"/>
  <c r="BR376" i="1"/>
  <c r="BP377" i="1"/>
  <c r="AA358" i="1"/>
  <c r="AA359" i="1" s="1"/>
  <c r="AE357" i="1"/>
  <c r="AV290" i="1"/>
  <c r="H291" i="1"/>
  <c r="J291" i="1"/>
  <c r="O290" i="1"/>
  <c r="AC290" i="1"/>
  <c r="AX389" i="1" l="1"/>
  <c r="BW390" i="1"/>
  <c r="BW391" i="1" s="1"/>
  <c r="BN389" i="1"/>
  <c r="BR377" i="1"/>
  <c r="BP378" i="1"/>
  <c r="AA360" i="1"/>
  <c r="AE359" i="1"/>
  <c r="AE358" i="1"/>
  <c r="J292" i="1"/>
  <c r="H292" i="1"/>
  <c r="AV291" i="1"/>
  <c r="O291" i="1"/>
  <c r="AC291" i="1"/>
  <c r="AX391" i="1" l="1"/>
  <c r="BW392" i="1"/>
  <c r="BN391" i="1"/>
  <c r="AX390" i="1"/>
  <c r="BN390" i="1"/>
  <c r="BR378" i="1"/>
  <c r="BP379" i="1"/>
  <c r="AE360" i="1"/>
  <c r="AA361" i="1"/>
  <c r="AV292" i="1"/>
  <c r="J293" i="1"/>
  <c r="H293" i="1"/>
  <c r="O292" i="1"/>
  <c r="AC292" i="1"/>
  <c r="BN392" i="1" l="1"/>
  <c r="BW393" i="1"/>
  <c r="AX392" i="1"/>
  <c r="BR379" i="1"/>
  <c r="BP380" i="1"/>
  <c r="BP381" i="1" s="1"/>
  <c r="AE361" i="1"/>
  <c r="AA362" i="1"/>
  <c r="AA363" i="1" s="1"/>
  <c r="AV293" i="1"/>
  <c r="J294" i="1"/>
  <c r="H294" i="1"/>
  <c r="O293" i="1"/>
  <c r="AC293" i="1"/>
  <c r="BN393" i="1" l="1"/>
  <c r="AX393" i="1"/>
  <c r="BW394" i="1"/>
  <c r="BR381" i="1"/>
  <c r="BP382" i="1"/>
  <c r="BR380" i="1"/>
  <c r="AA364" i="1"/>
  <c r="AE363" i="1"/>
  <c r="AE362" i="1"/>
  <c r="O294" i="1"/>
  <c r="H295" i="1"/>
  <c r="J295" i="1"/>
  <c r="AV294" i="1"/>
  <c r="AC294" i="1"/>
  <c r="AA251" i="3"/>
  <c r="AA249" i="3"/>
  <c r="AA250" i="3"/>
  <c r="AA247" i="3"/>
  <c r="AA248" i="3"/>
  <c r="AA246" i="3"/>
  <c r="AX394" i="1" l="1"/>
  <c r="BW395" i="1"/>
  <c r="BN394" i="1"/>
  <c r="BR382" i="1"/>
  <c r="BP383" i="1"/>
  <c r="AE364" i="1"/>
  <c r="AA365" i="1"/>
  <c r="AV295" i="1"/>
  <c r="J296" i="1"/>
  <c r="H296" i="1"/>
  <c r="O295" i="1"/>
  <c r="AC295" i="1"/>
  <c r="BN395" i="1" l="1"/>
  <c r="AX395" i="1"/>
  <c r="BW396" i="1"/>
  <c r="BR383" i="1"/>
  <c r="BP384" i="1"/>
  <c r="AE365" i="1"/>
  <c r="AA366" i="1"/>
  <c r="J297" i="1"/>
  <c r="H297" i="1"/>
  <c r="AV296" i="1"/>
  <c r="O296" i="1"/>
  <c r="AC296" i="1"/>
  <c r="BN396" i="1" l="1"/>
  <c r="BW397" i="1"/>
  <c r="AX396" i="1"/>
  <c r="BR384" i="1"/>
  <c r="BP385" i="1"/>
  <c r="AE366" i="1"/>
  <c r="AA367" i="1"/>
  <c r="AV297" i="1"/>
  <c r="J298" i="1"/>
  <c r="H298" i="1"/>
  <c r="O297" i="1"/>
  <c r="AC297" i="1"/>
  <c r="AX397" i="1" l="1"/>
  <c r="BW398" i="1"/>
  <c r="BW399" i="1" s="1"/>
  <c r="BN397" i="1"/>
  <c r="BR385" i="1"/>
  <c r="BP386" i="1"/>
  <c r="AA368" i="1"/>
  <c r="AA369" i="1" s="1"/>
  <c r="AE367" i="1"/>
  <c r="AV298" i="1"/>
  <c r="J299" i="1"/>
  <c r="H299" i="1"/>
  <c r="O298" i="1"/>
  <c r="AC298" i="1"/>
  <c r="AX399" i="1" l="1"/>
  <c r="BW400" i="1"/>
  <c r="BN399" i="1"/>
  <c r="AX398" i="1"/>
  <c r="BN398" i="1"/>
  <c r="BR386" i="1"/>
  <c r="BP387" i="1"/>
  <c r="AE369" i="1"/>
  <c r="AA370" i="1"/>
  <c r="AE368" i="1"/>
  <c r="O299" i="1"/>
  <c r="J300" i="1"/>
  <c r="H300" i="1"/>
  <c r="AV299" i="1"/>
  <c r="AC299" i="1"/>
  <c r="AA257" i="3"/>
  <c r="AA258" i="3"/>
  <c r="AA255" i="3"/>
  <c r="AA256" i="3"/>
  <c r="AA253" i="3"/>
  <c r="AA254" i="3"/>
  <c r="AA252" i="3"/>
  <c r="BN400" i="1" l="1"/>
  <c r="AX400" i="1"/>
  <c r="BW401" i="1"/>
  <c r="BR387" i="1"/>
  <c r="BP388" i="1"/>
  <c r="AA371" i="1"/>
  <c r="AA372" i="1" s="1"/>
  <c r="AE370" i="1"/>
  <c r="AV300" i="1"/>
  <c r="H301" i="1"/>
  <c r="J301" i="1"/>
  <c r="O300" i="1"/>
  <c r="AC300" i="1"/>
  <c r="BN401" i="1" l="1"/>
  <c r="AX401" i="1"/>
  <c r="BW402" i="1"/>
  <c r="BR388" i="1"/>
  <c r="BP389" i="1"/>
  <c r="AE372" i="1"/>
  <c r="AA373" i="1"/>
  <c r="AE371" i="1"/>
  <c r="O301" i="1"/>
  <c r="J302" i="1"/>
  <c r="H302" i="1"/>
  <c r="AV301" i="1"/>
  <c r="AC301" i="1"/>
  <c r="BN402" i="1" l="1"/>
  <c r="BW403" i="1"/>
  <c r="BW404" i="1" s="1"/>
  <c r="AX402" i="1"/>
  <c r="BR389" i="1"/>
  <c r="BP390" i="1"/>
  <c r="BP391" i="1" s="1"/>
  <c r="AE373" i="1"/>
  <c r="AA374" i="1"/>
  <c r="O302" i="1"/>
  <c r="H303" i="1"/>
  <c r="J303" i="1"/>
  <c r="AV302" i="1"/>
  <c r="AC302" i="1"/>
  <c r="AX404" i="1" l="1"/>
  <c r="BW405" i="1"/>
  <c r="BN404" i="1"/>
  <c r="AX403" i="1"/>
  <c r="BN403" i="1"/>
  <c r="BR391" i="1"/>
  <c r="BP392" i="1"/>
  <c r="BR390" i="1"/>
  <c r="AA375" i="1"/>
  <c r="AE374" i="1"/>
  <c r="J304" i="1"/>
  <c r="H304" i="1"/>
  <c r="O303" i="1"/>
  <c r="AV303" i="1"/>
  <c r="AC303" i="1"/>
  <c r="BW406" i="1" l="1"/>
  <c r="BW407" i="1" s="1"/>
  <c r="AX405" i="1"/>
  <c r="BN405" i="1"/>
  <c r="BR392" i="1"/>
  <c r="BP393" i="1"/>
  <c r="AA376" i="1"/>
  <c r="AE375" i="1"/>
  <c r="AV304" i="1"/>
  <c r="H305" i="1"/>
  <c r="J305" i="1"/>
  <c r="O304" i="1"/>
  <c r="AC304" i="1"/>
  <c r="AX407" i="1" l="1"/>
  <c r="BW408" i="1"/>
  <c r="BN407" i="1"/>
  <c r="AX406" i="1"/>
  <c r="BN406" i="1"/>
  <c r="BR393" i="1"/>
  <c r="BP394" i="1"/>
  <c r="AA377" i="1"/>
  <c r="AE376" i="1"/>
  <c r="J306" i="1"/>
  <c r="H306" i="1"/>
  <c r="O305" i="1"/>
  <c r="AV305" i="1"/>
  <c r="AC305" i="1"/>
  <c r="AX408" i="1" l="1"/>
  <c r="BW409" i="1"/>
  <c r="BN408" i="1"/>
  <c r="BR394" i="1"/>
  <c r="BP395" i="1"/>
  <c r="AA378" i="1"/>
  <c r="AE377" i="1"/>
  <c r="J307" i="1"/>
  <c r="H307" i="1"/>
  <c r="AV306" i="1"/>
  <c r="O306" i="1"/>
  <c r="AC306" i="1"/>
  <c r="AA260" i="3"/>
  <c r="AA259" i="3"/>
  <c r="BN409" i="1" l="1"/>
  <c r="BW410" i="1"/>
  <c r="AX409" i="1"/>
  <c r="BR395" i="1"/>
  <c r="BP396" i="1"/>
  <c r="AA379" i="1"/>
  <c r="AE378" i="1"/>
  <c r="AV307" i="1"/>
  <c r="J308" i="1"/>
  <c r="H308" i="1"/>
  <c r="O307" i="1"/>
  <c r="AC307" i="1"/>
  <c r="BN410" i="1" l="1"/>
  <c r="AX410" i="1"/>
  <c r="BW411" i="1"/>
  <c r="BW412" i="1" s="1"/>
  <c r="BR396" i="1"/>
  <c r="BP397" i="1"/>
  <c r="AA380" i="1"/>
  <c r="AA381" i="1" s="1"/>
  <c r="AE379" i="1"/>
  <c r="AV308" i="1"/>
  <c r="J309" i="1"/>
  <c r="H309" i="1"/>
  <c r="O308" i="1"/>
  <c r="AC308" i="1"/>
  <c r="AA264" i="3"/>
  <c r="AA265" i="3"/>
  <c r="AA262" i="3"/>
  <c r="AA263" i="3"/>
  <c r="AA261" i="3"/>
  <c r="AX412" i="1" l="1"/>
  <c r="BW413" i="1"/>
  <c r="BN412" i="1"/>
  <c r="BN411" i="1"/>
  <c r="AX411" i="1"/>
  <c r="BR397" i="1"/>
  <c r="BP398" i="1"/>
  <c r="BP399" i="1" s="1"/>
  <c r="AA382" i="1"/>
  <c r="AE381" i="1"/>
  <c r="AE380" i="1"/>
  <c r="AV309" i="1"/>
  <c r="J310" i="1"/>
  <c r="H310" i="1"/>
  <c r="O309" i="1"/>
  <c r="AC309" i="1"/>
  <c r="AX413" i="1" l="1"/>
  <c r="BW414" i="1"/>
  <c r="BN413" i="1"/>
  <c r="BR399" i="1"/>
  <c r="BP400" i="1"/>
  <c r="BR398" i="1"/>
  <c r="AE382" i="1"/>
  <c r="AA383" i="1"/>
  <c r="H311" i="1"/>
  <c r="J311" i="1"/>
  <c r="AV310" i="1"/>
  <c r="O310" i="1"/>
  <c r="AC310" i="1"/>
  <c r="AX414" i="1" l="1"/>
  <c r="BW415" i="1"/>
  <c r="BN414" i="1"/>
  <c r="BR400" i="1"/>
  <c r="BP401" i="1"/>
  <c r="AA384" i="1"/>
  <c r="AE383" i="1"/>
  <c r="AV311" i="1"/>
  <c r="H312" i="1"/>
  <c r="J312" i="1"/>
  <c r="O311" i="1"/>
  <c r="AC311" i="1"/>
  <c r="BN415" i="1" l="1"/>
  <c r="BW416" i="1"/>
  <c r="AX415" i="1"/>
  <c r="BR401" i="1"/>
  <c r="BP402" i="1"/>
  <c r="AE384" i="1"/>
  <c r="AA385" i="1"/>
  <c r="AV312" i="1"/>
  <c r="J313" i="1"/>
  <c r="H313" i="1"/>
  <c r="O312" i="1"/>
  <c r="AC312" i="1"/>
  <c r="BW417" i="1" l="1"/>
  <c r="BW418" i="1" s="1"/>
  <c r="BN416" i="1"/>
  <c r="AX416" i="1"/>
  <c r="BP403" i="1"/>
  <c r="BP404" i="1" s="1"/>
  <c r="BR402" i="1"/>
  <c r="AE385" i="1"/>
  <c r="AA386" i="1"/>
  <c r="AV313" i="1"/>
  <c r="J314" i="1"/>
  <c r="H314" i="1"/>
  <c r="O313" i="1"/>
  <c r="AC313" i="1"/>
  <c r="AA271" i="3"/>
  <c r="AA272" i="3"/>
  <c r="AA269" i="3"/>
  <c r="AA270" i="3"/>
  <c r="AA267" i="3"/>
  <c r="AA268" i="3"/>
  <c r="AA266" i="3"/>
  <c r="BN418" i="1" l="1"/>
  <c r="BW419" i="1"/>
  <c r="AX418" i="1"/>
  <c r="BN417" i="1"/>
  <c r="AX417" i="1"/>
  <c r="BR404" i="1"/>
  <c r="BP405" i="1"/>
  <c r="BR403" i="1"/>
  <c r="AA387" i="1"/>
  <c r="AE386" i="1"/>
  <c r="AC314" i="1"/>
  <c r="O314" i="1"/>
  <c r="J315" i="1"/>
  <c r="H315" i="1"/>
  <c r="AV314" i="1"/>
  <c r="AX419" i="1" l="1"/>
  <c r="BW420" i="1"/>
  <c r="BW421" i="1" s="1"/>
  <c r="BN419" i="1"/>
  <c r="BR405" i="1"/>
  <c r="BP406" i="1"/>
  <c r="BP407" i="1" s="1"/>
  <c r="AE387" i="1"/>
  <c r="AA388" i="1"/>
  <c r="AV315" i="1"/>
  <c r="J316" i="1"/>
  <c r="H316" i="1"/>
  <c r="O315" i="1"/>
  <c r="AC315" i="1"/>
  <c r="AX421" i="1" l="1"/>
  <c r="BN421" i="1"/>
  <c r="BW422" i="1"/>
  <c r="AX420" i="1"/>
  <c r="BN420" i="1"/>
  <c r="BR407" i="1"/>
  <c r="BP408" i="1"/>
  <c r="BR406" i="1"/>
  <c r="AA389" i="1"/>
  <c r="AE388" i="1"/>
  <c r="AV316" i="1"/>
  <c r="J317" i="1"/>
  <c r="H317" i="1"/>
  <c r="O316" i="1"/>
  <c r="AC316" i="1"/>
  <c r="AX422" i="1" l="1"/>
  <c r="BW423" i="1"/>
  <c r="BN422" i="1"/>
  <c r="BP409" i="1"/>
  <c r="BR408" i="1"/>
  <c r="AA390" i="1"/>
  <c r="AA391" i="1" s="1"/>
  <c r="AE389" i="1"/>
  <c r="J318" i="1"/>
  <c r="H318" i="1"/>
  <c r="AV317" i="1"/>
  <c r="O317" i="1"/>
  <c r="AC317" i="1"/>
  <c r="BW424" i="1" l="1"/>
  <c r="BN423" i="1"/>
  <c r="AX423" i="1"/>
  <c r="BR409" i="1"/>
  <c r="BP410" i="1"/>
  <c r="AA392" i="1"/>
  <c r="AE391" i="1"/>
  <c r="AE390" i="1"/>
  <c r="AV318" i="1"/>
  <c r="J319" i="1"/>
  <c r="H319" i="1"/>
  <c r="O318" i="1"/>
  <c r="AC318" i="1"/>
  <c r="AX424" i="1" l="1"/>
  <c r="BW425" i="1"/>
  <c r="BW426" i="1" s="1"/>
  <c r="BN424" i="1"/>
  <c r="BR410" i="1"/>
  <c r="BP411" i="1"/>
  <c r="BP412" i="1" s="1"/>
  <c r="AA393" i="1"/>
  <c r="AE392" i="1"/>
  <c r="J320" i="1"/>
  <c r="H320" i="1"/>
  <c r="AV319" i="1"/>
  <c r="O319" i="1"/>
  <c r="AC319" i="1"/>
  <c r="AX426" i="1" l="1"/>
  <c r="BW427" i="1"/>
  <c r="BN426" i="1"/>
  <c r="BN425" i="1"/>
  <c r="AX425" i="1"/>
  <c r="BR412" i="1"/>
  <c r="BP413" i="1"/>
  <c r="BR411" i="1"/>
  <c r="AE393" i="1"/>
  <c r="AA394" i="1"/>
  <c r="AV320" i="1"/>
  <c r="H321" i="1"/>
  <c r="J321" i="1"/>
  <c r="O320" i="1"/>
  <c r="AC320" i="1"/>
  <c r="AA274" i="3"/>
  <c r="AA273" i="3"/>
  <c r="BN427" i="1" l="1"/>
  <c r="BW428" i="1"/>
  <c r="AX427" i="1"/>
  <c r="BR413" i="1"/>
  <c r="BP414" i="1"/>
  <c r="AA395" i="1"/>
  <c r="AE394" i="1"/>
  <c r="AV321" i="1"/>
  <c r="J322" i="1"/>
  <c r="H322" i="1"/>
  <c r="O321" i="1"/>
  <c r="AC321" i="1"/>
  <c r="BN428" i="1" l="1"/>
  <c r="AX428" i="1"/>
  <c r="BW429" i="1"/>
  <c r="BW430" i="1" s="1"/>
  <c r="BR414" i="1"/>
  <c r="BP415" i="1"/>
  <c r="AA396" i="1"/>
  <c r="AE395" i="1"/>
  <c r="H323" i="1"/>
  <c r="J323" i="1"/>
  <c r="AV322" i="1"/>
  <c r="O322" i="1"/>
  <c r="AC322" i="1"/>
  <c r="AX430" i="1" l="1"/>
  <c r="BW431" i="1"/>
  <c r="BN430" i="1"/>
  <c r="AX429" i="1"/>
  <c r="BN429" i="1"/>
  <c r="BR415" i="1"/>
  <c r="BP416" i="1"/>
  <c r="AA397" i="1"/>
  <c r="AE396" i="1"/>
  <c r="AV323" i="1"/>
  <c r="J324" i="1"/>
  <c r="H324" i="1"/>
  <c r="O323" i="1"/>
  <c r="AC323" i="1"/>
  <c r="AA278" i="3"/>
  <c r="AA276" i="3"/>
  <c r="AA277" i="3"/>
  <c r="AA275" i="3"/>
  <c r="BN431" i="1" l="1"/>
  <c r="AX431" i="1"/>
  <c r="BW432" i="1"/>
  <c r="BR416" i="1"/>
  <c r="BP417" i="1"/>
  <c r="BP418" i="1" s="1"/>
  <c r="AA398" i="1"/>
  <c r="AA399" i="1" s="1"/>
  <c r="AE397" i="1"/>
  <c r="J325" i="1"/>
  <c r="H325" i="1"/>
  <c r="AV324" i="1"/>
  <c r="O324" i="1"/>
  <c r="AC324" i="1"/>
  <c r="BN432" i="1" l="1"/>
  <c r="BW433" i="1"/>
  <c r="BW434" i="1" s="1"/>
  <c r="AX432" i="1"/>
  <c r="BR418" i="1"/>
  <c r="BP419" i="1"/>
  <c r="BR417" i="1"/>
  <c r="AA400" i="1"/>
  <c r="AE399" i="1"/>
  <c r="AE398" i="1"/>
  <c r="AV325" i="1"/>
  <c r="H326" i="1"/>
  <c r="J326" i="1"/>
  <c r="O325" i="1"/>
  <c r="AC325" i="1"/>
  <c r="AX434" i="1" l="1"/>
  <c r="BW435" i="1"/>
  <c r="BN434" i="1"/>
  <c r="BN433" i="1"/>
  <c r="AX433" i="1"/>
  <c r="BR419" i="1"/>
  <c r="BP420" i="1"/>
  <c r="BP421" i="1" s="1"/>
  <c r="AE400" i="1"/>
  <c r="AA401" i="1"/>
  <c r="AV326" i="1"/>
  <c r="J327" i="1"/>
  <c r="O326" i="1"/>
  <c r="H327" i="1"/>
  <c r="AC326" i="1"/>
  <c r="AX435" i="1" l="1"/>
  <c r="BN435" i="1"/>
  <c r="BW436" i="1"/>
  <c r="BR421" i="1"/>
  <c r="BP422" i="1"/>
  <c r="BR420" i="1"/>
  <c r="AA402" i="1"/>
  <c r="AE401" i="1"/>
  <c r="J328" i="1"/>
  <c r="H328" i="1"/>
  <c r="AV327" i="1"/>
  <c r="BA869" i="1"/>
  <c r="BA856" i="1" s="1"/>
  <c r="BA860" i="1" s="1"/>
  <c r="BR864" i="1" s="1"/>
  <c r="O327" i="1"/>
  <c r="AC327" i="1"/>
  <c r="AA280" i="3"/>
  <c r="AA281" i="3"/>
  <c r="AA279" i="3"/>
  <c r="BW437" i="1" l="1"/>
  <c r="BW438" i="1" s="1"/>
  <c r="AX436" i="1"/>
  <c r="BN436" i="1"/>
  <c r="BR422" i="1"/>
  <c r="BP423" i="1"/>
  <c r="BA862" i="1"/>
  <c r="AA403" i="1"/>
  <c r="AA404" i="1" s="1"/>
  <c r="AE402" i="1"/>
  <c r="BE856" i="1"/>
  <c r="BA878" i="1"/>
  <c r="BA879" i="1" s="1"/>
  <c r="H329" i="1"/>
  <c r="J329" i="1"/>
  <c r="AV328" i="1"/>
  <c r="O328" i="1"/>
  <c r="AC328" i="1"/>
  <c r="AX438" i="1" l="1"/>
  <c r="BW439" i="1"/>
  <c r="BN438" i="1"/>
  <c r="AX437" i="1"/>
  <c r="BN437" i="1"/>
  <c r="BR423" i="1"/>
  <c r="BP424" i="1"/>
  <c r="BA863" i="1"/>
  <c r="AA405" i="1"/>
  <c r="AE404" i="1"/>
  <c r="AE403" i="1"/>
  <c r="BE860" i="1"/>
  <c r="BE878" i="1"/>
  <c r="BP856" i="1"/>
  <c r="AC329" i="1"/>
  <c r="J330" i="1"/>
  <c r="H330" i="1"/>
  <c r="AV329" i="1"/>
  <c r="O329" i="1"/>
  <c r="BE880" i="1" l="1"/>
  <c r="BA881" i="1"/>
  <c r="BE881" i="1" s="1"/>
  <c r="BR881" i="1" s="1"/>
  <c r="CL882" i="1" s="1"/>
  <c r="BE879" i="1"/>
  <c r="BC878" i="1"/>
  <c r="AX439" i="1"/>
  <c r="BW440" i="1"/>
  <c r="BW441" i="1" s="1"/>
  <c r="BN439" i="1"/>
  <c r="BR424" i="1"/>
  <c r="BP425" i="1"/>
  <c r="BP426" i="1" s="1"/>
  <c r="AE405" i="1"/>
  <c r="AA406" i="1"/>
  <c r="AA407" i="1" s="1"/>
  <c r="BR878" i="1"/>
  <c r="D860" i="1"/>
  <c r="AH580" i="1" s="1"/>
  <c r="BG860" i="1"/>
  <c r="AC330" i="1"/>
  <c r="J331" i="1"/>
  <c r="H331" i="1"/>
  <c r="O330" i="1"/>
  <c r="AV330" i="1"/>
  <c r="AA285" i="3"/>
  <c r="AA286" i="3"/>
  <c r="AA283" i="3"/>
  <c r="AA284" i="3"/>
  <c r="AA282" i="3"/>
  <c r="AH579" i="1" l="1"/>
  <c r="AH578" i="1"/>
  <c r="AH573" i="1"/>
  <c r="AH574" i="1"/>
  <c r="AH575" i="1"/>
  <c r="AH577" i="1"/>
  <c r="AH576" i="1"/>
  <c r="AH570" i="1"/>
  <c r="AH572" i="1"/>
  <c r="AH571" i="1"/>
  <c r="AH567" i="1"/>
  <c r="AH568" i="1"/>
  <c r="AH565" i="1"/>
  <c r="AH566" i="1"/>
  <c r="AH569" i="1"/>
  <c r="AH564" i="1"/>
  <c r="AH563" i="1"/>
  <c r="AH560" i="1"/>
  <c r="AH562" i="1"/>
  <c r="AH561" i="1"/>
  <c r="AH559" i="1"/>
  <c r="AH557" i="1"/>
  <c r="AH555" i="1"/>
  <c r="AH556" i="1"/>
  <c r="AH558" i="1"/>
  <c r="AH553" i="1"/>
  <c r="AH550" i="1"/>
  <c r="AH552" i="1"/>
  <c r="AH549" i="1"/>
  <c r="AH551" i="1"/>
  <c r="AH554" i="1"/>
  <c r="AH547" i="1"/>
  <c r="AH548" i="1"/>
  <c r="AH545" i="1"/>
  <c r="AH546" i="1"/>
  <c r="AH542" i="1"/>
  <c r="AH541" i="1"/>
  <c r="AH543" i="1"/>
  <c r="AH540" i="1"/>
  <c r="AH544" i="1"/>
  <c r="AH539" i="1"/>
  <c r="AH535" i="1"/>
  <c r="AH537" i="1"/>
  <c r="AH536" i="1"/>
  <c r="AH538" i="1"/>
  <c r="AH533" i="1"/>
  <c r="AH532" i="1"/>
  <c r="AH534" i="1"/>
  <c r="AH531" i="1"/>
  <c r="AH530" i="1"/>
  <c r="AH529" i="1"/>
  <c r="AH528" i="1"/>
  <c r="AH523" i="1"/>
  <c r="AH526" i="1"/>
  <c r="AH524" i="1"/>
  <c r="AH527" i="1"/>
  <c r="AH525" i="1"/>
  <c r="AH521" i="1"/>
  <c r="AH519" i="1"/>
  <c r="AH518" i="1"/>
  <c r="AH522" i="1"/>
  <c r="AH520" i="1"/>
  <c r="AH517" i="1"/>
  <c r="AH515" i="1"/>
  <c r="AH513" i="1"/>
  <c r="AH516" i="1"/>
  <c r="AH514" i="1"/>
  <c r="AH509" i="1"/>
  <c r="AH511" i="1"/>
  <c r="AH512" i="1"/>
  <c r="AH510" i="1"/>
  <c r="AH503" i="1"/>
  <c r="AH508" i="1"/>
  <c r="AH504" i="1"/>
  <c r="AH506" i="1"/>
  <c r="AH505" i="1"/>
  <c r="AH507" i="1"/>
  <c r="BR879" i="1"/>
  <c r="BC879" i="1"/>
  <c r="AH499" i="1"/>
  <c r="AH500" i="1"/>
  <c r="AH502" i="1"/>
  <c r="AH501" i="1"/>
  <c r="AH495" i="1"/>
  <c r="AH497" i="1"/>
  <c r="AH496" i="1"/>
  <c r="AH498" i="1"/>
  <c r="AH492" i="1"/>
  <c r="AH490" i="1"/>
  <c r="AH491" i="1"/>
  <c r="AH494" i="1"/>
  <c r="AH493" i="1"/>
  <c r="AH489" i="1"/>
  <c r="AH484" i="1"/>
  <c r="AH483" i="1"/>
  <c r="AH486" i="1"/>
  <c r="AH487" i="1"/>
  <c r="AH488" i="1"/>
  <c r="AH485" i="1"/>
  <c r="AH482" i="1"/>
  <c r="AH481" i="1"/>
  <c r="AH476" i="1"/>
  <c r="AH478" i="1"/>
  <c r="AH475" i="1"/>
  <c r="AH479" i="1"/>
  <c r="AH477" i="1"/>
  <c r="AH480" i="1"/>
  <c r="AH474" i="1"/>
  <c r="AH472" i="1"/>
  <c r="AH473" i="1"/>
  <c r="AH469" i="1"/>
  <c r="AH470" i="1"/>
  <c r="AH471" i="1"/>
  <c r="AH468" i="1"/>
  <c r="AH467" i="1"/>
  <c r="AH464" i="1"/>
  <c r="AH466" i="1"/>
  <c r="AH465" i="1"/>
  <c r="AH463" i="1"/>
  <c r="AH462" i="1"/>
  <c r="AH461" i="1"/>
  <c r="AH459" i="1"/>
  <c r="AH457" i="1"/>
  <c r="AH458" i="1"/>
  <c r="AH460" i="1"/>
  <c r="AH453" i="1"/>
  <c r="AH456" i="1"/>
  <c r="AH454" i="1"/>
  <c r="AH455" i="1"/>
  <c r="AH447" i="1"/>
  <c r="AH452" i="1"/>
  <c r="AH450" i="1"/>
  <c r="AH448" i="1"/>
  <c r="AH449" i="1"/>
  <c r="AH451" i="1"/>
  <c r="AH445" i="1"/>
  <c r="AH446" i="1"/>
  <c r="AX441" i="1"/>
  <c r="BW442" i="1"/>
  <c r="BN441" i="1"/>
  <c r="AH440" i="1"/>
  <c r="AH444" i="1"/>
  <c r="AH441" i="1"/>
  <c r="AH442" i="1"/>
  <c r="AH443" i="1"/>
  <c r="BN440" i="1"/>
  <c r="AX440" i="1"/>
  <c r="AH438" i="1"/>
  <c r="AH439" i="1"/>
  <c r="AH433" i="1"/>
  <c r="AH435" i="1"/>
  <c r="AH437" i="1"/>
  <c r="AH434" i="1"/>
  <c r="AH436" i="1"/>
  <c r="AH430" i="1"/>
  <c r="AH432" i="1"/>
  <c r="AH431" i="1"/>
  <c r="BR426" i="1"/>
  <c r="BP427" i="1"/>
  <c r="AH429" i="1"/>
  <c r="AH426" i="1"/>
  <c r="AH427" i="1"/>
  <c r="AH428" i="1"/>
  <c r="BR425" i="1"/>
  <c r="AH424" i="1"/>
  <c r="AH423" i="1"/>
  <c r="AH422" i="1"/>
  <c r="AH421" i="1"/>
  <c r="AH425" i="1"/>
  <c r="AH418" i="1"/>
  <c r="AH419" i="1"/>
  <c r="AH420" i="1"/>
  <c r="AH417" i="1"/>
  <c r="AH415" i="1"/>
  <c r="AH414" i="1"/>
  <c r="AH412" i="1"/>
  <c r="AH416" i="1"/>
  <c r="AH413" i="1"/>
  <c r="AH410" i="1"/>
  <c r="AH409" i="1"/>
  <c r="AH407" i="1"/>
  <c r="AH408" i="1"/>
  <c r="AH411" i="1"/>
  <c r="AA408" i="1"/>
  <c r="AE407" i="1"/>
  <c r="AE406" i="1"/>
  <c r="AH404" i="1"/>
  <c r="AH406" i="1"/>
  <c r="AH405" i="1"/>
  <c r="AH398" i="1"/>
  <c r="AH403" i="1"/>
  <c r="AH399" i="1"/>
  <c r="AH400" i="1"/>
  <c r="AH402" i="1"/>
  <c r="AH401" i="1"/>
  <c r="AH395" i="1"/>
  <c r="AH396" i="1"/>
  <c r="AH392" i="1"/>
  <c r="AH391" i="1"/>
  <c r="AH394" i="1"/>
  <c r="AH397" i="1"/>
  <c r="AH393" i="1"/>
  <c r="AH390" i="1"/>
  <c r="AH387" i="1"/>
  <c r="AH385" i="1"/>
  <c r="AH386" i="1"/>
  <c r="AH388" i="1"/>
  <c r="AH389" i="1"/>
  <c r="AH384" i="1"/>
  <c r="AH382" i="1"/>
  <c r="AH383" i="1"/>
  <c r="AH381" i="1"/>
  <c r="AH380" i="1"/>
  <c r="AH377" i="1"/>
  <c r="AH379" i="1"/>
  <c r="AH378" i="1"/>
  <c r="AH376" i="1"/>
  <c r="AH372" i="1"/>
  <c r="AH373" i="1"/>
  <c r="AH374" i="1"/>
  <c r="AH375" i="1"/>
  <c r="AH369" i="1"/>
  <c r="AH370" i="1"/>
  <c r="AH371" i="1"/>
  <c r="AH366" i="1"/>
  <c r="AH367" i="1"/>
  <c r="AH368" i="1"/>
  <c r="AH364" i="1"/>
  <c r="AH365" i="1"/>
  <c r="AH363" i="1"/>
  <c r="AH359" i="1"/>
  <c r="AH362" i="1"/>
  <c r="AH360" i="1"/>
  <c r="AH361" i="1"/>
  <c r="AH357" i="1"/>
  <c r="AH358" i="1"/>
  <c r="AH356" i="1"/>
  <c r="AH352" i="1"/>
  <c r="AH340" i="1"/>
  <c r="AH335" i="1"/>
  <c r="AH327" i="1"/>
  <c r="AH284" i="1"/>
  <c r="AH232" i="1"/>
  <c r="AH298" i="1"/>
  <c r="AH248" i="1"/>
  <c r="AH254" i="1"/>
  <c r="AH279" i="1"/>
  <c r="AH234" i="1"/>
  <c r="AH312" i="1"/>
  <c r="AH280" i="1"/>
  <c r="AH251" i="1"/>
  <c r="AH285" i="1"/>
  <c r="AH220" i="1"/>
  <c r="AH229" i="1"/>
  <c r="AH244" i="1"/>
  <c r="AH233" i="1"/>
  <c r="AH242" i="1"/>
  <c r="AH333" i="1"/>
  <c r="AH275" i="1"/>
  <c r="AH249" i="1"/>
  <c r="AH348" i="1"/>
  <c r="AH343" i="1"/>
  <c r="AH336" i="1"/>
  <c r="AH322" i="1"/>
  <c r="AH276" i="1"/>
  <c r="AH301" i="1"/>
  <c r="AH264" i="1"/>
  <c r="AH308" i="1"/>
  <c r="AH245" i="1"/>
  <c r="AH272" i="1"/>
  <c r="AH293" i="1"/>
  <c r="AH239" i="1"/>
  <c r="AH317" i="1"/>
  <c r="AH266" i="1"/>
  <c r="AH315" i="1"/>
  <c r="AH222" i="1"/>
  <c r="AH225" i="1"/>
  <c r="AH331" i="1"/>
  <c r="AH282" i="1"/>
  <c r="AH274" i="1"/>
  <c r="AH269" i="1"/>
  <c r="AH223" i="1"/>
  <c r="AH294" i="1"/>
  <c r="AH250" i="1"/>
  <c r="AH349" i="1"/>
  <c r="AH341" i="1"/>
  <c r="AH334" i="1"/>
  <c r="AH323" i="1"/>
  <c r="AH305" i="1"/>
  <c r="AH265" i="1"/>
  <c r="AH261" i="1"/>
  <c r="AH287" i="1"/>
  <c r="AH236" i="1"/>
  <c r="AH316" i="1"/>
  <c r="AH258" i="1"/>
  <c r="AH240" i="1"/>
  <c r="AH311" i="1"/>
  <c r="AH256" i="1"/>
  <c r="AH281" i="1"/>
  <c r="AH218" i="1"/>
  <c r="AH221" i="1"/>
  <c r="H860" i="1"/>
  <c r="AH270" i="1"/>
  <c r="AH304" i="1"/>
  <c r="AH268" i="1"/>
  <c r="AH302" i="1"/>
  <c r="AH344" i="1"/>
  <c r="AH255" i="1"/>
  <c r="AH228" i="1"/>
  <c r="AH353" i="1"/>
  <c r="AH347" i="1"/>
  <c r="AH339" i="1"/>
  <c r="AH330" i="1"/>
  <c r="AH321" i="1"/>
  <c r="AH271" i="1"/>
  <c r="AH306" i="1"/>
  <c r="AH253" i="1"/>
  <c r="AH277" i="1"/>
  <c r="AH257" i="1"/>
  <c r="AH299" i="1"/>
  <c r="AH288" i="1"/>
  <c r="AH267" i="1"/>
  <c r="AH300" i="1"/>
  <c r="AH273" i="1"/>
  <c r="AH241" i="1"/>
  <c r="AH224" i="1"/>
  <c r="AH355" i="1"/>
  <c r="AH346" i="1"/>
  <c r="AH332" i="1"/>
  <c r="AH320" i="1"/>
  <c r="AH296" i="1"/>
  <c r="AH262" i="1"/>
  <c r="AH283" i="1"/>
  <c r="AH219" i="1"/>
  <c r="AH350" i="1"/>
  <c r="AH243" i="1"/>
  <c r="AH291" i="1"/>
  <c r="AH226" i="1"/>
  <c r="AH351" i="1"/>
  <c r="AH342" i="1"/>
  <c r="AH337" i="1"/>
  <c r="AH329" i="1"/>
  <c r="AH324" i="1"/>
  <c r="AH319" i="1"/>
  <c r="AH259" i="1"/>
  <c r="AH286" i="1"/>
  <c r="AH235" i="1"/>
  <c r="AH313" i="1"/>
  <c r="AH289" i="1"/>
  <c r="AH247" i="1"/>
  <c r="AH318" i="1"/>
  <c r="AH307" i="1"/>
  <c r="AH297" i="1"/>
  <c r="AH310" i="1"/>
  <c r="AH263" i="1"/>
  <c r="AH227" i="1"/>
  <c r="AH338" i="1"/>
  <c r="AH326" i="1"/>
  <c r="AH252" i="1"/>
  <c r="AH260" i="1"/>
  <c r="AH238" i="1"/>
  <c r="AH309" i="1"/>
  <c r="AH230" i="1"/>
  <c r="AH325" i="1"/>
  <c r="AH295" i="1"/>
  <c r="AH292" i="1"/>
  <c r="AH354" i="1"/>
  <c r="AH345" i="1"/>
  <c r="AH328" i="1"/>
  <c r="AH303" i="1"/>
  <c r="AH278" i="1"/>
  <c r="AH290" i="1"/>
  <c r="AH246" i="1"/>
  <c r="AH231" i="1"/>
  <c r="AH314" i="1"/>
  <c r="AH237" i="1"/>
  <c r="H332" i="1"/>
  <c r="J332" i="1"/>
  <c r="AV331" i="1"/>
  <c r="O331" i="1"/>
  <c r="AC331" i="1"/>
  <c r="BN442" i="1" l="1"/>
  <c r="AX442" i="1"/>
  <c r="BW443" i="1"/>
  <c r="BR427" i="1"/>
  <c r="BP428" i="1"/>
  <c r="AE408" i="1"/>
  <c r="AA409" i="1"/>
  <c r="AV332" i="1"/>
  <c r="H333" i="1"/>
  <c r="J333" i="1"/>
  <c r="O332" i="1"/>
  <c r="AC332" i="1"/>
  <c r="BN443" i="1" l="1"/>
  <c r="BW444" i="1"/>
  <c r="BW445" i="1" s="1"/>
  <c r="AX443" i="1"/>
  <c r="BR428" i="1"/>
  <c r="BP429" i="1"/>
  <c r="BP430" i="1" s="1"/>
  <c r="AE409" i="1"/>
  <c r="AA410" i="1"/>
  <c r="AV333" i="1"/>
  <c r="J334" i="1"/>
  <c r="H334" i="1"/>
  <c r="O333" i="1"/>
  <c r="AC333" i="1"/>
  <c r="AX445" i="1" l="1"/>
  <c r="BW446" i="1"/>
  <c r="BN445" i="1"/>
  <c r="AX444" i="1"/>
  <c r="BN444" i="1"/>
  <c r="BR430" i="1"/>
  <c r="BP431" i="1"/>
  <c r="BR429" i="1"/>
  <c r="AE410" i="1"/>
  <c r="AA411" i="1"/>
  <c r="AA412" i="1" s="1"/>
  <c r="AV334" i="1"/>
  <c r="J335" i="1"/>
  <c r="H335" i="1"/>
  <c r="O334" i="1"/>
  <c r="AC334" i="1"/>
  <c r="AA292" i="3"/>
  <c r="AA293" i="3"/>
  <c r="AA290" i="3"/>
  <c r="AA291" i="3"/>
  <c r="AA288" i="3"/>
  <c r="AA289" i="3"/>
  <c r="AA287" i="3"/>
  <c r="BN446" i="1" l="1"/>
  <c r="BW447" i="1"/>
  <c r="BW448" i="1" s="1"/>
  <c r="AX446" i="1"/>
  <c r="BR431" i="1"/>
  <c r="BP432" i="1"/>
  <c r="AA413" i="1"/>
  <c r="AE412" i="1"/>
  <c r="AE411" i="1"/>
  <c r="J336" i="1"/>
  <c r="H336" i="1"/>
  <c r="AV335" i="1"/>
  <c r="O335" i="1"/>
  <c r="AC335" i="1"/>
  <c r="BN448" i="1" l="1"/>
  <c r="BW449" i="1"/>
  <c r="AX448" i="1"/>
  <c r="BN447" i="1"/>
  <c r="AX447" i="1"/>
  <c r="BR432" i="1"/>
  <c r="BP433" i="1"/>
  <c r="BP434" i="1" s="1"/>
  <c r="AE413" i="1"/>
  <c r="AA414" i="1"/>
  <c r="AV336" i="1"/>
  <c r="O336" i="1"/>
  <c r="J337" i="1"/>
  <c r="H337" i="1"/>
  <c r="AC336" i="1"/>
  <c r="BN449" i="1" l="1"/>
  <c r="BW450" i="1"/>
  <c r="AX449" i="1"/>
  <c r="BR434" i="1"/>
  <c r="BP435" i="1"/>
  <c r="BR433" i="1"/>
  <c r="AA415" i="1"/>
  <c r="AE414" i="1"/>
  <c r="AC337" i="1"/>
  <c r="H338" i="1"/>
  <c r="J338" i="1"/>
  <c r="AV337" i="1"/>
  <c r="O337" i="1"/>
  <c r="BN450" i="1" l="1"/>
  <c r="AX450" i="1"/>
  <c r="BW451" i="1"/>
  <c r="BP436" i="1"/>
  <c r="BR435" i="1"/>
  <c r="AE415" i="1"/>
  <c r="AA416" i="1"/>
  <c r="H339" i="1"/>
  <c r="O338" i="1"/>
  <c r="J339" i="1"/>
  <c r="AV338" i="1"/>
  <c r="AC338" i="1"/>
  <c r="AX451" i="1" l="1"/>
  <c r="BW452" i="1"/>
  <c r="BW453" i="1" s="1"/>
  <c r="BN451" i="1"/>
  <c r="BP437" i="1"/>
  <c r="BP438" i="1" s="1"/>
  <c r="BR436" i="1"/>
  <c r="AA417" i="1"/>
  <c r="AA418" i="1" s="1"/>
  <c r="AE416" i="1"/>
  <c r="H340" i="1"/>
  <c r="J340" i="1"/>
  <c r="O339" i="1"/>
  <c r="AV339" i="1"/>
  <c r="AC339" i="1"/>
  <c r="BN453" i="1" l="1"/>
  <c r="BW454" i="1"/>
  <c r="AX453" i="1"/>
  <c r="BN452" i="1"/>
  <c r="AX452" i="1"/>
  <c r="BR438" i="1"/>
  <c r="BP439" i="1"/>
  <c r="BR437" i="1"/>
  <c r="AE418" i="1"/>
  <c r="AA419" i="1"/>
  <c r="AE417" i="1"/>
  <c r="J341" i="1"/>
  <c r="H341" i="1"/>
  <c r="AV340" i="1"/>
  <c r="O340" i="1"/>
  <c r="AC340" i="1"/>
  <c r="BN454" i="1" l="1"/>
  <c r="BW455" i="1"/>
  <c r="AX454" i="1"/>
  <c r="BR439" i="1"/>
  <c r="BP440" i="1"/>
  <c r="BP441" i="1" s="1"/>
  <c r="AA420" i="1"/>
  <c r="AA421" i="1" s="1"/>
  <c r="AE419" i="1"/>
  <c r="AV341" i="1"/>
  <c r="J342" i="1"/>
  <c r="H342" i="1"/>
  <c r="O341" i="1"/>
  <c r="AC341" i="1"/>
  <c r="AA301" i="3"/>
  <c r="AA302" i="3"/>
  <c r="AA297" i="3"/>
  <c r="AA298" i="3"/>
  <c r="AA295" i="3"/>
  <c r="AA296" i="3"/>
  <c r="AA294" i="3"/>
  <c r="BN455" i="1" l="1"/>
  <c r="AX455" i="1"/>
  <c r="BW456" i="1"/>
  <c r="BW457" i="1" s="1"/>
  <c r="BR441" i="1"/>
  <c r="BP442" i="1"/>
  <c r="BR440" i="1"/>
  <c r="AE421" i="1"/>
  <c r="AA422" i="1"/>
  <c r="AE420" i="1"/>
  <c r="AV342" i="1"/>
  <c r="J343" i="1"/>
  <c r="H343" i="1"/>
  <c r="O342" i="1"/>
  <c r="AC342" i="1"/>
  <c r="AA299" i="3"/>
  <c r="AA300" i="3"/>
  <c r="AX457" i="1" l="1"/>
  <c r="BW458" i="1"/>
  <c r="BN457" i="1"/>
  <c r="AX456" i="1"/>
  <c r="BN456" i="1"/>
  <c r="BR442" i="1"/>
  <c r="BP443" i="1"/>
  <c r="AA423" i="1"/>
  <c r="AE422" i="1"/>
  <c r="AC343" i="1"/>
  <c r="J344" i="1"/>
  <c r="H344" i="1"/>
  <c r="O343" i="1"/>
  <c r="AV343" i="1"/>
  <c r="BN458" i="1" l="1"/>
  <c r="AX458" i="1"/>
  <c r="BW459" i="1"/>
  <c r="BR443" i="1"/>
  <c r="BP444" i="1"/>
  <c r="BP445" i="1" s="1"/>
  <c r="AE423" i="1"/>
  <c r="AA424" i="1"/>
  <c r="AV344" i="1"/>
  <c r="J345" i="1"/>
  <c r="H345" i="1"/>
  <c r="O344" i="1"/>
  <c r="AC344" i="1"/>
  <c r="AX459" i="1" l="1"/>
  <c r="BW460" i="1"/>
  <c r="BW461" i="1" s="1"/>
  <c r="BN459" i="1"/>
  <c r="BR445" i="1"/>
  <c r="BP446" i="1"/>
  <c r="BR444" i="1"/>
  <c r="AA425" i="1"/>
  <c r="AA426" i="1" s="1"/>
  <c r="AE424" i="1"/>
  <c r="AV345" i="1"/>
  <c r="J346" i="1"/>
  <c r="H346" i="1"/>
  <c r="O345" i="1"/>
  <c r="AC345" i="1"/>
  <c r="AX461" i="1" l="1"/>
  <c r="BW462" i="1"/>
  <c r="BN461" i="1"/>
  <c r="AX460" i="1"/>
  <c r="BN460" i="1"/>
  <c r="BR446" i="1"/>
  <c r="BP447" i="1"/>
  <c r="BP448" i="1" s="1"/>
  <c r="AA427" i="1"/>
  <c r="AE426" i="1"/>
  <c r="AE425" i="1"/>
  <c r="J347" i="1"/>
  <c r="H347" i="1"/>
  <c r="O346" i="1"/>
  <c r="AV346" i="1"/>
  <c r="AC346" i="1"/>
  <c r="BN462" i="1" l="1"/>
  <c r="AX462" i="1"/>
  <c r="BW463" i="1"/>
  <c r="BW464" i="1" s="1"/>
  <c r="BR448" i="1"/>
  <c r="BP449" i="1"/>
  <c r="BR447" i="1"/>
  <c r="AA428" i="1"/>
  <c r="AE427" i="1"/>
  <c r="J348" i="1"/>
  <c r="H348" i="1"/>
  <c r="AV347" i="1"/>
  <c r="O347" i="1"/>
  <c r="AC347" i="1"/>
  <c r="BN464" i="1" l="1"/>
  <c r="AX464" i="1"/>
  <c r="BW465" i="1"/>
  <c r="AX463" i="1"/>
  <c r="BN463" i="1"/>
  <c r="BR449" i="1"/>
  <c r="BP450" i="1"/>
  <c r="AA429" i="1"/>
  <c r="AA430" i="1" s="1"/>
  <c r="AE428" i="1"/>
  <c r="AV348" i="1"/>
  <c r="J349" i="1"/>
  <c r="H349" i="1"/>
  <c r="O348" i="1"/>
  <c r="AC348" i="1"/>
  <c r="BW466" i="1" l="1"/>
  <c r="AX465" i="1"/>
  <c r="BN465" i="1"/>
  <c r="BP451" i="1"/>
  <c r="BR450" i="1"/>
  <c r="AA431" i="1"/>
  <c r="AE430" i="1"/>
  <c r="AE429" i="1"/>
  <c r="J350" i="1"/>
  <c r="H350" i="1"/>
  <c r="AV349" i="1"/>
  <c r="O349" i="1"/>
  <c r="AC349" i="1"/>
  <c r="AX466" i="1" l="1"/>
  <c r="BW467" i="1"/>
  <c r="BW468" i="1" s="1"/>
  <c r="BN466" i="1"/>
  <c r="BR451" i="1"/>
  <c r="BP452" i="1"/>
  <c r="BP453" i="1" s="1"/>
  <c r="AA432" i="1"/>
  <c r="AE431" i="1"/>
  <c r="AV350" i="1"/>
  <c r="J351" i="1"/>
  <c r="H351" i="1"/>
  <c r="O350" i="1"/>
  <c r="AC350" i="1"/>
  <c r="AA308" i="3"/>
  <c r="AA309" i="3"/>
  <c r="AA306" i="3"/>
  <c r="AA307" i="3"/>
  <c r="AA304" i="3"/>
  <c r="AA305" i="3"/>
  <c r="AA303" i="3"/>
  <c r="AX468" i="1" l="1"/>
  <c r="BW469" i="1"/>
  <c r="BN468" i="1"/>
  <c r="BN467" i="1"/>
  <c r="AX467" i="1"/>
  <c r="BR453" i="1"/>
  <c r="BP454" i="1"/>
  <c r="BR452" i="1"/>
  <c r="AA433" i="1"/>
  <c r="AA434" i="1" s="1"/>
  <c r="AE432" i="1"/>
  <c r="AV351" i="1"/>
  <c r="J352" i="1"/>
  <c r="H352" i="1"/>
  <c r="O351" i="1"/>
  <c r="AC351" i="1"/>
  <c r="BN469" i="1" l="1"/>
  <c r="BW470" i="1"/>
  <c r="AX469" i="1"/>
  <c r="BR454" i="1"/>
  <c r="BP455" i="1"/>
  <c r="AA435" i="1"/>
  <c r="AE434" i="1"/>
  <c r="AE433" i="1"/>
  <c r="AV352" i="1"/>
  <c r="J353" i="1"/>
  <c r="H353" i="1"/>
  <c r="O352" i="1"/>
  <c r="AC352" i="1"/>
  <c r="BW471" i="1" l="1"/>
  <c r="AX470" i="1"/>
  <c r="BN470" i="1"/>
  <c r="BR455" i="1"/>
  <c r="BP456" i="1"/>
  <c r="BP457" i="1" s="1"/>
  <c r="AE435" i="1"/>
  <c r="AA436" i="1"/>
  <c r="AV353" i="1"/>
  <c r="J354" i="1"/>
  <c r="H354" i="1"/>
  <c r="O353" i="1"/>
  <c r="AC353" i="1"/>
  <c r="BW472" i="1" l="1"/>
  <c r="BN471" i="1"/>
  <c r="AX471" i="1"/>
  <c r="BR457" i="1"/>
  <c r="BP458" i="1"/>
  <c r="BR456" i="1"/>
  <c r="AE436" i="1"/>
  <c r="AA437" i="1"/>
  <c r="AA438" i="1" s="1"/>
  <c r="AV354" i="1"/>
  <c r="J355" i="1"/>
  <c r="H355" i="1"/>
  <c r="O354" i="1"/>
  <c r="AC354" i="1"/>
  <c r="AX472" i="1" l="1"/>
  <c r="BW473" i="1"/>
  <c r="BN472" i="1"/>
  <c r="BR458" i="1"/>
  <c r="BP459" i="1"/>
  <c r="AE438" i="1"/>
  <c r="AA439" i="1"/>
  <c r="AE437" i="1"/>
  <c r="J356" i="1"/>
  <c r="H356" i="1"/>
  <c r="AV355" i="1"/>
  <c r="O355" i="1"/>
  <c r="AC355" i="1"/>
  <c r="BN473" i="1" l="1"/>
  <c r="AX473" i="1"/>
  <c r="BW474" i="1"/>
  <c r="BW475" i="1" s="1"/>
  <c r="BR459" i="1"/>
  <c r="BP460" i="1"/>
  <c r="BP461" i="1" s="1"/>
  <c r="AA440" i="1"/>
  <c r="AA441" i="1" s="1"/>
  <c r="AE439" i="1"/>
  <c r="AV356" i="1"/>
  <c r="J357" i="1"/>
  <c r="H357" i="1"/>
  <c r="O356" i="1"/>
  <c r="AC356" i="1"/>
  <c r="AX475" i="1" l="1"/>
  <c r="BW476" i="1"/>
  <c r="BN475" i="1"/>
  <c r="AX474" i="1"/>
  <c r="BN474" i="1"/>
  <c r="BR461" i="1"/>
  <c r="BP462" i="1"/>
  <c r="BR460" i="1"/>
  <c r="AA442" i="1"/>
  <c r="AE441" i="1"/>
  <c r="AE440" i="1"/>
  <c r="AV357" i="1"/>
  <c r="J358" i="1"/>
  <c r="H358" i="1"/>
  <c r="O357" i="1"/>
  <c r="AC357" i="1"/>
  <c r="AX476" i="1" l="1"/>
  <c r="BW477" i="1"/>
  <c r="BN476" i="1"/>
  <c r="BR462" i="1"/>
  <c r="BP463" i="1"/>
  <c r="BP464" i="1" s="1"/>
  <c r="AA443" i="1"/>
  <c r="AE442" i="1"/>
  <c r="J359" i="1"/>
  <c r="H359" i="1"/>
  <c r="AV358" i="1"/>
  <c r="O358" i="1"/>
  <c r="AC358" i="1"/>
  <c r="AA311" i="3"/>
  <c r="AA312" i="3"/>
  <c r="AA310" i="3"/>
  <c r="AX477" i="1" l="1"/>
  <c r="BW478" i="1"/>
  <c r="BN477" i="1"/>
  <c r="BR464" i="1"/>
  <c r="BP465" i="1"/>
  <c r="BR463" i="1"/>
  <c r="AA444" i="1"/>
  <c r="AA445" i="1" s="1"/>
  <c r="AE443" i="1"/>
  <c r="AV359" i="1"/>
  <c r="J360" i="1"/>
  <c r="H360" i="1"/>
  <c r="O359" i="1"/>
  <c r="AC359" i="1"/>
  <c r="AX478" i="1" l="1"/>
  <c r="BN478" i="1"/>
  <c r="BW479" i="1"/>
  <c r="BP466" i="1"/>
  <c r="BR465" i="1"/>
  <c r="AA446" i="1"/>
  <c r="AE445" i="1"/>
  <c r="AE444" i="1"/>
  <c r="AV360" i="1"/>
  <c r="J361" i="1"/>
  <c r="H361" i="1"/>
  <c r="O360" i="1"/>
  <c r="AC360" i="1"/>
  <c r="BN479" i="1" l="1"/>
  <c r="AX479" i="1"/>
  <c r="BW480" i="1"/>
  <c r="BP467" i="1"/>
  <c r="BP468" i="1" s="1"/>
  <c r="BR466" i="1"/>
  <c r="AA447" i="1"/>
  <c r="AA448" i="1" s="1"/>
  <c r="AE446" i="1"/>
  <c r="AV361" i="1"/>
  <c r="O361" i="1"/>
  <c r="J362" i="1"/>
  <c r="H362" i="1"/>
  <c r="AC361" i="1"/>
  <c r="AA315" i="3"/>
  <c r="AA316" i="3"/>
  <c r="AA313" i="3"/>
  <c r="AA314" i="3"/>
  <c r="BW481" i="1" l="1"/>
  <c r="BW482" i="1" s="1"/>
  <c r="AX480" i="1"/>
  <c r="BN480" i="1"/>
  <c r="BR468" i="1"/>
  <c r="BP469" i="1"/>
  <c r="BR467" i="1"/>
  <c r="AA449" i="1"/>
  <c r="AE448" i="1"/>
  <c r="AE447" i="1"/>
  <c r="H363" i="1"/>
  <c r="J363" i="1"/>
  <c r="O362" i="1"/>
  <c r="AV362" i="1"/>
  <c r="AC362" i="1"/>
  <c r="BN482" i="1" l="1"/>
  <c r="AX482" i="1"/>
  <c r="BW483" i="1"/>
  <c r="BN481" i="1"/>
  <c r="AX481" i="1"/>
  <c r="BR469" i="1"/>
  <c r="BP470" i="1"/>
  <c r="AA450" i="1"/>
  <c r="AE449" i="1"/>
  <c r="AV363" i="1"/>
  <c r="J364" i="1"/>
  <c r="H364" i="1"/>
  <c r="O363" i="1"/>
  <c r="AC363" i="1"/>
  <c r="AX483" i="1" l="1"/>
  <c r="BW484" i="1"/>
  <c r="BN483" i="1"/>
  <c r="BP471" i="1"/>
  <c r="BR470" i="1"/>
  <c r="AE450" i="1"/>
  <c r="AA451" i="1"/>
  <c r="AC364" i="1"/>
  <c r="H365" i="1"/>
  <c r="J365" i="1"/>
  <c r="O364" i="1"/>
  <c r="AV364" i="1"/>
  <c r="BN484" i="1" l="1"/>
  <c r="BW485" i="1"/>
  <c r="AX484" i="1"/>
  <c r="BP472" i="1"/>
  <c r="BR471" i="1"/>
  <c r="AA452" i="1"/>
  <c r="AA453" i="1" s="1"/>
  <c r="AE451" i="1"/>
  <c r="AV365" i="1"/>
  <c r="J366" i="1"/>
  <c r="H366" i="1"/>
  <c r="O365" i="1"/>
  <c r="AC365" i="1"/>
  <c r="AA322" i="3"/>
  <c r="AA323" i="3"/>
  <c r="AA320" i="3"/>
  <c r="AA321" i="3"/>
  <c r="AA318" i="3"/>
  <c r="AA319" i="3"/>
  <c r="AA317" i="3"/>
  <c r="BN485" i="1" l="1"/>
  <c r="AX485" i="1"/>
  <c r="BW486" i="1"/>
  <c r="BR472" i="1"/>
  <c r="BP473" i="1"/>
  <c r="AE453" i="1"/>
  <c r="AA454" i="1"/>
  <c r="AE452" i="1"/>
  <c r="AV366" i="1"/>
  <c r="J367" i="1"/>
  <c r="H367" i="1"/>
  <c r="O366" i="1"/>
  <c r="AC366" i="1"/>
  <c r="BN486" i="1" l="1"/>
  <c r="BW487" i="1"/>
  <c r="AX486" i="1"/>
  <c r="BR473" i="1"/>
  <c r="BP474" i="1"/>
  <c r="BP475" i="1" s="1"/>
  <c r="AE454" i="1"/>
  <c r="AA455" i="1"/>
  <c r="AV367" i="1"/>
  <c r="H368" i="1"/>
  <c r="J368" i="1"/>
  <c r="O367" i="1"/>
  <c r="AC367" i="1"/>
  <c r="AX487" i="1" l="1"/>
  <c r="BW488" i="1"/>
  <c r="BW489" i="1" s="1"/>
  <c r="BN487" i="1"/>
  <c r="BR475" i="1"/>
  <c r="BP476" i="1"/>
  <c r="BR474" i="1"/>
  <c r="AA456" i="1"/>
  <c r="AA457" i="1" s="1"/>
  <c r="AE455" i="1"/>
  <c r="J369" i="1"/>
  <c r="H369" i="1"/>
  <c r="AV368" i="1"/>
  <c r="O368" i="1"/>
  <c r="AC368" i="1"/>
  <c r="AX489" i="1" l="1"/>
  <c r="BW490" i="1"/>
  <c r="BN489" i="1"/>
  <c r="BN488" i="1"/>
  <c r="AX488" i="1"/>
  <c r="BR476" i="1"/>
  <c r="BP477" i="1"/>
  <c r="AE457" i="1"/>
  <c r="AA458" i="1"/>
  <c r="AE456" i="1"/>
  <c r="AV369" i="1"/>
  <c r="J370" i="1"/>
  <c r="H370" i="1"/>
  <c r="O369" i="1"/>
  <c r="AC369" i="1"/>
  <c r="AX490" i="1" l="1"/>
  <c r="BW491" i="1"/>
  <c r="BN490" i="1"/>
  <c r="BR477" i="1"/>
  <c r="BP478" i="1"/>
  <c r="AE458" i="1"/>
  <c r="AA459" i="1"/>
  <c r="AV370" i="1"/>
  <c r="H371" i="1"/>
  <c r="J371" i="1"/>
  <c r="O370" i="1"/>
  <c r="AC370" i="1"/>
  <c r="AX491" i="1" l="1"/>
  <c r="BW492" i="1"/>
  <c r="BN491" i="1"/>
  <c r="BR478" i="1"/>
  <c r="BP479" i="1"/>
  <c r="AA460" i="1"/>
  <c r="AA461" i="1" s="1"/>
  <c r="AE459" i="1"/>
  <c r="J372" i="1"/>
  <c r="H372" i="1"/>
  <c r="AC371" i="1"/>
  <c r="O371" i="1"/>
  <c r="AV371" i="1"/>
  <c r="AA325" i="3"/>
  <c r="AA326" i="3"/>
  <c r="AA324" i="3"/>
  <c r="BN492" i="1" l="1"/>
  <c r="BW493" i="1"/>
  <c r="AX492" i="1"/>
  <c r="BR479" i="1"/>
  <c r="BP480" i="1"/>
  <c r="AA462" i="1"/>
  <c r="AE461" i="1"/>
  <c r="AE460" i="1"/>
  <c r="AV372" i="1"/>
  <c r="H373" i="1"/>
  <c r="J373" i="1"/>
  <c r="O372" i="1"/>
  <c r="AC372" i="1"/>
  <c r="AX493" i="1" l="1"/>
  <c r="BW494" i="1"/>
  <c r="BW495" i="1" s="1"/>
  <c r="BN493" i="1"/>
  <c r="BR480" i="1"/>
  <c r="BP481" i="1"/>
  <c r="BP482" i="1" s="1"/>
  <c r="AE462" i="1"/>
  <c r="AA463" i="1"/>
  <c r="AA464" i="1" s="1"/>
  <c r="AV373" i="1"/>
  <c r="J374" i="1"/>
  <c r="H374" i="1"/>
  <c r="O373" i="1"/>
  <c r="AC373" i="1"/>
  <c r="AX495" i="1" l="1"/>
  <c r="BW496" i="1"/>
  <c r="BN495" i="1"/>
  <c r="BN494" i="1"/>
  <c r="AX494" i="1"/>
  <c r="BR482" i="1"/>
  <c r="BP483" i="1"/>
  <c r="BR481" i="1"/>
  <c r="AA465" i="1"/>
  <c r="AE464" i="1"/>
  <c r="AE463" i="1"/>
  <c r="AV374" i="1"/>
  <c r="J375" i="1"/>
  <c r="H375" i="1"/>
  <c r="O374" i="1"/>
  <c r="AC374" i="1"/>
  <c r="AA334" i="3"/>
  <c r="AA335" i="3"/>
  <c r="AA332" i="3"/>
  <c r="AA333" i="3"/>
  <c r="AA330" i="3"/>
  <c r="AA331" i="3"/>
  <c r="AA328" i="3"/>
  <c r="AA329" i="3"/>
  <c r="AA327" i="3"/>
  <c r="AX496" i="1" l="1"/>
  <c r="BW497" i="1"/>
  <c r="BN496" i="1"/>
  <c r="BR483" i="1"/>
  <c r="BP484" i="1"/>
  <c r="AE465" i="1"/>
  <c r="AA466" i="1"/>
  <c r="AV375" i="1"/>
  <c r="J376" i="1"/>
  <c r="O375" i="1"/>
  <c r="H376" i="1"/>
  <c r="AC375" i="1"/>
  <c r="AX497" i="1" l="1"/>
  <c r="BW498" i="1"/>
  <c r="BW499" i="1" s="1"/>
  <c r="BN497" i="1"/>
  <c r="BP485" i="1"/>
  <c r="BR484" i="1"/>
  <c r="AA467" i="1"/>
  <c r="AA468" i="1" s="1"/>
  <c r="AE466" i="1"/>
  <c r="AV376" i="1"/>
  <c r="J377" i="1"/>
  <c r="H377" i="1"/>
  <c r="O376" i="1"/>
  <c r="AC376" i="1"/>
  <c r="BN499" i="1" l="1"/>
  <c r="BW500" i="1"/>
  <c r="AX499" i="1"/>
  <c r="BN498" i="1"/>
  <c r="AX498" i="1"/>
  <c r="BP486" i="1"/>
  <c r="BR485" i="1"/>
  <c r="AA469" i="1"/>
  <c r="AE468" i="1"/>
  <c r="AE467" i="1"/>
  <c r="AV377" i="1"/>
  <c r="J378" i="1"/>
  <c r="H378" i="1"/>
  <c r="O377" i="1"/>
  <c r="AC377" i="1"/>
  <c r="BN500" i="1" l="1"/>
  <c r="AX500" i="1"/>
  <c r="BW501" i="1"/>
  <c r="BR486" i="1"/>
  <c r="BP487" i="1"/>
  <c r="AE469" i="1"/>
  <c r="AA470" i="1"/>
  <c r="J379" i="1"/>
  <c r="H379" i="1"/>
  <c r="O378" i="1"/>
  <c r="AV378" i="1"/>
  <c r="AC378" i="1"/>
  <c r="BN501" i="1" l="1"/>
  <c r="BW502" i="1"/>
  <c r="AX501" i="1"/>
  <c r="BR487" i="1"/>
  <c r="BP488" i="1"/>
  <c r="BP489" i="1" s="1"/>
  <c r="AE470" i="1"/>
  <c r="AA471" i="1"/>
  <c r="AV379" i="1"/>
  <c r="J380" i="1"/>
  <c r="H380" i="1"/>
  <c r="O379" i="1"/>
  <c r="AC379" i="1"/>
  <c r="AX502" i="1" l="1"/>
  <c r="BW503" i="1"/>
  <c r="BW504" i="1" s="1"/>
  <c r="BN502" i="1"/>
  <c r="BR489" i="1"/>
  <c r="BP490" i="1"/>
  <c r="BR488" i="1"/>
  <c r="AE471" i="1"/>
  <c r="AA472" i="1"/>
  <c r="H381" i="1"/>
  <c r="J381" i="1"/>
  <c r="AV380" i="1"/>
  <c r="O380" i="1"/>
  <c r="AC380" i="1"/>
  <c r="BN504" i="1" l="1"/>
  <c r="AX504" i="1"/>
  <c r="BW505" i="1"/>
  <c r="AX503" i="1"/>
  <c r="BN503" i="1"/>
  <c r="BR490" i="1"/>
  <c r="BP491" i="1"/>
  <c r="AA473" i="1"/>
  <c r="AE472" i="1"/>
  <c r="AV381" i="1"/>
  <c r="J382" i="1"/>
  <c r="H382" i="1"/>
  <c r="O381" i="1"/>
  <c r="AC381" i="1"/>
  <c r="AX505" i="1" l="1"/>
  <c r="BW506" i="1"/>
  <c r="BN505" i="1"/>
  <c r="BR491" i="1"/>
  <c r="BP492" i="1"/>
  <c r="AA474" i="1"/>
  <c r="AA475" i="1" s="1"/>
  <c r="AE473" i="1"/>
  <c r="AV382" i="1"/>
  <c r="H383" i="1"/>
  <c r="J383" i="1"/>
  <c r="O382" i="1"/>
  <c r="AC382" i="1"/>
  <c r="BN506" i="1" l="1"/>
  <c r="BW507" i="1"/>
  <c r="AX506" i="1"/>
  <c r="BR492" i="1"/>
  <c r="BP493" i="1"/>
  <c r="AA476" i="1"/>
  <c r="AE475" i="1"/>
  <c r="AE474" i="1"/>
  <c r="AV383" i="1"/>
  <c r="H384" i="1"/>
  <c r="J384" i="1"/>
  <c r="O383" i="1"/>
  <c r="AC383" i="1"/>
  <c r="AA345" i="3"/>
  <c r="AA343" i="3"/>
  <c r="AA344" i="3"/>
  <c r="AA341" i="3"/>
  <c r="AA342" i="3"/>
  <c r="AA339" i="3"/>
  <c r="AA340" i="3"/>
  <c r="AA337" i="3"/>
  <c r="AA338" i="3"/>
  <c r="AA336" i="3"/>
  <c r="AX507" i="1" l="1"/>
  <c r="BW508" i="1"/>
  <c r="BW509" i="1" s="1"/>
  <c r="BN507" i="1"/>
  <c r="BR493" i="1"/>
  <c r="BP494" i="1"/>
  <c r="BP495" i="1" s="1"/>
  <c r="AA477" i="1"/>
  <c r="AE476" i="1"/>
  <c r="AV384" i="1"/>
  <c r="J385" i="1"/>
  <c r="H385" i="1"/>
  <c r="O384" i="1"/>
  <c r="AC384" i="1"/>
  <c r="AX509" i="1" l="1"/>
  <c r="BW510" i="1"/>
  <c r="BN509" i="1"/>
  <c r="AX508" i="1"/>
  <c r="BN508" i="1"/>
  <c r="BR495" i="1"/>
  <c r="BP496" i="1"/>
  <c r="BR494" i="1"/>
  <c r="AE477" i="1"/>
  <c r="AA478" i="1"/>
  <c r="AV385" i="1"/>
  <c r="J386" i="1"/>
  <c r="H386" i="1"/>
  <c r="O385" i="1"/>
  <c r="AC385" i="1"/>
  <c r="AX510" i="1" l="1"/>
  <c r="BW511" i="1"/>
  <c r="BN510" i="1"/>
  <c r="BR496" i="1"/>
  <c r="BP497" i="1"/>
  <c r="AE478" i="1"/>
  <c r="AA479" i="1"/>
  <c r="AV386" i="1"/>
  <c r="H387" i="1"/>
  <c r="J387" i="1"/>
  <c r="O386" i="1"/>
  <c r="AC386" i="1"/>
  <c r="BN511" i="1" l="1"/>
  <c r="BW512" i="1"/>
  <c r="BW513" i="1" s="1"/>
  <c r="AX511" i="1"/>
  <c r="BR497" i="1"/>
  <c r="BP498" i="1"/>
  <c r="BP499" i="1" s="1"/>
  <c r="AE479" i="1"/>
  <c r="AA480" i="1"/>
  <c r="AV387" i="1"/>
  <c r="J388" i="1"/>
  <c r="H388" i="1"/>
  <c r="O387" i="1"/>
  <c r="AC387" i="1"/>
  <c r="AX513" i="1" l="1"/>
  <c r="BW514" i="1"/>
  <c r="BN513" i="1"/>
  <c r="AX512" i="1"/>
  <c r="BN512" i="1"/>
  <c r="BR499" i="1"/>
  <c r="BP500" i="1"/>
  <c r="BR498" i="1"/>
  <c r="AE480" i="1"/>
  <c r="AA481" i="1"/>
  <c r="AA482" i="1" s="1"/>
  <c r="AV388" i="1"/>
  <c r="J389" i="1"/>
  <c r="H389" i="1"/>
  <c r="O388" i="1"/>
  <c r="AC388" i="1"/>
  <c r="AX514" i="1" l="1"/>
  <c r="BW515" i="1"/>
  <c r="BN514" i="1"/>
  <c r="BR500" i="1"/>
  <c r="BP501" i="1"/>
  <c r="AE482" i="1"/>
  <c r="AA483" i="1"/>
  <c r="AE481" i="1"/>
  <c r="AV389" i="1"/>
  <c r="O389" i="1"/>
  <c r="J390" i="1"/>
  <c r="H390" i="1"/>
  <c r="AC389" i="1"/>
  <c r="BN515" i="1" l="1"/>
  <c r="BW516" i="1"/>
  <c r="BW517" i="1" s="1"/>
  <c r="AX515" i="1"/>
  <c r="BR501" i="1"/>
  <c r="BP502" i="1"/>
  <c r="AA484" i="1"/>
  <c r="AE483" i="1"/>
  <c r="J391" i="1"/>
  <c r="H391" i="1"/>
  <c r="AV390" i="1"/>
  <c r="O390" i="1"/>
  <c r="AC390" i="1"/>
  <c r="BN517" i="1" l="1"/>
  <c r="BW518" i="1"/>
  <c r="AX517" i="1"/>
  <c r="AX516" i="1"/>
  <c r="BN516" i="1"/>
  <c r="BR502" i="1"/>
  <c r="BP503" i="1"/>
  <c r="BP504" i="1" s="1"/>
  <c r="AE484" i="1"/>
  <c r="AA485" i="1"/>
  <c r="AV391" i="1"/>
  <c r="J392" i="1"/>
  <c r="O391" i="1"/>
  <c r="H392" i="1"/>
  <c r="AC391" i="1"/>
  <c r="BN518" i="1" l="1"/>
  <c r="BW519" i="1"/>
  <c r="AX518" i="1"/>
  <c r="BR504" i="1"/>
  <c r="BP505" i="1"/>
  <c r="BR503" i="1"/>
  <c r="AE485" i="1"/>
  <c r="AA486" i="1"/>
  <c r="AV392" i="1"/>
  <c r="J393" i="1"/>
  <c r="H393" i="1"/>
  <c r="O392" i="1"/>
  <c r="AC392" i="1"/>
  <c r="AX519" i="1" l="1"/>
  <c r="BW520" i="1"/>
  <c r="BN519" i="1"/>
  <c r="BP506" i="1"/>
  <c r="BR505" i="1"/>
  <c r="AE486" i="1"/>
  <c r="AA487" i="1"/>
  <c r="AV393" i="1"/>
  <c r="H394" i="1"/>
  <c r="J394" i="1"/>
  <c r="O393" i="1"/>
  <c r="AC393" i="1"/>
  <c r="AA353" i="3"/>
  <c r="AA351" i="3"/>
  <c r="AA352" i="3"/>
  <c r="AA349" i="3"/>
  <c r="AA350" i="3"/>
  <c r="AA347" i="3"/>
  <c r="AA348" i="3"/>
  <c r="AA346" i="3"/>
  <c r="AX520" i="1" l="1"/>
  <c r="BW521" i="1"/>
  <c r="BN520" i="1"/>
  <c r="BP507" i="1"/>
  <c r="BR506" i="1"/>
  <c r="AA488" i="1"/>
  <c r="AA489" i="1" s="1"/>
  <c r="AE487" i="1"/>
  <c r="AV394" i="1"/>
  <c r="J395" i="1"/>
  <c r="H395" i="1"/>
  <c r="O394" i="1"/>
  <c r="AC394" i="1"/>
  <c r="BW522" i="1" l="1"/>
  <c r="BW523" i="1" s="1"/>
  <c r="BW524" i="1" s="1"/>
  <c r="BN521" i="1"/>
  <c r="AX521" i="1"/>
  <c r="BR507" i="1"/>
  <c r="BP508" i="1"/>
  <c r="BP509" i="1" s="1"/>
  <c r="AA490" i="1"/>
  <c r="AE489" i="1"/>
  <c r="AE488" i="1"/>
  <c r="AV395" i="1"/>
  <c r="J396" i="1"/>
  <c r="H396" i="1"/>
  <c r="O395" i="1"/>
  <c r="AC395" i="1"/>
  <c r="BW525" i="1" l="1"/>
  <c r="AX524" i="1"/>
  <c r="BN524" i="1"/>
  <c r="BN523" i="1"/>
  <c r="AX523" i="1"/>
  <c r="AX522" i="1"/>
  <c r="BN522" i="1"/>
  <c r="BR509" i="1"/>
  <c r="BP510" i="1"/>
  <c r="BR508" i="1"/>
  <c r="AA491" i="1"/>
  <c r="AE490" i="1"/>
  <c r="AV396" i="1"/>
  <c r="J397" i="1"/>
  <c r="H397" i="1"/>
  <c r="O396" i="1"/>
  <c r="AC396" i="1"/>
  <c r="BN525" i="1" l="1"/>
  <c r="AX525" i="1"/>
  <c r="BW526" i="1"/>
  <c r="BR510" i="1"/>
  <c r="BP511" i="1"/>
  <c r="AA492" i="1"/>
  <c r="AE491" i="1"/>
  <c r="AV397" i="1"/>
  <c r="J398" i="1"/>
  <c r="H398" i="1"/>
  <c r="O397" i="1"/>
  <c r="AC397" i="1"/>
  <c r="AX526" i="1" l="1"/>
  <c r="BW527" i="1"/>
  <c r="BW528" i="1" s="1"/>
  <c r="BN526" i="1"/>
  <c r="BR511" i="1"/>
  <c r="BP512" i="1"/>
  <c r="BP513" i="1" s="1"/>
  <c r="AE492" i="1"/>
  <c r="AA493" i="1"/>
  <c r="H399" i="1"/>
  <c r="J399" i="1"/>
  <c r="AV398" i="1"/>
  <c r="O398" i="1"/>
  <c r="AC398" i="1"/>
  <c r="BN528" i="1" l="1"/>
  <c r="BW529" i="1"/>
  <c r="AX528" i="1"/>
  <c r="AX527" i="1"/>
  <c r="BN527" i="1"/>
  <c r="BR513" i="1"/>
  <c r="BP514" i="1"/>
  <c r="BR512" i="1"/>
  <c r="AA494" i="1"/>
  <c r="AA495" i="1" s="1"/>
  <c r="AE493" i="1"/>
  <c r="J400" i="1"/>
  <c r="H400" i="1"/>
  <c r="AV399" i="1"/>
  <c r="O399" i="1"/>
  <c r="AC399" i="1"/>
  <c r="BN529" i="1" l="1"/>
  <c r="AX529" i="1"/>
  <c r="BW530" i="1"/>
  <c r="BW531" i="1" s="1"/>
  <c r="BR514" i="1"/>
  <c r="BP515" i="1"/>
  <c r="AA496" i="1"/>
  <c r="AE495" i="1"/>
  <c r="AE494" i="1"/>
  <c r="AV400" i="1"/>
  <c r="H401" i="1"/>
  <c r="J401" i="1"/>
  <c r="O400" i="1"/>
  <c r="AC400" i="1"/>
  <c r="BN531" i="1" l="1"/>
  <c r="BW532" i="1"/>
  <c r="AX531" i="1"/>
  <c r="BN530" i="1"/>
  <c r="AX530" i="1"/>
  <c r="BR515" i="1"/>
  <c r="BP516" i="1"/>
  <c r="BP517" i="1" s="1"/>
  <c r="AE496" i="1"/>
  <c r="AA497" i="1"/>
  <c r="AV401" i="1"/>
  <c r="J402" i="1"/>
  <c r="H402" i="1"/>
  <c r="O401" i="1"/>
  <c r="AC401" i="1"/>
  <c r="AA357" i="3"/>
  <c r="AA355" i="3"/>
  <c r="AA356" i="3"/>
  <c r="AA354" i="3"/>
  <c r="BN532" i="1" l="1"/>
  <c r="BW533" i="1"/>
  <c r="AX532" i="1"/>
  <c r="BR517" i="1"/>
  <c r="BP518" i="1"/>
  <c r="BR516" i="1"/>
  <c r="AA498" i="1"/>
  <c r="AA499" i="1" s="1"/>
  <c r="AE497" i="1"/>
  <c r="O402" i="1"/>
  <c r="J403" i="1"/>
  <c r="H403" i="1"/>
  <c r="AV402" i="1"/>
  <c r="AC402" i="1"/>
  <c r="AX533" i="1" l="1"/>
  <c r="BW534" i="1"/>
  <c r="BW535" i="1" s="1"/>
  <c r="BN533" i="1"/>
  <c r="BR518" i="1"/>
  <c r="BP519" i="1"/>
  <c r="AE499" i="1"/>
  <c r="AA500" i="1"/>
  <c r="AE498" i="1"/>
  <c r="J404" i="1"/>
  <c r="H404" i="1"/>
  <c r="AV403" i="1"/>
  <c r="O403" i="1"/>
  <c r="AC403" i="1"/>
  <c r="BN535" i="1" l="1"/>
  <c r="BW536" i="1"/>
  <c r="AX535" i="1"/>
  <c r="BN534" i="1"/>
  <c r="AX534" i="1"/>
  <c r="BR519" i="1"/>
  <c r="BP520" i="1"/>
  <c r="AA501" i="1"/>
  <c r="AE500" i="1"/>
  <c r="AV404" i="1"/>
  <c r="H405" i="1"/>
  <c r="J405" i="1"/>
  <c r="O404" i="1"/>
  <c r="AC404" i="1"/>
  <c r="BN536" i="1" l="1"/>
  <c r="BW537" i="1"/>
  <c r="AX536" i="1"/>
  <c r="BP521" i="1"/>
  <c r="BR520" i="1"/>
  <c r="AA502" i="1"/>
  <c r="AE501" i="1"/>
  <c r="AV405" i="1"/>
  <c r="J406" i="1"/>
  <c r="H406" i="1"/>
  <c r="O405" i="1"/>
  <c r="AC405" i="1"/>
  <c r="BN537" i="1" l="1"/>
  <c r="BW538" i="1"/>
  <c r="AX537" i="1"/>
  <c r="BP522" i="1"/>
  <c r="BR521" i="1"/>
  <c r="AE502" i="1"/>
  <c r="AA503" i="1"/>
  <c r="AA504" i="1" s="1"/>
  <c r="J407" i="1"/>
  <c r="H407" i="1"/>
  <c r="AV406" i="1"/>
  <c r="O406" i="1"/>
  <c r="AC406" i="1"/>
  <c r="AA361" i="3"/>
  <c r="AA359" i="3"/>
  <c r="AA360" i="3"/>
  <c r="AA358" i="3"/>
  <c r="AX538" i="1" l="1"/>
  <c r="BW539" i="1"/>
  <c r="BW540" i="1" s="1"/>
  <c r="BN538" i="1"/>
  <c r="BP523" i="1"/>
  <c r="BP524" i="1" s="1"/>
  <c r="BP525" i="1" s="1"/>
  <c r="BP526" i="1" s="1"/>
  <c r="BR522" i="1"/>
  <c r="AA505" i="1"/>
  <c r="AE504" i="1"/>
  <c r="AE503" i="1"/>
  <c r="AV407" i="1"/>
  <c r="J408" i="1"/>
  <c r="H408" i="1"/>
  <c r="O407" i="1"/>
  <c r="AC407" i="1"/>
  <c r="BN540" i="1" l="1"/>
  <c r="BW541" i="1"/>
  <c r="AX540" i="1"/>
  <c r="AX539" i="1"/>
  <c r="BN539" i="1"/>
  <c r="BP527" i="1"/>
  <c r="BP528" i="1" s="1"/>
  <c r="BR526" i="1"/>
  <c r="BR525" i="1"/>
  <c r="BR524" i="1"/>
  <c r="BR523" i="1"/>
  <c r="AA506" i="1"/>
  <c r="AE505" i="1"/>
  <c r="AV408" i="1"/>
  <c r="J409" i="1"/>
  <c r="H409" i="1"/>
  <c r="O408" i="1"/>
  <c r="AC408" i="1"/>
  <c r="AX541" i="1" l="1"/>
  <c r="BN541" i="1"/>
  <c r="BW542" i="1"/>
  <c r="BR528" i="1"/>
  <c r="BP529" i="1"/>
  <c r="BR527" i="1"/>
  <c r="AE506" i="1"/>
  <c r="AA507" i="1"/>
  <c r="AV409" i="1"/>
  <c r="H410" i="1"/>
  <c r="J410" i="1"/>
  <c r="O409" i="1"/>
  <c r="AC409" i="1"/>
  <c r="AA365" i="3"/>
  <c r="AA363" i="3"/>
  <c r="AA364" i="3"/>
  <c r="AA362" i="3"/>
  <c r="BN542" i="1" l="1"/>
  <c r="BW543" i="1"/>
  <c r="AX542" i="1"/>
  <c r="BR529" i="1"/>
  <c r="BP530" i="1"/>
  <c r="BP531" i="1" s="1"/>
  <c r="AA508" i="1"/>
  <c r="AA509" i="1" s="1"/>
  <c r="AE507" i="1"/>
  <c r="AV410" i="1"/>
  <c r="H411" i="1"/>
  <c r="J411" i="1"/>
  <c r="O410" i="1"/>
  <c r="AC410" i="1"/>
  <c r="AX543" i="1" l="1"/>
  <c r="BW544" i="1"/>
  <c r="BW545" i="1" s="1"/>
  <c r="BN543" i="1"/>
  <c r="BP532" i="1"/>
  <c r="BR531" i="1"/>
  <c r="BR530" i="1"/>
  <c r="AA510" i="1"/>
  <c r="AE509" i="1"/>
  <c r="AE508" i="1"/>
  <c r="J412" i="1"/>
  <c r="H412" i="1"/>
  <c r="AV411" i="1"/>
  <c r="O411" i="1"/>
  <c r="AC411" i="1"/>
  <c r="BN545" i="1" l="1"/>
  <c r="BW546" i="1"/>
  <c r="AX545" i="1"/>
  <c r="AX544" i="1"/>
  <c r="BN544" i="1"/>
  <c r="BR532" i="1"/>
  <c r="BP533" i="1"/>
  <c r="AA511" i="1"/>
  <c r="AE510" i="1"/>
  <c r="AV412" i="1"/>
  <c r="J413" i="1"/>
  <c r="H413" i="1"/>
  <c r="O412" i="1"/>
  <c r="AC412" i="1"/>
  <c r="AX546" i="1" l="1"/>
  <c r="BW547" i="1"/>
  <c r="BN546" i="1"/>
  <c r="BR533" i="1"/>
  <c r="BP534" i="1"/>
  <c r="BP535" i="1" s="1"/>
  <c r="AE511" i="1"/>
  <c r="AA512" i="1"/>
  <c r="AA513" i="1" s="1"/>
  <c r="AV413" i="1"/>
  <c r="J414" i="1"/>
  <c r="H414" i="1"/>
  <c r="O413" i="1"/>
  <c r="AC413" i="1"/>
  <c r="AX547" i="1" l="1"/>
  <c r="BW548" i="1"/>
  <c r="BW549" i="1" s="1"/>
  <c r="BN547" i="1"/>
  <c r="BR535" i="1"/>
  <c r="BP536" i="1"/>
  <c r="BR534" i="1"/>
  <c r="AA514" i="1"/>
  <c r="AE513" i="1"/>
  <c r="AE512" i="1"/>
  <c r="AV414" i="1"/>
  <c r="H415" i="1"/>
  <c r="J415" i="1"/>
  <c r="O414" i="1"/>
  <c r="AC414" i="1"/>
  <c r="AA371" i="3"/>
  <c r="AA369" i="3"/>
  <c r="AA370" i="3"/>
  <c r="AA367" i="3"/>
  <c r="AA368" i="3"/>
  <c r="AA366" i="3"/>
  <c r="AX549" i="1" l="1"/>
  <c r="BW550" i="1"/>
  <c r="BN549" i="1"/>
  <c r="BN548" i="1"/>
  <c r="AX548" i="1"/>
  <c r="BP537" i="1"/>
  <c r="BR536" i="1"/>
  <c r="AA515" i="1"/>
  <c r="AE514" i="1"/>
  <c r="AV415" i="1"/>
  <c r="J416" i="1"/>
  <c r="H416" i="1"/>
  <c r="O415" i="1"/>
  <c r="AC415" i="1"/>
  <c r="BN550" i="1" l="1"/>
  <c r="AX550" i="1"/>
  <c r="BW551" i="1"/>
  <c r="BP538" i="1"/>
  <c r="BR537" i="1"/>
  <c r="AE515" i="1"/>
  <c r="AA516" i="1"/>
  <c r="AA517" i="1" s="1"/>
  <c r="AV416" i="1"/>
  <c r="J417" i="1"/>
  <c r="H417" i="1"/>
  <c r="O416" i="1"/>
  <c r="AC416" i="1"/>
  <c r="BN551" i="1" l="1"/>
  <c r="BW552" i="1"/>
  <c r="AX551" i="1"/>
  <c r="BR538" i="1"/>
  <c r="BP539" i="1"/>
  <c r="AA518" i="1"/>
  <c r="AE517" i="1"/>
  <c r="AE516" i="1"/>
  <c r="J418" i="1"/>
  <c r="H418" i="1"/>
  <c r="AV417" i="1"/>
  <c r="O417" i="1"/>
  <c r="AC417" i="1"/>
  <c r="BN552" i="1" l="1"/>
  <c r="BW553" i="1"/>
  <c r="AX552" i="1"/>
  <c r="BR539" i="1"/>
  <c r="BP540" i="1"/>
  <c r="AE518" i="1"/>
  <c r="AA519" i="1"/>
  <c r="AV418" i="1"/>
  <c r="H419" i="1"/>
  <c r="J419" i="1"/>
  <c r="O418" i="1"/>
  <c r="AC418" i="1"/>
  <c r="AX553" i="1" l="1"/>
  <c r="BW554" i="1"/>
  <c r="BW555" i="1" s="1"/>
  <c r="BN553" i="1"/>
  <c r="BR540" i="1"/>
  <c r="BP541" i="1"/>
  <c r="AA520" i="1"/>
  <c r="AE519" i="1"/>
  <c r="AV419" i="1"/>
  <c r="H420" i="1"/>
  <c r="J420" i="1"/>
  <c r="O419" i="1"/>
  <c r="AC419" i="1"/>
  <c r="AA375" i="3"/>
  <c r="AA373" i="3"/>
  <c r="AA374" i="3"/>
  <c r="AA372" i="3"/>
  <c r="BN555" i="1" l="1"/>
  <c r="BW556" i="1"/>
  <c r="AX555" i="1"/>
  <c r="AX554" i="1"/>
  <c r="BN554" i="1"/>
  <c r="BR541" i="1"/>
  <c r="BP542" i="1"/>
  <c r="AE520" i="1"/>
  <c r="AA521" i="1"/>
  <c r="J421" i="1"/>
  <c r="H421" i="1"/>
  <c r="AV420" i="1"/>
  <c r="O420" i="1"/>
  <c r="AC420" i="1"/>
  <c r="BN556" i="1" l="1"/>
  <c r="BW557" i="1"/>
  <c r="AX556" i="1"/>
  <c r="BR542" i="1"/>
  <c r="BP543" i="1"/>
  <c r="AE521" i="1"/>
  <c r="AA522" i="1"/>
  <c r="AA523" i="1" s="1"/>
  <c r="AA524" i="1" s="1"/>
  <c r="AV421" i="1"/>
  <c r="H422" i="1"/>
  <c r="O421" i="1"/>
  <c r="J422" i="1"/>
  <c r="AC421" i="1"/>
  <c r="BN557" i="1" l="1"/>
  <c r="BW558" i="1"/>
  <c r="AX557" i="1"/>
  <c r="BR543" i="1"/>
  <c r="BP544" i="1"/>
  <c r="AE524" i="1"/>
  <c r="AA525" i="1"/>
  <c r="AE523" i="1"/>
  <c r="AE522" i="1"/>
  <c r="AV422" i="1"/>
  <c r="J423" i="1"/>
  <c r="H423" i="1"/>
  <c r="O422" i="1"/>
  <c r="AC422" i="1"/>
  <c r="BN558" i="1" l="1"/>
  <c r="BW559" i="1"/>
  <c r="BW560" i="1" s="1"/>
  <c r="AX558" i="1"/>
  <c r="BR544" i="1"/>
  <c r="BP545" i="1"/>
  <c r="AE525" i="1"/>
  <c r="AA526" i="1"/>
  <c r="AV423" i="1"/>
  <c r="J424" i="1"/>
  <c r="H424" i="1"/>
  <c r="O423" i="1"/>
  <c r="AC423" i="1"/>
  <c r="AA379" i="3"/>
  <c r="AA377" i="3"/>
  <c r="AA378" i="3"/>
  <c r="AA376" i="3"/>
  <c r="BN560" i="1" l="1"/>
  <c r="BW561" i="1"/>
  <c r="AX560" i="1"/>
  <c r="BN559" i="1"/>
  <c r="AX559" i="1"/>
  <c r="BR545" i="1"/>
  <c r="BP546" i="1"/>
  <c r="AE526" i="1"/>
  <c r="AA527" i="1"/>
  <c r="AA528" i="1" s="1"/>
  <c r="AV424" i="1"/>
  <c r="H425" i="1"/>
  <c r="J425" i="1"/>
  <c r="O424" i="1"/>
  <c r="AC424" i="1"/>
  <c r="BN561" i="1" l="1"/>
  <c r="BW562" i="1"/>
  <c r="AX561" i="1"/>
  <c r="BR546" i="1"/>
  <c r="BP547" i="1"/>
  <c r="AA529" i="1"/>
  <c r="AE528" i="1"/>
  <c r="AE527" i="1"/>
  <c r="J426" i="1"/>
  <c r="H426" i="1"/>
  <c r="AV425" i="1"/>
  <c r="O425" i="1"/>
  <c r="AC425" i="1"/>
  <c r="BN562" i="1" l="1"/>
  <c r="BW563" i="1"/>
  <c r="AX562" i="1"/>
  <c r="BR547" i="1"/>
  <c r="BP548" i="1"/>
  <c r="AE529" i="1"/>
  <c r="AA530" i="1"/>
  <c r="AA531" i="1" s="1"/>
  <c r="AV426" i="1"/>
  <c r="J427" i="1"/>
  <c r="H427" i="1"/>
  <c r="O426" i="1"/>
  <c r="AC426" i="1"/>
  <c r="AX563" i="1" l="1"/>
  <c r="BW564" i="1"/>
  <c r="BW565" i="1" s="1"/>
  <c r="BN563" i="1"/>
  <c r="BR548" i="1"/>
  <c r="BP549" i="1"/>
  <c r="AE531" i="1"/>
  <c r="AA532" i="1"/>
  <c r="AE530" i="1"/>
  <c r="AV427" i="1"/>
  <c r="J428" i="1"/>
  <c r="H428" i="1"/>
  <c r="O427" i="1"/>
  <c r="AC427" i="1"/>
  <c r="BN565" i="1" l="1"/>
  <c r="BW566" i="1"/>
  <c r="AX565" i="1"/>
  <c r="BN564" i="1"/>
  <c r="AX564" i="1"/>
  <c r="BR549" i="1"/>
  <c r="BP550" i="1"/>
  <c r="AE532" i="1"/>
  <c r="AA533" i="1"/>
  <c r="AV428" i="1"/>
  <c r="H429" i="1"/>
  <c r="J429" i="1"/>
  <c r="O428" i="1"/>
  <c r="AC428" i="1"/>
  <c r="AA383" i="3"/>
  <c r="AA384" i="3"/>
  <c r="AA381" i="3"/>
  <c r="AA382" i="3"/>
  <c r="AA380" i="3"/>
  <c r="BN566" i="1" l="1"/>
  <c r="BW567" i="1"/>
  <c r="AX566" i="1"/>
  <c r="BR550" i="1"/>
  <c r="BP551" i="1"/>
  <c r="AA534" i="1"/>
  <c r="AA535" i="1" s="1"/>
  <c r="AE533" i="1"/>
  <c r="J430" i="1"/>
  <c r="H430" i="1"/>
  <c r="AV429" i="1"/>
  <c r="O429" i="1"/>
  <c r="AC429" i="1"/>
  <c r="BN567" i="1" l="1"/>
  <c r="BW568" i="1"/>
  <c r="AX567" i="1"/>
  <c r="BP552" i="1"/>
  <c r="BR551" i="1"/>
  <c r="AE535" i="1"/>
  <c r="AA536" i="1"/>
  <c r="AE534" i="1"/>
  <c r="AV430" i="1"/>
  <c r="O430" i="1"/>
  <c r="J431" i="1"/>
  <c r="H431" i="1"/>
  <c r="AC430" i="1"/>
  <c r="BN568" i="1" l="1"/>
  <c r="AX568" i="1"/>
  <c r="BW569" i="1"/>
  <c r="BW570" i="1" s="1"/>
  <c r="BW571" i="1" s="1"/>
  <c r="BR552" i="1"/>
  <c r="BP553" i="1"/>
  <c r="AE536" i="1"/>
  <c r="AA537" i="1"/>
  <c r="AV431" i="1"/>
  <c r="J432" i="1"/>
  <c r="H432" i="1"/>
  <c r="O431" i="1"/>
  <c r="AC431" i="1"/>
  <c r="AX571" i="1" l="1"/>
  <c r="BW572" i="1"/>
  <c r="BW573" i="1" s="1"/>
  <c r="BN571" i="1"/>
  <c r="BN570" i="1"/>
  <c r="AX570" i="1"/>
  <c r="BN569" i="1"/>
  <c r="AX569" i="1"/>
  <c r="BR553" i="1"/>
  <c r="BP554" i="1"/>
  <c r="BP555" i="1" s="1"/>
  <c r="AA538" i="1"/>
  <c r="AE537" i="1"/>
  <c r="AV432" i="1"/>
  <c r="H433" i="1"/>
  <c r="J433" i="1"/>
  <c r="O432" i="1"/>
  <c r="AC432" i="1"/>
  <c r="AA386" i="3"/>
  <c r="AA387" i="3"/>
  <c r="AA385" i="3"/>
  <c r="AX573" i="1" l="1"/>
  <c r="BW574" i="1"/>
  <c r="BN573" i="1"/>
  <c r="AX572" i="1"/>
  <c r="BN572" i="1"/>
  <c r="BR555" i="1"/>
  <c r="BP556" i="1"/>
  <c r="BR554" i="1"/>
  <c r="AE538" i="1"/>
  <c r="AA539" i="1"/>
  <c r="AA540" i="1" s="1"/>
  <c r="J434" i="1"/>
  <c r="H434" i="1"/>
  <c r="AV433" i="1"/>
  <c r="O433" i="1"/>
  <c r="AC433" i="1"/>
  <c r="BN574" i="1" l="1"/>
  <c r="BW575" i="1"/>
  <c r="AX574" i="1"/>
  <c r="BP557" i="1"/>
  <c r="BR556" i="1"/>
  <c r="AE540" i="1"/>
  <c r="AA541" i="1"/>
  <c r="AE539" i="1"/>
  <c r="AV434" i="1"/>
  <c r="H435" i="1"/>
  <c r="J435" i="1"/>
  <c r="O434" i="1"/>
  <c r="AC434" i="1"/>
  <c r="AX575" i="1" l="1"/>
  <c r="BW576" i="1"/>
  <c r="BN575" i="1"/>
  <c r="BR557" i="1"/>
  <c r="BP558" i="1"/>
  <c r="AE541" i="1"/>
  <c r="AA542" i="1"/>
  <c r="AV435" i="1"/>
  <c r="O435" i="1"/>
  <c r="J436" i="1"/>
  <c r="H436" i="1"/>
  <c r="AC435" i="1"/>
  <c r="BN576" i="1" l="1"/>
  <c r="AX576" i="1"/>
  <c r="BW577" i="1"/>
  <c r="BR558" i="1"/>
  <c r="BP559" i="1"/>
  <c r="AE542" i="1"/>
  <c r="AA543" i="1"/>
  <c r="AV436" i="1"/>
  <c r="O436" i="1"/>
  <c r="H437" i="1"/>
  <c r="J437" i="1"/>
  <c r="AC436" i="1"/>
  <c r="AA391" i="3"/>
  <c r="AA389" i="3"/>
  <c r="AA390" i="3"/>
  <c r="AA388" i="3"/>
  <c r="AX577" i="1" l="1"/>
  <c r="BW578" i="1"/>
  <c r="BN577" i="1"/>
  <c r="BR559" i="1"/>
  <c r="BP560" i="1"/>
  <c r="AA544" i="1"/>
  <c r="AA545" i="1" s="1"/>
  <c r="AE543" i="1"/>
  <c r="J438" i="1"/>
  <c r="H438" i="1"/>
  <c r="AV437" i="1"/>
  <c r="O437" i="1"/>
  <c r="AC437" i="1"/>
  <c r="BN578" i="1" l="1"/>
  <c r="BW579" i="1"/>
  <c r="BW580" i="1" s="1"/>
  <c r="AX578" i="1"/>
  <c r="BP561" i="1"/>
  <c r="BR560" i="1"/>
  <c r="AE545" i="1"/>
  <c r="AA546" i="1"/>
  <c r="AE544" i="1"/>
  <c r="AV438" i="1"/>
  <c r="O438" i="1"/>
  <c r="J439" i="1"/>
  <c r="H439" i="1"/>
  <c r="AC438" i="1"/>
  <c r="BN580" i="1" l="1"/>
  <c r="BW581" i="1"/>
  <c r="BW582" i="1" s="1"/>
  <c r="AX580" i="1"/>
  <c r="BN579" i="1"/>
  <c r="AX579" i="1"/>
  <c r="BR561" i="1"/>
  <c r="BP562" i="1"/>
  <c r="AA547" i="1"/>
  <c r="AE546" i="1"/>
  <c r="AV439" i="1"/>
  <c r="J440" i="1"/>
  <c r="H440" i="1"/>
  <c r="O439" i="1"/>
  <c r="AC439" i="1"/>
  <c r="AA395" i="3"/>
  <c r="AA392" i="3"/>
  <c r="BN582" i="1" l="1"/>
  <c r="BW583" i="1"/>
  <c r="AX581" i="1"/>
  <c r="BN581" i="1"/>
  <c r="BR562" i="1"/>
  <c r="BP563" i="1"/>
  <c r="AA548" i="1"/>
  <c r="AA549" i="1" s="1"/>
  <c r="AE547" i="1"/>
  <c r="J441" i="1"/>
  <c r="H441" i="1"/>
  <c r="AV440" i="1"/>
  <c r="O440" i="1"/>
  <c r="AC440" i="1"/>
  <c r="AA393" i="3"/>
  <c r="AA394" i="3"/>
  <c r="BN583" i="1" l="1"/>
  <c r="BW584" i="1"/>
  <c r="AX583" i="1"/>
  <c r="AX582" i="1"/>
  <c r="BR563" i="1"/>
  <c r="BP564" i="1"/>
  <c r="BP565" i="1" s="1"/>
  <c r="AA550" i="1"/>
  <c r="AE549" i="1"/>
  <c r="AE548" i="1"/>
  <c r="AV441" i="1"/>
  <c r="J442" i="1"/>
  <c r="H442" i="1"/>
  <c r="O441" i="1"/>
  <c r="AC441" i="1"/>
  <c r="BN584" i="1" l="1"/>
  <c r="BW585" i="1"/>
  <c r="AX584" i="1"/>
  <c r="BR565" i="1"/>
  <c r="BP566" i="1"/>
  <c r="BR564" i="1"/>
  <c r="AE550" i="1"/>
  <c r="AA551" i="1"/>
  <c r="AV442" i="1"/>
  <c r="J443" i="1"/>
  <c r="H443" i="1"/>
  <c r="O442" i="1"/>
  <c r="AC442" i="1"/>
  <c r="BN585" i="1" l="1"/>
  <c r="BW586" i="1"/>
  <c r="BW587" i="1" s="1"/>
  <c r="AX585" i="1"/>
  <c r="BR566" i="1"/>
  <c r="BP567" i="1"/>
  <c r="AE551" i="1"/>
  <c r="AA552" i="1"/>
  <c r="AV443" i="1"/>
  <c r="J444" i="1"/>
  <c r="H444" i="1"/>
  <c r="O443" i="1"/>
  <c r="AC443" i="1"/>
  <c r="AA399" i="3"/>
  <c r="AA397" i="3"/>
  <c r="AA398" i="3"/>
  <c r="AA396" i="3"/>
  <c r="BN587" i="1" l="1"/>
  <c r="BW588" i="1"/>
  <c r="AX587" i="1"/>
  <c r="BN586" i="1"/>
  <c r="AX586" i="1"/>
  <c r="BW764" i="1"/>
  <c r="BW765" i="1" s="1"/>
  <c r="BR567" i="1"/>
  <c r="BP568" i="1"/>
  <c r="AE552" i="1"/>
  <c r="AA553" i="1"/>
  <c r="H445" i="1"/>
  <c r="J445" i="1"/>
  <c r="AV444" i="1"/>
  <c r="O444" i="1"/>
  <c r="AC444" i="1"/>
  <c r="BN588" i="1" l="1"/>
  <c r="AX588" i="1"/>
  <c r="BW589" i="1"/>
  <c r="BW590" i="1" s="1"/>
  <c r="BP569" i="1"/>
  <c r="BP570" i="1" s="1"/>
  <c r="BP571" i="1" s="1"/>
  <c r="BR568" i="1"/>
  <c r="AE553" i="1"/>
  <c r="AA554" i="1"/>
  <c r="AA555" i="1" s="1"/>
  <c r="AV445" i="1"/>
  <c r="J446" i="1"/>
  <c r="H446" i="1"/>
  <c r="O445" i="1"/>
  <c r="AC445" i="1"/>
  <c r="BN590" i="1" l="1"/>
  <c r="BW591" i="1"/>
  <c r="AX590" i="1"/>
  <c r="BN589" i="1"/>
  <c r="AX589" i="1"/>
  <c r="BR571" i="1"/>
  <c r="BP572" i="1"/>
  <c r="BP573" i="1" s="1"/>
  <c r="BR570" i="1"/>
  <c r="BR569" i="1"/>
  <c r="AA556" i="1"/>
  <c r="AE555" i="1"/>
  <c r="AE554" i="1"/>
  <c r="AV446" i="1"/>
  <c r="J447" i="1"/>
  <c r="H447" i="1"/>
  <c r="O446" i="1"/>
  <c r="AC446" i="1"/>
  <c r="BN591" i="1" l="1"/>
  <c r="BW592" i="1"/>
  <c r="AX591" i="1"/>
  <c r="BR573" i="1"/>
  <c r="BP574" i="1"/>
  <c r="BR572" i="1"/>
  <c r="AE556" i="1"/>
  <c r="AA557" i="1"/>
  <c r="J448" i="1"/>
  <c r="H448" i="1"/>
  <c r="AV447" i="1"/>
  <c r="O447" i="1"/>
  <c r="AC447" i="1"/>
  <c r="AA401" i="3"/>
  <c r="AA402" i="3"/>
  <c r="AA400" i="3"/>
  <c r="BN592" i="1" l="1"/>
  <c r="BW593" i="1"/>
  <c r="BW594" i="1" s="1"/>
  <c r="AX592" i="1"/>
  <c r="BR574" i="1"/>
  <c r="BP575" i="1"/>
  <c r="AE557" i="1"/>
  <c r="AA558" i="1"/>
  <c r="O448" i="1"/>
  <c r="J449" i="1"/>
  <c r="H449" i="1"/>
  <c r="AV448" i="1"/>
  <c r="AC448" i="1"/>
  <c r="BN594" i="1" l="1"/>
  <c r="BW595" i="1"/>
  <c r="AX594" i="1"/>
  <c r="BN593" i="1"/>
  <c r="AX593" i="1"/>
  <c r="BR575" i="1"/>
  <c r="BP576" i="1"/>
  <c r="AA559" i="1"/>
  <c r="AA560" i="1" s="1"/>
  <c r="AE558" i="1"/>
  <c r="AV449" i="1"/>
  <c r="J450" i="1"/>
  <c r="H450" i="1"/>
  <c r="O449" i="1"/>
  <c r="AC449" i="1"/>
  <c r="BN595" i="1" l="1"/>
  <c r="BW596" i="1"/>
  <c r="AX595" i="1"/>
  <c r="BR576" i="1"/>
  <c r="BP577" i="1"/>
  <c r="AA561" i="1"/>
  <c r="AE560" i="1"/>
  <c r="AE559" i="1"/>
  <c r="AV450" i="1"/>
  <c r="H451" i="1"/>
  <c r="J451" i="1"/>
  <c r="O450" i="1"/>
  <c r="AC450" i="1"/>
  <c r="AA406" i="3"/>
  <c r="AA407" i="3"/>
  <c r="AA404" i="3"/>
  <c r="AA405" i="3"/>
  <c r="AA403" i="3"/>
  <c r="BN596" i="1" l="1"/>
  <c r="BW597" i="1"/>
  <c r="AX596" i="1"/>
  <c r="BR577" i="1"/>
  <c r="BP578" i="1"/>
  <c r="AE561" i="1"/>
  <c r="AA562" i="1"/>
  <c r="AV451" i="1"/>
  <c r="J452" i="1"/>
  <c r="H452" i="1"/>
  <c r="O451" i="1"/>
  <c r="AC451" i="1"/>
  <c r="BN597" i="1" l="1"/>
  <c r="BW598" i="1"/>
  <c r="AX597" i="1"/>
  <c r="BR578" i="1"/>
  <c r="BP579" i="1"/>
  <c r="BP580" i="1" s="1"/>
  <c r="AE562" i="1"/>
  <c r="AA563" i="1"/>
  <c r="J453" i="1"/>
  <c r="H453" i="1"/>
  <c r="AV452" i="1"/>
  <c r="O452" i="1"/>
  <c r="AC452" i="1"/>
  <c r="BN598" i="1" l="1"/>
  <c r="BW599" i="1"/>
  <c r="AX598" i="1"/>
  <c r="BP581" i="1"/>
  <c r="BP582" i="1" s="1"/>
  <c r="BR580" i="1"/>
  <c r="BR579" i="1"/>
  <c r="AE563" i="1"/>
  <c r="AA564" i="1"/>
  <c r="AA565" i="1" s="1"/>
  <c r="AV453" i="1"/>
  <c r="H454" i="1"/>
  <c r="J454" i="1"/>
  <c r="O453" i="1"/>
  <c r="AC453" i="1"/>
  <c r="BN599" i="1" l="1"/>
  <c r="BW600" i="1"/>
  <c r="BW601" i="1" s="1"/>
  <c r="AX599" i="1"/>
  <c r="BR582" i="1"/>
  <c r="BP583" i="1"/>
  <c r="BR581" i="1"/>
  <c r="AA566" i="1"/>
  <c r="AE565" i="1"/>
  <c r="AE564" i="1"/>
  <c r="AV454" i="1"/>
  <c r="J455" i="1"/>
  <c r="H455" i="1"/>
  <c r="O454" i="1"/>
  <c r="AC454" i="1"/>
  <c r="BN601" i="1" l="1"/>
  <c r="BW602" i="1"/>
  <c r="BW603" i="1" s="1"/>
  <c r="BW604" i="1" s="1"/>
  <c r="AX601" i="1"/>
  <c r="BN600" i="1"/>
  <c r="AX600" i="1"/>
  <c r="BR583" i="1"/>
  <c r="BP584" i="1"/>
  <c r="AA567" i="1"/>
  <c r="AE566" i="1"/>
  <c r="AV455" i="1"/>
  <c r="H456" i="1"/>
  <c r="J456" i="1"/>
  <c r="O455" i="1"/>
  <c r="AC455" i="1"/>
  <c r="AA411" i="3"/>
  <c r="AA409" i="3"/>
  <c r="AA410" i="3"/>
  <c r="AA408" i="3"/>
  <c r="BW605" i="1" l="1"/>
  <c r="BN604" i="1"/>
  <c r="AX604" i="1"/>
  <c r="BN603" i="1"/>
  <c r="AX603" i="1"/>
  <c r="BN602" i="1"/>
  <c r="AX602" i="1"/>
  <c r="BR584" i="1"/>
  <c r="BP585" i="1"/>
  <c r="AE567" i="1"/>
  <c r="AA568" i="1"/>
  <c r="J457" i="1"/>
  <c r="H457" i="1"/>
  <c r="AV456" i="1"/>
  <c r="O456" i="1"/>
  <c r="AC456" i="1"/>
  <c r="BN605" i="1" l="1"/>
  <c r="BW606" i="1"/>
  <c r="AX605" i="1"/>
  <c r="BR585" i="1"/>
  <c r="BP586" i="1"/>
  <c r="BP587" i="1" s="1"/>
  <c r="AE568" i="1"/>
  <c r="AA569" i="1"/>
  <c r="AA570" i="1" s="1"/>
  <c r="AA571" i="1" s="1"/>
  <c r="AV457" i="1"/>
  <c r="H458" i="1"/>
  <c r="J458" i="1"/>
  <c r="O457" i="1"/>
  <c r="AC457" i="1"/>
  <c r="BN606" i="1" l="1"/>
  <c r="BW607" i="1"/>
  <c r="BW608" i="1" s="1"/>
  <c r="AX606" i="1"/>
  <c r="BR587" i="1"/>
  <c r="BP588" i="1"/>
  <c r="BR586" i="1"/>
  <c r="AA572" i="1"/>
  <c r="AA573" i="1" s="1"/>
  <c r="AE571" i="1"/>
  <c r="AE570" i="1"/>
  <c r="AE569" i="1"/>
  <c r="O458" i="1"/>
  <c r="J459" i="1"/>
  <c r="H459" i="1"/>
  <c r="AV458" i="1"/>
  <c r="AC458" i="1"/>
  <c r="BN608" i="1" l="1"/>
  <c r="BW609" i="1"/>
  <c r="AX608" i="1"/>
  <c r="AX607" i="1"/>
  <c r="BN607" i="1"/>
  <c r="BR588" i="1"/>
  <c r="BP589" i="1"/>
  <c r="BP590" i="1" s="1"/>
  <c r="AE573" i="1"/>
  <c r="AA574" i="1"/>
  <c r="AE572" i="1"/>
  <c r="AV459" i="1"/>
  <c r="J460" i="1"/>
  <c r="H460" i="1"/>
  <c r="O459" i="1"/>
  <c r="AC459" i="1"/>
  <c r="AA412" i="3"/>
  <c r="BN609" i="1" l="1"/>
  <c r="BW610" i="1"/>
  <c r="AX609" i="1"/>
  <c r="BR590" i="1"/>
  <c r="BP591" i="1"/>
  <c r="BR589" i="1"/>
  <c r="AE574" i="1"/>
  <c r="AA575" i="1"/>
  <c r="J461" i="1"/>
  <c r="H461" i="1"/>
  <c r="AV460" i="1"/>
  <c r="O460" i="1"/>
  <c r="AC460" i="1"/>
  <c r="AA413" i="3"/>
  <c r="AA414" i="3"/>
  <c r="BN610" i="1" l="1"/>
  <c r="BW611" i="1"/>
  <c r="BW612" i="1" s="1"/>
  <c r="AX610" i="1"/>
  <c r="BR591" i="1"/>
  <c r="BP592" i="1"/>
  <c r="AA576" i="1"/>
  <c r="AE575" i="1"/>
  <c r="AV461" i="1"/>
  <c r="J462" i="1"/>
  <c r="H462" i="1"/>
  <c r="O461" i="1"/>
  <c r="AC461" i="1"/>
  <c r="AX612" i="1" l="1"/>
  <c r="BW613" i="1"/>
  <c r="BN612" i="1"/>
  <c r="BN611" i="1"/>
  <c r="AX611" i="1"/>
  <c r="BR592" i="1"/>
  <c r="BP593" i="1"/>
  <c r="BP594" i="1" s="1"/>
  <c r="AA577" i="1"/>
  <c r="AE576" i="1"/>
  <c r="O462" i="1"/>
  <c r="H463" i="1"/>
  <c r="J463" i="1"/>
  <c r="AV462" i="1"/>
  <c r="AC462" i="1"/>
  <c r="BN613" i="1" l="1"/>
  <c r="BW614" i="1"/>
  <c r="BW615" i="1" s="1"/>
  <c r="AX613" i="1"/>
  <c r="BR594" i="1"/>
  <c r="BP595" i="1"/>
  <c r="BR593" i="1"/>
  <c r="AE577" i="1"/>
  <c r="AA578" i="1"/>
  <c r="J464" i="1"/>
  <c r="H464" i="1"/>
  <c r="AV463" i="1"/>
  <c r="O463" i="1"/>
  <c r="AC463" i="1"/>
  <c r="AA416" i="3"/>
  <c r="AA417" i="3"/>
  <c r="AA415" i="3"/>
  <c r="BN615" i="1" l="1"/>
  <c r="BW616" i="1"/>
  <c r="AX615" i="1"/>
  <c r="BN614" i="1"/>
  <c r="AX614" i="1"/>
  <c r="BR595" i="1"/>
  <c r="BP596" i="1"/>
  <c r="AA579" i="1"/>
  <c r="AA580" i="1" s="1"/>
  <c r="AE578" i="1"/>
  <c r="AV464" i="1"/>
  <c r="J465" i="1"/>
  <c r="O464" i="1"/>
  <c r="H465" i="1"/>
  <c r="AC464" i="1"/>
  <c r="BN616" i="1" l="1"/>
  <c r="BW617" i="1"/>
  <c r="BW618" i="1" s="1"/>
  <c r="AX616" i="1"/>
  <c r="BR596" i="1"/>
  <c r="BP597" i="1"/>
  <c r="AE580" i="1"/>
  <c r="AA581" i="1"/>
  <c r="AE579" i="1"/>
  <c r="O465" i="1"/>
  <c r="J466" i="1"/>
  <c r="H466" i="1"/>
  <c r="AV465" i="1"/>
  <c r="AC465" i="1"/>
  <c r="AA421" i="3"/>
  <c r="AA422" i="3"/>
  <c r="AA419" i="3"/>
  <c r="AA420" i="3"/>
  <c r="AA418" i="3"/>
  <c r="BN618" i="1" l="1"/>
  <c r="BW619" i="1"/>
  <c r="AX618" i="1"/>
  <c r="AX617" i="1"/>
  <c r="BN617" i="1"/>
  <c r="BP598" i="1"/>
  <c r="BR597" i="1"/>
  <c r="AE581" i="1"/>
  <c r="AA582" i="1"/>
  <c r="AA583" i="1" s="1"/>
  <c r="AV466" i="1"/>
  <c r="H467" i="1"/>
  <c r="J467" i="1"/>
  <c r="O466" i="1"/>
  <c r="AC466" i="1"/>
  <c r="BN619" i="1" l="1"/>
  <c r="BW620" i="1"/>
  <c r="AX619" i="1"/>
  <c r="BR598" i="1"/>
  <c r="BP599" i="1"/>
  <c r="AA584" i="1"/>
  <c r="AE583" i="1"/>
  <c r="AE582" i="1"/>
  <c r="J468" i="1"/>
  <c r="H468" i="1"/>
  <c r="AV467" i="1"/>
  <c r="O467" i="1"/>
  <c r="AC467" i="1"/>
  <c r="BN620" i="1" l="1"/>
  <c r="BW621" i="1"/>
  <c r="BW622" i="1" s="1"/>
  <c r="AX620" i="1"/>
  <c r="BR599" i="1"/>
  <c r="BP600" i="1"/>
  <c r="BP601" i="1" s="1"/>
  <c r="AE584" i="1"/>
  <c r="AA585" i="1"/>
  <c r="AV468" i="1"/>
  <c r="J469" i="1"/>
  <c r="H469" i="1"/>
  <c r="O468" i="1"/>
  <c r="AC468" i="1"/>
  <c r="BN622" i="1" l="1"/>
  <c r="BW623" i="1"/>
  <c r="AX622" i="1"/>
  <c r="BN621" i="1"/>
  <c r="AX621" i="1"/>
  <c r="BR601" i="1"/>
  <c r="BP602" i="1"/>
  <c r="BR600" i="1"/>
  <c r="AE585" i="1"/>
  <c r="AA586" i="1"/>
  <c r="AA587" i="1" s="1"/>
  <c r="AV469" i="1"/>
  <c r="J470" i="1"/>
  <c r="H470" i="1"/>
  <c r="O469" i="1"/>
  <c r="AC469" i="1"/>
  <c r="BN623" i="1" l="1"/>
  <c r="BW624" i="1"/>
  <c r="AX623" i="1"/>
  <c r="BR602" i="1"/>
  <c r="BP603" i="1"/>
  <c r="AA588" i="1"/>
  <c r="AE587" i="1"/>
  <c r="AE586" i="1"/>
  <c r="AV470" i="1"/>
  <c r="H471" i="1"/>
  <c r="J471" i="1"/>
  <c r="O470" i="1"/>
  <c r="AC470" i="1"/>
  <c r="AA428" i="3"/>
  <c r="AA429" i="3"/>
  <c r="AA426" i="3"/>
  <c r="AA427" i="3"/>
  <c r="AA424" i="3"/>
  <c r="AA425" i="3"/>
  <c r="AA423" i="3"/>
  <c r="BN624" i="1" l="1"/>
  <c r="BW625" i="1"/>
  <c r="AX624" i="1"/>
  <c r="BR603" i="1"/>
  <c r="BP604" i="1"/>
  <c r="AE588" i="1"/>
  <c r="AA589" i="1"/>
  <c r="AA590" i="1" s="1"/>
  <c r="AV471" i="1"/>
  <c r="J472" i="1"/>
  <c r="H472" i="1"/>
  <c r="O471" i="1"/>
  <c r="AC471" i="1"/>
  <c r="BW626" i="1" l="1"/>
  <c r="AX625" i="1"/>
  <c r="BN625" i="1"/>
  <c r="BR604" i="1"/>
  <c r="BP605" i="1"/>
  <c r="AE590" i="1"/>
  <c r="AA591" i="1"/>
  <c r="AE589" i="1"/>
  <c r="AV472" i="1"/>
  <c r="J473" i="1"/>
  <c r="H473" i="1"/>
  <c r="O472" i="1"/>
  <c r="AC472" i="1"/>
  <c r="BN626" i="1" l="1"/>
  <c r="BW627" i="1"/>
  <c r="AX626" i="1"/>
  <c r="BP606" i="1"/>
  <c r="BR605" i="1"/>
  <c r="AE591" i="1"/>
  <c r="AA592" i="1"/>
  <c r="AV473" i="1"/>
  <c r="J474" i="1"/>
  <c r="H474" i="1"/>
  <c r="O473" i="1"/>
  <c r="AC473" i="1"/>
  <c r="BN627" i="1" l="1"/>
  <c r="BW628" i="1"/>
  <c r="AX627" i="1"/>
  <c r="BP607" i="1"/>
  <c r="BP608" i="1" s="1"/>
  <c r="BR606" i="1"/>
  <c r="AA593" i="1"/>
  <c r="AA594" i="1" s="1"/>
  <c r="AE592" i="1"/>
  <c r="J475" i="1"/>
  <c r="H475" i="1"/>
  <c r="AV474" i="1"/>
  <c r="O474" i="1"/>
  <c r="AC474" i="1"/>
  <c r="BN628" i="1" l="1"/>
  <c r="BW629" i="1"/>
  <c r="AX628" i="1"/>
  <c r="BR608" i="1"/>
  <c r="BP609" i="1"/>
  <c r="BR607" i="1"/>
  <c r="AE594" i="1"/>
  <c r="AA595" i="1"/>
  <c r="AE593" i="1"/>
  <c r="AV475" i="1"/>
  <c r="J476" i="1"/>
  <c r="H476" i="1"/>
  <c r="O475" i="1"/>
  <c r="AC475" i="1"/>
  <c r="BW630" i="1" l="1"/>
  <c r="BW631" i="1" s="1"/>
  <c r="AX629" i="1"/>
  <c r="BN629" i="1"/>
  <c r="BR609" i="1"/>
  <c r="BP610" i="1"/>
  <c r="AE595" i="1"/>
  <c r="AA596" i="1"/>
  <c r="AV476" i="1"/>
  <c r="J477" i="1"/>
  <c r="H477" i="1"/>
  <c r="O476" i="1"/>
  <c r="AC476" i="1"/>
  <c r="BW632" i="1" l="1"/>
  <c r="AX631" i="1"/>
  <c r="BN631" i="1"/>
  <c r="BN630" i="1"/>
  <c r="AX630" i="1"/>
  <c r="BR610" i="1"/>
  <c r="BP611" i="1"/>
  <c r="BP612" i="1" s="1"/>
  <c r="AE596" i="1"/>
  <c r="AA597" i="1"/>
  <c r="AV477" i="1"/>
  <c r="J478" i="1"/>
  <c r="H478" i="1"/>
  <c r="O477" i="1"/>
  <c r="AC477" i="1"/>
  <c r="AA435" i="3"/>
  <c r="AA436" i="3"/>
  <c r="AA433" i="3"/>
  <c r="AA434" i="3"/>
  <c r="AA431" i="3"/>
  <c r="AA432" i="3"/>
  <c r="AA430" i="3"/>
  <c r="BW633" i="1" l="1"/>
  <c r="BN632" i="1"/>
  <c r="AX632" i="1"/>
  <c r="BR612" i="1"/>
  <c r="BP613" i="1"/>
  <c r="BR611" i="1"/>
  <c r="AE597" i="1"/>
  <c r="AA598" i="1"/>
  <c r="AV478" i="1"/>
  <c r="H479" i="1"/>
  <c r="J479" i="1"/>
  <c r="O478" i="1"/>
  <c r="AC478" i="1"/>
  <c r="BW634" i="1" l="1"/>
  <c r="BW635" i="1" s="1"/>
  <c r="BN633" i="1"/>
  <c r="AX633" i="1"/>
  <c r="BP614" i="1"/>
  <c r="BP615" i="1" s="1"/>
  <c r="BR613" i="1"/>
  <c r="AE598" i="1"/>
  <c r="AA599" i="1"/>
  <c r="AC479" i="1"/>
  <c r="J480" i="1"/>
  <c r="H480" i="1"/>
  <c r="AV479" i="1"/>
  <c r="O479" i="1"/>
  <c r="AX635" i="1" l="1"/>
  <c r="BN635" i="1"/>
  <c r="BW636" i="1"/>
  <c r="BW637" i="1" s="1"/>
  <c r="AX634" i="1"/>
  <c r="BN634" i="1"/>
  <c r="BP616" i="1"/>
  <c r="BR615" i="1"/>
  <c r="BR614" i="1"/>
  <c r="AE599" i="1"/>
  <c r="AA600" i="1"/>
  <c r="AA601" i="1" s="1"/>
  <c r="AV480" i="1"/>
  <c r="O480" i="1"/>
  <c r="J481" i="1"/>
  <c r="H481" i="1"/>
  <c r="AC480" i="1"/>
  <c r="BN637" i="1" l="1"/>
  <c r="AX637" i="1"/>
  <c r="BW638" i="1"/>
  <c r="BN636" i="1"/>
  <c r="AX636" i="1"/>
  <c r="BR616" i="1"/>
  <c r="BP617" i="1"/>
  <c r="BP618" i="1" s="1"/>
  <c r="AA602" i="1"/>
  <c r="AE601" i="1"/>
  <c r="AE600" i="1"/>
  <c r="J482" i="1"/>
  <c r="H482" i="1"/>
  <c r="AV481" i="1"/>
  <c r="O481" i="1"/>
  <c r="AC481" i="1"/>
  <c r="BW639" i="1" l="1"/>
  <c r="AX638" i="1"/>
  <c r="BN638" i="1"/>
  <c r="BR618" i="1"/>
  <c r="BP619" i="1"/>
  <c r="BR617" i="1"/>
  <c r="AA603" i="1"/>
  <c r="AA604" i="1" s="1"/>
  <c r="AE602" i="1"/>
  <c r="AV482" i="1"/>
  <c r="J483" i="1"/>
  <c r="H483" i="1"/>
  <c r="O482" i="1"/>
  <c r="AC482" i="1"/>
  <c r="BN639" i="1" l="1"/>
  <c r="BW640" i="1"/>
  <c r="AX639" i="1"/>
  <c r="BR619" i="1"/>
  <c r="BP620" i="1"/>
  <c r="AE604" i="1"/>
  <c r="AA605" i="1"/>
  <c r="AE603" i="1"/>
  <c r="AV483" i="1"/>
  <c r="H484" i="1"/>
  <c r="J484" i="1"/>
  <c r="O483" i="1"/>
  <c r="AC483" i="1"/>
  <c r="BN640" i="1" l="1"/>
  <c r="BW641" i="1"/>
  <c r="BW642" i="1" s="1"/>
  <c r="AX640" i="1"/>
  <c r="BR620" i="1"/>
  <c r="BP621" i="1"/>
  <c r="BP622" i="1" s="1"/>
  <c r="AE605" i="1"/>
  <c r="AA606" i="1"/>
  <c r="AV484" i="1"/>
  <c r="J485" i="1"/>
  <c r="H485" i="1"/>
  <c r="O484" i="1"/>
  <c r="AC484" i="1"/>
  <c r="AA442" i="3"/>
  <c r="AA443" i="3"/>
  <c r="AA440" i="3"/>
  <c r="AA441" i="3"/>
  <c r="AA438" i="3"/>
  <c r="AA439" i="3"/>
  <c r="AA437" i="3"/>
  <c r="BW643" i="1" l="1"/>
  <c r="BW644" i="1" s="1"/>
  <c r="BN642" i="1"/>
  <c r="AX642" i="1"/>
  <c r="BN641" i="1"/>
  <c r="AX641" i="1"/>
  <c r="BR622" i="1"/>
  <c r="BP623" i="1"/>
  <c r="BR621" i="1"/>
  <c r="AE606" i="1"/>
  <c r="AA607" i="1"/>
  <c r="AA608" i="1" s="1"/>
  <c r="O485" i="1"/>
  <c r="H486" i="1"/>
  <c r="J486" i="1"/>
  <c r="AV485" i="1"/>
  <c r="AC485" i="1"/>
  <c r="BN644" i="1" l="1"/>
  <c r="BW645" i="1"/>
  <c r="AX644" i="1"/>
  <c r="BN643" i="1"/>
  <c r="AX643" i="1"/>
  <c r="BR623" i="1"/>
  <c r="BP624" i="1"/>
  <c r="AA609" i="1"/>
  <c r="AE608" i="1"/>
  <c r="AE607" i="1"/>
  <c r="AV486" i="1"/>
  <c r="H487" i="1"/>
  <c r="J487" i="1"/>
  <c r="O486" i="1"/>
  <c r="AC486" i="1"/>
  <c r="BN645" i="1" l="1"/>
  <c r="AX645" i="1"/>
  <c r="BW646" i="1"/>
  <c r="BP625" i="1"/>
  <c r="BR624" i="1"/>
  <c r="AA610" i="1"/>
  <c r="AE609" i="1"/>
  <c r="AV487" i="1"/>
  <c r="H488" i="1"/>
  <c r="J488" i="1"/>
  <c r="O487" i="1"/>
  <c r="AC487" i="1"/>
  <c r="BN646" i="1" l="1"/>
  <c r="BW647" i="1"/>
  <c r="AX646" i="1"/>
  <c r="BP626" i="1"/>
  <c r="BR625" i="1"/>
  <c r="AE610" i="1"/>
  <c r="AA611" i="1"/>
  <c r="AA612" i="1" s="1"/>
  <c r="J489" i="1"/>
  <c r="H489" i="1"/>
  <c r="AV488" i="1"/>
  <c r="O488" i="1"/>
  <c r="AC488" i="1"/>
  <c r="BN647" i="1" l="1"/>
  <c r="BW648" i="1"/>
  <c r="AX647" i="1"/>
  <c r="BR626" i="1"/>
  <c r="BP627" i="1"/>
  <c r="AE612" i="1"/>
  <c r="AA613" i="1"/>
  <c r="AE611" i="1"/>
  <c r="AV489" i="1"/>
  <c r="J490" i="1"/>
  <c r="H490" i="1"/>
  <c r="O489" i="1"/>
  <c r="AC489" i="1"/>
  <c r="AX648" i="1" l="1"/>
  <c r="BW649" i="1"/>
  <c r="BW650" i="1" s="1"/>
  <c r="BN648" i="1"/>
  <c r="BR627" i="1"/>
  <c r="BP628" i="1"/>
  <c r="AE613" i="1"/>
  <c r="AA614" i="1"/>
  <c r="AA615" i="1" s="1"/>
  <c r="AV490" i="1"/>
  <c r="O490" i="1"/>
  <c r="H491" i="1"/>
  <c r="J491" i="1"/>
  <c r="AC490" i="1"/>
  <c r="BN650" i="1" l="1"/>
  <c r="BW651" i="1"/>
  <c r="AX650" i="1"/>
  <c r="BN649" i="1"/>
  <c r="AX649" i="1"/>
  <c r="BR628" i="1"/>
  <c r="BP629" i="1"/>
  <c r="AE615" i="1"/>
  <c r="AA616" i="1"/>
  <c r="AE614" i="1"/>
  <c r="AV491" i="1"/>
  <c r="H492" i="1"/>
  <c r="O491" i="1"/>
  <c r="J492" i="1"/>
  <c r="AC491" i="1"/>
  <c r="AA448" i="3"/>
  <c r="AA449" i="3"/>
  <c r="AA445" i="3"/>
  <c r="AA446" i="3"/>
  <c r="AA444" i="3"/>
  <c r="BN651" i="1" l="1"/>
  <c r="BW652" i="1"/>
  <c r="BW653" i="1" s="1"/>
  <c r="AX651" i="1"/>
  <c r="BR629" i="1"/>
  <c r="BP630" i="1"/>
  <c r="BP631" i="1" s="1"/>
  <c r="AE616" i="1"/>
  <c r="AA617" i="1"/>
  <c r="AA618" i="1" s="1"/>
  <c r="AV492" i="1"/>
  <c r="J493" i="1"/>
  <c r="H493" i="1"/>
  <c r="O492" i="1"/>
  <c r="AC492" i="1"/>
  <c r="AA447" i="3"/>
  <c r="BN653" i="1" l="1"/>
  <c r="BW654" i="1"/>
  <c r="AX653" i="1"/>
  <c r="BN652" i="1"/>
  <c r="AX652" i="1"/>
  <c r="BR631" i="1"/>
  <c r="BP632" i="1"/>
  <c r="BR630" i="1"/>
  <c r="AE618" i="1"/>
  <c r="AA619" i="1"/>
  <c r="AE617" i="1"/>
  <c r="AV493" i="1"/>
  <c r="J494" i="1"/>
  <c r="H494" i="1"/>
  <c r="O493" i="1"/>
  <c r="AC493" i="1"/>
  <c r="BN654" i="1" l="1"/>
  <c r="BW655" i="1"/>
  <c r="AX654" i="1"/>
  <c r="BP633" i="1"/>
  <c r="BR632" i="1"/>
  <c r="AE619" i="1"/>
  <c r="AA620" i="1"/>
  <c r="J495" i="1"/>
  <c r="H495" i="1"/>
  <c r="AV494" i="1"/>
  <c r="O494" i="1"/>
  <c r="AC494" i="1"/>
  <c r="BN655" i="1" l="1"/>
  <c r="BW656" i="1"/>
  <c r="AX655" i="1"/>
  <c r="BR633" i="1"/>
  <c r="BP634" i="1"/>
  <c r="BP635" i="1" s="1"/>
  <c r="AE620" i="1"/>
  <c r="AA621" i="1"/>
  <c r="AA622" i="1" s="1"/>
  <c r="AV495" i="1"/>
  <c r="J496" i="1"/>
  <c r="H496" i="1"/>
  <c r="O495" i="1"/>
  <c r="AC495" i="1"/>
  <c r="BN656" i="1" l="1"/>
  <c r="BW657" i="1"/>
  <c r="BW658" i="1" s="1"/>
  <c r="AX656" i="1"/>
  <c r="BR635" i="1"/>
  <c r="BP636" i="1"/>
  <c r="BP637" i="1" s="1"/>
  <c r="BR634" i="1"/>
  <c r="AE622" i="1"/>
  <c r="AA623" i="1"/>
  <c r="AE621" i="1"/>
  <c r="AV496" i="1"/>
  <c r="J497" i="1"/>
  <c r="H497" i="1"/>
  <c r="O496" i="1"/>
  <c r="AC496" i="1"/>
  <c r="BN658" i="1" l="1"/>
  <c r="BW659" i="1"/>
  <c r="AX658" i="1"/>
  <c r="BN657" i="1"/>
  <c r="AX657" i="1"/>
  <c r="BR637" i="1"/>
  <c r="BP638" i="1"/>
  <c r="BR636" i="1"/>
  <c r="AE623" i="1"/>
  <c r="AA624" i="1"/>
  <c r="AV497" i="1"/>
  <c r="O497" i="1"/>
  <c r="H498" i="1"/>
  <c r="J498" i="1"/>
  <c r="AC497" i="1"/>
  <c r="AA451" i="3"/>
  <c r="AA452" i="3"/>
  <c r="AA450" i="3"/>
  <c r="BN659" i="1" l="1"/>
  <c r="BW660" i="1"/>
  <c r="AX659" i="1"/>
  <c r="BR638" i="1"/>
  <c r="BP639" i="1"/>
  <c r="AE624" i="1"/>
  <c r="AA625" i="1"/>
  <c r="J499" i="1"/>
  <c r="H499" i="1"/>
  <c r="AV498" i="1"/>
  <c r="O498" i="1"/>
  <c r="AC498" i="1"/>
  <c r="BW661" i="1" l="1"/>
  <c r="BW662" i="1" s="1"/>
  <c r="AX660" i="1"/>
  <c r="BN660" i="1"/>
  <c r="BR639" i="1"/>
  <c r="BP640" i="1"/>
  <c r="AE625" i="1"/>
  <c r="AA626" i="1"/>
  <c r="AV499" i="1"/>
  <c r="J500" i="1"/>
  <c r="H500" i="1"/>
  <c r="O499" i="1"/>
  <c r="AC499" i="1"/>
  <c r="BN662" i="1" l="1"/>
  <c r="BW663" i="1"/>
  <c r="AX662" i="1"/>
  <c r="BN661" i="1"/>
  <c r="AX661" i="1"/>
  <c r="BR640" i="1"/>
  <c r="BP641" i="1"/>
  <c r="BP642" i="1" s="1"/>
  <c r="AE626" i="1"/>
  <c r="AA627" i="1"/>
  <c r="AV500" i="1"/>
  <c r="J501" i="1"/>
  <c r="H501" i="1"/>
  <c r="O500" i="1"/>
  <c r="AC500" i="1"/>
  <c r="BN663" i="1" l="1"/>
  <c r="BW664" i="1"/>
  <c r="BW665" i="1" s="1"/>
  <c r="AX663" i="1"/>
  <c r="BR642" i="1"/>
  <c r="BP643" i="1"/>
  <c r="BP644" i="1" s="1"/>
  <c r="BR641" i="1"/>
  <c r="AE627" i="1"/>
  <c r="AA628" i="1"/>
  <c r="AV501" i="1"/>
  <c r="J502" i="1"/>
  <c r="H502" i="1"/>
  <c r="O501" i="1"/>
  <c r="AC501" i="1"/>
  <c r="AA458" i="3"/>
  <c r="AA456" i="3"/>
  <c r="AA457" i="3"/>
  <c r="AA454" i="3"/>
  <c r="AA455" i="3"/>
  <c r="AA453" i="3"/>
  <c r="BN665" i="1" l="1"/>
  <c r="BW666" i="1"/>
  <c r="AX665" i="1"/>
  <c r="BN664" i="1"/>
  <c r="AX664" i="1"/>
  <c r="BP645" i="1"/>
  <c r="BR644" i="1"/>
  <c r="BR643" i="1"/>
  <c r="AE628" i="1"/>
  <c r="AA629" i="1"/>
  <c r="AV502" i="1"/>
  <c r="J503" i="1"/>
  <c r="H503" i="1"/>
  <c r="O502" i="1"/>
  <c r="AC502" i="1"/>
  <c r="BN666" i="1" l="1"/>
  <c r="BW667" i="1"/>
  <c r="AX666" i="1"/>
  <c r="BP646" i="1"/>
  <c r="BR645" i="1"/>
  <c r="AE629" i="1"/>
  <c r="AA630" i="1"/>
  <c r="AA631" i="1" s="1"/>
  <c r="H504" i="1"/>
  <c r="J504" i="1"/>
  <c r="AV503" i="1"/>
  <c r="O503" i="1"/>
  <c r="AC503" i="1"/>
  <c r="BN667" i="1" l="1"/>
  <c r="BW668" i="1"/>
  <c r="BW669" i="1" s="1"/>
  <c r="AX667" i="1"/>
  <c r="BR646" i="1"/>
  <c r="BP647" i="1"/>
  <c r="AA632" i="1"/>
  <c r="AE631" i="1"/>
  <c r="AE630" i="1"/>
  <c r="AV504" i="1"/>
  <c r="H505" i="1"/>
  <c r="J505" i="1"/>
  <c r="O504" i="1"/>
  <c r="AC504" i="1"/>
  <c r="BN669" i="1" l="1"/>
  <c r="BW670" i="1"/>
  <c r="AX669" i="1"/>
  <c r="BN668" i="1"/>
  <c r="AX668" i="1"/>
  <c r="BP648" i="1"/>
  <c r="BR647" i="1"/>
  <c r="AE632" i="1"/>
  <c r="AA633" i="1"/>
  <c r="AV505" i="1"/>
  <c r="H506" i="1"/>
  <c r="J506" i="1"/>
  <c r="O505" i="1"/>
  <c r="AC505" i="1"/>
  <c r="BN670" i="1" l="1"/>
  <c r="BW671" i="1"/>
  <c r="AX670" i="1"/>
  <c r="BR648" i="1"/>
  <c r="BP649" i="1"/>
  <c r="BP650" i="1" s="1"/>
  <c r="AA634" i="1"/>
  <c r="AA635" i="1" s="1"/>
  <c r="AE633" i="1"/>
  <c r="AV506" i="1"/>
  <c r="J507" i="1"/>
  <c r="H507" i="1"/>
  <c r="O506" i="1"/>
  <c r="AC506" i="1"/>
  <c r="AA462" i="3"/>
  <c r="AA463" i="3"/>
  <c r="AA460" i="3"/>
  <c r="AA461" i="3"/>
  <c r="AA459" i="3"/>
  <c r="BN671" i="1" l="1"/>
  <c r="BW672" i="1"/>
  <c r="BW673" i="1" s="1"/>
  <c r="AX671" i="1"/>
  <c r="BR650" i="1"/>
  <c r="BP651" i="1"/>
  <c r="BR649" i="1"/>
  <c r="AE635" i="1"/>
  <c r="AA636" i="1"/>
  <c r="AA637" i="1" s="1"/>
  <c r="AE634" i="1"/>
  <c r="AV507" i="1"/>
  <c r="J508" i="1"/>
  <c r="H508" i="1"/>
  <c r="O507" i="1"/>
  <c r="AC507" i="1"/>
  <c r="BN673" i="1" l="1"/>
  <c r="BW674" i="1"/>
  <c r="BW675" i="1" s="1"/>
  <c r="AX673" i="1"/>
  <c r="BN672" i="1"/>
  <c r="AX672" i="1"/>
  <c r="BR651" i="1"/>
  <c r="BP652" i="1"/>
  <c r="BP653" i="1" s="1"/>
  <c r="AE637" i="1"/>
  <c r="AA638" i="1"/>
  <c r="AE636" i="1"/>
  <c r="J509" i="1"/>
  <c r="H509" i="1"/>
  <c r="AV508" i="1"/>
  <c r="O508" i="1"/>
  <c r="AC508" i="1"/>
  <c r="BN675" i="1" l="1"/>
  <c r="AX675" i="1"/>
  <c r="BW676" i="1"/>
  <c r="BN674" i="1"/>
  <c r="AX674" i="1"/>
  <c r="BR653" i="1"/>
  <c r="BP654" i="1"/>
  <c r="BR652" i="1"/>
  <c r="AA639" i="1"/>
  <c r="AE638" i="1"/>
  <c r="AV509" i="1"/>
  <c r="J510" i="1"/>
  <c r="H510" i="1"/>
  <c r="O509" i="1"/>
  <c r="AC509" i="1"/>
  <c r="BN676" i="1" l="1"/>
  <c r="BW677" i="1"/>
  <c r="AX676" i="1"/>
  <c r="BR654" i="1"/>
  <c r="BP655" i="1"/>
  <c r="AE639" i="1"/>
  <c r="AA640" i="1"/>
  <c r="AV510" i="1"/>
  <c r="H511" i="1"/>
  <c r="J511" i="1"/>
  <c r="O510" i="1"/>
  <c r="AC510" i="1"/>
  <c r="BN677" i="1" l="1"/>
  <c r="BW678" i="1"/>
  <c r="AX677" i="1"/>
  <c r="BR655" i="1"/>
  <c r="BP656" i="1"/>
  <c r="AE640" i="1"/>
  <c r="AA641" i="1"/>
  <c r="AA642" i="1" s="1"/>
  <c r="AV511" i="1"/>
  <c r="J512" i="1"/>
  <c r="H512" i="1"/>
  <c r="O511" i="1"/>
  <c r="AC511" i="1"/>
  <c r="AA465" i="3"/>
  <c r="AA466" i="3"/>
  <c r="AA464" i="3"/>
  <c r="BN678" i="1" l="1"/>
  <c r="AX678" i="1"/>
  <c r="BW679" i="1"/>
  <c r="BW680" i="1" s="1"/>
  <c r="BR656" i="1"/>
  <c r="BP657" i="1"/>
  <c r="BP658" i="1" s="1"/>
  <c r="AA643" i="1"/>
  <c r="AA644" i="1" s="1"/>
  <c r="AE642" i="1"/>
  <c r="AE641" i="1"/>
  <c r="J513" i="1"/>
  <c r="H513" i="1"/>
  <c r="AV512" i="1"/>
  <c r="O512" i="1"/>
  <c r="AC512" i="1"/>
  <c r="BR880" i="1"/>
  <c r="CL896" i="1" s="1"/>
  <c r="CL898" i="1" s="1"/>
  <c r="BN680" i="1" l="1"/>
  <c r="BW681" i="1"/>
  <c r="AX680" i="1"/>
  <c r="BN679" i="1"/>
  <c r="AX679" i="1"/>
  <c r="BR658" i="1"/>
  <c r="BP659" i="1"/>
  <c r="BR657" i="1"/>
  <c r="AE644" i="1"/>
  <c r="AA645" i="1"/>
  <c r="AE643" i="1"/>
  <c r="AV513" i="1"/>
  <c r="J514" i="1"/>
  <c r="H514" i="1"/>
  <c r="O513" i="1"/>
  <c r="AC513" i="1"/>
  <c r="BA884" i="1"/>
  <c r="BC884" i="1" s="1"/>
  <c r="CL884" i="1"/>
  <c r="BN681" i="1" l="1"/>
  <c r="BW682" i="1"/>
  <c r="AX681" i="1"/>
  <c r="BR659" i="1"/>
  <c r="BP660" i="1"/>
  <c r="AE645" i="1"/>
  <c r="AA646" i="1"/>
  <c r="AV514" i="1"/>
  <c r="H515" i="1"/>
  <c r="J515" i="1"/>
  <c r="O514" i="1"/>
  <c r="AC514" i="1"/>
  <c r="BN682" i="1" l="1"/>
  <c r="BW683" i="1"/>
  <c r="BW684" i="1" s="1"/>
  <c r="AX682" i="1"/>
  <c r="BR660" i="1"/>
  <c r="BP661" i="1"/>
  <c r="BP662" i="1" s="1"/>
  <c r="AE646" i="1"/>
  <c r="AA647" i="1"/>
  <c r="AV515" i="1"/>
  <c r="J516" i="1"/>
  <c r="H516" i="1"/>
  <c r="O515" i="1"/>
  <c r="AC515" i="1"/>
  <c r="AA470" i="3"/>
  <c r="AA471" i="3"/>
  <c r="AA468" i="3"/>
  <c r="AA469" i="3"/>
  <c r="AA467" i="3"/>
  <c r="BN684" i="1" l="1"/>
  <c r="BW685" i="1"/>
  <c r="AX684" i="1"/>
  <c r="BN683" i="1"/>
  <c r="AX683" i="1"/>
  <c r="BR662" i="1"/>
  <c r="BP663" i="1"/>
  <c r="BR661" i="1"/>
  <c r="AE647" i="1"/>
  <c r="AA648" i="1"/>
  <c r="J517" i="1"/>
  <c r="H517" i="1"/>
  <c r="AV516" i="1"/>
  <c r="O516" i="1"/>
  <c r="AC516" i="1"/>
  <c r="BN685" i="1" l="1"/>
  <c r="BW686" i="1"/>
  <c r="BW687" i="1" s="1"/>
  <c r="AX685" i="1"/>
  <c r="BR663" i="1"/>
  <c r="BP664" i="1"/>
  <c r="BP665" i="1" s="1"/>
  <c r="AE648" i="1"/>
  <c r="AA649" i="1"/>
  <c r="AA650" i="1" s="1"/>
  <c r="AV517" i="1"/>
  <c r="H518" i="1"/>
  <c r="J518" i="1"/>
  <c r="O517" i="1"/>
  <c r="AC517" i="1"/>
  <c r="BN687" i="1" l="1"/>
  <c r="BW688" i="1"/>
  <c r="AX687" i="1"/>
  <c r="BN686" i="1"/>
  <c r="AX686" i="1"/>
  <c r="BR665" i="1"/>
  <c r="BP666" i="1"/>
  <c r="BR664" i="1"/>
  <c r="AA651" i="1"/>
  <c r="AE650" i="1"/>
  <c r="AE649" i="1"/>
  <c r="AV518" i="1"/>
  <c r="H519" i="1"/>
  <c r="J519" i="1"/>
  <c r="O518" i="1"/>
  <c r="AC518" i="1"/>
  <c r="BN688" i="1" l="1"/>
  <c r="BW689" i="1"/>
  <c r="AX688" i="1"/>
  <c r="BR666" i="1"/>
  <c r="BP667" i="1"/>
  <c r="AA652" i="1"/>
  <c r="AA653" i="1" s="1"/>
  <c r="AE651" i="1"/>
  <c r="AV519" i="1"/>
  <c r="J520" i="1"/>
  <c r="H520" i="1"/>
  <c r="O519" i="1"/>
  <c r="AC519" i="1"/>
  <c r="AA477" i="3"/>
  <c r="AA475" i="3"/>
  <c r="AA476" i="3"/>
  <c r="AA473" i="3"/>
  <c r="AA474" i="3"/>
  <c r="AA472" i="3"/>
  <c r="BN689" i="1" l="1"/>
  <c r="BW690" i="1"/>
  <c r="BW691" i="1" s="1"/>
  <c r="AX689" i="1"/>
  <c r="BR667" i="1"/>
  <c r="BP668" i="1"/>
  <c r="BP669" i="1" s="1"/>
  <c r="AA654" i="1"/>
  <c r="AE653" i="1"/>
  <c r="AE652" i="1"/>
  <c r="AV520" i="1"/>
  <c r="O520" i="1"/>
  <c r="J521" i="1"/>
  <c r="H521" i="1"/>
  <c r="AC520" i="1"/>
  <c r="BN691" i="1" l="1"/>
  <c r="BW692" i="1"/>
  <c r="AX691" i="1"/>
  <c r="BN690" i="1"/>
  <c r="AX690" i="1"/>
  <c r="BR669" i="1"/>
  <c r="BP670" i="1"/>
  <c r="BR668" i="1"/>
  <c r="AA655" i="1"/>
  <c r="AE654" i="1"/>
  <c r="AV521" i="1"/>
  <c r="O521" i="1"/>
  <c r="J522" i="1"/>
  <c r="H522" i="1"/>
  <c r="AC521" i="1"/>
  <c r="BN692" i="1" l="1"/>
  <c r="BW693" i="1"/>
  <c r="BW694" i="1" s="1"/>
  <c r="AX692" i="1"/>
  <c r="BR670" i="1"/>
  <c r="BP671" i="1"/>
  <c r="AA656" i="1"/>
  <c r="AE655" i="1"/>
  <c r="J523" i="1"/>
  <c r="H523" i="1"/>
  <c r="AV522" i="1"/>
  <c r="O522" i="1"/>
  <c r="AC522" i="1"/>
  <c r="BN694" i="1" l="1"/>
  <c r="BW695" i="1"/>
  <c r="AX694" i="1"/>
  <c r="BN693" i="1"/>
  <c r="AX693" i="1"/>
  <c r="BR671" i="1"/>
  <c r="BP672" i="1"/>
  <c r="BP673" i="1" s="1"/>
  <c r="AA657" i="1"/>
  <c r="AA658" i="1" s="1"/>
  <c r="AE656" i="1"/>
  <c r="H524" i="1"/>
  <c r="J524" i="1"/>
  <c r="AV523" i="1"/>
  <c r="O523" i="1"/>
  <c r="AC523" i="1"/>
  <c r="BN695" i="1" l="1"/>
  <c r="BW696" i="1"/>
  <c r="AX695" i="1"/>
  <c r="BR673" i="1"/>
  <c r="BP674" i="1"/>
  <c r="BP675" i="1" s="1"/>
  <c r="BR672" i="1"/>
  <c r="AE658" i="1"/>
  <c r="AA659" i="1"/>
  <c r="AE657" i="1"/>
  <c r="AV524" i="1"/>
  <c r="J525" i="1"/>
  <c r="H525" i="1"/>
  <c r="O524" i="1"/>
  <c r="AC524" i="1"/>
  <c r="BN696" i="1" l="1"/>
  <c r="BW697" i="1"/>
  <c r="AX696" i="1"/>
  <c r="BR675" i="1"/>
  <c r="BP676" i="1"/>
  <c r="BR674" i="1"/>
  <c r="AE659" i="1"/>
  <c r="AA660" i="1"/>
  <c r="AV525" i="1"/>
  <c r="J526" i="1"/>
  <c r="H526" i="1"/>
  <c r="O525" i="1"/>
  <c r="AC525" i="1"/>
  <c r="AA481" i="3"/>
  <c r="AA479" i="3"/>
  <c r="AA480" i="3"/>
  <c r="AA478" i="3"/>
  <c r="BW698" i="1" l="1"/>
  <c r="BW699" i="1" s="1"/>
  <c r="BN697" i="1"/>
  <c r="AX697" i="1"/>
  <c r="BR676" i="1"/>
  <c r="BP677" i="1"/>
  <c r="AE660" i="1"/>
  <c r="AA661" i="1"/>
  <c r="AA662" i="1" s="1"/>
  <c r="AV526" i="1"/>
  <c r="O526" i="1"/>
  <c r="J527" i="1"/>
  <c r="H527" i="1"/>
  <c r="AC526" i="1"/>
  <c r="BN699" i="1" l="1"/>
  <c r="AX699" i="1"/>
  <c r="BW700" i="1"/>
  <c r="BN698" i="1"/>
  <c r="AX698" i="1"/>
  <c r="BR677" i="1"/>
  <c r="BP678" i="1"/>
  <c r="AE662" i="1"/>
  <c r="AA663" i="1"/>
  <c r="AE661" i="1"/>
  <c r="J528" i="1"/>
  <c r="H528" i="1"/>
  <c r="AV527" i="1"/>
  <c r="O527" i="1"/>
  <c r="AC527" i="1"/>
  <c r="BN700" i="1" l="1"/>
  <c r="BW701" i="1"/>
  <c r="BW702" i="1" s="1"/>
  <c r="BW703" i="1" s="1"/>
  <c r="AX700" i="1"/>
  <c r="BR678" i="1"/>
  <c r="BP679" i="1"/>
  <c r="BP680" i="1" s="1"/>
  <c r="AE663" i="1"/>
  <c r="AA664" i="1"/>
  <c r="AA665" i="1" s="1"/>
  <c r="AV528" i="1"/>
  <c r="H529" i="1"/>
  <c r="J529" i="1"/>
  <c r="O528" i="1"/>
  <c r="AC528" i="1"/>
  <c r="BN703" i="1" l="1"/>
  <c r="BW704" i="1"/>
  <c r="BW705" i="1" s="1"/>
  <c r="BW706" i="1" s="1"/>
  <c r="AX703" i="1"/>
  <c r="BN702" i="1"/>
  <c r="AX702" i="1"/>
  <c r="BN701" i="1"/>
  <c r="AX701" i="1"/>
  <c r="BP681" i="1"/>
  <c r="BR680" i="1"/>
  <c r="BR679" i="1"/>
  <c r="AA666" i="1"/>
  <c r="AE665" i="1"/>
  <c r="AE664" i="1"/>
  <c r="AV529" i="1"/>
  <c r="J530" i="1"/>
  <c r="H530" i="1"/>
  <c r="O529" i="1"/>
  <c r="AC529" i="1"/>
  <c r="AA483" i="3"/>
  <c r="AA484" i="3"/>
  <c r="AA482" i="3"/>
  <c r="BN706" i="1" l="1"/>
  <c r="BW707" i="1"/>
  <c r="AX706" i="1"/>
  <c r="BN705" i="1"/>
  <c r="AX705" i="1"/>
  <c r="BN704" i="1"/>
  <c r="AX704" i="1"/>
  <c r="BR681" i="1"/>
  <c r="BP682" i="1"/>
  <c r="AE666" i="1"/>
  <c r="AA667" i="1"/>
  <c r="H531" i="1"/>
  <c r="J531" i="1"/>
  <c r="AV530" i="1"/>
  <c r="O530" i="1"/>
  <c r="AC530" i="1"/>
  <c r="BN707" i="1" l="1"/>
  <c r="BW708" i="1"/>
  <c r="AX707" i="1"/>
  <c r="BR682" i="1"/>
  <c r="BP683" i="1"/>
  <c r="BP684" i="1" s="1"/>
  <c r="AE667" i="1"/>
  <c r="AA668" i="1"/>
  <c r="AA669" i="1" s="1"/>
  <c r="AV531" i="1"/>
  <c r="H532" i="1"/>
  <c r="J532" i="1"/>
  <c r="O531" i="1"/>
  <c r="AC531" i="1"/>
  <c r="BN708" i="1" l="1"/>
  <c r="BW709" i="1"/>
  <c r="AX708" i="1"/>
  <c r="BR684" i="1"/>
  <c r="BP685" i="1"/>
  <c r="BR683" i="1"/>
  <c r="AE669" i="1"/>
  <c r="AA670" i="1"/>
  <c r="AE668" i="1"/>
  <c r="O532" i="1"/>
  <c r="J533" i="1"/>
  <c r="H533" i="1"/>
  <c r="AV532" i="1"/>
  <c r="AC532" i="1"/>
  <c r="BN709" i="1" l="1"/>
  <c r="BW710" i="1"/>
  <c r="BW711" i="1" s="1"/>
  <c r="AX709" i="1"/>
  <c r="BR685" i="1"/>
  <c r="BP686" i="1"/>
  <c r="BP687" i="1" s="1"/>
  <c r="AE670" i="1"/>
  <c r="AA671" i="1"/>
  <c r="AV533" i="1"/>
  <c r="J534" i="1"/>
  <c r="H534" i="1"/>
  <c r="O533" i="1"/>
  <c r="AC533" i="1"/>
  <c r="AA488" i="3"/>
  <c r="AA489" i="3"/>
  <c r="AA486" i="3"/>
  <c r="AA487" i="3"/>
  <c r="AA485" i="3"/>
  <c r="BN711" i="1" l="1"/>
  <c r="BW712" i="1"/>
  <c r="AX711" i="1"/>
  <c r="BN710" i="1"/>
  <c r="AX710" i="1"/>
  <c r="BR687" i="1"/>
  <c r="BP688" i="1"/>
  <c r="BR686" i="1"/>
  <c r="AE671" i="1"/>
  <c r="AA672" i="1"/>
  <c r="AA673" i="1" s="1"/>
  <c r="J535" i="1"/>
  <c r="H535" i="1"/>
  <c r="AV534" i="1"/>
  <c r="O534" i="1"/>
  <c r="AC534" i="1"/>
  <c r="BN712" i="1" l="1"/>
  <c r="BW713" i="1"/>
  <c r="BW714" i="1" s="1"/>
  <c r="AX712" i="1"/>
  <c r="BR688" i="1"/>
  <c r="BP689" i="1"/>
  <c r="AE673" i="1"/>
  <c r="AA674" i="1"/>
  <c r="AA675" i="1" s="1"/>
  <c r="AE672" i="1"/>
  <c r="O535" i="1"/>
  <c r="J536" i="1"/>
  <c r="H536" i="1"/>
  <c r="AV535" i="1"/>
  <c r="AC535" i="1"/>
  <c r="BN714" i="1" l="1"/>
  <c r="AX714" i="1"/>
  <c r="BW715" i="1"/>
  <c r="BN713" i="1"/>
  <c r="AX713" i="1"/>
  <c r="BR689" i="1"/>
  <c r="BP690" i="1"/>
  <c r="BP691" i="1" s="1"/>
  <c r="AA676" i="1"/>
  <c r="AE675" i="1"/>
  <c r="AE674" i="1"/>
  <c r="AV536" i="1"/>
  <c r="H537" i="1"/>
  <c r="J537" i="1"/>
  <c r="O536" i="1"/>
  <c r="AC536" i="1"/>
  <c r="BN715" i="1" l="1"/>
  <c r="BW716" i="1"/>
  <c r="AX715" i="1"/>
  <c r="BR691" i="1"/>
  <c r="BP692" i="1"/>
  <c r="BR690" i="1"/>
  <c r="AE676" i="1"/>
  <c r="AA677" i="1"/>
  <c r="O537" i="1"/>
  <c r="J538" i="1"/>
  <c r="H538" i="1"/>
  <c r="AV537" i="1"/>
  <c r="AC537" i="1"/>
  <c r="AA493" i="3"/>
  <c r="AA494" i="3"/>
  <c r="AA491" i="3"/>
  <c r="AA492" i="3"/>
  <c r="AA490" i="3"/>
  <c r="BN716" i="1" l="1"/>
  <c r="BW717" i="1"/>
  <c r="AX716" i="1"/>
  <c r="BR692" i="1"/>
  <c r="BP693" i="1"/>
  <c r="AE677" i="1"/>
  <c r="AA678" i="1"/>
  <c r="AC538" i="1"/>
  <c r="J539" i="1"/>
  <c r="H539" i="1"/>
  <c r="O538" i="1"/>
  <c r="AV538" i="1"/>
  <c r="BN717" i="1" l="1"/>
  <c r="BW718" i="1"/>
  <c r="AX717" i="1"/>
  <c r="BR693" i="1"/>
  <c r="BP694" i="1"/>
  <c r="AE678" i="1"/>
  <c r="AA679" i="1"/>
  <c r="AA680" i="1" s="1"/>
  <c r="H540" i="1"/>
  <c r="J540" i="1"/>
  <c r="AV539" i="1"/>
  <c r="O539" i="1"/>
  <c r="AC539" i="1"/>
  <c r="BN718" i="1" l="1"/>
  <c r="BW719" i="1"/>
  <c r="BW720" i="1" s="1"/>
  <c r="AX718" i="1"/>
  <c r="BR694" i="1"/>
  <c r="BP695" i="1"/>
  <c r="AE680" i="1"/>
  <c r="AA681" i="1"/>
  <c r="AE679" i="1"/>
  <c r="AV540" i="1"/>
  <c r="H541" i="1"/>
  <c r="J541" i="1"/>
  <c r="O540" i="1"/>
  <c r="AC540" i="1"/>
  <c r="BN720" i="1" l="1"/>
  <c r="BW721" i="1"/>
  <c r="AX720" i="1"/>
  <c r="BN719" i="1"/>
  <c r="AX719" i="1"/>
  <c r="BR695" i="1"/>
  <c r="BP696" i="1"/>
  <c r="AE681" i="1"/>
  <c r="AA682" i="1"/>
  <c r="O541" i="1"/>
  <c r="J542" i="1"/>
  <c r="H542" i="1"/>
  <c r="AV541" i="1"/>
  <c r="AC541" i="1"/>
  <c r="BN721" i="1" l="1"/>
  <c r="BW722" i="1"/>
  <c r="AX721" i="1"/>
  <c r="BR696" i="1"/>
  <c r="BP697" i="1"/>
  <c r="AE682" i="1"/>
  <c r="AA683" i="1"/>
  <c r="AA684" i="1" s="1"/>
  <c r="AV542" i="1"/>
  <c r="J543" i="1"/>
  <c r="H543" i="1"/>
  <c r="O542" i="1"/>
  <c r="AC542" i="1"/>
  <c r="AA498" i="3"/>
  <c r="AA496" i="3"/>
  <c r="AA497" i="3"/>
  <c r="AA495" i="3"/>
  <c r="AX722" i="1" l="1"/>
  <c r="BW723" i="1"/>
  <c r="BW724" i="1" s="1"/>
  <c r="BN722" i="1"/>
  <c r="BR697" i="1"/>
  <c r="BP698" i="1"/>
  <c r="BP699" i="1" s="1"/>
  <c r="AE684" i="1"/>
  <c r="AA685" i="1"/>
  <c r="AE683" i="1"/>
  <c r="AV543" i="1"/>
  <c r="J544" i="1"/>
  <c r="H544" i="1"/>
  <c r="O543" i="1"/>
  <c r="AC543" i="1"/>
  <c r="BN724" i="1" l="1"/>
  <c r="AX724" i="1"/>
  <c r="BW725" i="1"/>
  <c r="BN723" i="1"/>
  <c r="AX723" i="1"/>
  <c r="BR699" i="1"/>
  <c r="BP700" i="1"/>
  <c r="BR698" i="1"/>
  <c r="AE685" i="1"/>
  <c r="AA686" i="1"/>
  <c r="AA687" i="1" s="1"/>
  <c r="J545" i="1"/>
  <c r="H545" i="1"/>
  <c r="AV544" i="1"/>
  <c r="O544" i="1"/>
  <c r="AC544" i="1"/>
  <c r="BN725" i="1" l="1"/>
  <c r="BW726" i="1"/>
  <c r="AX725" i="1"/>
  <c r="BR700" i="1"/>
  <c r="BP701" i="1"/>
  <c r="BP702" i="1" s="1"/>
  <c r="BP703" i="1" s="1"/>
  <c r="AA688" i="1"/>
  <c r="AE687" i="1"/>
  <c r="AE686" i="1"/>
  <c r="AV545" i="1"/>
  <c r="J546" i="1"/>
  <c r="H546" i="1"/>
  <c r="O545" i="1"/>
  <c r="AC545" i="1"/>
  <c r="BN726" i="1" l="1"/>
  <c r="BW727" i="1"/>
  <c r="AX726" i="1"/>
  <c r="BR703" i="1"/>
  <c r="BP704" i="1"/>
  <c r="BP705" i="1" s="1"/>
  <c r="BP706" i="1" s="1"/>
  <c r="BR702" i="1"/>
  <c r="BR701" i="1"/>
  <c r="AE688" i="1"/>
  <c r="AA689" i="1"/>
  <c r="AV546" i="1"/>
  <c r="H547" i="1"/>
  <c r="J547" i="1"/>
  <c r="O546" i="1"/>
  <c r="AC546" i="1"/>
  <c r="AA502" i="3"/>
  <c r="AA503" i="3"/>
  <c r="AA500" i="3"/>
  <c r="AA501" i="3"/>
  <c r="AA499" i="3"/>
  <c r="BN727" i="1" l="1"/>
  <c r="BW728" i="1"/>
  <c r="BW729" i="1" s="1"/>
  <c r="AX727" i="1"/>
  <c r="BR706" i="1"/>
  <c r="BP707" i="1"/>
  <c r="BR705" i="1"/>
  <c r="BR704" i="1"/>
  <c r="AE689" i="1"/>
  <c r="AA690" i="1"/>
  <c r="AA691" i="1" s="1"/>
  <c r="AV547" i="1"/>
  <c r="J548" i="1"/>
  <c r="H548" i="1"/>
  <c r="O547" i="1"/>
  <c r="AC547" i="1"/>
  <c r="BN729" i="1" l="1"/>
  <c r="BW730" i="1"/>
  <c r="AX729" i="1"/>
  <c r="BN728" i="1"/>
  <c r="AX728" i="1"/>
  <c r="BR707" i="1"/>
  <c r="BP708" i="1"/>
  <c r="AE691" i="1"/>
  <c r="AA692" i="1"/>
  <c r="AE690" i="1"/>
  <c r="J549" i="1"/>
  <c r="H549" i="1"/>
  <c r="AV548" i="1"/>
  <c r="O548" i="1"/>
  <c r="AC548" i="1"/>
  <c r="BN730" i="1" l="1"/>
  <c r="BW731" i="1"/>
  <c r="AX730" i="1"/>
  <c r="BR708" i="1"/>
  <c r="BP709" i="1"/>
  <c r="AE692" i="1"/>
  <c r="AA693" i="1"/>
  <c r="AA694" i="1" s="1"/>
  <c r="AV549" i="1"/>
  <c r="J550" i="1"/>
  <c r="H550" i="1"/>
  <c r="O549" i="1"/>
  <c r="AC549" i="1"/>
  <c r="BN731" i="1" l="1"/>
  <c r="BW732" i="1"/>
  <c r="BW733" i="1" s="1"/>
  <c r="AX731" i="1"/>
  <c r="BR709" i="1"/>
  <c r="BP710" i="1"/>
  <c r="BP711" i="1" s="1"/>
  <c r="AE694" i="1"/>
  <c r="AA695" i="1"/>
  <c r="AE693" i="1"/>
  <c r="AV550" i="1"/>
  <c r="J551" i="1"/>
  <c r="H551" i="1"/>
  <c r="O550" i="1"/>
  <c r="AC550" i="1"/>
  <c r="BN733" i="1" l="1"/>
  <c r="BW734" i="1"/>
  <c r="BW735" i="1" s="1"/>
  <c r="AX733" i="1"/>
  <c r="BN732" i="1"/>
  <c r="AX732" i="1"/>
  <c r="BR711" i="1"/>
  <c r="BP712" i="1"/>
  <c r="BR710" i="1"/>
  <c r="AA696" i="1"/>
  <c r="AE695" i="1"/>
  <c r="AV551" i="1"/>
  <c r="J552" i="1"/>
  <c r="H552" i="1"/>
  <c r="O551" i="1"/>
  <c r="AC551" i="1"/>
  <c r="AA509" i="3"/>
  <c r="AA507" i="3"/>
  <c r="AA508" i="3"/>
  <c r="AA505" i="3"/>
  <c r="AA506" i="3"/>
  <c r="AA504" i="3"/>
  <c r="BN735" i="1" l="1"/>
  <c r="BW736" i="1"/>
  <c r="AX735" i="1"/>
  <c r="BN734" i="1"/>
  <c r="AX734" i="1"/>
  <c r="BR712" i="1"/>
  <c r="BP713" i="1"/>
  <c r="BP714" i="1" s="1"/>
  <c r="AE696" i="1"/>
  <c r="AA697" i="1"/>
  <c r="O552" i="1"/>
  <c r="J553" i="1"/>
  <c r="H553" i="1"/>
  <c r="AV552" i="1"/>
  <c r="AC552" i="1"/>
  <c r="BN736" i="1" l="1"/>
  <c r="BW737" i="1"/>
  <c r="AX736" i="1"/>
  <c r="BR714" i="1"/>
  <c r="BP715" i="1"/>
  <c r="BR713" i="1"/>
  <c r="AE697" i="1"/>
  <c r="AA698" i="1"/>
  <c r="AA699" i="1" s="1"/>
  <c r="AV553" i="1"/>
  <c r="H554" i="1"/>
  <c r="O553" i="1"/>
  <c r="J554" i="1"/>
  <c r="AC553" i="1"/>
  <c r="BN737" i="1" l="1"/>
  <c r="BW738" i="1"/>
  <c r="BW739" i="1" s="1"/>
  <c r="AX737" i="1"/>
  <c r="BR715" i="1"/>
  <c r="BP716" i="1"/>
  <c r="AE699" i="1"/>
  <c r="AA700" i="1"/>
  <c r="AE698" i="1"/>
  <c r="H555" i="1"/>
  <c r="J555" i="1"/>
  <c r="AV554" i="1"/>
  <c r="O554" i="1"/>
  <c r="AC554" i="1"/>
  <c r="BW740" i="1" l="1"/>
  <c r="AX739" i="1"/>
  <c r="BN739" i="1"/>
  <c r="BN738" i="1"/>
  <c r="AX738" i="1"/>
  <c r="BR716" i="1"/>
  <c r="BP717" i="1"/>
  <c r="AE700" i="1"/>
  <c r="AA701" i="1"/>
  <c r="AA702" i="1" s="1"/>
  <c r="AA703" i="1" s="1"/>
  <c r="AV555" i="1"/>
  <c r="J556" i="1"/>
  <c r="H556" i="1"/>
  <c r="O555" i="1"/>
  <c r="AC555" i="1"/>
  <c r="BN740" i="1" l="1"/>
  <c r="AX740" i="1"/>
  <c r="BW741" i="1"/>
  <c r="BR717" i="1"/>
  <c r="BP718" i="1"/>
  <c r="AA704" i="1"/>
  <c r="AA705" i="1" s="1"/>
  <c r="AA706" i="1" s="1"/>
  <c r="AE703" i="1"/>
  <c r="AE702" i="1"/>
  <c r="AE701" i="1"/>
  <c r="O556" i="1"/>
  <c r="J557" i="1"/>
  <c r="H557" i="1"/>
  <c r="AV556" i="1"/>
  <c r="AC556" i="1"/>
  <c r="BN741" i="1" l="1"/>
  <c r="BW742" i="1"/>
  <c r="BW743" i="1" s="1"/>
  <c r="AX741" i="1"/>
  <c r="BR718" i="1"/>
  <c r="BP719" i="1"/>
  <c r="BP720" i="1" s="1"/>
  <c r="AE706" i="1"/>
  <c r="AA707" i="1"/>
  <c r="AE705" i="1"/>
  <c r="AE704" i="1"/>
  <c r="AV557" i="1"/>
  <c r="J558" i="1"/>
  <c r="H558" i="1"/>
  <c r="O557" i="1"/>
  <c r="AC557" i="1"/>
  <c r="AA511" i="3"/>
  <c r="AA512" i="3"/>
  <c r="AA510" i="3"/>
  <c r="BN743" i="1" l="1"/>
  <c r="AX743" i="1"/>
  <c r="BW744" i="1"/>
  <c r="BW745" i="1" s="1"/>
  <c r="BN742" i="1"/>
  <c r="AX742" i="1"/>
  <c r="BR720" i="1"/>
  <c r="BP721" i="1"/>
  <c r="BR719" i="1"/>
  <c r="AE707" i="1"/>
  <c r="AA708" i="1"/>
  <c r="AV558" i="1"/>
  <c r="H559" i="1"/>
  <c r="J559" i="1"/>
  <c r="O558" i="1"/>
  <c r="AC558" i="1"/>
  <c r="BN745" i="1" l="1"/>
  <c r="BW746" i="1"/>
  <c r="AX745" i="1"/>
  <c r="BN744" i="1"/>
  <c r="AX744" i="1"/>
  <c r="BR721" i="1"/>
  <c r="BP722" i="1"/>
  <c r="AE708" i="1"/>
  <c r="AA709" i="1"/>
  <c r="J560" i="1"/>
  <c r="H560" i="1"/>
  <c r="O559" i="1"/>
  <c r="AV559" i="1"/>
  <c r="AC559" i="1"/>
  <c r="BN746" i="1" l="1"/>
  <c r="BW747" i="1"/>
  <c r="BW748" i="1" s="1"/>
  <c r="AX746" i="1"/>
  <c r="BR722" i="1"/>
  <c r="BP723" i="1"/>
  <c r="BP724" i="1" s="1"/>
  <c r="AE709" i="1"/>
  <c r="AA710" i="1"/>
  <c r="AA711" i="1" s="1"/>
  <c r="AV560" i="1"/>
  <c r="H561" i="1"/>
  <c r="J561" i="1"/>
  <c r="O560" i="1"/>
  <c r="AC560" i="1"/>
  <c r="BW749" i="1" l="1"/>
  <c r="AX748" i="1"/>
  <c r="BN748" i="1"/>
  <c r="BN747" i="1"/>
  <c r="AX747" i="1"/>
  <c r="BR724" i="1"/>
  <c r="BP725" i="1"/>
  <c r="BR723" i="1"/>
  <c r="AE711" i="1"/>
  <c r="AA712" i="1"/>
  <c r="AE710" i="1"/>
  <c r="O561" i="1"/>
  <c r="H562" i="1"/>
  <c r="J562" i="1"/>
  <c r="AV561" i="1"/>
  <c r="AC561" i="1"/>
  <c r="AA517" i="3"/>
  <c r="AA518" i="3"/>
  <c r="AA513" i="3"/>
  <c r="BN749" i="1" l="1"/>
  <c r="BW750" i="1"/>
  <c r="AX749" i="1"/>
  <c r="BR725" i="1"/>
  <c r="BP726" i="1"/>
  <c r="AE712" i="1"/>
  <c r="AA713" i="1"/>
  <c r="AA714" i="1" s="1"/>
  <c r="AV562" i="1"/>
  <c r="J563" i="1"/>
  <c r="H563" i="1"/>
  <c r="O562" i="1"/>
  <c r="AC562" i="1"/>
  <c r="BN750" i="1" l="1"/>
  <c r="BW751" i="1"/>
  <c r="AX750" i="1"/>
  <c r="BR726" i="1"/>
  <c r="BP727" i="1"/>
  <c r="AE714" i="1"/>
  <c r="AA715" i="1"/>
  <c r="AE713" i="1"/>
  <c r="AV563" i="1"/>
  <c r="J564" i="1"/>
  <c r="H564" i="1"/>
  <c r="O563" i="1"/>
  <c r="AC563" i="1"/>
  <c r="BN751" i="1" l="1"/>
  <c r="BW752" i="1"/>
  <c r="BW753" i="1" s="1"/>
  <c r="AX751" i="1"/>
  <c r="BR727" i="1"/>
  <c r="BP728" i="1"/>
  <c r="BP729" i="1" s="1"/>
  <c r="AE715" i="1"/>
  <c r="AA716" i="1"/>
  <c r="H565" i="1"/>
  <c r="J565" i="1"/>
  <c r="AV564" i="1"/>
  <c r="O564" i="1"/>
  <c r="AC564" i="1"/>
  <c r="BN753" i="1" l="1"/>
  <c r="BW754" i="1"/>
  <c r="AX753" i="1"/>
  <c r="BN752" i="1"/>
  <c r="AX752" i="1"/>
  <c r="BR729" i="1"/>
  <c r="BP730" i="1"/>
  <c r="BR728" i="1"/>
  <c r="AE716" i="1"/>
  <c r="AA717" i="1"/>
  <c r="O565" i="1"/>
  <c r="J566" i="1"/>
  <c r="H566" i="1"/>
  <c r="AV565" i="1"/>
  <c r="AC565" i="1"/>
  <c r="AX754" i="1" l="1"/>
  <c r="BW755" i="1"/>
  <c r="BN754" i="1"/>
  <c r="BR730" i="1"/>
  <c r="BP731" i="1"/>
  <c r="AA718" i="1"/>
  <c r="AE717" i="1"/>
  <c r="O566" i="1"/>
  <c r="H567" i="1"/>
  <c r="J567" i="1"/>
  <c r="AV566" i="1"/>
  <c r="AC566" i="1"/>
  <c r="BN755" i="1" l="1"/>
  <c r="BW756" i="1"/>
  <c r="BW757" i="1" s="1"/>
  <c r="AX755" i="1"/>
  <c r="BR731" i="1"/>
  <c r="BP732" i="1"/>
  <c r="BP733" i="1" s="1"/>
  <c r="AE718" i="1"/>
  <c r="AA719" i="1"/>
  <c r="AA720" i="1" s="1"/>
  <c r="AV567" i="1"/>
  <c r="J568" i="1"/>
  <c r="H568" i="1"/>
  <c r="O567" i="1"/>
  <c r="AC567" i="1"/>
  <c r="AA522" i="3"/>
  <c r="AA523" i="3"/>
  <c r="AA520" i="3"/>
  <c r="AA521" i="3"/>
  <c r="AA519" i="3"/>
  <c r="BN757" i="1" l="1"/>
  <c r="BW758" i="1"/>
  <c r="AX757" i="1"/>
  <c r="BN756" i="1"/>
  <c r="AX756" i="1"/>
  <c r="BR733" i="1"/>
  <c r="BP734" i="1"/>
  <c r="BP735" i="1" s="1"/>
  <c r="BR732" i="1"/>
  <c r="AA721" i="1"/>
  <c r="AE720" i="1"/>
  <c r="AE719" i="1"/>
  <c r="AV568" i="1"/>
  <c r="J569" i="1"/>
  <c r="H569" i="1"/>
  <c r="O568" i="1"/>
  <c r="AC568" i="1"/>
  <c r="BN758" i="1" l="1"/>
  <c r="AX758" i="1"/>
  <c r="BR735" i="1"/>
  <c r="BP736" i="1"/>
  <c r="BR734" i="1"/>
  <c r="AE721" i="1"/>
  <c r="AA722" i="1"/>
  <c r="H570" i="1"/>
  <c r="J570" i="1"/>
  <c r="AV569" i="1"/>
  <c r="O569" i="1"/>
  <c r="AC569" i="1"/>
  <c r="BR736" i="1" l="1"/>
  <c r="BP737" i="1"/>
  <c r="AE722" i="1"/>
  <c r="AA723" i="1"/>
  <c r="AA724" i="1" s="1"/>
  <c r="J571" i="1"/>
  <c r="H571" i="1"/>
  <c r="AV570" i="1"/>
  <c r="O570" i="1"/>
  <c r="AC570" i="1"/>
  <c r="BR737" i="1" l="1"/>
  <c r="BP738" i="1"/>
  <c r="BP739" i="1" s="1"/>
  <c r="AE724" i="1"/>
  <c r="AA725" i="1"/>
  <c r="AE723" i="1"/>
  <c r="AV571" i="1"/>
  <c r="H572" i="1"/>
  <c r="J572" i="1"/>
  <c r="O571" i="1"/>
  <c r="AC571" i="1"/>
  <c r="BR739" i="1" l="1"/>
  <c r="BP740" i="1"/>
  <c r="BR738" i="1"/>
  <c r="AE725" i="1"/>
  <c r="AA726" i="1"/>
  <c r="H573" i="1"/>
  <c r="J573" i="1"/>
  <c r="AV572" i="1"/>
  <c r="O572" i="1"/>
  <c r="AC572" i="1"/>
  <c r="AA527" i="3"/>
  <c r="AA525" i="3"/>
  <c r="AA526" i="3"/>
  <c r="AA524" i="3"/>
  <c r="BR740" i="1" l="1"/>
  <c r="BP741" i="1"/>
  <c r="AE726" i="1"/>
  <c r="AA727" i="1"/>
  <c r="AV573" i="1"/>
  <c r="J574" i="1"/>
  <c r="H574" i="1"/>
  <c r="O573" i="1"/>
  <c r="AC573" i="1"/>
  <c r="BR741" i="1" l="1"/>
  <c r="BP742" i="1"/>
  <c r="BP743" i="1" s="1"/>
  <c r="AE727" i="1"/>
  <c r="AA728" i="1"/>
  <c r="AA729" i="1" s="1"/>
  <c r="AV574" i="1"/>
  <c r="H575" i="1"/>
  <c r="J575" i="1"/>
  <c r="O574" i="1"/>
  <c r="AC574" i="1"/>
  <c r="BR743" i="1" l="1"/>
  <c r="BP744" i="1"/>
  <c r="BP745" i="1" s="1"/>
  <c r="BR742" i="1"/>
  <c r="AE729" i="1"/>
  <c r="AA730" i="1"/>
  <c r="AE728" i="1"/>
  <c r="AV575" i="1"/>
  <c r="J576" i="1"/>
  <c r="H576" i="1"/>
  <c r="O575" i="1"/>
  <c r="AC575" i="1"/>
  <c r="AA533" i="3"/>
  <c r="AA531" i="3"/>
  <c r="AA532" i="3"/>
  <c r="AA529" i="3"/>
  <c r="AA530" i="3"/>
  <c r="AA528" i="3"/>
  <c r="BR745" i="1" l="1"/>
  <c r="BP746" i="1"/>
  <c r="BR744" i="1"/>
  <c r="AA731" i="1"/>
  <c r="AE730" i="1"/>
  <c r="AV576" i="1"/>
  <c r="J577" i="1"/>
  <c r="H577" i="1"/>
  <c r="O576" i="1"/>
  <c r="AC576" i="1"/>
  <c r="BR746" i="1" l="1"/>
  <c r="BP747" i="1"/>
  <c r="BP748" i="1" s="1"/>
  <c r="AA732" i="1"/>
  <c r="AA733" i="1" s="1"/>
  <c r="AE731" i="1"/>
  <c r="AV577" i="1"/>
  <c r="J578" i="1"/>
  <c r="H578" i="1"/>
  <c r="O577" i="1"/>
  <c r="AC577" i="1"/>
  <c r="BR748" i="1" l="1"/>
  <c r="BP749" i="1"/>
  <c r="BR747" i="1"/>
  <c r="AE733" i="1"/>
  <c r="AA734" i="1"/>
  <c r="AA735" i="1" s="1"/>
  <c r="AE732" i="1"/>
  <c r="AV578" i="1"/>
  <c r="J579" i="1"/>
  <c r="H579" i="1"/>
  <c r="O578" i="1"/>
  <c r="AC578" i="1"/>
  <c r="BR749" i="1" l="1"/>
  <c r="BP750" i="1"/>
  <c r="AE735" i="1"/>
  <c r="AA736" i="1"/>
  <c r="AE734" i="1"/>
  <c r="J580" i="1"/>
  <c r="H580" i="1"/>
  <c r="AV579" i="1"/>
  <c r="O579" i="1"/>
  <c r="AC579" i="1"/>
  <c r="BR750" i="1" l="1"/>
  <c r="BP751" i="1"/>
  <c r="AA737" i="1"/>
  <c r="AE736" i="1"/>
  <c r="O580" i="1"/>
  <c r="H581" i="1"/>
  <c r="J581" i="1"/>
  <c r="AV580" i="1"/>
  <c r="AC580" i="1"/>
  <c r="BR751" i="1" l="1"/>
  <c r="BP752" i="1"/>
  <c r="AA738" i="1"/>
  <c r="AA739" i="1" s="1"/>
  <c r="AE737" i="1"/>
  <c r="J582" i="1"/>
  <c r="H582" i="1"/>
  <c r="AV581" i="1"/>
  <c r="O581" i="1"/>
  <c r="AC581" i="1"/>
  <c r="AA535" i="3"/>
  <c r="AA536" i="3"/>
  <c r="AA534" i="3"/>
  <c r="BR752" i="1" l="1"/>
  <c r="BP753" i="1"/>
  <c r="AE739" i="1"/>
  <c r="AA740" i="1"/>
  <c r="AE738" i="1"/>
  <c r="H583" i="1"/>
  <c r="J583" i="1"/>
  <c r="O582" i="1"/>
  <c r="AV582" i="1"/>
  <c r="AC582" i="1"/>
  <c r="BR753" i="1" l="1"/>
  <c r="BP754" i="1"/>
  <c r="AE740" i="1"/>
  <c r="AA741" i="1"/>
  <c r="O583" i="1"/>
  <c r="J584" i="1"/>
  <c r="H584" i="1"/>
  <c r="AV583" i="1"/>
  <c r="AC583" i="1"/>
  <c r="BR754" i="1" l="1"/>
  <c r="BP755" i="1"/>
  <c r="AE741" i="1"/>
  <c r="AA742" i="1"/>
  <c r="AA743" i="1" s="1"/>
  <c r="AV584" i="1"/>
  <c r="H585" i="1"/>
  <c r="J585" i="1"/>
  <c r="O584" i="1"/>
  <c r="AC584" i="1"/>
  <c r="BR755" i="1" l="1"/>
  <c r="BP756" i="1"/>
  <c r="BP757" i="1" s="1"/>
  <c r="AE743" i="1"/>
  <c r="AA744" i="1"/>
  <c r="AA745" i="1" s="1"/>
  <c r="AE742" i="1"/>
  <c r="O585" i="1"/>
  <c r="J586" i="1"/>
  <c r="H586" i="1"/>
  <c r="AV585" i="1"/>
  <c r="AC585" i="1"/>
  <c r="AA541" i="3"/>
  <c r="AA538" i="3"/>
  <c r="AA540" i="3"/>
  <c r="AA537" i="3"/>
  <c r="BR757" i="1" l="1"/>
  <c r="BP758" i="1"/>
  <c r="BR756" i="1"/>
  <c r="AE745" i="1"/>
  <c r="AA746" i="1"/>
  <c r="AE744" i="1"/>
  <c r="J587" i="1"/>
  <c r="H587" i="1"/>
  <c r="O586" i="1"/>
  <c r="AV586" i="1"/>
  <c r="AC586" i="1"/>
  <c r="BR758" i="1" l="1"/>
  <c r="AA747" i="1"/>
  <c r="AA748" i="1" s="1"/>
  <c r="AE746" i="1"/>
  <c r="O587" i="1"/>
  <c r="J588" i="1"/>
  <c r="H588" i="1"/>
  <c r="AV587" i="1"/>
  <c r="AC587" i="1"/>
  <c r="AA749" i="1" l="1"/>
  <c r="AE748" i="1"/>
  <c r="AE747" i="1"/>
  <c r="AV588" i="1"/>
  <c r="J589" i="1"/>
  <c r="H589" i="1"/>
  <c r="O588" i="1"/>
  <c r="AC588" i="1"/>
  <c r="AE749" i="1" l="1"/>
  <c r="AA750" i="1"/>
  <c r="J590" i="1"/>
  <c r="H590" i="1"/>
  <c r="O589" i="1"/>
  <c r="AV589" i="1"/>
  <c r="AC589" i="1"/>
  <c r="AA543" i="3"/>
  <c r="AA544" i="3"/>
  <c r="AA542" i="3"/>
  <c r="AE750" i="1" l="1"/>
  <c r="AA751" i="1"/>
  <c r="AV590" i="1"/>
  <c r="J591" i="1"/>
  <c r="H591" i="1"/>
  <c r="O590" i="1"/>
  <c r="AC590" i="1"/>
  <c r="AE751" i="1" l="1"/>
  <c r="AA752" i="1"/>
  <c r="AA753" i="1" s="1"/>
  <c r="O591" i="1"/>
  <c r="H592" i="1"/>
  <c r="J592" i="1"/>
  <c r="AV591" i="1"/>
  <c r="AC591" i="1"/>
  <c r="AE753" i="1" l="1"/>
  <c r="AA754" i="1"/>
  <c r="AE752" i="1"/>
  <c r="O592" i="1"/>
  <c r="J593" i="1"/>
  <c r="H593" i="1"/>
  <c r="AV592" i="1"/>
  <c r="AC592" i="1"/>
  <c r="AA548" i="3"/>
  <c r="AA546" i="3"/>
  <c r="AA547" i="3"/>
  <c r="AA545" i="3"/>
  <c r="AA755" i="1" l="1"/>
  <c r="AE754" i="1"/>
  <c r="J594" i="1"/>
  <c r="H594" i="1"/>
  <c r="O593" i="1"/>
  <c r="AV593" i="1"/>
  <c r="AC593" i="1"/>
  <c r="AE755" i="1" l="1"/>
  <c r="AA756" i="1"/>
  <c r="AA757" i="1" s="1"/>
  <c r="O594" i="1"/>
  <c r="J595" i="1"/>
  <c r="H595" i="1"/>
  <c r="AV594" i="1"/>
  <c r="AC594" i="1"/>
  <c r="AE757" i="1" l="1"/>
  <c r="AA758" i="1"/>
  <c r="AE756" i="1"/>
  <c r="O595" i="1"/>
  <c r="J596" i="1"/>
  <c r="H596" i="1"/>
  <c r="AV595" i="1"/>
  <c r="AC595" i="1"/>
  <c r="AE758" i="1" l="1"/>
  <c r="AJ21" i="2"/>
  <c r="AD49" i="2"/>
  <c r="AD51" i="2" s="1"/>
  <c r="AD53" i="2" s="1"/>
  <c r="AD55" i="2" s="1"/>
  <c r="AD57" i="2" s="1"/>
  <c r="I21" i="3"/>
  <c r="I35" i="3" s="1"/>
  <c r="AV596" i="1"/>
  <c r="J597" i="1"/>
  <c r="H597" i="1"/>
  <c r="O596" i="1"/>
  <c r="AC596" i="1"/>
  <c r="AA553" i="3"/>
  <c r="AA554" i="3"/>
  <c r="AA551" i="3"/>
  <c r="AA552" i="3"/>
  <c r="AA550" i="3"/>
  <c r="AA549" i="3"/>
  <c r="O597" i="1" l="1"/>
  <c r="J598" i="1"/>
  <c r="AV597" i="1"/>
  <c r="H598" i="1"/>
  <c r="AC597" i="1"/>
  <c r="AV598" i="1" l="1"/>
  <c r="J599" i="1"/>
  <c r="H599" i="1"/>
  <c r="O598" i="1"/>
  <c r="AC598" i="1"/>
  <c r="AV599" i="1" l="1"/>
  <c r="H600" i="1"/>
  <c r="J600" i="1"/>
  <c r="O599" i="1"/>
  <c r="AC599" i="1"/>
  <c r="H601" i="1" l="1"/>
  <c r="J601" i="1"/>
  <c r="O600" i="1"/>
  <c r="AV600" i="1"/>
  <c r="AC600" i="1"/>
  <c r="O601" i="1" l="1"/>
  <c r="J602" i="1"/>
  <c r="H602" i="1"/>
  <c r="AV601" i="1"/>
  <c r="AC601" i="1"/>
  <c r="J603" i="1" l="1"/>
  <c r="H603" i="1"/>
  <c r="O602" i="1"/>
  <c r="AV602" i="1"/>
  <c r="AC602" i="1"/>
  <c r="J604" i="1" l="1"/>
  <c r="H604" i="1"/>
  <c r="AV603" i="1"/>
  <c r="O603" i="1"/>
  <c r="AC603" i="1"/>
  <c r="AA557" i="3"/>
  <c r="AA558" i="3"/>
  <c r="AV604" i="1" l="1"/>
  <c r="J605" i="1"/>
  <c r="H605" i="1"/>
  <c r="O604" i="1"/>
  <c r="AC604" i="1"/>
  <c r="AA555" i="3"/>
  <c r="AA556" i="3"/>
  <c r="AV605" i="1" l="1"/>
  <c r="H606" i="1"/>
  <c r="J606" i="1"/>
  <c r="O605" i="1"/>
  <c r="AC605" i="1"/>
  <c r="AA561" i="3"/>
  <c r="AA559" i="3"/>
  <c r="AC606" i="1" l="1"/>
  <c r="J607" i="1"/>
  <c r="H607" i="1"/>
  <c r="O606" i="1"/>
  <c r="AV606" i="1"/>
  <c r="AA560" i="3"/>
  <c r="J608" i="1" l="1"/>
  <c r="H608" i="1"/>
  <c r="O607" i="1"/>
  <c r="AV607" i="1"/>
  <c r="AC607" i="1"/>
  <c r="O608" i="1" l="1"/>
  <c r="AV608" i="1"/>
  <c r="J609" i="1"/>
  <c r="H609" i="1"/>
  <c r="AC608" i="1"/>
  <c r="O609" i="1" l="1"/>
  <c r="H610" i="1"/>
  <c r="J610" i="1"/>
  <c r="AV609" i="1"/>
  <c r="AC609" i="1"/>
  <c r="O610" i="1" l="1"/>
  <c r="AV610" i="1"/>
  <c r="J611" i="1"/>
  <c r="H611" i="1"/>
  <c r="AC610" i="1"/>
  <c r="AA565" i="3"/>
  <c r="AA563" i="3"/>
  <c r="AA564" i="3"/>
  <c r="AA562" i="3"/>
  <c r="J612" i="1" l="1"/>
  <c r="H612" i="1"/>
  <c r="O611" i="1"/>
  <c r="AV611" i="1"/>
  <c r="AC611" i="1"/>
  <c r="O612" i="1" l="1"/>
  <c r="J613" i="1"/>
  <c r="H613" i="1"/>
  <c r="AV612" i="1"/>
  <c r="AC612" i="1"/>
  <c r="O613" i="1" l="1"/>
  <c r="J614" i="1"/>
  <c r="H614" i="1"/>
  <c r="AV613" i="1"/>
  <c r="AC613" i="1"/>
  <c r="J615" i="1" l="1"/>
  <c r="H615" i="1"/>
  <c r="O614" i="1"/>
  <c r="AV614" i="1"/>
  <c r="AC614" i="1"/>
  <c r="AA567" i="3"/>
  <c r="AA568" i="3"/>
  <c r="AA566" i="3"/>
  <c r="J616" i="1" l="1"/>
  <c r="H616" i="1"/>
  <c r="O615" i="1"/>
  <c r="AV615" i="1"/>
  <c r="AC615" i="1"/>
  <c r="O616" i="1" l="1"/>
  <c r="J617" i="1"/>
  <c r="H617" i="1"/>
  <c r="AV616" i="1"/>
  <c r="AC616" i="1"/>
  <c r="J618" i="1" l="1"/>
  <c r="H618" i="1"/>
  <c r="O617" i="1"/>
  <c r="AV617" i="1"/>
  <c r="AC617" i="1"/>
  <c r="AA572" i="3"/>
  <c r="AA570" i="3"/>
  <c r="AA571" i="3"/>
  <c r="AA569" i="3"/>
  <c r="O618" i="1" l="1"/>
  <c r="J619" i="1"/>
  <c r="H619" i="1"/>
  <c r="AV618" i="1"/>
  <c r="AC618" i="1"/>
  <c r="AV619" i="1" l="1"/>
  <c r="J620" i="1"/>
  <c r="H620" i="1"/>
  <c r="O619" i="1"/>
  <c r="AC619" i="1"/>
  <c r="O620" i="1" l="1"/>
  <c r="J621" i="1"/>
  <c r="H621" i="1"/>
  <c r="AV620" i="1"/>
  <c r="AC620" i="1"/>
  <c r="AA574" i="3"/>
  <c r="AA575" i="3"/>
  <c r="AA573" i="3"/>
  <c r="J622" i="1" l="1"/>
  <c r="H622" i="1"/>
  <c r="O621" i="1"/>
  <c r="AV621" i="1"/>
  <c r="AC621" i="1"/>
  <c r="O622" i="1" l="1"/>
  <c r="H623" i="1"/>
  <c r="J623" i="1"/>
  <c r="AV622" i="1"/>
  <c r="AC622" i="1"/>
  <c r="O623" i="1" l="1"/>
  <c r="H624" i="1"/>
  <c r="J624" i="1"/>
  <c r="AV623" i="1"/>
  <c r="AC623" i="1"/>
  <c r="AV624" i="1" l="1"/>
  <c r="H625" i="1"/>
  <c r="J625" i="1"/>
  <c r="O624" i="1"/>
  <c r="AC624" i="1"/>
  <c r="AA583" i="3"/>
  <c r="AA584" i="3"/>
  <c r="AA581" i="3"/>
  <c r="AA582" i="3"/>
  <c r="AA580" i="3"/>
  <c r="AA578" i="3"/>
  <c r="AA579" i="3"/>
  <c r="J626" i="1" l="1"/>
  <c r="H626" i="1"/>
  <c r="O625" i="1"/>
  <c r="AV625" i="1"/>
  <c r="AC625" i="1"/>
  <c r="AA577" i="3"/>
  <c r="AA576" i="3"/>
  <c r="AC626" i="1" l="1"/>
  <c r="J627" i="1"/>
  <c r="AV626" i="1"/>
  <c r="H627" i="1"/>
  <c r="O626" i="1"/>
  <c r="O627" i="1" l="1"/>
  <c r="H628" i="1"/>
  <c r="J628" i="1"/>
  <c r="AV627" i="1"/>
  <c r="AC627" i="1"/>
  <c r="AC628" i="1" l="1"/>
  <c r="H629" i="1"/>
  <c r="J629" i="1"/>
  <c r="O628" i="1"/>
  <c r="AV628" i="1"/>
  <c r="J630" i="1" l="1"/>
  <c r="H630" i="1"/>
  <c r="AV629" i="1"/>
  <c r="O629" i="1"/>
  <c r="AC629" i="1"/>
  <c r="H631" i="1" l="1"/>
  <c r="J631" i="1"/>
  <c r="AV630" i="1"/>
  <c r="O630" i="1"/>
  <c r="AC630" i="1"/>
  <c r="O631" i="1" l="1"/>
  <c r="J632" i="1"/>
  <c r="H632" i="1"/>
  <c r="AV631" i="1"/>
  <c r="AC631" i="1"/>
  <c r="AC632" i="1" l="1"/>
  <c r="J633" i="1"/>
  <c r="H633" i="1"/>
  <c r="AV632" i="1"/>
  <c r="O632" i="1"/>
  <c r="AA589" i="3"/>
  <c r="AA586" i="3"/>
  <c r="AA587" i="3"/>
  <c r="AA585" i="3"/>
  <c r="O633" i="1" l="1"/>
  <c r="J634" i="1"/>
  <c r="H634" i="1"/>
  <c r="AV633" i="1"/>
  <c r="AC633" i="1"/>
  <c r="AA588" i="3"/>
  <c r="H635" i="1" l="1"/>
  <c r="J635" i="1"/>
  <c r="O634" i="1"/>
  <c r="AV634" i="1"/>
  <c r="AC634" i="1"/>
  <c r="AV635" i="1" l="1"/>
  <c r="H636" i="1"/>
  <c r="J636" i="1"/>
  <c r="O635" i="1"/>
  <c r="AC635" i="1"/>
  <c r="J637" i="1" l="1"/>
  <c r="H637" i="1"/>
  <c r="O636" i="1"/>
  <c r="AV636" i="1"/>
  <c r="AC636" i="1"/>
  <c r="J638" i="1" l="1"/>
  <c r="O637" i="1"/>
  <c r="AV637" i="1"/>
  <c r="H638" i="1"/>
  <c r="AC637" i="1"/>
  <c r="AA591" i="3"/>
  <c r="AA590" i="3"/>
  <c r="AV638" i="1" l="1"/>
  <c r="J639" i="1"/>
  <c r="H639" i="1"/>
  <c r="O638" i="1"/>
  <c r="AC638" i="1"/>
  <c r="O639" i="1" l="1"/>
  <c r="AV639" i="1"/>
  <c r="H640" i="1"/>
  <c r="J640" i="1"/>
  <c r="AC639" i="1"/>
  <c r="AA595" i="3"/>
  <c r="AA596" i="3"/>
  <c r="AA593" i="3"/>
  <c r="AA594" i="3"/>
  <c r="AA592" i="3"/>
  <c r="H641" i="1" l="1"/>
  <c r="J641" i="1"/>
  <c r="O640" i="1"/>
  <c r="AV640" i="1"/>
  <c r="AC640" i="1"/>
  <c r="J642" i="1" l="1"/>
  <c r="H642" i="1"/>
  <c r="O641" i="1"/>
  <c r="AV641" i="1"/>
  <c r="AC641" i="1"/>
  <c r="J643" i="1" l="1"/>
  <c r="AV642" i="1"/>
  <c r="H643" i="1"/>
  <c r="O642" i="1"/>
  <c r="AC642" i="1"/>
  <c r="J644" i="1" l="1"/>
  <c r="H644" i="1"/>
  <c r="AV643" i="1"/>
  <c r="O643" i="1"/>
  <c r="AC643" i="1"/>
  <c r="AV644" i="1" l="1"/>
  <c r="J645" i="1"/>
  <c r="H645" i="1"/>
  <c r="O644" i="1"/>
  <c r="AC644" i="1"/>
  <c r="AA603" i="3"/>
  <c r="AA604" i="3"/>
  <c r="AA601" i="3"/>
  <c r="AA602" i="3"/>
  <c r="AA598" i="3"/>
  <c r="AA599" i="3"/>
  <c r="J646" i="1" l="1"/>
  <c r="H646" i="1"/>
  <c r="O645" i="1"/>
  <c r="AV645" i="1"/>
  <c r="AC645" i="1"/>
  <c r="O646" i="1" l="1"/>
  <c r="AV646" i="1"/>
  <c r="J647" i="1"/>
  <c r="H647" i="1"/>
  <c r="AC646" i="1"/>
  <c r="H648" i="1" l="1"/>
  <c r="J648" i="1"/>
  <c r="AV647" i="1"/>
  <c r="O647" i="1"/>
  <c r="AC647" i="1"/>
  <c r="AV648" i="1" l="1"/>
  <c r="J649" i="1"/>
  <c r="H649" i="1"/>
  <c r="O648" i="1"/>
  <c r="AC648" i="1"/>
  <c r="J650" i="1" l="1"/>
  <c r="H650" i="1"/>
  <c r="O649" i="1"/>
  <c r="AV649" i="1"/>
  <c r="AC649" i="1"/>
  <c r="O650" i="1" l="1"/>
  <c r="H651" i="1"/>
  <c r="J651" i="1"/>
  <c r="AV650" i="1"/>
  <c r="AC650" i="1"/>
  <c r="O651" i="1" l="1"/>
  <c r="H652" i="1"/>
  <c r="J652" i="1"/>
  <c r="AV651" i="1"/>
  <c r="AC651" i="1"/>
  <c r="J653" i="1" l="1"/>
  <c r="H653" i="1"/>
  <c r="O652" i="1"/>
  <c r="AV652" i="1"/>
  <c r="AC652" i="1"/>
  <c r="AA606" i="3"/>
  <c r="AA605" i="3"/>
  <c r="O653" i="1" l="1"/>
  <c r="H654" i="1"/>
  <c r="J654" i="1"/>
  <c r="AV653" i="1"/>
  <c r="AC653" i="1"/>
  <c r="AA607" i="3"/>
  <c r="O654" i="1" l="1"/>
  <c r="J655" i="1"/>
  <c r="H655" i="1"/>
  <c r="AV654" i="1"/>
  <c r="AC654" i="1"/>
  <c r="AV655" i="1" l="1"/>
  <c r="J656" i="1"/>
  <c r="H656" i="1"/>
  <c r="O655" i="1"/>
  <c r="AC655" i="1"/>
  <c r="AA611" i="3"/>
  <c r="AA609" i="3"/>
  <c r="AA610" i="3"/>
  <c r="AA608" i="3"/>
  <c r="AV656" i="1" l="1"/>
  <c r="J657" i="1"/>
  <c r="H657" i="1"/>
  <c r="O656" i="1"/>
  <c r="AC656" i="1"/>
  <c r="J658" i="1" l="1"/>
  <c r="H658" i="1"/>
  <c r="AV657" i="1"/>
  <c r="O657" i="1"/>
  <c r="AC657" i="1"/>
  <c r="O658" i="1" l="1"/>
  <c r="J659" i="1"/>
  <c r="AV658" i="1"/>
  <c r="H659" i="1"/>
  <c r="AC658" i="1"/>
  <c r="AV659" i="1" l="1"/>
  <c r="H660" i="1"/>
  <c r="J660" i="1"/>
  <c r="O659" i="1"/>
  <c r="AC659" i="1"/>
  <c r="AA615" i="3"/>
  <c r="AA616" i="3"/>
  <c r="AA613" i="3"/>
  <c r="AA614" i="3"/>
  <c r="AA612" i="3"/>
  <c r="AV660" i="1" l="1"/>
  <c r="H661" i="1"/>
  <c r="J661" i="1"/>
  <c r="O660" i="1"/>
  <c r="AC660" i="1"/>
  <c r="H662" i="1" l="1"/>
  <c r="J662" i="1"/>
  <c r="O661" i="1"/>
  <c r="AV661" i="1"/>
  <c r="AC661" i="1"/>
  <c r="O662" i="1" l="1"/>
  <c r="AV662" i="1"/>
  <c r="J663" i="1"/>
  <c r="H663" i="1"/>
  <c r="AC662" i="1"/>
  <c r="O663" i="1" l="1"/>
  <c r="J664" i="1"/>
  <c r="H664" i="1"/>
  <c r="AV663" i="1"/>
  <c r="AC663" i="1"/>
  <c r="H665" i="1" l="1"/>
  <c r="J665" i="1"/>
  <c r="O664" i="1"/>
  <c r="AV664" i="1"/>
  <c r="AC664" i="1"/>
  <c r="AA618" i="3"/>
  <c r="AA617" i="3"/>
  <c r="O665" i="1" l="1"/>
  <c r="J666" i="1"/>
  <c r="H666" i="1"/>
  <c r="AV665" i="1"/>
  <c r="AC665" i="1"/>
  <c r="AA619" i="3"/>
  <c r="AV666" i="1" l="1"/>
  <c r="H667" i="1"/>
  <c r="J667" i="1"/>
  <c r="O666" i="1"/>
  <c r="AC666" i="1"/>
  <c r="AV667" i="1" l="1"/>
  <c r="H668" i="1"/>
  <c r="J668" i="1"/>
  <c r="O667" i="1"/>
  <c r="AC667" i="1"/>
  <c r="AA621" i="3"/>
  <c r="AA622" i="3"/>
  <c r="AA620" i="3"/>
  <c r="J669" i="1" l="1"/>
  <c r="H669" i="1"/>
  <c r="O668" i="1"/>
  <c r="AV668" i="1"/>
  <c r="AC668" i="1"/>
  <c r="AV669" i="1" l="1"/>
  <c r="J670" i="1"/>
  <c r="H670" i="1"/>
  <c r="O669" i="1"/>
  <c r="AC669" i="1"/>
  <c r="O670" i="1" l="1"/>
  <c r="J671" i="1"/>
  <c r="H671" i="1"/>
  <c r="AV670" i="1"/>
  <c r="AC670" i="1"/>
  <c r="AV671" i="1" l="1"/>
  <c r="H672" i="1"/>
  <c r="J672" i="1"/>
  <c r="O671" i="1"/>
  <c r="AC671" i="1"/>
  <c r="AA625" i="3"/>
  <c r="AA626" i="3"/>
  <c r="AA623" i="3"/>
  <c r="J673" i="1" l="1"/>
  <c r="H673" i="1"/>
  <c r="O672" i="1"/>
  <c r="AV672" i="1"/>
  <c r="AC672" i="1"/>
  <c r="AA624" i="3"/>
  <c r="AV673" i="1" l="1"/>
  <c r="J674" i="1"/>
  <c r="H674" i="1"/>
  <c r="O673" i="1"/>
  <c r="AC673" i="1"/>
  <c r="H675" i="1" l="1"/>
  <c r="J675" i="1"/>
  <c r="O674" i="1"/>
  <c r="AV674" i="1"/>
  <c r="AC674" i="1"/>
  <c r="O675" i="1" l="1"/>
  <c r="AV675" i="1"/>
  <c r="J676" i="1"/>
  <c r="H676" i="1"/>
  <c r="AC675" i="1"/>
  <c r="AA628" i="3"/>
  <c r="AA627" i="3"/>
  <c r="O676" i="1" l="1"/>
  <c r="J677" i="1"/>
  <c r="H677" i="1"/>
  <c r="AV676" i="1"/>
  <c r="AC676" i="1"/>
  <c r="O677" i="1" l="1"/>
  <c r="H678" i="1"/>
  <c r="J678" i="1"/>
  <c r="AV677" i="1"/>
  <c r="AC677" i="1"/>
  <c r="AA632" i="3"/>
  <c r="AA633" i="3"/>
  <c r="AA630" i="3"/>
  <c r="AA631" i="3"/>
  <c r="AA629" i="3"/>
  <c r="AV678" i="1" l="1"/>
  <c r="J679" i="1"/>
  <c r="H679" i="1"/>
  <c r="O678" i="1"/>
  <c r="AC678" i="1"/>
  <c r="J680" i="1" l="1"/>
  <c r="H680" i="1"/>
  <c r="O679" i="1"/>
  <c r="AV679" i="1"/>
  <c r="AC679" i="1"/>
  <c r="AV680" i="1" l="1"/>
  <c r="J681" i="1"/>
  <c r="H681" i="1"/>
  <c r="O680" i="1"/>
  <c r="AC680" i="1"/>
  <c r="O681" i="1" l="1"/>
  <c r="J682" i="1"/>
  <c r="H682" i="1"/>
  <c r="AV681" i="1"/>
  <c r="AC681" i="1"/>
  <c r="AC682" i="1" l="1"/>
  <c r="H683" i="1"/>
  <c r="O682" i="1"/>
  <c r="J683" i="1"/>
  <c r="AV682" i="1"/>
  <c r="AA637" i="3"/>
  <c r="AA638" i="3"/>
  <c r="AA635" i="3"/>
  <c r="AA636" i="3"/>
  <c r="AA634" i="3"/>
  <c r="H684" i="1" l="1"/>
  <c r="J684" i="1"/>
  <c r="AV683" i="1"/>
  <c r="O683" i="1"/>
  <c r="AC683" i="1"/>
  <c r="O684" i="1" l="1"/>
  <c r="J685" i="1"/>
  <c r="H685" i="1"/>
  <c r="AV684" i="1"/>
  <c r="AC684" i="1"/>
  <c r="O685" i="1" l="1"/>
  <c r="J686" i="1"/>
  <c r="H686" i="1"/>
  <c r="AV685" i="1"/>
  <c r="AC685" i="1"/>
  <c r="J687" i="1" l="1"/>
  <c r="H687" i="1"/>
  <c r="O686" i="1"/>
  <c r="AV686" i="1"/>
  <c r="AC686" i="1"/>
  <c r="AA640" i="3"/>
  <c r="AA641" i="3"/>
  <c r="O687" i="1" l="1"/>
  <c r="J688" i="1"/>
  <c r="H688" i="1"/>
  <c r="AV687" i="1"/>
  <c r="AC687" i="1"/>
  <c r="O688" i="1" l="1"/>
  <c r="J689" i="1"/>
  <c r="H689" i="1"/>
  <c r="AV688" i="1"/>
  <c r="AC688" i="1"/>
  <c r="O689" i="1" l="1"/>
  <c r="J690" i="1"/>
  <c r="H690" i="1"/>
  <c r="AV689" i="1"/>
  <c r="AC689" i="1"/>
  <c r="AA642" i="3"/>
  <c r="J691" i="1" l="1"/>
  <c r="H691" i="1"/>
  <c r="AV690" i="1"/>
  <c r="O690" i="1"/>
  <c r="AC690" i="1"/>
  <c r="AA643" i="3"/>
  <c r="AA644" i="3"/>
  <c r="AV691" i="1" l="1"/>
  <c r="J692" i="1"/>
  <c r="H692" i="1"/>
  <c r="O691" i="1"/>
  <c r="AC691" i="1"/>
  <c r="AV692" i="1" l="1"/>
  <c r="J693" i="1"/>
  <c r="H693" i="1"/>
  <c r="O692" i="1"/>
  <c r="AC692" i="1"/>
  <c r="AA646" i="3"/>
  <c r="AA647" i="3"/>
  <c r="AA645" i="3"/>
  <c r="J694" i="1" l="1"/>
  <c r="H694" i="1"/>
  <c r="AV693" i="1"/>
  <c r="O693" i="1"/>
  <c r="AC693" i="1"/>
  <c r="O694" i="1" l="1"/>
  <c r="J695" i="1"/>
  <c r="H695" i="1"/>
  <c r="AV694" i="1"/>
  <c r="AC694" i="1"/>
  <c r="O695" i="1" l="1"/>
  <c r="J696" i="1"/>
  <c r="H696" i="1"/>
  <c r="AV695" i="1"/>
  <c r="AC695" i="1"/>
  <c r="AA653" i="3"/>
  <c r="AA651" i="3"/>
  <c r="AA652" i="3"/>
  <c r="AA649" i="3"/>
  <c r="AA650" i="3"/>
  <c r="AA648" i="3"/>
  <c r="O696" i="1" l="1"/>
  <c r="J697" i="1"/>
  <c r="H697" i="1"/>
  <c r="AV696" i="1"/>
  <c r="AC696" i="1"/>
  <c r="AV697" i="1" l="1"/>
  <c r="J698" i="1"/>
  <c r="H698" i="1"/>
  <c r="O697" i="1"/>
  <c r="AC697" i="1"/>
  <c r="J699" i="1" l="1"/>
  <c r="H699" i="1"/>
  <c r="O698" i="1"/>
  <c r="AV698" i="1"/>
  <c r="AC698" i="1"/>
  <c r="AV699" i="1" l="1"/>
  <c r="H700" i="1"/>
  <c r="J700" i="1"/>
  <c r="O699" i="1"/>
  <c r="AC699" i="1"/>
  <c r="O700" i="1" l="1"/>
  <c r="J701" i="1"/>
  <c r="H701" i="1"/>
  <c r="AV700" i="1"/>
  <c r="AC700" i="1"/>
  <c r="J702" i="1" l="1"/>
  <c r="H702" i="1"/>
  <c r="O701" i="1"/>
  <c r="AV701" i="1"/>
  <c r="AC701" i="1"/>
  <c r="AA655" i="3"/>
  <c r="AA654" i="3"/>
  <c r="J703" i="1" l="1"/>
  <c r="H703" i="1"/>
  <c r="AV702" i="1"/>
  <c r="O702" i="1"/>
  <c r="AC702" i="1"/>
  <c r="O703" i="1" l="1"/>
  <c r="J704" i="1"/>
  <c r="H704" i="1"/>
  <c r="AV703" i="1"/>
  <c r="AC703" i="1"/>
  <c r="AA656" i="3"/>
  <c r="J705" i="1" l="1"/>
  <c r="H705" i="1"/>
  <c r="O704" i="1"/>
  <c r="AV704" i="1"/>
  <c r="AC704" i="1"/>
  <c r="J706" i="1" l="1"/>
  <c r="H706" i="1"/>
  <c r="AV705" i="1"/>
  <c r="O705" i="1"/>
  <c r="AC705" i="1"/>
  <c r="AA658" i="3"/>
  <c r="AA659" i="3"/>
  <c r="AA657" i="3"/>
  <c r="O706" i="1" l="1"/>
  <c r="J707" i="1"/>
  <c r="H707" i="1"/>
  <c r="AV706" i="1"/>
  <c r="AC706" i="1"/>
  <c r="O707" i="1" l="1"/>
  <c r="J708" i="1"/>
  <c r="H708" i="1"/>
  <c r="AV707" i="1"/>
  <c r="AC707" i="1"/>
  <c r="AA663" i="3"/>
  <c r="AA664" i="3"/>
  <c r="AA661" i="3"/>
  <c r="AA662" i="3"/>
  <c r="AA660" i="3"/>
  <c r="O708" i="1" l="1"/>
  <c r="H709" i="1"/>
  <c r="J709" i="1"/>
  <c r="AV708" i="1"/>
  <c r="AC708" i="1"/>
  <c r="O709" i="1" l="1"/>
  <c r="J710" i="1"/>
  <c r="H710" i="1"/>
  <c r="AV709" i="1"/>
  <c r="AC709" i="1"/>
  <c r="H711" i="1" l="1"/>
  <c r="J711" i="1"/>
  <c r="O710" i="1"/>
  <c r="AV710" i="1"/>
  <c r="AC710" i="1"/>
  <c r="O711" i="1" l="1"/>
  <c r="J712" i="1"/>
  <c r="H712" i="1"/>
  <c r="AV711" i="1"/>
  <c r="AC711" i="1"/>
  <c r="AV712" i="1" l="1"/>
  <c r="J713" i="1"/>
  <c r="H713" i="1"/>
  <c r="O712" i="1"/>
  <c r="AC712" i="1"/>
  <c r="J714" i="1" l="1"/>
  <c r="H714" i="1"/>
  <c r="O713" i="1"/>
  <c r="AV713" i="1"/>
  <c r="AC713" i="1"/>
  <c r="AA666" i="3"/>
  <c r="AA667" i="3"/>
  <c r="AA665" i="3"/>
  <c r="AV714" i="1" l="1"/>
  <c r="J715" i="1"/>
  <c r="H715" i="1"/>
  <c r="O714" i="1"/>
  <c r="AC714" i="1"/>
  <c r="AV715" i="1" l="1"/>
  <c r="J716" i="1"/>
  <c r="H716" i="1"/>
  <c r="O715" i="1"/>
  <c r="AC715" i="1"/>
  <c r="AA674" i="3"/>
  <c r="AA672" i="3"/>
  <c r="AA673" i="3"/>
  <c r="AA670" i="3"/>
  <c r="AA671" i="3"/>
  <c r="AA668" i="3"/>
  <c r="AV716" i="1" l="1"/>
  <c r="J717" i="1"/>
  <c r="H717" i="1"/>
  <c r="O716" i="1"/>
  <c r="AC716" i="1"/>
  <c r="AA669" i="3"/>
  <c r="O717" i="1" l="1"/>
  <c r="AV717" i="1"/>
  <c r="J718" i="1"/>
  <c r="H718" i="1"/>
  <c r="AC717" i="1"/>
  <c r="O718" i="1" l="1"/>
  <c r="J719" i="1"/>
  <c r="H719" i="1"/>
  <c r="AV718" i="1"/>
  <c r="AC718" i="1"/>
  <c r="J720" i="1" l="1"/>
  <c r="H720" i="1"/>
  <c r="AV719" i="1"/>
  <c r="O719" i="1"/>
  <c r="AC719" i="1"/>
  <c r="O720" i="1" l="1"/>
  <c r="J721" i="1"/>
  <c r="H721" i="1"/>
  <c r="AV720" i="1"/>
  <c r="AC720" i="1"/>
  <c r="O721" i="1" l="1"/>
  <c r="H722" i="1"/>
  <c r="J722" i="1"/>
  <c r="AV721" i="1"/>
  <c r="AC721" i="1"/>
  <c r="AV722" i="1" l="1"/>
  <c r="J723" i="1"/>
  <c r="H723" i="1"/>
  <c r="O722" i="1"/>
  <c r="AC722" i="1"/>
  <c r="AA678" i="3"/>
  <c r="AA676" i="3"/>
  <c r="AA677" i="3"/>
  <c r="AA675" i="3"/>
  <c r="J724" i="1" l="1"/>
  <c r="H724" i="1"/>
  <c r="O723" i="1"/>
  <c r="AV723" i="1"/>
  <c r="AC723" i="1"/>
  <c r="O724" i="1" l="1"/>
  <c r="AV724" i="1"/>
  <c r="J725" i="1"/>
  <c r="H725" i="1"/>
  <c r="AC724" i="1"/>
  <c r="O725" i="1" l="1"/>
  <c r="J726" i="1"/>
  <c r="H726" i="1"/>
  <c r="AV725" i="1"/>
  <c r="AC725" i="1"/>
  <c r="O726" i="1" l="1"/>
  <c r="J727" i="1"/>
  <c r="H727" i="1"/>
  <c r="AV726" i="1"/>
  <c r="AC726" i="1"/>
  <c r="AA680" i="3"/>
  <c r="AA681" i="3"/>
  <c r="AA679" i="3"/>
  <c r="O727" i="1" l="1"/>
  <c r="J728" i="1"/>
  <c r="H728" i="1"/>
  <c r="AV727" i="1"/>
  <c r="AC727" i="1"/>
  <c r="AA682" i="3"/>
  <c r="J729" i="1" l="1"/>
  <c r="H729" i="1"/>
  <c r="O728" i="1"/>
  <c r="AV728" i="1"/>
  <c r="AC728" i="1"/>
  <c r="O729" i="1" l="1"/>
  <c r="AV729" i="1"/>
  <c r="J730" i="1"/>
  <c r="H730" i="1"/>
  <c r="AC729" i="1"/>
  <c r="O730" i="1" l="1"/>
  <c r="J731" i="1"/>
  <c r="H731" i="1"/>
  <c r="AV730" i="1"/>
  <c r="AC730" i="1"/>
  <c r="O731" i="1" l="1"/>
  <c r="J732" i="1"/>
  <c r="H732" i="1"/>
  <c r="AV731" i="1"/>
  <c r="AC731" i="1"/>
  <c r="AA686" i="3"/>
  <c r="AA684" i="3"/>
  <c r="AA685" i="3"/>
  <c r="AA683" i="3"/>
  <c r="J733" i="1" l="1"/>
  <c r="H733" i="1"/>
  <c r="O732" i="1"/>
  <c r="AV732" i="1"/>
  <c r="AC732" i="1"/>
  <c r="AV733" i="1" l="1"/>
  <c r="J734" i="1"/>
  <c r="H734" i="1"/>
  <c r="O733" i="1"/>
  <c r="AC733" i="1"/>
  <c r="J735" i="1" l="1"/>
  <c r="H735" i="1"/>
  <c r="O734" i="1"/>
  <c r="AV734" i="1"/>
  <c r="AC734" i="1"/>
  <c r="AA688" i="3"/>
  <c r="AA689" i="3"/>
  <c r="AA687" i="3"/>
  <c r="AV735" i="1" l="1"/>
  <c r="H736" i="1"/>
  <c r="J736" i="1"/>
  <c r="O735" i="1"/>
  <c r="AC735" i="1"/>
  <c r="O736" i="1" l="1"/>
  <c r="J737" i="1"/>
  <c r="H737" i="1"/>
  <c r="AV736" i="1"/>
  <c r="AC736" i="1"/>
  <c r="O737" i="1" l="1"/>
  <c r="J738" i="1"/>
  <c r="H738" i="1"/>
  <c r="AV737" i="1"/>
  <c r="AC737" i="1"/>
  <c r="AA690" i="3"/>
  <c r="H739" i="1" l="1"/>
  <c r="J739" i="1"/>
  <c r="AV738" i="1"/>
  <c r="O738" i="1"/>
  <c r="AC738" i="1"/>
  <c r="AA692" i="3"/>
  <c r="AA693" i="3"/>
  <c r="AV739" i="1" l="1"/>
  <c r="J740" i="1"/>
  <c r="H740" i="1"/>
  <c r="O739" i="1"/>
  <c r="AC739" i="1"/>
  <c r="O740" i="1" l="1"/>
  <c r="J741" i="1"/>
  <c r="H741" i="1"/>
  <c r="AV740" i="1"/>
  <c r="AC740" i="1"/>
  <c r="O741" i="1" l="1"/>
  <c r="J742" i="1"/>
  <c r="H742" i="1"/>
  <c r="AV741" i="1"/>
  <c r="AC741" i="1"/>
  <c r="AA695" i="3"/>
  <c r="AA696" i="3"/>
  <c r="AA694" i="3"/>
  <c r="J743" i="1" l="1"/>
  <c r="H743" i="1"/>
  <c r="O742" i="1"/>
  <c r="AV742" i="1"/>
  <c r="AC742" i="1"/>
  <c r="AV743" i="1" l="1"/>
  <c r="J744" i="1"/>
  <c r="H744" i="1"/>
  <c r="O743" i="1"/>
  <c r="AC743" i="1"/>
  <c r="J745" i="1" l="1"/>
  <c r="H745" i="1"/>
  <c r="AV744" i="1"/>
  <c r="O744" i="1"/>
  <c r="AC744" i="1"/>
  <c r="AA699" i="3"/>
  <c r="AA697" i="3"/>
  <c r="O745" i="1" l="1"/>
  <c r="J746" i="1"/>
  <c r="H746" i="1"/>
  <c r="AV745" i="1"/>
  <c r="AC745" i="1"/>
  <c r="O746" i="1" l="1"/>
  <c r="H747" i="1"/>
  <c r="I23" i="3" s="1"/>
  <c r="I25" i="3" s="1"/>
  <c r="I27" i="3" s="1"/>
  <c r="J747" i="1"/>
  <c r="AV746" i="1"/>
  <c r="AC746" i="1"/>
  <c r="N27" i="3" l="1"/>
  <c r="N28" i="3" s="1"/>
  <c r="I34" i="3"/>
  <c r="J748" i="1"/>
  <c r="H748" i="1"/>
  <c r="O747" i="1"/>
  <c r="AV747" i="1"/>
  <c r="AC747" i="1"/>
  <c r="AA701" i="3"/>
  <c r="AA702" i="3"/>
  <c r="AA700" i="3"/>
  <c r="AV748" i="1" l="1"/>
  <c r="H749" i="1"/>
  <c r="J749" i="1"/>
  <c r="O748" i="1"/>
  <c r="AC748" i="1"/>
  <c r="O749" i="1" l="1"/>
  <c r="J750" i="1"/>
  <c r="H750" i="1"/>
  <c r="AV749" i="1"/>
  <c r="AC749" i="1"/>
  <c r="AV750" i="1" l="1"/>
  <c r="J751" i="1"/>
  <c r="H751" i="1"/>
  <c r="O750" i="1"/>
  <c r="AC750" i="1"/>
  <c r="AA706" i="3"/>
  <c r="AA707" i="3"/>
  <c r="AA704" i="3"/>
  <c r="AA705" i="3"/>
  <c r="AA703" i="3"/>
  <c r="O751" i="1" l="1"/>
  <c r="J752" i="1"/>
  <c r="H752" i="1"/>
  <c r="AV751" i="1"/>
  <c r="AC751" i="1"/>
  <c r="H753" i="1" l="1"/>
  <c r="J753" i="1"/>
  <c r="AV752" i="1"/>
  <c r="O752" i="1"/>
  <c r="AC752" i="1"/>
  <c r="O753" i="1" l="1"/>
  <c r="J754" i="1"/>
  <c r="H754" i="1"/>
  <c r="AV753" i="1"/>
  <c r="AC753" i="1"/>
  <c r="O754" i="1" l="1"/>
  <c r="J755" i="1"/>
  <c r="H755" i="1"/>
  <c r="AV754" i="1"/>
  <c r="AC754" i="1"/>
  <c r="O755" i="1" l="1"/>
  <c r="J756" i="1"/>
  <c r="H756" i="1"/>
  <c r="AV755" i="1"/>
  <c r="AC755" i="1"/>
  <c r="AA709" i="3"/>
  <c r="AA710" i="3"/>
  <c r="AA708" i="3"/>
  <c r="J757" i="1" l="1"/>
  <c r="H757" i="1"/>
  <c r="O756" i="1"/>
  <c r="AV756" i="1"/>
  <c r="AC756" i="1"/>
  <c r="O757" i="1" l="1"/>
  <c r="AV757" i="1"/>
  <c r="J758" i="1"/>
  <c r="H758" i="1"/>
  <c r="AC757" i="1"/>
  <c r="AF21" i="2"/>
  <c r="I32" i="3"/>
  <c r="O758" i="1" l="1"/>
  <c r="AV758" i="1"/>
  <c r="AC758" i="1"/>
  <c r="I28" i="3"/>
  <c r="L34" i="3"/>
  <c r="I36" i="3"/>
  <c r="W716" i="3" s="1"/>
  <c r="AA716" i="3" s="1"/>
  <c r="L35" i="3"/>
  <c r="L32" i="3"/>
  <c r="AA714" i="3" l="1"/>
  <c r="AA715" i="3"/>
  <c r="AA712" i="3"/>
  <c r="AA713" i="3"/>
  <c r="AA711" i="3"/>
  <c r="L36" i="3"/>
  <c r="Y121" i="3" l="1"/>
  <c r="Y350" i="3"/>
  <c r="Y12" i="3"/>
  <c r="Y244" i="3"/>
  <c r="Y214" i="3"/>
</calcChain>
</file>

<file path=xl/sharedStrings.xml><?xml version="1.0" encoding="utf-8"?>
<sst xmlns="http://schemas.openxmlformats.org/spreadsheetml/2006/main" count="395" uniqueCount="190">
  <si>
    <t>BASE</t>
  </si>
  <si>
    <t>New</t>
  </si>
  <si>
    <t>Cumulative</t>
  </si>
  <si>
    <t>Delta</t>
  </si>
  <si>
    <t>Deaths</t>
  </si>
  <si>
    <t>COVID-19</t>
  </si>
  <si>
    <t>USA Analysis</t>
  </si>
  <si>
    <t>Target:</t>
  </si>
  <si>
    <t>NY</t>
  </si>
  <si>
    <t>Combined</t>
  </si>
  <si>
    <t>%</t>
  </si>
  <si>
    <t>Source:  Worldometer</t>
  </si>
  <si>
    <t>5 days / lower new</t>
  </si>
  <si>
    <t>MAK Table</t>
  </si>
  <si>
    <t>Important milestone:  Recovery rate / number: exceeds new cases / rate.</t>
  </si>
  <si>
    <t>Δ</t>
  </si>
  <si>
    <t>% of  cases</t>
  </si>
  <si>
    <t xml:space="preserve"> </t>
  </si>
  <si>
    <t>Days</t>
  </si>
  <si>
    <t>Dates</t>
  </si>
  <si>
    <t>Cases</t>
  </si>
  <si>
    <t>Rate</t>
  </si>
  <si>
    <t>Positive</t>
  </si>
  <si>
    <t>Tests</t>
  </si>
  <si>
    <t>&lt; 5.0%</t>
  </si>
  <si>
    <t xml:space="preserve"> &gt; 50% - recovery</t>
  </si>
  <si>
    <t>(1)</t>
  </si>
  <si>
    <t>%  US</t>
  </si>
  <si>
    <t>Population</t>
  </si>
  <si>
    <t>Greater Metro Areas</t>
  </si>
  <si>
    <t>Rate per 100,000</t>
  </si>
  <si>
    <t>Totals</t>
  </si>
  <si>
    <t>% of US</t>
  </si>
  <si>
    <r>
      <t>Deaths</t>
    </r>
    <r>
      <rPr>
        <b/>
        <vertAlign val="superscript"/>
        <sz val="11"/>
        <color theme="1"/>
        <rFont val="Calibri"/>
        <family val="2"/>
        <scheme val="minor"/>
      </rPr>
      <t xml:space="preserve"> (1)</t>
    </r>
  </si>
  <si>
    <t>Daily</t>
  </si>
  <si>
    <t>Total Cases</t>
  </si>
  <si>
    <t>NY &amp; NJ &amp; CT</t>
  </si>
  <si>
    <t>NY/NJ/CT</t>
  </si>
  <si>
    <t>(2)</t>
  </si>
  <si>
    <t>Untied States</t>
  </si>
  <si>
    <t>Connecticut was added to better represent the greater metropolitan NYC area.</t>
  </si>
  <si>
    <t>Cases two weeks prior</t>
  </si>
  <si>
    <t>Less:</t>
  </si>
  <si>
    <t xml:space="preserve">Critical </t>
  </si>
  <si>
    <t>Theoretical Recoveries</t>
  </si>
  <si>
    <t>(3)</t>
  </si>
  <si>
    <t>Day GMT +4</t>
  </si>
  <si>
    <t>Unaccounted recoveries</t>
  </si>
  <si>
    <t>NYC</t>
  </si>
  <si>
    <t>NJ</t>
  </si>
  <si>
    <t>CT</t>
  </si>
  <si>
    <t>Metro</t>
  </si>
  <si>
    <t>Rate / 100k</t>
  </si>
  <si>
    <t>WA</t>
  </si>
  <si>
    <t>Calc</t>
  </si>
  <si>
    <t xml:space="preserve">A retroactive adjustment of 2,310 for new cases and 21 for deaths were made so that the cumulative results equal the reporting groups data. </t>
  </si>
  <si>
    <t>Massachusetts</t>
  </si>
  <si>
    <t>USA</t>
  </si>
  <si>
    <t>Hot Spots</t>
  </si>
  <si>
    <t>There are potential timing differences between the data reported by US sources vs. Worldometer cut-off.  Cut-off is +4 GMT.</t>
  </si>
  <si>
    <t>(4)</t>
  </si>
  <si>
    <t>% of cases</t>
  </si>
  <si>
    <t>Sub total</t>
  </si>
  <si>
    <t>Add back recoveries</t>
  </si>
  <si>
    <t>Day Before</t>
  </si>
  <si>
    <t>Change</t>
  </si>
  <si>
    <t>Yesterday</t>
  </si>
  <si>
    <t>Description</t>
  </si>
  <si>
    <t>Recoveries</t>
  </si>
  <si>
    <t>Less: Reported recoveries</t>
  </si>
  <si>
    <t>Date</t>
  </si>
  <si>
    <t>% Change</t>
  </si>
  <si>
    <t>% Total</t>
  </si>
  <si>
    <t>Calculation Use:</t>
  </si>
  <si>
    <t>Use for Calc:</t>
  </si>
  <si>
    <t>Total cases:</t>
  </si>
  <si>
    <t xml:space="preserve">          Deaths</t>
  </si>
  <si>
    <t>Pennsylvania</t>
  </si>
  <si>
    <t>Philadelphia</t>
  </si>
  <si>
    <t>1)</t>
  </si>
  <si>
    <t>Recoveries have been under reported for many reasons including:</t>
  </si>
  <si>
    <t>a)</t>
  </si>
  <si>
    <t>b)</t>
  </si>
  <si>
    <t>c)</t>
  </si>
  <si>
    <t>Limited of resources and focus on this category.</t>
  </si>
  <si>
    <t>2)</t>
  </si>
  <si>
    <t>A key assumption is that cases over two weeks old are resolved.</t>
  </si>
  <si>
    <t>The patient is either recovered, in extended care or has passed.</t>
  </si>
  <si>
    <t>We are calculating "Unaccounted for Recoveries"</t>
  </si>
  <si>
    <t>3)</t>
  </si>
  <si>
    <t>The unaccounted for recovers plus those accounted for equal:</t>
  </si>
  <si>
    <t>Theoretical Recoveries, see table below.</t>
  </si>
  <si>
    <t>MA</t>
  </si>
  <si>
    <t>#</t>
  </si>
  <si>
    <t>% of All</t>
  </si>
  <si>
    <t>Cases / 100,000</t>
  </si>
  <si>
    <t>Ohio Population:</t>
  </si>
  <si>
    <t xml:space="preserve">Percent </t>
  </si>
  <si>
    <t>Data collection, recoding and reporting challenges.</t>
  </si>
  <si>
    <t>The lack of being able to measure "self-diagnosed" cases.</t>
  </si>
  <si>
    <t>Less: Theoretical Recoveries</t>
  </si>
  <si>
    <t>Open Net Cases</t>
  </si>
  <si>
    <t>Average</t>
  </si>
  <si>
    <t xml:space="preserve"> New Cases</t>
  </si>
  <si>
    <t>Summary Data</t>
  </si>
  <si>
    <t>Changes</t>
  </si>
  <si>
    <t>Florida Summary Data</t>
  </si>
  <si>
    <t>Population:</t>
  </si>
  <si>
    <t>2020 budget</t>
  </si>
  <si>
    <t>$91.5 billion</t>
  </si>
  <si>
    <t>New York, New Jersey &amp; Connecticut, % USA (source CNN)</t>
  </si>
  <si>
    <t>Weekly</t>
  </si>
  <si>
    <t>% Cange</t>
  </si>
  <si>
    <t>Count</t>
  </si>
  <si>
    <t>OHIO Theoretical Recoveries (5/21/20)</t>
  </si>
  <si>
    <t>Open Net Cases (5/21/20)</t>
  </si>
  <si>
    <t>Lee: Critical Care</t>
  </si>
  <si>
    <t>Cases to track</t>
  </si>
  <si>
    <t>FloridaTheoretical Recoveries (5/21/20)</t>
  </si>
  <si>
    <t>Florida Open Net Cases (5/21/20)</t>
  </si>
  <si>
    <t>Boston / NYC Metro Weighted Average (WA)</t>
  </si>
  <si>
    <t>New York</t>
  </si>
  <si>
    <t>New Jersey</t>
  </si>
  <si>
    <t>Rhode Island</t>
  </si>
  <si>
    <t>Connecticut</t>
  </si>
  <si>
    <t>Delaware</t>
  </si>
  <si>
    <t>Illinois</t>
  </si>
  <si>
    <t>Maryland</t>
  </si>
  <si>
    <t>District of Columbia</t>
  </si>
  <si>
    <t>Louisiana</t>
  </si>
  <si>
    <t>Percentages</t>
  </si>
  <si>
    <t>(000)</t>
  </si>
  <si>
    <t xml:space="preserve">Cases </t>
  </si>
  <si>
    <t>(000,000)</t>
  </si>
  <si>
    <t>State / Region</t>
  </si>
  <si>
    <t>On 4/14/20 NYC added an additional 3,778 deaths that happened since 3/11/20, the retroactive data effected both cases and deaths.  Other retroactive adjustments are also posted on this date.</t>
  </si>
  <si>
    <t>(5)</t>
  </si>
  <si>
    <t>Los Angelos county reported 11,247 cases retroactively due to reporting challenges.</t>
  </si>
  <si>
    <t>April</t>
  </si>
  <si>
    <t>May</t>
  </si>
  <si>
    <t>June</t>
  </si>
  <si>
    <t>Time Frame</t>
  </si>
  <si>
    <t>US COVID Death Rates</t>
  </si>
  <si>
    <t>July</t>
  </si>
  <si>
    <t xml:space="preserve"> 8/10</t>
  </si>
  <si>
    <t xml:space="preserve"> 8/3</t>
  </si>
  <si>
    <t xml:space="preserve"> 7/27</t>
  </si>
  <si>
    <t xml:space="preserve">Actual </t>
  </si>
  <si>
    <t>Ave</t>
  </si>
  <si>
    <t xml:space="preserve">Week </t>
  </si>
  <si>
    <t>Ended</t>
  </si>
  <si>
    <t>August</t>
  </si>
  <si>
    <t>September</t>
  </si>
  <si>
    <t>October</t>
  </si>
  <si>
    <t>For October we used data through the tenth and tripled the amount.</t>
  </si>
  <si>
    <t>Month</t>
  </si>
  <si>
    <t>Percent</t>
  </si>
  <si>
    <t>Cases ten days prior</t>
  </si>
  <si>
    <t>Estimated due to data retention error.</t>
  </si>
  <si>
    <t>30 day ending 12/6/20</t>
  </si>
  <si>
    <t>Period</t>
  </si>
  <si>
    <t>`</t>
  </si>
  <si>
    <t>Through August 31, 2020</t>
  </si>
  <si>
    <t>November through January</t>
  </si>
  <si>
    <t>January</t>
  </si>
  <si>
    <t>Factor</t>
  </si>
  <si>
    <t>Probable Safe People</t>
  </si>
  <si>
    <t>Percent of US Population</t>
  </si>
  <si>
    <t>February</t>
  </si>
  <si>
    <t>March</t>
  </si>
  <si>
    <t>Herd Immunity Factor Calculation</t>
  </si>
  <si>
    <t>September through October</t>
  </si>
  <si>
    <t>Cumulative Cases</t>
  </si>
  <si>
    <t>Recorded</t>
  </si>
  <si>
    <t>Total</t>
  </si>
  <si>
    <t>Theoretical</t>
  </si>
  <si>
    <t>Herd Immunity Factor</t>
  </si>
  <si>
    <t>(a)</t>
  </si>
  <si>
    <t>=  ( c)</t>
  </si>
  <si>
    <t>HIM = (c) + (e)</t>
  </si>
  <si>
    <t>Vaccinations</t>
  </si>
  <si>
    <t>Cunulative</t>
  </si>
  <si>
    <t>. +   (b)</t>
  </si>
  <si>
    <t>February - March</t>
  </si>
  <si>
    <t>Double</t>
  </si>
  <si>
    <t>Percentage of Vacinated</t>
  </si>
  <si>
    <t>Net recorded less vacinated</t>
  </si>
  <si>
    <t>Potential double counted</t>
  </si>
  <si>
    <t>April 1 - August 1</t>
  </si>
  <si>
    <t>August 2 - present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</si>
</sst>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0.000%"/>
    <numFmt numFmtId="167" formatCode="_(* #,##0.000_);_(* \(#,##0.000\);_(* &quot;-&quot;??_);_(@_)"/>
    <numFmt numFmtId="168" formatCode="0.0000%"/>
    <numFmt numFmtId="169" formatCode="_(* #,##0.0_);_(* \(#,##0.0\);_(* &quot;-&quot;??_);_(@_)"/>
    <numFmt numFmtId="170" formatCode="_(* #,##0.000000_);_(* \(#,##0.000000\);_(* &quot;-&quot;??_);_(@_)"/>
    <numFmt numFmtId="171" formatCode="m/d/yy;@"/>
    <numFmt numFmtId="172" formatCode="0.00000%"/>
    <numFmt numFmtId="173" formatCode="_(&quot;$&quot;* #,##0_);_(&quot;$&quot;* \(#,##0\);_(&quot;$&quot;* &quot;-&quot;??_);_(@_)"/>
    <numFmt numFmtId="174" formatCode="[$-409]d\-mmm;@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8"/>
      <color theme="1"/>
      <name val="Calibri"/>
      <family val="2"/>
    </font>
    <font>
      <b/>
      <sz val="12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9"/>
      <color rgb="FF363945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EB4EC"/>
        <bgColor indexed="64"/>
      </patternFill>
    </fill>
    <fill>
      <patternFill patternType="solid">
        <fgColor rgb="FFE5B0FA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0.79998168889431442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rgb="FFC00000"/>
      </left>
      <right/>
      <top style="medium">
        <color rgb="FFC00000"/>
      </top>
      <bottom/>
      <diagonal/>
    </border>
    <border>
      <left/>
      <right/>
      <top style="medium">
        <color rgb="FFC00000"/>
      </top>
      <bottom/>
      <diagonal/>
    </border>
    <border>
      <left/>
      <right style="medium">
        <color rgb="FFC00000"/>
      </right>
      <top style="medium">
        <color rgb="FFC00000"/>
      </top>
      <bottom/>
      <diagonal/>
    </border>
    <border>
      <left style="medium">
        <color rgb="FFC00000"/>
      </left>
      <right/>
      <top/>
      <bottom/>
      <diagonal/>
    </border>
    <border>
      <left/>
      <right style="medium">
        <color rgb="FFC00000"/>
      </right>
      <top/>
      <bottom/>
      <diagonal/>
    </border>
    <border>
      <left style="medium">
        <color rgb="FFC00000"/>
      </left>
      <right/>
      <top/>
      <bottom style="medium">
        <color rgb="FFC00000"/>
      </bottom>
      <diagonal/>
    </border>
    <border>
      <left/>
      <right/>
      <top/>
      <bottom style="medium">
        <color rgb="FFC00000"/>
      </bottom>
      <diagonal/>
    </border>
    <border>
      <left/>
      <right style="medium">
        <color rgb="FFC00000"/>
      </right>
      <top/>
      <bottom style="medium">
        <color rgb="FFC00000"/>
      </bottom>
      <diagonal/>
    </border>
    <border>
      <left style="medium">
        <color rgb="FFC00000"/>
      </left>
      <right/>
      <top style="medium">
        <color rgb="FFC00000"/>
      </top>
      <bottom style="medium">
        <color indexed="64"/>
      </bottom>
      <diagonal/>
    </border>
    <border>
      <left/>
      <right/>
      <top style="medium">
        <color rgb="FFC00000"/>
      </top>
      <bottom style="medium">
        <color indexed="64"/>
      </bottom>
      <diagonal/>
    </border>
    <border>
      <left/>
      <right style="medium">
        <color rgb="FFC00000"/>
      </right>
      <top style="medium">
        <color rgb="FFC00000"/>
      </top>
      <bottom style="medium">
        <color indexed="64"/>
      </bottom>
      <diagonal/>
    </border>
    <border>
      <left style="medium">
        <color rgb="FFC00000"/>
      </left>
      <right/>
      <top style="medium">
        <color indexed="64"/>
      </top>
      <bottom/>
      <diagonal/>
    </border>
    <border>
      <left/>
      <right style="medium">
        <color rgb="FFC00000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medium">
        <color rgb="FFC00000"/>
      </left>
      <right/>
      <top style="medium">
        <color rgb="FFC00000"/>
      </top>
      <bottom style="medium">
        <color rgb="FFC00000"/>
      </bottom>
      <diagonal/>
    </border>
    <border>
      <left/>
      <right/>
      <top style="medium">
        <color rgb="FFC00000"/>
      </top>
      <bottom style="medium">
        <color rgb="FFC00000"/>
      </bottom>
      <diagonal/>
    </border>
    <border>
      <left/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/>
      <right/>
      <top style="double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734">
    <xf numFmtId="0" fontId="0" fillId="0" borderId="0" xfId="0"/>
    <xf numFmtId="164" fontId="0" fillId="0" borderId="0" xfId="1" applyNumberFormat="1" applyFont="1"/>
    <xf numFmtId="0" fontId="0" fillId="0" borderId="0" xfId="0" applyAlignment="1">
      <alignment horizontal="center"/>
    </xf>
    <xf numFmtId="0" fontId="2" fillId="0" borderId="0" xfId="0" applyFont="1"/>
    <xf numFmtId="0" fontId="0" fillId="5" borderId="1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0" fillId="5" borderId="0" xfId="0" applyFill="1" applyBorder="1"/>
    <xf numFmtId="164" fontId="0" fillId="5" borderId="0" xfId="1" applyNumberFormat="1" applyFont="1" applyFill="1" applyBorder="1"/>
    <xf numFmtId="0" fontId="2" fillId="4" borderId="3" xfId="0" applyFont="1" applyFill="1" applyBorder="1" applyAlignment="1">
      <alignment horizontal="right"/>
    </xf>
    <xf numFmtId="0" fontId="3" fillId="0" borderId="0" xfId="0" applyFont="1" applyAlignment="1">
      <alignment horizontal="left"/>
    </xf>
    <xf numFmtId="164" fontId="0" fillId="0" borderId="0" xfId="1" applyNumberFormat="1" applyFont="1" applyFill="1"/>
    <xf numFmtId="0" fontId="2" fillId="9" borderId="6" xfId="0" applyFont="1" applyFill="1" applyBorder="1" applyAlignment="1">
      <alignment horizontal="center"/>
    </xf>
    <xf numFmtId="0" fontId="2" fillId="9" borderId="7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10" xfId="0" applyFill="1" applyBorder="1"/>
    <xf numFmtId="0" fontId="0" fillId="2" borderId="0" xfId="0" applyFill="1" applyBorder="1"/>
    <xf numFmtId="164" fontId="0" fillId="2" borderId="0" xfId="1" applyNumberFormat="1" applyFont="1" applyFill="1" applyBorder="1"/>
    <xf numFmtId="164" fontId="0" fillId="2" borderId="10" xfId="1" applyNumberFormat="1" applyFont="1" applyFill="1" applyBorder="1"/>
    <xf numFmtId="164" fontId="0" fillId="2" borderId="8" xfId="1" applyNumberFormat="1" applyFont="1" applyFill="1" applyBorder="1"/>
    <xf numFmtId="164" fontId="0" fillId="2" borderId="1" xfId="1" applyNumberFormat="1" applyFont="1" applyFill="1" applyBorder="1"/>
    <xf numFmtId="0" fontId="0" fillId="3" borderId="8" xfId="0" applyFill="1" applyBorder="1" applyAlignment="1">
      <alignment horizontal="center"/>
    </xf>
    <xf numFmtId="0" fontId="0" fillId="3" borderId="10" xfId="0" applyFill="1" applyBorder="1"/>
    <xf numFmtId="0" fontId="0" fillId="3" borderId="0" xfId="0" applyFill="1" applyBorder="1"/>
    <xf numFmtId="164" fontId="0" fillId="3" borderId="10" xfId="1" applyNumberFormat="1" applyFont="1" applyFill="1" applyBorder="1"/>
    <xf numFmtId="164" fontId="0" fillId="3" borderId="0" xfId="1" applyNumberFormat="1" applyFont="1" applyFill="1" applyBorder="1"/>
    <xf numFmtId="165" fontId="0" fillId="3" borderId="0" xfId="2" applyNumberFormat="1" applyFont="1" applyFill="1" applyBorder="1"/>
    <xf numFmtId="164" fontId="0" fillId="3" borderId="8" xfId="1" applyNumberFormat="1" applyFont="1" applyFill="1" applyBorder="1"/>
    <xf numFmtId="164" fontId="0" fillId="3" borderId="1" xfId="1" applyNumberFormat="1" applyFont="1" applyFill="1" applyBorder="1"/>
    <xf numFmtId="0" fontId="0" fillId="8" borderId="0" xfId="0" applyFill="1" applyBorder="1"/>
    <xf numFmtId="165" fontId="0" fillId="8" borderId="0" xfId="2" applyNumberFormat="1" applyFont="1" applyFill="1" applyBorder="1"/>
    <xf numFmtId="0" fontId="2" fillId="4" borderId="2" xfId="0" applyFont="1" applyFill="1" applyBorder="1" applyAlignment="1">
      <alignment horizontal="right"/>
    </xf>
    <xf numFmtId="0" fontId="0" fillId="10" borderId="10" xfId="0" applyFill="1" applyBorder="1"/>
    <xf numFmtId="0" fontId="0" fillId="10" borderId="0" xfId="0" applyFill="1" applyBorder="1"/>
    <xf numFmtId="164" fontId="0" fillId="10" borderId="0" xfId="1" applyNumberFormat="1" applyFont="1" applyFill="1" applyBorder="1"/>
    <xf numFmtId="164" fontId="0" fillId="10" borderId="10" xfId="1" applyNumberFormat="1" applyFont="1" applyFill="1" applyBorder="1"/>
    <xf numFmtId="164" fontId="0" fillId="10" borderId="8" xfId="1" applyNumberFormat="1" applyFont="1" applyFill="1" applyBorder="1"/>
    <xf numFmtId="164" fontId="0" fillId="10" borderId="1" xfId="1" applyNumberFormat="1" applyFont="1" applyFill="1" applyBorder="1"/>
    <xf numFmtId="0" fontId="0" fillId="6" borderId="0" xfId="0" applyFill="1" applyBorder="1"/>
    <xf numFmtId="165" fontId="0" fillId="6" borderId="0" xfId="2" applyNumberFormat="1" applyFont="1" applyFill="1" applyBorder="1"/>
    <xf numFmtId="164" fontId="0" fillId="6" borderId="1" xfId="1" applyNumberFormat="1" applyFont="1" applyFill="1" applyBorder="1"/>
    <xf numFmtId="0" fontId="0" fillId="2" borderId="11" xfId="0" applyFill="1" applyBorder="1"/>
    <xf numFmtId="164" fontId="0" fillId="2" borderId="11" xfId="1" applyNumberFormat="1" applyFont="1" applyFill="1" applyBorder="1"/>
    <xf numFmtId="165" fontId="0" fillId="2" borderId="11" xfId="2" applyNumberFormat="1" applyFont="1" applyFill="1" applyBorder="1"/>
    <xf numFmtId="164" fontId="0" fillId="2" borderId="9" xfId="1" applyNumberFormat="1" applyFont="1" applyFill="1" applyBorder="1"/>
    <xf numFmtId="165" fontId="0" fillId="5" borderId="0" xfId="2" applyNumberFormat="1" applyFont="1" applyFill="1" applyBorder="1"/>
    <xf numFmtId="0" fontId="0" fillId="4" borderId="0" xfId="0" applyFill="1" applyBorder="1"/>
    <xf numFmtId="165" fontId="0" fillId="4" borderId="0" xfId="2" applyNumberFormat="1" applyFont="1" applyFill="1" applyBorder="1"/>
    <xf numFmtId="164" fontId="0" fillId="4" borderId="1" xfId="1" applyNumberFormat="1" applyFont="1" applyFill="1" applyBorder="1"/>
    <xf numFmtId="0" fontId="0" fillId="10" borderId="11" xfId="0" applyFill="1" applyBorder="1"/>
    <xf numFmtId="165" fontId="0" fillId="10" borderId="11" xfId="2" applyNumberFormat="1" applyFont="1" applyFill="1" applyBorder="1"/>
    <xf numFmtId="164" fontId="0" fillId="10" borderId="11" xfId="1" applyNumberFormat="1" applyFont="1" applyFill="1" applyBorder="1"/>
    <xf numFmtId="164" fontId="0" fillId="10" borderId="9" xfId="1" applyNumberFormat="1" applyFont="1" applyFill="1" applyBorder="1"/>
    <xf numFmtId="0" fontId="0" fillId="2" borderId="8" xfId="0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9" fontId="0" fillId="0" borderId="0" xfId="2" applyFont="1"/>
    <xf numFmtId="164" fontId="0" fillId="0" borderId="0" xfId="0" applyNumberFormat="1"/>
    <xf numFmtId="166" fontId="0" fillId="0" borderId="0" xfId="2" applyNumberFormat="1" applyFont="1"/>
    <xf numFmtId="0" fontId="0" fillId="0" borderId="1" xfId="0" applyBorder="1" applyAlignment="1">
      <alignment horizontal="center"/>
    </xf>
    <xf numFmtId="165" fontId="0" fillId="0" borderId="0" xfId="2" applyNumberFormat="1" applyFont="1"/>
    <xf numFmtId="165" fontId="0" fillId="2" borderId="0" xfId="2" applyNumberFormat="1" applyFont="1" applyFill="1" applyBorder="1"/>
    <xf numFmtId="0" fontId="0" fillId="0" borderId="0" xfId="0" applyFill="1"/>
    <xf numFmtId="0" fontId="4" fillId="12" borderId="2" xfId="0" applyFont="1" applyFill="1" applyBorder="1" applyAlignment="1">
      <alignment horizontal="center"/>
    </xf>
    <xf numFmtId="0" fontId="0" fillId="12" borderId="0" xfId="0" applyFill="1" applyBorder="1" applyAlignment="1">
      <alignment horizontal="center"/>
    </xf>
    <xf numFmtId="0" fontId="0" fillId="12" borderId="0" xfId="0" applyFill="1" applyBorder="1"/>
    <xf numFmtId="164" fontId="0" fillId="12" borderId="10" xfId="1" applyNumberFormat="1" applyFont="1" applyFill="1" applyBorder="1"/>
    <xf numFmtId="164" fontId="0" fillId="12" borderId="0" xfId="1" applyNumberFormat="1" applyFont="1" applyFill="1" applyBorder="1"/>
    <xf numFmtId="164" fontId="0" fillId="12" borderId="8" xfId="1" applyNumberFormat="1" applyFont="1" applyFill="1" applyBorder="1"/>
    <xf numFmtId="164" fontId="0" fillId="12" borderId="1" xfId="1" applyNumberFormat="1" applyFont="1" applyFill="1" applyBorder="1"/>
    <xf numFmtId="164" fontId="0" fillId="13" borderId="0" xfId="1" applyNumberFormat="1" applyFont="1" applyFill="1" applyBorder="1"/>
    <xf numFmtId="164" fontId="0" fillId="13" borderId="1" xfId="1" applyNumberFormat="1" applyFont="1" applyFill="1" applyBorder="1"/>
    <xf numFmtId="0" fontId="5" fillId="2" borderId="1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165" fontId="0" fillId="13" borderId="0" xfId="2" applyNumberFormat="1" applyFont="1" applyFill="1" applyBorder="1"/>
    <xf numFmtId="167" fontId="0" fillId="0" borderId="0" xfId="1" applyNumberFormat="1" applyFont="1"/>
    <xf numFmtId="164" fontId="0" fillId="12" borderId="0" xfId="1" applyNumberFormat="1" applyFont="1" applyFill="1" applyBorder="1" applyAlignment="1">
      <alignment vertical="top"/>
    </xf>
    <xf numFmtId="168" fontId="0" fillId="0" borderId="0" xfId="2" applyNumberFormat="1" applyFont="1"/>
    <xf numFmtId="164" fontId="0" fillId="0" borderId="0" xfId="1" applyNumberFormat="1" applyFont="1" applyBorder="1"/>
    <xf numFmtId="164" fontId="0" fillId="0" borderId="0" xfId="1" applyNumberFormat="1" applyFont="1" applyFill="1" applyBorder="1"/>
    <xf numFmtId="164" fontId="0" fillId="14" borderId="14" xfId="1" applyNumberFormat="1" applyFont="1" applyFill="1" applyBorder="1"/>
    <xf numFmtId="164" fontId="0" fillId="14" borderId="16" xfId="1" applyNumberFormat="1" applyFont="1" applyFill="1" applyBorder="1"/>
    <xf numFmtId="164" fontId="5" fillId="0" borderId="0" xfId="1" applyNumberFormat="1" applyFont="1" applyFill="1" applyBorder="1"/>
    <xf numFmtId="164" fontId="7" fillId="0" borderId="0" xfId="1" applyNumberFormat="1" applyFont="1" applyFill="1" applyBorder="1"/>
    <xf numFmtId="164" fontId="2" fillId="0" borderId="0" xfId="1" applyNumberFormat="1" applyFont="1" applyFill="1" applyBorder="1" applyAlignment="1">
      <alignment horizontal="center"/>
    </xf>
    <xf numFmtId="165" fontId="0" fillId="0" borderId="0" xfId="2" applyNumberFormat="1" applyFont="1" applyFill="1" applyBorder="1"/>
    <xf numFmtId="0" fontId="2" fillId="12" borderId="2" xfId="0" applyFont="1" applyFill="1" applyBorder="1"/>
    <xf numFmtId="0" fontId="8" fillId="12" borderId="2" xfId="0" applyFont="1" applyFill="1" applyBorder="1" applyAlignment="1">
      <alignment horizontal="center"/>
    </xf>
    <xf numFmtId="0" fontId="10" fillId="14" borderId="1" xfId="0" applyFont="1" applyFill="1" applyBorder="1" applyAlignment="1">
      <alignment horizontal="center"/>
    </xf>
    <xf numFmtId="165" fontId="10" fillId="14" borderId="0" xfId="2" applyNumberFormat="1" applyFont="1" applyFill="1" applyBorder="1"/>
    <xf numFmtId="165" fontId="10" fillId="14" borderId="19" xfId="2" applyNumberFormat="1" applyFont="1" applyFill="1" applyBorder="1"/>
    <xf numFmtId="164" fontId="10" fillId="14" borderId="0" xfId="1" applyNumberFormat="1" applyFont="1" applyFill="1" applyBorder="1"/>
    <xf numFmtId="164" fontId="10" fillId="14" borderId="17" xfId="1" applyNumberFormat="1" applyFont="1" applyFill="1" applyBorder="1"/>
    <xf numFmtId="0" fontId="8" fillId="12" borderId="1" xfId="0" applyFont="1" applyFill="1" applyBorder="1" applyAlignment="1">
      <alignment horizontal="center"/>
    </xf>
    <xf numFmtId="0" fontId="0" fillId="13" borderId="1" xfId="0" applyFill="1" applyBorder="1" applyAlignment="1">
      <alignment horizontal="center"/>
    </xf>
    <xf numFmtId="0" fontId="4" fillId="12" borderId="1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65" fontId="10" fillId="0" borderId="0" xfId="2" applyNumberFormat="1" applyFont="1" applyFill="1" applyBorder="1"/>
    <xf numFmtId="164" fontId="10" fillId="0" borderId="0" xfId="1" applyNumberFormat="1" applyFont="1" applyFill="1" applyBorder="1"/>
    <xf numFmtId="0" fontId="0" fillId="0" borderId="0" xfId="0" applyFill="1" applyBorder="1"/>
    <xf numFmtId="164" fontId="10" fillId="14" borderId="15" xfId="1" applyNumberFormat="1" applyFont="1" applyFill="1" applyBorder="1"/>
    <xf numFmtId="164" fontId="10" fillId="14" borderId="18" xfId="1" applyNumberFormat="1" applyFont="1" applyFill="1" applyBorder="1"/>
    <xf numFmtId="9" fontId="0" fillId="0" borderId="0" xfId="2" applyFont="1" applyFill="1" applyBorder="1"/>
    <xf numFmtId="164" fontId="7" fillId="0" borderId="0" xfId="1" applyNumberFormat="1" applyFont="1" applyFill="1" applyBorder="1" applyAlignment="1"/>
    <xf numFmtId="164" fontId="0" fillId="0" borderId="0" xfId="2" applyNumberFormat="1" applyFont="1" applyFill="1" applyBorder="1"/>
    <xf numFmtId="164" fontId="7" fillId="0" borderId="0" xfId="1" applyNumberFormat="1" applyFont="1" applyFill="1"/>
    <xf numFmtId="43" fontId="0" fillId="0" borderId="0" xfId="0" applyNumberFormat="1" applyFill="1"/>
    <xf numFmtId="0" fontId="0" fillId="0" borderId="0" xfId="0" applyBorder="1"/>
    <xf numFmtId="0" fontId="0" fillId="8" borderId="0" xfId="0" applyFill="1" applyBorder="1" applyAlignment="1">
      <alignment horizontal="center"/>
    </xf>
    <xf numFmtId="0" fontId="4" fillId="8" borderId="1" xfId="0" applyFont="1" applyFill="1" applyBorder="1" applyAlignment="1">
      <alignment horizontal="center"/>
    </xf>
    <xf numFmtId="169" fontId="0" fillId="0" borderId="0" xfId="1" applyNumberFormat="1" applyFont="1" applyBorder="1"/>
    <xf numFmtId="170" fontId="0" fillId="0" borderId="0" xfId="1" applyNumberFormat="1" applyFont="1" applyBorder="1"/>
    <xf numFmtId="49" fontId="5" fillId="0" borderId="0" xfId="1" applyNumberFormat="1" applyFont="1" applyFill="1" applyAlignment="1">
      <alignment horizontal="right"/>
    </xf>
    <xf numFmtId="164" fontId="5" fillId="0" borderId="0" xfId="1" applyNumberFormat="1" applyFont="1" applyFill="1"/>
    <xf numFmtId="164" fontId="0" fillId="7" borderId="14" xfId="1" applyNumberFormat="1" applyFont="1" applyFill="1" applyBorder="1"/>
    <xf numFmtId="164" fontId="7" fillId="7" borderId="0" xfId="1" applyNumberFormat="1" applyFont="1" applyFill="1" applyBorder="1"/>
    <xf numFmtId="0" fontId="7" fillId="7" borderId="0" xfId="0" applyFont="1" applyFill="1" applyBorder="1"/>
    <xf numFmtId="164" fontId="0" fillId="7" borderId="0" xfId="1" applyNumberFormat="1" applyFont="1" applyFill="1" applyBorder="1"/>
    <xf numFmtId="164" fontId="5" fillId="7" borderId="0" xfId="1" applyNumberFormat="1" applyFont="1" applyFill="1" applyBorder="1"/>
    <xf numFmtId="164" fontId="5" fillId="7" borderId="1" xfId="1" applyNumberFormat="1" applyFont="1" applyFill="1" applyBorder="1"/>
    <xf numFmtId="164" fontId="12" fillId="7" borderId="0" xfId="1" applyNumberFormat="1" applyFont="1" applyFill="1" applyBorder="1"/>
    <xf numFmtId="164" fontId="0" fillId="7" borderId="16" xfId="1" applyNumberFormat="1" applyFont="1" applyFill="1" applyBorder="1"/>
    <xf numFmtId="164" fontId="0" fillId="7" borderId="17" xfId="1" applyNumberFormat="1" applyFont="1" applyFill="1" applyBorder="1"/>
    <xf numFmtId="0" fontId="0" fillId="7" borderId="14" xfId="0" applyFill="1" applyBorder="1"/>
    <xf numFmtId="0" fontId="0" fillId="7" borderId="15" xfId="0" applyFill="1" applyBorder="1"/>
    <xf numFmtId="164" fontId="7" fillId="7" borderId="0" xfId="1" applyNumberFormat="1" applyFont="1" applyFill="1" applyBorder="1" applyAlignment="1">
      <alignment horizontal="center"/>
    </xf>
    <xf numFmtId="164" fontId="0" fillId="7" borderId="17" xfId="1" applyNumberFormat="1" applyFont="1" applyFill="1" applyBorder="1" applyAlignment="1">
      <alignment horizontal="center"/>
    </xf>
    <xf numFmtId="164" fontId="2" fillId="7" borderId="17" xfId="1" applyNumberFormat="1" applyFont="1" applyFill="1" applyBorder="1"/>
    <xf numFmtId="0" fontId="0" fillId="7" borderId="0" xfId="0" applyFill="1" applyBorder="1"/>
    <xf numFmtId="0" fontId="0" fillId="7" borderId="21" xfId="0" applyFill="1" applyBorder="1"/>
    <xf numFmtId="0" fontId="0" fillId="7" borderId="22" xfId="0" applyFill="1" applyBorder="1"/>
    <xf numFmtId="0" fontId="0" fillId="7" borderId="17" xfId="0" applyFill="1" applyBorder="1"/>
    <xf numFmtId="0" fontId="0" fillId="7" borderId="18" xfId="0" applyFill="1" applyBorder="1"/>
    <xf numFmtId="0" fontId="10" fillId="7" borderId="6" xfId="0" applyFont="1" applyFill="1" applyBorder="1" applyAlignment="1">
      <alignment horizontal="center"/>
    </xf>
    <xf numFmtId="164" fontId="10" fillId="7" borderId="20" xfId="1" applyNumberFormat="1" applyFont="1" applyFill="1" applyBorder="1" applyAlignment="1"/>
    <xf numFmtId="164" fontId="12" fillId="7" borderId="6" xfId="1" applyNumberFormat="1" applyFont="1" applyFill="1" applyBorder="1" applyAlignment="1"/>
    <xf numFmtId="164" fontId="10" fillId="7" borderId="21" xfId="1" applyNumberFormat="1" applyFont="1" applyFill="1" applyBorder="1" applyAlignment="1"/>
    <xf numFmtId="164" fontId="12" fillId="7" borderId="19" xfId="1" applyNumberFormat="1" applyFont="1" applyFill="1" applyBorder="1"/>
    <xf numFmtId="164" fontId="10" fillId="7" borderId="19" xfId="0" applyNumberFormat="1" applyFont="1" applyFill="1" applyBorder="1"/>
    <xf numFmtId="164" fontId="0" fillId="0" borderId="0" xfId="1" applyNumberFormat="1" applyFont="1" applyFill="1" applyBorder="1" applyAlignment="1"/>
    <xf numFmtId="164" fontId="0" fillId="0" borderId="0" xfId="1" applyNumberFormat="1" applyFont="1" applyFill="1" applyBorder="1" applyAlignment="1">
      <alignment horizontal="center"/>
    </xf>
    <xf numFmtId="164" fontId="0" fillId="0" borderId="0" xfId="0" applyNumberFormat="1" applyFill="1" applyBorder="1"/>
    <xf numFmtId="1" fontId="0" fillId="0" borderId="0" xfId="0" applyNumberFormat="1" applyFill="1" applyBorder="1"/>
    <xf numFmtId="164" fontId="2" fillId="0" borderId="0" xfId="1" applyNumberFormat="1" applyFont="1" applyFill="1" applyBorder="1" applyAlignment="1"/>
    <xf numFmtId="0" fontId="4" fillId="12" borderId="0" xfId="0" applyFont="1" applyFill="1" applyBorder="1" applyAlignment="1">
      <alignment horizontal="center"/>
    </xf>
    <xf numFmtId="165" fontId="0" fillId="12" borderId="0" xfId="2" applyNumberFormat="1" applyFont="1" applyFill="1" applyBorder="1"/>
    <xf numFmtId="164" fontId="0" fillId="0" borderId="0" xfId="0" applyNumberFormat="1" applyFill="1"/>
    <xf numFmtId="164" fontId="5" fillId="0" borderId="1" xfId="1" applyNumberFormat="1" applyFont="1" applyFill="1" applyBorder="1"/>
    <xf numFmtId="165" fontId="5" fillId="7" borderId="0" xfId="2" applyNumberFormat="1" applyFont="1" applyFill="1" applyBorder="1"/>
    <xf numFmtId="164" fontId="11" fillId="0" borderId="0" xfId="1" applyNumberFormat="1" applyFont="1" applyFill="1" applyBorder="1"/>
    <xf numFmtId="164" fontId="11" fillId="0" borderId="0" xfId="1" applyNumberFormat="1" applyFont="1" applyFill="1" applyBorder="1" applyAlignment="1"/>
    <xf numFmtId="164" fontId="10" fillId="14" borderId="19" xfId="1" applyNumberFormat="1" applyFont="1" applyFill="1" applyBorder="1" applyAlignment="1">
      <alignment horizontal="center"/>
    </xf>
    <xf numFmtId="164" fontId="10" fillId="14" borderId="0" xfId="1" applyNumberFormat="1" applyFont="1" applyFill="1" applyBorder="1" applyAlignment="1">
      <alignment horizontal="center"/>
    </xf>
    <xf numFmtId="164" fontId="10" fillId="14" borderId="23" xfId="1" applyNumberFormat="1" applyFont="1" applyFill="1" applyBorder="1" applyAlignment="1">
      <alignment horizontal="center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164" fontId="0" fillId="16" borderId="0" xfId="1" applyNumberFormat="1" applyFont="1" applyFill="1" applyBorder="1"/>
    <xf numFmtId="0" fontId="3" fillId="0" borderId="0" xfId="0" applyFont="1" applyAlignment="1">
      <alignment horizontal="left"/>
    </xf>
    <xf numFmtId="171" fontId="0" fillId="0" borderId="0" xfId="0" applyNumberFormat="1"/>
    <xf numFmtId="171" fontId="0" fillId="0" borderId="0" xfId="0" applyNumberFormat="1" applyFill="1"/>
    <xf numFmtId="0" fontId="7" fillId="8" borderId="1" xfId="0" applyFont="1" applyFill="1" applyBorder="1" applyAlignment="1">
      <alignment horizontal="center"/>
    </xf>
    <xf numFmtId="0" fontId="0" fillId="14" borderId="0" xfId="0" applyFill="1" applyBorder="1"/>
    <xf numFmtId="0" fontId="7" fillId="0" borderId="1" xfId="0" applyFont="1" applyBorder="1" applyAlignment="1">
      <alignment horizontal="center"/>
    </xf>
    <xf numFmtId="0" fontId="10" fillId="0" borderId="0" xfId="0" applyFont="1" applyFill="1" applyBorder="1"/>
    <xf numFmtId="164" fontId="10" fillId="14" borderId="1" xfId="1" applyNumberFormat="1" applyFont="1" applyFill="1" applyBorder="1" applyAlignment="1">
      <alignment horizontal="center"/>
    </xf>
    <xf numFmtId="0" fontId="10" fillId="14" borderId="15" xfId="0" applyFont="1" applyFill="1" applyBorder="1"/>
    <xf numFmtId="0" fontId="0" fillId="14" borderId="17" xfId="0" applyFill="1" applyBorder="1"/>
    <xf numFmtId="0" fontId="5" fillId="0" borderId="0" xfId="0" applyFont="1"/>
    <xf numFmtId="0" fontId="2" fillId="0" borderId="0" xfId="0" applyFont="1" applyFill="1" applyBorder="1" applyAlignment="1"/>
    <xf numFmtId="0" fontId="0" fillId="12" borderId="11" xfId="0" applyFill="1" applyBorder="1" applyAlignment="1">
      <alignment horizontal="center"/>
    </xf>
    <xf numFmtId="0" fontId="0" fillId="12" borderId="11" xfId="0" applyFill="1" applyBorder="1"/>
    <xf numFmtId="164" fontId="0" fillId="12" borderId="11" xfId="1" applyNumberFormat="1" applyFont="1" applyFill="1" applyBorder="1"/>
    <xf numFmtId="164" fontId="0" fillId="12" borderId="9" xfId="1" applyNumberFormat="1" applyFont="1" applyFill="1" applyBorder="1"/>
    <xf numFmtId="0" fontId="0" fillId="16" borderId="14" xfId="0" applyFill="1" applyBorder="1"/>
    <xf numFmtId="0" fontId="7" fillId="16" borderId="1" xfId="0" applyFont="1" applyFill="1" applyBorder="1" applyAlignment="1">
      <alignment horizontal="center"/>
    </xf>
    <xf numFmtId="0" fontId="7" fillId="16" borderId="0" xfId="0" applyFont="1" applyFill="1" applyBorder="1" applyAlignment="1">
      <alignment horizontal="center"/>
    </xf>
    <xf numFmtId="0" fontId="7" fillId="16" borderId="15" xfId="0" applyFont="1" applyFill="1" applyBorder="1" applyAlignment="1">
      <alignment horizontal="center"/>
    </xf>
    <xf numFmtId="164" fontId="0" fillId="16" borderId="14" xfId="1" applyNumberFormat="1" applyFont="1" applyFill="1" applyBorder="1"/>
    <xf numFmtId="165" fontId="0" fillId="16" borderId="0" xfId="2" applyNumberFormat="1" applyFont="1" applyFill="1" applyBorder="1"/>
    <xf numFmtId="0" fontId="0" fillId="16" borderId="15" xfId="0" applyFill="1" applyBorder="1"/>
    <xf numFmtId="164" fontId="0" fillId="16" borderId="19" xfId="1" applyNumberFormat="1" applyFont="1" applyFill="1" applyBorder="1"/>
    <xf numFmtId="165" fontId="0" fillId="16" borderId="19" xfId="2" applyNumberFormat="1" applyFont="1" applyFill="1" applyBorder="1"/>
    <xf numFmtId="164" fontId="0" fillId="16" borderId="16" xfId="1" applyNumberFormat="1" applyFont="1" applyFill="1" applyBorder="1"/>
    <xf numFmtId="164" fontId="0" fillId="16" borderId="17" xfId="1" applyNumberFormat="1" applyFont="1" applyFill="1" applyBorder="1"/>
    <xf numFmtId="165" fontId="0" fillId="16" borderId="17" xfId="2" applyNumberFormat="1" applyFont="1" applyFill="1" applyBorder="1"/>
    <xf numFmtId="1" fontId="0" fillId="16" borderId="17" xfId="1" applyNumberFormat="1" applyFont="1" applyFill="1" applyBorder="1"/>
    <xf numFmtId="0" fontId="0" fillId="16" borderId="18" xfId="0" applyFill="1" applyBorder="1"/>
    <xf numFmtId="164" fontId="0" fillId="17" borderId="0" xfId="1" applyNumberFormat="1" applyFont="1" applyFill="1" applyBorder="1"/>
    <xf numFmtId="0" fontId="11" fillId="16" borderId="0" xfId="0" applyFont="1" applyFill="1" applyBorder="1"/>
    <xf numFmtId="164" fontId="11" fillId="16" borderId="0" xfId="1" applyNumberFormat="1" applyFont="1" applyFill="1" applyBorder="1"/>
    <xf numFmtId="164" fontId="2" fillId="16" borderId="5" xfId="1" applyNumberFormat="1" applyFont="1" applyFill="1" applyBorder="1" applyAlignment="1"/>
    <xf numFmtId="164" fontId="2" fillId="16" borderId="6" xfId="1" applyNumberFormat="1" applyFont="1" applyFill="1" applyBorder="1" applyAlignment="1"/>
    <xf numFmtId="164" fontId="2" fillId="16" borderId="7" xfId="1" applyNumberFormat="1" applyFont="1" applyFill="1" applyBorder="1" applyAlignment="1"/>
    <xf numFmtId="164" fontId="0" fillId="16" borderId="20" xfId="1" applyNumberFormat="1" applyFont="1" applyFill="1" applyBorder="1"/>
    <xf numFmtId="0" fontId="0" fillId="16" borderId="21" xfId="0" applyFill="1" applyBorder="1"/>
    <xf numFmtId="0" fontId="2" fillId="16" borderId="21" xfId="0" applyFont="1" applyFill="1" applyBorder="1" applyAlignment="1">
      <alignment horizontal="center" wrapText="1"/>
    </xf>
    <xf numFmtId="0" fontId="0" fillId="16" borderId="22" xfId="0" applyFill="1" applyBorder="1"/>
    <xf numFmtId="164" fontId="2" fillId="16" borderId="1" xfId="1" applyNumberFormat="1" applyFont="1" applyFill="1" applyBorder="1" applyAlignment="1">
      <alignment horizontal="center"/>
    </xf>
    <xf numFmtId="0" fontId="0" fillId="16" borderId="0" xfId="0" applyFill="1" applyBorder="1" applyAlignment="1">
      <alignment horizontal="center"/>
    </xf>
    <xf numFmtId="0" fontId="2" fillId="16" borderId="0" xfId="0" applyFont="1" applyFill="1" applyBorder="1" applyAlignment="1">
      <alignment horizontal="center" wrapText="1"/>
    </xf>
    <xf numFmtId="0" fontId="2" fillId="16" borderId="1" xfId="0" applyFont="1" applyFill="1" applyBorder="1" applyAlignment="1">
      <alignment horizontal="center"/>
    </xf>
    <xf numFmtId="0" fontId="0" fillId="16" borderId="15" xfId="0" applyFill="1" applyBorder="1" applyAlignment="1">
      <alignment horizontal="center"/>
    </xf>
    <xf numFmtId="164" fontId="11" fillId="16" borderId="0" xfId="1" applyNumberFormat="1" applyFont="1" applyFill="1" applyBorder="1" applyAlignment="1"/>
    <xf numFmtId="164" fontId="11" fillId="16" borderId="0" xfId="0" applyNumberFormat="1" applyFont="1" applyFill="1" applyBorder="1"/>
    <xf numFmtId="0" fontId="11" fillId="16" borderId="15" xfId="0" applyFont="1" applyFill="1" applyBorder="1"/>
    <xf numFmtId="164" fontId="10" fillId="16" borderId="0" xfId="1" applyNumberFormat="1" applyFont="1" applyFill="1" applyBorder="1"/>
    <xf numFmtId="164" fontId="11" fillId="16" borderId="15" xfId="1" applyNumberFormat="1" applyFont="1" applyFill="1" applyBorder="1"/>
    <xf numFmtId="164" fontId="11" fillId="16" borderId="19" xfId="1" applyNumberFormat="1" applyFont="1" applyFill="1" applyBorder="1"/>
    <xf numFmtId="164" fontId="2" fillId="16" borderId="0" xfId="1" applyNumberFormat="1" applyFont="1" applyFill="1" applyBorder="1" applyAlignment="1">
      <alignment horizontal="center"/>
    </xf>
    <xf numFmtId="165" fontId="11" fillId="16" borderId="19" xfId="2" applyNumberFormat="1" applyFont="1" applyFill="1" applyBorder="1"/>
    <xf numFmtId="164" fontId="2" fillId="16" borderId="17" xfId="1" applyNumberFormat="1" applyFont="1" applyFill="1" applyBorder="1" applyAlignment="1">
      <alignment horizontal="center"/>
    </xf>
    <xf numFmtId="165" fontId="2" fillId="16" borderId="17" xfId="2" applyNumberFormat="1" applyFont="1" applyFill="1" applyBorder="1"/>
    <xf numFmtId="164" fontId="2" fillId="16" borderId="17" xfId="1" applyNumberFormat="1" applyFont="1" applyFill="1" applyBorder="1"/>
    <xf numFmtId="164" fontId="2" fillId="16" borderId="18" xfId="1" applyNumberFormat="1" applyFont="1" applyFill="1" applyBorder="1"/>
    <xf numFmtId="165" fontId="0" fillId="10" borderId="0" xfId="2" applyNumberFormat="1" applyFont="1" applyFill="1" applyBorder="1"/>
    <xf numFmtId="165" fontId="0" fillId="0" borderId="0" xfId="0" applyNumberFormat="1"/>
    <xf numFmtId="0" fontId="2" fillId="0" borderId="0" xfId="0" applyFont="1" applyAlignment="1"/>
    <xf numFmtId="0" fontId="3" fillId="0" borderId="0" xfId="0" applyFont="1" applyAlignment="1"/>
    <xf numFmtId="164" fontId="0" fillId="3" borderId="14" xfId="1" applyNumberFormat="1" applyFont="1" applyFill="1" applyBorder="1"/>
    <xf numFmtId="164" fontId="0" fillId="3" borderId="0" xfId="1" applyNumberFormat="1" applyFont="1" applyFill="1" applyBorder="1" applyAlignment="1">
      <alignment horizontal="left"/>
    </xf>
    <xf numFmtId="164" fontId="0" fillId="3" borderId="15" xfId="1" applyNumberFormat="1" applyFont="1" applyFill="1" applyBorder="1"/>
    <xf numFmtId="0" fontId="0" fillId="3" borderId="14" xfId="0" applyFill="1" applyBorder="1"/>
    <xf numFmtId="0" fontId="0" fillId="3" borderId="0" xfId="0" applyFill="1" applyBorder="1" applyAlignment="1"/>
    <xf numFmtId="0" fontId="0" fillId="3" borderId="15" xfId="0" applyFill="1" applyBorder="1"/>
    <xf numFmtId="0" fontId="0" fillId="3" borderId="16" xfId="0" applyFill="1" applyBorder="1"/>
    <xf numFmtId="0" fontId="0" fillId="3" borderId="17" xfId="0" applyFill="1" applyBorder="1"/>
    <xf numFmtId="0" fontId="0" fillId="3" borderId="18" xfId="0" applyFill="1" applyBorder="1"/>
    <xf numFmtId="164" fontId="3" fillId="0" borderId="0" xfId="1" applyNumberFormat="1" applyFont="1" applyFill="1" applyBorder="1" applyAlignment="1"/>
    <xf numFmtId="164" fontId="3" fillId="3" borderId="22" xfId="1" applyNumberFormat="1" applyFont="1" applyFill="1" applyBorder="1" applyAlignment="1"/>
    <xf numFmtId="164" fontId="3" fillId="18" borderId="27" xfId="1" applyNumberFormat="1" applyFont="1" applyFill="1" applyBorder="1" applyAlignment="1">
      <alignment horizontal="center"/>
    </xf>
    <xf numFmtId="0" fontId="0" fillId="3" borderId="21" xfId="0" applyFill="1" applyBorder="1" applyAlignment="1"/>
    <xf numFmtId="0" fontId="0" fillId="3" borderId="20" xfId="0" applyFill="1" applyBorder="1" applyAlignment="1"/>
    <xf numFmtId="43" fontId="0" fillId="0" borderId="0" xfId="0" applyNumberFormat="1"/>
    <xf numFmtId="165" fontId="10" fillId="7" borderId="19" xfId="2" applyNumberFormat="1" applyFont="1" applyFill="1" applyBorder="1"/>
    <xf numFmtId="0" fontId="0" fillId="18" borderId="0" xfId="0" applyFill="1" applyBorder="1"/>
    <xf numFmtId="165" fontId="2" fillId="18" borderId="19" xfId="2" applyNumberFormat="1" applyFont="1" applyFill="1" applyBorder="1"/>
    <xf numFmtId="10" fontId="0" fillId="0" borderId="0" xfId="2" applyNumberFormat="1" applyFont="1"/>
    <xf numFmtId="0" fontId="0" fillId="0" borderId="0" xfId="0" applyFont="1" applyAlignment="1"/>
    <xf numFmtId="0" fontId="0" fillId="16" borderId="0" xfId="0" applyFill="1" applyBorder="1"/>
    <xf numFmtId="164" fontId="5" fillId="17" borderId="0" xfId="1" applyNumberFormat="1" applyFont="1" applyFill="1" applyBorder="1"/>
    <xf numFmtId="0" fontId="0" fillId="5" borderId="31" xfId="0" applyFill="1" applyBorder="1" applyAlignment="1">
      <alignment horizontal="center"/>
    </xf>
    <xf numFmtId="0" fontId="7" fillId="8" borderId="32" xfId="0" applyFont="1" applyFill="1" applyBorder="1" applyAlignment="1">
      <alignment horizontal="center"/>
    </xf>
    <xf numFmtId="164" fontId="0" fillId="5" borderId="14" xfId="1" applyNumberFormat="1" applyFont="1" applyFill="1" applyBorder="1"/>
    <xf numFmtId="0" fontId="0" fillId="8" borderId="15" xfId="0" applyFill="1" applyBorder="1"/>
    <xf numFmtId="165" fontId="0" fillId="8" borderId="15" xfId="2" applyNumberFormat="1" applyFont="1" applyFill="1" applyBorder="1"/>
    <xf numFmtId="49" fontId="7" fillId="5" borderId="0" xfId="1" applyNumberFormat="1" applyFont="1" applyFill="1" applyBorder="1" applyAlignment="1">
      <alignment horizontal="right"/>
    </xf>
    <xf numFmtId="164" fontId="0" fillId="5" borderId="16" xfId="1" applyNumberFormat="1" applyFont="1" applyFill="1" applyBorder="1"/>
    <xf numFmtId="164" fontId="0" fillId="5" borderId="17" xfId="1" applyNumberFormat="1" applyFont="1" applyFill="1" applyBorder="1"/>
    <xf numFmtId="0" fontId="0" fillId="5" borderId="17" xfId="0" applyFill="1" applyBorder="1"/>
    <xf numFmtId="0" fontId="0" fillId="8" borderId="17" xfId="0" applyFill="1" applyBorder="1"/>
    <xf numFmtId="0" fontId="0" fillId="8" borderId="18" xfId="0" applyFill="1" applyBorder="1"/>
    <xf numFmtId="0" fontId="0" fillId="5" borderId="14" xfId="0" applyFill="1" applyBorder="1"/>
    <xf numFmtId="0" fontId="0" fillId="5" borderId="15" xfId="0" applyFill="1" applyBorder="1"/>
    <xf numFmtId="171" fontId="0" fillId="5" borderId="0" xfId="0" applyNumberFormat="1" applyFill="1" applyBorder="1"/>
    <xf numFmtId="164" fontId="0" fillId="5" borderId="0" xfId="0" applyNumberFormat="1" applyFill="1" applyBorder="1"/>
    <xf numFmtId="38" fontId="0" fillId="5" borderId="0" xfId="0" applyNumberFormat="1" applyFill="1" applyBorder="1"/>
    <xf numFmtId="0" fontId="0" fillId="5" borderId="16" xfId="0" applyFill="1" applyBorder="1"/>
    <xf numFmtId="165" fontId="0" fillId="5" borderId="17" xfId="2" applyNumberFormat="1" applyFont="1" applyFill="1" applyBorder="1"/>
    <xf numFmtId="0" fontId="0" fillId="5" borderId="18" xfId="0" applyFill="1" applyBorder="1"/>
    <xf numFmtId="0" fontId="0" fillId="5" borderId="0" xfId="0" applyFill="1" applyBorder="1" applyAlignment="1">
      <alignment vertical="center"/>
    </xf>
    <xf numFmtId="0" fontId="2" fillId="3" borderId="0" xfId="0" applyFont="1" applyFill="1" applyBorder="1"/>
    <xf numFmtId="164" fontId="12" fillId="19" borderId="6" xfId="1" applyNumberFormat="1" applyFont="1" applyFill="1" applyBorder="1" applyAlignment="1"/>
    <xf numFmtId="164" fontId="10" fillId="19" borderId="21" xfId="1" applyNumberFormat="1" applyFont="1" applyFill="1" applyBorder="1" applyAlignment="1"/>
    <xf numFmtId="0" fontId="0" fillId="19" borderId="21" xfId="0" applyFill="1" applyBorder="1"/>
    <xf numFmtId="0" fontId="10" fillId="19" borderId="6" xfId="0" applyFont="1" applyFill="1" applyBorder="1" applyAlignment="1">
      <alignment horizontal="center"/>
    </xf>
    <xf numFmtId="164" fontId="7" fillId="19" borderId="0" xfId="1" applyNumberFormat="1" applyFont="1" applyFill="1" applyBorder="1"/>
    <xf numFmtId="0" fontId="7" fillId="19" borderId="0" xfId="0" applyFont="1" applyFill="1" applyBorder="1"/>
    <xf numFmtId="164" fontId="0" fillId="19" borderId="0" xfId="1" applyNumberFormat="1" applyFont="1" applyFill="1" applyBorder="1"/>
    <xf numFmtId="0" fontId="0" fillId="19" borderId="0" xfId="0" applyFill="1" applyBorder="1"/>
    <xf numFmtId="164" fontId="7" fillId="19" borderId="0" xfId="1" applyNumberFormat="1" applyFont="1" applyFill="1" applyBorder="1" applyAlignment="1">
      <alignment horizontal="center"/>
    </xf>
    <xf numFmtId="164" fontId="11" fillId="19" borderId="0" xfId="1" applyNumberFormat="1" applyFont="1" applyFill="1" applyBorder="1"/>
    <xf numFmtId="0" fontId="0" fillId="19" borderId="36" xfId="0" applyFill="1" applyBorder="1"/>
    <xf numFmtId="0" fontId="0" fillId="19" borderId="37" xfId="0" applyFill="1" applyBorder="1"/>
    <xf numFmtId="0" fontId="0" fillId="19" borderId="38" xfId="0" applyFill="1" applyBorder="1"/>
    <xf numFmtId="0" fontId="0" fillId="19" borderId="39" xfId="0" applyFill="1" applyBorder="1"/>
    <xf numFmtId="0" fontId="0" fillId="19" borderId="40" xfId="0" applyFill="1" applyBorder="1"/>
    <xf numFmtId="0" fontId="13" fillId="19" borderId="0" xfId="0" applyFont="1" applyFill="1" applyBorder="1"/>
    <xf numFmtId="166" fontId="13" fillId="19" borderId="0" xfId="2" applyNumberFormat="1" applyFont="1" applyFill="1" applyBorder="1"/>
    <xf numFmtId="164" fontId="10" fillId="19" borderId="44" xfId="1" applyNumberFormat="1" applyFont="1" applyFill="1" applyBorder="1" applyAlignment="1"/>
    <xf numFmtId="0" fontId="0" fillId="19" borderId="45" xfId="0" applyFill="1" applyBorder="1"/>
    <xf numFmtId="164" fontId="0" fillId="19" borderId="36" xfId="1" applyNumberFormat="1" applyFont="1" applyFill="1" applyBorder="1"/>
    <xf numFmtId="164" fontId="0" fillId="19" borderId="38" xfId="1" applyNumberFormat="1" applyFont="1" applyFill="1" applyBorder="1"/>
    <xf numFmtId="164" fontId="0" fillId="19" borderId="39" xfId="1" applyNumberFormat="1" applyFont="1" applyFill="1" applyBorder="1" applyAlignment="1">
      <alignment horizontal="center"/>
    </xf>
    <xf numFmtId="0" fontId="2" fillId="9" borderId="6" xfId="0" applyFon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49" fontId="7" fillId="2" borderId="0" xfId="1" applyNumberFormat="1" applyFont="1" applyFill="1" applyBorder="1" applyAlignment="1">
      <alignment horizontal="right"/>
    </xf>
    <xf numFmtId="49" fontId="5" fillId="2" borderId="0" xfId="1" applyNumberFormat="1" applyFont="1" applyFill="1" applyBorder="1" applyAlignment="1">
      <alignment horizontal="right"/>
    </xf>
    <xf numFmtId="0" fontId="14" fillId="2" borderId="1" xfId="0" applyFont="1" applyFill="1" applyBorder="1" applyAlignment="1">
      <alignment horizontal="center"/>
    </xf>
    <xf numFmtId="171" fontId="0" fillId="0" borderId="0" xfId="0" applyNumberFormat="1" applyFill="1" applyBorder="1"/>
    <xf numFmtId="0" fontId="2" fillId="6" borderId="46" xfId="0" applyFont="1" applyFill="1" applyBorder="1" applyAlignment="1">
      <alignment horizontal="right"/>
    </xf>
    <xf numFmtId="0" fontId="2" fillId="6" borderId="23" xfId="0" applyFont="1" applyFill="1" applyBorder="1" applyAlignment="1">
      <alignment horizontal="right"/>
    </xf>
    <xf numFmtId="0" fontId="2" fillId="6" borderId="23" xfId="0" applyFont="1" applyFill="1" applyBorder="1" applyAlignment="1">
      <alignment horizontal="center"/>
    </xf>
    <xf numFmtId="0" fontId="2" fillId="6" borderId="47" xfId="0" applyFont="1" applyFill="1" applyBorder="1" applyAlignment="1">
      <alignment horizontal="center"/>
    </xf>
    <xf numFmtId="0" fontId="2" fillId="9" borderId="11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49" fontId="7" fillId="10" borderId="0" xfId="1" applyNumberFormat="1" applyFont="1" applyFill="1" applyBorder="1" applyAlignment="1">
      <alignment horizontal="right"/>
    </xf>
    <xf numFmtId="49" fontId="5" fillId="10" borderId="0" xfId="1" applyNumberFormat="1" applyFont="1" applyFill="1" applyBorder="1" applyAlignment="1">
      <alignment horizontal="right"/>
    </xf>
    <xf numFmtId="165" fontId="0" fillId="7" borderId="0" xfId="2" applyNumberFormat="1" applyFont="1" applyFill="1" applyBorder="1"/>
    <xf numFmtId="0" fontId="5" fillId="7" borderId="0" xfId="0" applyFont="1" applyFill="1" applyBorder="1" applyAlignment="1">
      <alignment horizontal="center"/>
    </xf>
    <xf numFmtId="164" fontId="0" fillId="7" borderId="1" xfId="1" applyNumberFormat="1" applyFont="1" applyFill="1" applyBorder="1"/>
    <xf numFmtId="0" fontId="4" fillId="3" borderId="1" xfId="0" applyFont="1" applyFill="1" applyBorder="1" applyAlignment="1">
      <alignment horizontal="center"/>
    </xf>
    <xf numFmtId="0" fontId="5" fillId="7" borderId="1" xfId="0" applyFont="1" applyFill="1" applyBorder="1" applyAlignment="1">
      <alignment horizontal="center"/>
    </xf>
    <xf numFmtId="0" fontId="14" fillId="3" borderId="1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0" fillId="3" borderId="11" xfId="0" applyFill="1" applyBorder="1"/>
    <xf numFmtId="165" fontId="0" fillId="3" borderId="11" xfId="2" applyNumberFormat="1" applyFont="1" applyFill="1" applyBorder="1"/>
    <xf numFmtId="164" fontId="0" fillId="3" borderId="9" xfId="1" applyNumberFormat="1" applyFont="1" applyFill="1" applyBorder="1"/>
    <xf numFmtId="164" fontId="0" fillId="3" borderId="11" xfId="1" applyNumberFormat="1" applyFont="1" applyFill="1" applyBorder="1"/>
    <xf numFmtId="0" fontId="8" fillId="12" borderId="0" xfId="0" applyFont="1" applyFill="1" applyBorder="1" applyAlignment="1">
      <alignment horizontal="center"/>
    </xf>
    <xf numFmtId="164" fontId="2" fillId="0" borderId="0" xfId="1" applyNumberFormat="1" applyFont="1" applyFill="1" applyBorder="1"/>
    <xf numFmtId="164" fontId="0" fillId="19" borderId="0" xfId="1" applyNumberFormat="1" applyFont="1" applyFill="1" applyBorder="1" applyAlignment="1">
      <alignment horizontal="left"/>
    </xf>
    <xf numFmtId="165" fontId="0" fillId="19" borderId="0" xfId="2" applyNumberFormat="1" applyFont="1" applyFill="1" applyBorder="1"/>
    <xf numFmtId="0" fontId="0" fillId="19" borderId="0" xfId="0" applyFill="1" applyBorder="1" applyAlignment="1"/>
    <xf numFmtId="0" fontId="2" fillId="19" borderId="0" xfId="0" applyFont="1" applyFill="1" applyBorder="1"/>
    <xf numFmtId="165" fontId="2" fillId="19" borderId="19" xfId="2" applyNumberFormat="1" applyFont="1" applyFill="1" applyBorder="1"/>
    <xf numFmtId="0" fontId="0" fillId="0" borderId="34" xfId="0" applyFill="1" applyBorder="1"/>
    <xf numFmtId="0" fontId="0" fillId="19" borderId="33" xfId="0" applyFill="1" applyBorder="1" applyAlignment="1"/>
    <xf numFmtId="0" fontId="0" fillId="19" borderId="34" xfId="0" applyFill="1" applyBorder="1" applyAlignment="1"/>
    <xf numFmtId="164" fontId="0" fillId="19" borderId="37" xfId="1" applyNumberFormat="1" applyFont="1" applyFill="1" applyBorder="1"/>
    <xf numFmtId="164" fontId="3" fillId="19" borderId="35" xfId="1" applyNumberFormat="1" applyFont="1" applyFill="1" applyBorder="1" applyAlignment="1"/>
    <xf numFmtId="164" fontId="15" fillId="19" borderId="48" xfId="1" applyNumberFormat="1" applyFont="1" applyFill="1" applyBorder="1" applyAlignment="1">
      <alignment horizontal="center"/>
    </xf>
    <xf numFmtId="0" fontId="16" fillId="19" borderId="36" xfId="0" applyFont="1" applyFill="1" applyBorder="1"/>
    <xf numFmtId="0" fontId="16" fillId="19" borderId="37" xfId="0" applyFont="1" applyFill="1" applyBorder="1"/>
    <xf numFmtId="0" fontId="16" fillId="19" borderId="38" xfId="0" applyFont="1" applyFill="1" applyBorder="1"/>
    <xf numFmtId="0" fontId="16" fillId="19" borderId="39" xfId="0" applyFont="1" applyFill="1" applyBorder="1"/>
    <xf numFmtId="0" fontId="16" fillId="19" borderId="40" xfId="0" applyFont="1" applyFill="1" applyBorder="1"/>
    <xf numFmtId="1" fontId="0" fillId="0" borderId="0" xfId="0" applyNumberFormat="1"/>
    <xf numFmtId="0" fontId="4" fillId="8" borderId="0" xfId="0" applyFont="1" applyFill="1" applyBorder="1" applyAlignment="1">
      <alignment horizontal="center"/>
    </xf>
    <xf numFmtId="0" fontId="0" fillId="20" borderId="0" xfId="0" applyFill="1" applyBorder="1"/>
    <xf numFmtId="165" fontId="0" fillId="20" borderId="0" xfId="2" applyNumberFormat="1" applyFont="1" applyFill="1" applyBorder="1"/>
    <xf numFmtId="0" fontId="0" fillId="20" borderId="17" xfId="0" applyFill="1" applyBorder="1"/>
    <xf numFmtId="164" fontId="0" fillId="20" borderId="0" xfId="1" applyNumberFormat="1" applyFont="1" applyFill="1" applyBorder="1"/>
    <xf numFmtId="0" fontId="2" fillId="19" borderId="0" xfId="0" applyFont="1" applyFill="1" applyBorder="1" applyAlignment="1">
      <alignment horizontal="center"/>
    </xf>
    <xf numFmtId="165" fontId="2" fillId="19" borderId="0" xfId="2" applyNumberFormat="1" applyFont="1" applyFill="1" applyBorder="1"/>
    <xf numFmtId="169" fontId="13" fillId="19" borderId="0" xfId="1" applyNumberFormat="1" applyFont="1" applyFill="1" applyBorder="1"/>
    <xf numFmtId="164" fontId="6" fillId="19" borderId="0" xfId="1" applyNumberFormat="1" applyFont="1" applyFill="1" applyBorder="1"/>
    <xf numFmtId="0" fontId="6" fillId="19" borderId="0" xfId="0" applyFont="1" applyFill="1" applyBorder="1"/>
    <xf numFmtId="164" fontId="6" fillId="19" borderId="1" xfId="1" applyNumberFormat="1" applyFont="1" applyFill="1" applyBorder="1"/>
    <xf numFmtId="165" fontId="6" fillId="19" borderId="0" xfId="2" applyNumberFormat="1" applyFont="1" applyFill="1" applyBorder="1"/>
    <xf numFmtId="164" fontId="11" fillId="19" borderId="19" xfId="1" applyNumberFormat="1" applyFont="1" applyFill="1" applyBorder="1"/>
    <xf numFmtId="164" fontId="11" fillId="19" borderId="19" xfId="0" applyNumberFormat="1" applyFont="1" applyFill="1" applyBorder="1"/>
    <xf numFmtId="165" fontId="11" fillId="19" borderId="19" xfId="2" applyNumberFormat="1" applyFont="1" applyFill="1" applyBorder="1"/>
    <xf numFmtId="165" fontId="11" fillId="19" borderId="26" xfId="2" applyNumberFormat="1" applyFont="1" applyFill="1" applyBorder="1"/>
    <xf numFmtId="164" fontId="11" fillId="19" borderId="39" xfId="1" applyNumberFormat="1" applyFont="1" applyFill="1" applyBorder="1"/>
    <xf numFmtId="164" fontId="6" fillId="19" borderId="39" xfId="1" applyNumberFormat="1" applyFont="1" applyFill="1" applyBorder="1"/>
    <xf numFmtId="0" fontId="6" fillId="19" borderId="39" xfId="0" applyFont="1" applyFill="1" applyBorder="1"/>
    <xf numFmtId="171" fontId="0" fillId="21" borderId="0" xfId="0" applyNumberFormat="1" applyFill="1"/>
    <xf numFmtId="164" fontId="0" fillId="21" borderId="0" xfId="1" applyNumberFormat="1" applyFont="1" applyFill="1"/>
    <xf numFmtId="164" fontId="6" fillId="0" borderId="0" xfId="1" applyNumberFormat="1" applyFont="1" applyFill="1"/>
    <xf numFmtId="171" fontId="0" fillId="5" borderId="17" xfId="0" applyNumberFormat="1" applyFill="1" applyBorder="1"/>
    <xf numFmtId="164" fontId="0" fillId="5" borderId="17" xfId="0" applyNumberFormat="1" applyFill="1" applyBorder="1"/>
    <xf numFmtId="38" fontId="0" fillId="5" borderId="17" xfId="0" applyNumberFormat="1" applyFill="1" applyBorder="1"/>
    <xf numFmtId="0" fontId="0" fillId="5" borderId="17" xfId="0" applyFill="1" applyBorder="1" applyAlignment="1">
      <alignment vertical="center"/>
    </xf>
    <xf numFmtId="164" fontId="10" fillId="2" borderId="44" xfId="1" applyNumberFormat="1" applyFont="1" applyFill="1" applyBorder="1" applyAlignment="1"/>
    <xf numFmtId="164" fontId="12" fillId="2" borderId="6" xfId="1" applyNumberFormat="1" applyFont="1" applyFill="1" applyBorder="1" applyAlignment="1"/>
    <xf numFmtId="164" fontId="10" fillId="2" borderId="21" xfId="1" applyNumberFormat="1" applyFont="1" applyFill="1" applyBorder="1" applyAlignment="1"/>
    <xf numFmtId="0" fontId="0" fillId="2" borderId="21" xfId="0" applyFill="1" applyBorder="1"/>
    <xf numFmtId="0" fontId="10" fillId="2" borderId="6" xfId="0" applyFont="1" applyFill="1" applyBorder="1" applyAlignment="1">
      <alignment horizontal="center"/>
    </xf>
    <xf numFmtId="0" fontId="0" fillId="2" borderId="45" xfId="0" applyFill="1" applyBorder="1"/>
    <xf numFmtId="164" fontId="0" fillId="2" borderId="36" xfId="1" applyNumberFormat="1" applyFont="1" applyFill="1" applyBorder="1"/>
    <xf numFmtId="164" fontId="7" fillId="2" borderId="0" xfId="1" applyNumberFormat="1" applyFont="1" applyFill="1" applyBorder="1"/>
    <xf numFmtId="0" fontId="7" fillId="2" borderId="0" xfId="0" applyFont="1" applyFill="1" applyBorder="1"/>
    <xf numFmtId="164" fontId="6" fillId="2" borderId="0" xfId="1" applyNumberFormat="1" applyFont="1" applyFill="1" applyBorder="1"/>
    <xf numFmtId="0" fontId="6" fillId="2" borderId="0" xfId="0" applyFont="1" applyFill="1" applyBorder="1"/>
    <xf numFmtId="0" fontId="0" fillId="2" borderId="37" xfId="0" applyFill="1" applyBorder="1"/>
    <xf numFmtId="164" fontId="6" fillId="2" borderId="1" xfId="1" applyNumberFormat="1" applyFont="1" applyFill="1" applyBorder="1"/>
    <xf numFmtId="165" fontId="6" fillId="2" borderId="0" xfId="2" applyNumberFormat="1" applyFont="1" applyFill="1" applyBorder="1"/>
    <xf numFmtId="164" fontId="7" fillId="2" borderId="0" xfId="1" applyNumberFormat="1" applyFont="1" applyFill="1" applyBorder="1" applyAlignment="1">
      <alignment horizontal="center"/>
    </xf>
    <xf numFmtId="164" fontId="11" fillId="2" borderId="0" xfId="1" applyNumberFormat="1" applyFont="1" applyFill="1" applyBorder="1"/>
    <xf numFmtId="164" fontId="11" fillId="2" borderId="19" xfId="1" applyNumberFormat="1" applyFont="1" applyFill="1" applyBorder="1"/>
    <xf numFmtId="164" fontId="11" fillId="2" borderId="19" xfId="0" applyNumberFormat="1" applyFont="1" applyFill="1" applyBorder="1"/>
    <xf numFmtId="0" fontId="0" fillId="2" borderId="36" xfId="0" applyFill="1" applyBorder="1"/>
    <xf numFmtId="165" fontId="11" fillId="2" borderId="19" xfId="2" applyNumberFormat="1" applyFont="1" applyFill="1" applyBorder="1"/>
    <xf numFmtId="165" fontId="11" fillId="2" borderId="26" xfId="2" applyNumberFormat="1" applyFont="1" applyFill="1" applyBorder="1"/>
    <xf numFmtId="164" fontId="0" fillId="2" borderId="38" xfId="1" applyNumberFormat="1" applyFont="1" applyFill="1" applyBorder="1"/>
    <xf numFmtId="164" fontId="0" fillId="2" borderId="39" xfId="1" applyNumberFormat="1" applyFont="1" applyFill="1" applyBorder="1" applyAlignment="1">
      <alignment horizontal="center"/>
    </xf>
    <xf numFmtId="164" fontId="11" fillId="2" borderId="39" xfId="1" applyNumberFormat="1" applyFont="1" applyFill="1" applyBorder="1"/>
    <xf numFmtId="164" fontId="6" fillId="2" borderId="39" xfId="1" applyNumberFormat="1" applyFont="1" applyFill="1" applyBorder="1"/>
    <xf numFmtId="0" fontId="6" fillId="2" borderId="39" xfId="0" applyFont="1" applyFill="1" applyBorder="1"/>
    <xf numFmtId="0" fontId="0" fillId="2" borderId="40" xfId="0" applyFill="1" applyBorder="1"/>
    <xf numFmtId="0" fontId="0" fillId="2" borderId="33" xfId="0" applyFill="1" applyBorder="1" applyAlignment="1"/>
    <xf numFmtId="0" fontId="0" fillId="2" borderId="34" xfId="0" applyFill="1" applyBorder="1" applyAlignment="1"/>
    <xf numFmtId="164" fontId="3" fillId="2" borderId="35" xfId="1" applyNumberFormat="1" applyFont="1" applyFill="1" applyBorder="1" applyAlignment="1"/>
    <xf numFmtId="164" fontId="0" fillId="2" borderId="0" xfId="1" applyNumberFormat="1" applyFont="1" applyFill="1" applyBorder="1" applyAlignment="1">
      <alignment horizontal="left"/>
    </xf>
    <xf numFmtId="164" fontId="0" fillId="2" borderId="37" xfId="1" applyNumberFormat="1" applyFont="1" applyFill="1" applyBorder="1"/>
    <xf numFmtId="0" fontId="0" fillId="2" borderId="0" xfId="0" applyFill="1" applyBorder="1" applyAlignment="1"/>
    <xf numFmtId="0" fontId="2" fillId="2" borderId="0" xfId="0" applyFont="1" applyFill="1" applyBorder="1"/>
    <xf numFmtId="165" fontId="2" fillId="2" borderId="19" xfId="2" applyNumberFormat="1" applyFont="1" applyFill="1" applyBorder="1"/>
    <xf numFmtId="0" fontId="2" fillId="2" borderId="0" xfId="0" applyFont="1" applyFill="1" applyBorder="1" applyAlignment="1">
      <alignment horizontal="center"/>
    </xf>
    <xf numFmtId="164" fontId="2" fillId="2" borderId="0" xfId="0" applyNumberFormat="1" applyFont="1" applyFill="1" applyBorder="1" applyAlignment="1">
      <alignment horizontal="center"/>
    </xf>
    <xf numFmtId="165" fontId="2" fillId="2" borderId="0" xfId="2" applyNumberFormat="1" applyFont="1" applyFill="1" applyBorder="1"/>
    <xf numFmtId="0" fontId="0" fillId="2" borderId="38" xfId="0" applyFill="1" applyBorder="1"/>
    <xf numFmtId="0" fontId="0" fillId="2" borderId="39" xfId="0" applyFill="1" applyBorder="1"/>
    <xf numFmtId="164" fontId="15" fillId="0" borderId="48" xfId="1" applyNumberFormat="1" applyFont="1" applyFill="1" applyBorder="1" applyAlignment="1">
      <alignment horizontal="center"/>
    </xf>
    <xf numFmtId="0" fontId="16" fillId="0" borderId="36" xfId="0" applyFont="1" applyFill="1" applyBorder="1"/>
    <xf numFmtId="0" fontId="13" fillId="0" borderId="0" xfId="0" applyFont="1" applyFill="1" applyBorder="1"/>
    <xf numFmtId="0" fontId="16" fillId="0" borderId="37" xfId="0" applyFont="1" applyFill="1" applyBorder="1"/>
    <xf numFmtId="166" fontId="13" fillId="0" borderId="0" xfId="2" applyNumberFormat="1" applyFont="1" applyFill="1" applyBorder="1"/>
    <xf numFmtId="169" fontId="13" fillId="0" borderId="0" xfId="1" applyNumberFormat="1" applyFont="1" applyFill="1" applyBorder="1"/>
    <xf numFmtId="0" fontId="13" fillId="0" borderId="0" xfId="0" applyFont="1" applyFill="1" applyBorder="1" applyAlignment="1">
      <alignment horizontal="center"/>
    </xf>
    <xf numFmtId="0" fontId="16" fillId="0" borderId="38" xfId="0" applyFont="1" applyFill="1" applyBorder="1"/>
    <xf numFmtId="0" fontId="16" fillId="0" borderId="39" xfId="0" applyFont="1" applyFill="1" applyBorder="1"/>
    <xf numFmtId="0" fontId="16" fillId="0" borderId="40" xfId="0" applyFont="1" applyFill="1" applyBorder="1"/>
    <xf numFmtId="0" fontId="2" fillId="9" borderId="6" xfId="0" applyFont="1" applyFill="1" applyBorder="1" applyAlignment="1">
      <alignment horizontal="center"/>
    </xf>
    <xf numFmtId="0" fontId="2" fillId="9" borderId="10" xfId="0" applyFont="1" applyFill="1" applyBorder="1" applyAlignment="1">
      <alignment horizontal="center"/>
    </xf>
    <xf numFmtId="0" fontId="2" fillId="9" borderId="0" xfId="0" applyFont="1" applyFill="1" applyBorder="1" applyAlignment="1">
      <alignment horizontal="center"/>
    </xf>
    <xf numFmtId="0" fontId="0" fillId="12" borderId="3" xfId="0" applyFill="1" applyBorder="1" applyAlignment="1">
      <alignment horizontal="center"/>
    </xf>
    <xf numFmtId="0" fontId="0" fillId="12" borderId="2" xfId="0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165" fontId="0" fillId="2" borderId="10" xfId="2" applyNumberFormat="1" applyFont="1" applyFill="1" applyBorder="1"/>
    <xf numFmtId="0" fontId="14" fillId="10" borderId="0" xfId="0" applyFont="1" applyFill="1" applyBorder="1" applyAlignment="1">
      <alignment horizontal="center"/>
    </xf>
    <xf numFmtId="0" fontId="0" fillId="10" borderId="3" xfId="0" applyFill="1" applyBorder="1" applyAlignment="1">
      <alignment horizontal="center"/>
    </xf>
    <xf numFmtId="0" fontId="0" fillId="10" borderId="23" xfId="0" applyFill="1" applyBorder="1" applyAlignment="1">
      <alignment horizontal="center"/>
    </xf>
    <xf numFmtId="0" fontId="4" fillId="10" borderId="2" xfId="0" applyFont="1" applyFill="1" applyBorder="1" applyAlignment="1">
      <alignment horizontal="center"/>
    </xf>
    <xf numFmtId="0" fontId="7" fillId="10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14" fillId="10" borderId="2" xfId="0" applyFont="1" applyFill="1" applyBorder="1" applyAlignment="1">
      <alignment horizontal="center"/>
    </xf>
    <xf numFmtId="0" fontId="14" fillId="10" borderId="47" xfId="0" applyFont="1" applyFill="1" applyBorder="1" applyAlignment="1">
      <alignment horizontal="center"/>
    </xf>
    <xf numFmtId="0" fontId="4" fillId="12" borderId="4" xfId="0" applyFont="1" applyFill="1" applyBorder="1" applyAlignment="1">
      <alignment horizontal="center"/>
    </xf>
    <xf numFmtId="0" fontId="14" fillId="12" borderId="8" xfId="0" applyFont="1" applyFill="1" applyBorder="1" applyAlignment="1">
      <alignment horizontal="center"/>
    </xf>
    <xf numFmtId="0" fontId="0" fillId="12" borderId="1" xfId="0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9" borderId="4" xfId="0" applyFont="1" applyFill="1" applyBorder="1" applyAlignment="1">
      <alignment horizontal="center"/>
    </xf>
    <xf numFmtId="0" fontId="2" fillId="19" borderId="0" xfId="0" applyFont="1" applyFill="1" applyBorder="1" applyAlignment="1">
      <alignment horizontal="center"/>
    </xf>
    <xf numFmtId="172" fontId="0" fillId="0" borderId="0" xfId="2" applyNumberFormat="1" applyFont="1"/>
    <xf numFmtId="164" fontId="0" fillId="21" borderId="0" xfId="1" applyNumberFormat="1" applyFont="1" applyFill="1" applyBorder="1"/>
    <xf numFmtId="173" fontId="0" fillId="0" borderId="0" xfId="3" applyNumberFormat="1" applyFont="1"/>
    <xf numFmtId="173" fontId="0" fillId="0" borderId="0" xfId="0" applyNumberFormat="1"/>
    <xf numFmtId="0" fontId="0" fillId="21" borderId="0" xfId="0" applyFill="1"/>
    <xf numFmtId="9" fontId="0" fillId="21" borderId="0" xfId="2" applyFont="1" applyFill="1" applyBorder="1"/>
    <xf numFmtId="10" fontId="0" fillId="8" borderId="0" xfId="2" applyNumberFormat="1" applyFont="1" applyFill="1" applyBorder="1"/>
    <xf numFmtId="171" fontId="0" fillId="12" borderId="0" xfId="0" applyNumberFormat="1" applyFill="1"/>
    <xf numFmtId="171" fontId="0" fillId="5" borderId="0" xfId="0" applyNumberFormat="1" applyFill="1"/>
    <xf numFmtId="164" fontId="0" fillId="5" borderId="0" xfId="1" applyNumberFormat="1" applyFont="1" applyFill="1"/>
    <xf numFmtId="10" fontId="0" fillId="13" borderId="0" xfId="2" applyNumberFormat="1" applyFont="1" applyFill="1" applyBorder="1"/>
    <xf numFmtId="10" fontId="0" fillId="6" borderId="0" xfId="2" applyNumberFormat="1" applyFont="1" applyFill="1" applyBorder="1"/>
    <xf numFmtId="0" fontId="0" fillId="5" borderId="1" xfId="0" applyFill="1" applyBorder="1" applyAlignment="1">
      <alignment horizontal="center"/>
    </xf>
    <xf numFmtId="166" fontId="0" fillId="8" borderId="0" xfId="2" applyNumberFormat="1" applyFont="1" applyFill="1" applyBorder="1"/>
    <xf numFmtId="164" fontId="0" fillId="0" borderId="1" xfId="1" applyNumberFormat="1" applyFont="1" applyBorder="1"/>
    <xf numFmtId="9" fontId="0" fillId="0" borderId="19" xfId="2" applyFont="1" applyBorder="1"/>
    <xf numFmtId="0" fontId="0" fillId="5" borderId="53" xfId="0" applyFill="1" applyBorder="1"/>
    <xf numFmtId="0" fontId="0" fillId="5" borderId="54" xfId="0" applyFill="1" applyBorder="1"/>
    <xf numFmtId="0" fontId="0" fillId="5" borderId="55" xfId="0" applyFill="1" applyBorder="1"/>
    <xf numFmtId="0" fontId="0" fillId="5" borderId="56" xfId="0" applyFill="1" applyBorder="1"/>
    <xf numFmtId="0" fontId="0" fillId="5" borderId="57" xfId="0" applyFill="1" applyBorder="1"/>
    <xf numFmtId="49" fontId="0" fillId="5" borderId="1" xfId="0" applyNumberFormat="1" applyFill="1" applyBorder="1" applyAlignment="1">
      <alignment horizontal="center"/>
    </xf>
    <xf numFmtId="164" fontId="0" fillId="5" borderId="1" xfId="1" applyNumberFormat="1" applyFont="1" applyFill="1" applyBorder="1"/>
    <xf numFmtId="164" fontId="0" fillId="5" borderId="1" xfId="0" applyNumberFormat="1" applyFill="1" applyBorder="1"/>
    <xf numFmtId="9" fontId="0" fillId="5" borderId="0" xfId="2" applyFont="1" applyFill="1" applyBorder="1"/>
    <xf numFmtId="9" fontId="0" fillId="5" borderId="19" xfId="2" applyFont="1" applyFill="1" applyBorder="1"/>
    <xf numFmtId="0" fontId="0" fillId="5" borderId="58" xfId="0" applyFill="1" applyBorder="1"/>
    <xf numFmtId="0" fontId="0" fillId="5" borderId="59" xfId="0" applyFill="1" applyBorder="1"/>
    <xf numFmtId="0" fontId="0" fillId="5" borderId="60" xfId="0" applyFill="1" applyBorder="1"/>
    <xf numFmtId="0" fontId="0" fillId="5" borderId="20" xfId="0" applyFill="1" applyBorder="1"/>
    <xf numFmtId="0" fontId="0" fillId="5" borderId="13" xfId="0" applyFill="1" applyBorder="1" applyAlignment="1">
      <alignment horizontal="center"/>
    </xf>
    <xf numFmtId="0" fontId="0" fillId="5" borderId="21" xfId="0" applyFill="1" applyBorder="1"/>
    <xf numFmtId="0" fontId="0" fillId="5" borderId="21" xfId="0" applyFill="1" applyBorder="1" applyAlignment="1">
      <alignment horizontal="center"/>
    </xf>
    <xf numFmtId="0" fontId="4" fillId="5" borderId="13" xfId="0" applyFont="1" applyFill="1" applyBorder="1" applyAlignment="1">
      <alignment horizontal="center"/>
    </xf>
    <xf numFmtId="0" fontId="0" fillId="5" borderId="22" xfId="0" applyFill="1" applyBorder="1"/>
    <xf numFmtId="164" fontId="0" fillId="7" borderId="0" xfId="1" applyNumberFormat="1" applyFont="1" applyFill="1"/>
    <xf numFmtId="10" fontId="0" fillId="3" borderId="0" xfId="2" applyNumberFormat="1" applyFont="1" applyFill="1" applyBorder="1"/>
    <xf numFmtId="49" fontId="5" fillId="2" borderId="0" xfId="1" applyNumberFormat="1" applyFont="1" applyFill="1" applyAlignment="1">
      <alignment horizontal="right"/>
    </xf>
    <xf numFmtId="10" fontId="10" fillId="7" borderId="26" xfId="2" applyNumberFormat="1" applyFont="1" applyFill="1" applyBorder="1"/>
    <xf numFmtId="0" fontId="0" fillId="12" borderId="20" xfId="0" applyFill="1" applyBorder="1"/>
    <xf numFmtId="0" fontId="0" fillId="12" borderId="21" xfId="0" applyFill="1" applyBorder="1"/>
    <xf numFmtId="0" fontId="0" fillId="12" borderId="22" xfId="0" applyFill="1" applyBorder="1"/>
    <xf numFmtId="0" fontId="0" fillId="12" borderId="14" xfId="0" applyFill="1" applyBorder="1"/>
    <xf numFmtId="0" fontId="0" fillId="12" borderId="15" xfId="0" applyFill="1" applyBorder="1"/>
    <xf numFmtId="164" fontId="0" fillId="12" borderId="0" xfId="0" applyNumberFormat="1" applyFill="1" applyBorder="1"/>
    <xf numFmtId="0" fontId="0" fillId="12" borderId="16" xfId="0" applyFill="1" applyBorder="1"/>
    <xf numFmtId="0" fontId="0" fillId="12" borderId="17" xfId="0" applyFill="1" applyBorder="1"/>
    <xf numFmtId="0" fontId="0" fillId="12" borderId="18" xfId="0" applyFill="1" applyBorder="1"/>
    <xf numFmtId="0" fontId="2" fillId="12" borderId="0" xfId="0" applyFont="1" applyFill="1" applyBorder="1" applyAlignment="1">
      <alignment horizontal="center"/>
    </xf>
    <xf numFmtId="0" fontId="2" fillId="12" borderId="1" xfId="0" applyFont="1" applyFill="1" applyBorder="1" applyAlignment="1">
      <alignment horizontal="center"/>
    </xf>
    <xf numFmtId="0" fontId="2" fillId="12" borderId="0" xfId="0" applyFont="1" applyFill="1" applyBorder="1"/>
    <xf numFmtId="164" fontId="0" fillId="12" borderId="0" xfId="0" applyNumberFormat="1" applyFont="1" applyFill="1" applyBorder="1" applyAlignment="1">
      <alignment horizontal="center"/>
    </xf>
    <xf numFmtId="0" fontId="0" fillId="12" borderId="0" xfId="0" applyFont="1" applyFill="1" applyBorder="1" applyAlignment="1">
      <alignment horizontal="center"/>
    </xf>
    <xf numFmtId="0" fontId="0" fillId="12" borderId="0" xfId="0" applyFont="1" applyFill="1" applyBorder="1"/>
    <xf numFmtId="0" fontId="3" fillId="12" borderId="1" xfId="0" applyFont="1" applyFill="1" applyBorder="1" applyAlignment="1">
      <alignment horizontal="center"/>
    </xf>
    <xf numFmtId="0" fontId="17" fillId="12" borderId="17" xfId="0" applyFont="1" applyFill="1" applyBorder="1" applyAlignment="1">
      <alignment horizontal="center"/>
    </xf>
    <xf numFmtId="0" fontId="17" fillId="12" borderId="17" xfId="0" applyFont="1" applyFill="1" applyBorder="1"/>
    <xf numFmtId="164" fontId="17" fillId="12" borderId="17" xfId="0" applyNumberFormat="1" applyFont="1" applyFill="1" applyBorder="1"/>
    <xf numFmtId="165" fontId="17" fillId="12" borderId="17" xfId="2" applyNumberFormat="1" applyFont="1" applyFill="1" applyBorder="1"/>
    <xf numFmtId="165" fontId="2" fillId="12" borderId="0" xfId="2" applyNumberFormat="1" applyFont="1" applyFill="1" applyBorder="1"/>
    <xf numFmtId="164" fontId="0" fillId="22" borderId="0" xfId="1" applyNumberFormat="1" applyFont="1" applyFill="1"/>
    <xf numFmtId="10" fontId="0" fillId="0" borderId="0" xfId="0" applyNumberFormat="1"/>
    <xf numFmtId="164" fontId="6" fillId="0" borderId="0" xfId="1" applyNumberFormat="1" applyFont="1" applyFill="1" applyBorder="1"/>
    <xf numFmtId="0" fontId="6" fillId="0" borderId="0" xfId="0" applyFont="1" applyFill="1" applyBorder="1"/>
    <xf numFmtId="10" fontId="0" fillId="12" borderId="0" xfId="2" applyNumberFormat="1" applyFont="1" applyFill="1" applyBorder="1"/>
    <xf numFmtId="49" fontId="5" fillId="10" borderId="0" xfId="1" applyNumberFormat="1" applyFont="1" applyFill="1" applyAlignment="1">
      <alignment horizontal="right"/>
    </xf>
    <xf numFmtId="10" fontId="1" fillId="12" borderId="0" xfId="2" applyNumberFormat="1" applyFont="1" applyFill="1" applyBorder="1" applyAlignment="1">
      <alignment horizontal="right"/>
    </xf>
    <xf numFmtId="164" fontId="0" fillId="16" borderId="0" xfId="1" applyNumberFormat="1" applyFont="1" applyFill="1"/>
    <xf numFmtId="164" fontId="1" fillId="0" borderId="0" xfId="1" applyNumberFormat="1" applyFont="1" applyFill="1" applyBorder="1"/>
    <xf numFmtId="165" fontId="1" fillId="0" borderId="0" xfId="2" applyNumberFormat="1" applyFont="1" applyFill="1" applyBorder="1"/>
    <xf numFmtId="0" fontId="1" fillId="0" borderId="0" xfId="0" applyFont="1"/>
    <xf numFmtId="9" fontId="1" fillId="0" borderId="0" xfId="2" applyNumberFormat="1" applyFont="1" applyFill="1" applyBorder="1"/>
    <xf numFmtId="0" fontId="3" fillId="12" borderId="0" xfId="0" applyFont="1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6" borderId="23" xfId="0" applyFont="1" applyFill="1" applyBorder="1" applyAlignment="1">
      <alignment horizontal="center"/>
    </xf>
    <xf numFmtId="0" fontId="0" fillId="23" borderId="0" xfId="0" applyFill="1"/>
    <xf numFmtId="174" fontId="0" fillId="0" borderId="0" xfId="1" applyNumberFormat="1" applyFont="1" applyFill="1"/>
    <xf numFmtId="0" fontId="2" fillId="2" borderId="0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4" borderId="0" xfId="0" applyFill="1"/>
    <xf numFmtId="0" fontId="0" fillId="19" borderId="0" xfId="0" applyFill="1"/>
    <xf numFmtId="43" fontId="0" fillId="23" borderId="0" xfId="1" applyFont="1" applyFill="1"/>
    <xf numFmtId="164" fontId="0" fillId="23" borderId="0" xfId="1" applyNumberFormat="1" applyFont="1" applyFill="1"/>
    <xf numFmtId="9" fontId="0" fillId="23" borderId="0" xfId="2" applyFont="1" applyFill="1"/>
    <xf numFmtId="165" fontId="0" fillId="23" borderId="0" xfId="2" applyNumberFormat="1" applyFont="1" applyFill="1"/>
    <xf numFmtId="0" fontId="0" fillId="2" borderId="20" xfId="0" applyFill="1" applyBorder="1"/>
    <xf numFmtId="0" fontId="0" fillId="2" borderId="22" xfId="0" applyFill="1" applyBorder="1"/>
    <xf numFmtId="0" fontId="0" fillId="2" borderId="14" xfId="0" applyFill="1" applyBorder="1"/>
    <xf numFmtId="0" fontId="0" fillId="2" borderId="15" xfId="0" applyFill="1" applyBorder="1"/>
    <xf numFmtId="0" fontId="2" fillId="2" borderId="1" xfId="0" applyFont="1" applyFill="1" applyBorder="1" applyAlignment="1">
      <alignment horizontal="center"/>
    </xf>
    <xf numFmtId="164" fontId="2" fillId="2" borderId="2" xfId="0" applyNumberFormat="1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9" fontId="2" fillId="2" borderId="1" xfId="2" applyFont="1" applyFill="1" applyBorder="1" applyAlignment="1">
      <alignment horizontal="center"/>
    </xf>
    <xf numFmtId="164" fontId="0" fillId="2" borderId="0" xfId="0" applyNumberFormat="1" applyFill="1" applyBorder="1"/>
    <xf numFmtId="9" fontId="0" fillId="2" borderId="0" xfId="2" applyFont="1" applyFill="1" applyBorder="1"/>
    <xf numFmtId="0" fontId="0" fillId="2" borderId="16" xfId="0" applyFill="1" applyBorder="1"/>
    <xf numFmtId="0" fontId="0" fillId="2" borderId="17" xfId="0" applyFill="1" applyBorder="1"/>
    <xf numFmtId="43" fontId="0" fillId="2" borderId="17" xfId="0" applyNumberFormat="1" applyFill="1" applyBorder="1"/>
    <xf numFmtId="0" fontId="0" fillId="2" borderId="18" xfId="0" applyFill="1" applyBorder="1"/>
    <xf numFmtId="164" fontId="0" fillId="23" borderId="0" xfId="1" applyNumberFormat="1" applyFont="1" applyFill="1" applyBorder="1"/>
    <xf numFmtId="164" fontId="2" fillId="23" borderId="0" xfId="1" applyNumberFormat="1" applyFont="1" applyFill="1" applyBorder="1" applyAlignment="1"/>
    <xf numFmtId="174" fontId="0" fillId="23" borderId="0" xfId="1" applyNumberFormat="1" applyFont="1" applyFill="1"/>
    <xf numFmtId="174" fontId="0" fillId="23" borderId="0" xfId="0" applyNumberFormat="1" applyFill="1"/>
    <xf numFmtId="14" fontId="0" fillId="23" borderId="0" xfId="1" applyNumberFormat="1" applyFont="1" applyFill="1"/>
    <xf numFmtId="164" fontId="0" fillId="23" borderId="0" xfId="1" applyNumberFormat="1" applyFont="1" applyFill="1" applyBorder="1" applyAlignment="1"/>
    <xf numFmtId="0" fontId="0" fillId="23" borderId="0" xfId="0" applyFill="1" applyBorder="1"/>
    <xf numFmtId="41" fontId="0" fillId="0" borderId="0" xfId="4" applyFont="1"/>
    <xf numFmtId="0" fontId="0" fillId="23" borderId="0" xfId="0" applyFont="1" applyFill="1"/>
    <xf numFmtId="0" fontId="0" fillId="12" borderId="0" xfId="0" applyFill="1"/>
    <xf numFmtId="0" fontId="3" fillId="12" borderId="0" xfId="0" applyFont="1" applyFill="1" applyAlignment="1">
      <alignment horizontal="center"/>
    </xf>
    <xf numFmtId="0" fontId="3" fillId="12" borderId="17" xfId="0" applyFont="1" applyFill="1" applyBorder="1" applyAlignment="1">
      <alignment horizontal="center"/>
    </xf>
    <xf numFmtId="0" fontId="21" fillId="12" borderId="0" xfId="0" applyFont="1" applyFill="1"/>
    <xf numFmtId="0" fontId="20" fillId="12" borderId="0" xfId="0" applyFont="1" applyFill="1"/>
    <xf numFmtId="164" fontId="20" fillId="12" borderId="0" xfId="0" applyNumberFormat="1" applyFont="1" applyFill="1"/>
    <xf numFmtId="165" fontId="20" fillId="12" borderId="0" xfId="2" applyNumberFormat="1" applyFont="1" applyFill="1"/>
    <xf numFmtId="49" fontId="19" fillId="12" borderId="0" xfId="0" applyNumberFormat="1" applyFont="1" applyFill="1"/>
    <xf numFmtId="49" fontId="19" fillId="12" borderId="0" xfId="0" applyNumberFormat="1" applyFont="1" applyFill="1" applyAlignment="1">
      <alignment horizontal="right"/>
    </xf>
    <xf numFmtId="0" fontId="7" fillId="12" borderId="0" xfId="0" applyFont="1" applyFill="1"/>
    <xf numFmtId="0" fontId="18" fillId="12" borderId="0" xfId="0" applyFont="1" applyFill="1" applyBorder="1" applyAlignment="1">
      <alignment horizontal="center"/>
    </xf>
    <xf numFmtId="164" fontId="0" fillId="12" borderId="0" xfId="0" applyNumberFormat="1" applyFill="1"/>
    <xf numFmtId="3" fontId="22" fillId="0" borderId="0" xfId="0" applyNumberFormat="1" applyFont="1"/>
    <xf numFmtId="164" fontId="0" fillId="12" borderId="0" xfId="1" applyNumberFormat="1" applyFont="1" applyFill="1"/>
    <xf numFmtId="164" fontId="0" fillId="23" borderId="17" xfId="1" applyNumberFormat="1" applyFont="1" applyFill="1" applyBorder="1"/>
    <xf numFmtId="164" fontId="0" fillId="12" borderId="17" xfId="1" applyNumberFormat="1" applyFont="1" applyFill="1" applyBorder="1"/>
    <xf numFmtId="49" fontId="5" fillId="0" borderId="0" xfId="0" applyNumberFormat="1" applyFont="1"/>
    <xf numFmtId="0" fontId="0" fillId="3" borderId="0" xfId="0" applyFill="1"/>
    <xf numFmtId="0" fontId="2" fillId="3" borderId="0" xfId="0" applyFont="1" applyFill="1"/>
    <xf numFmtId="0" fontId="2" fillId="3" borderId="17" xfId="0" applyFont="1" applyFill="1" applyBorder="1" applyAlignment="1">
      <alignment horizontal="center"/>
    </xf>
    <xf numFmtId="0" fontId="2" fillId="3" borderId="0" xfId="0" applyFont="1" applyFill="1" applyAlignment="1">
      <alignment horizontal="center"/>
    </xf>
    <xf numFmtId="164" fontId="2" fillId="3" borderId="0" xfId="1" applyNumberFormat="1" applyFont="1" applyFill="1"/>
    <xf numFmtId="164" fontId="2" fillId="3" borderId="0" xfId="0" applyNumberFormat="1" applyFont="1" applyFill="1"/>
    <xf numFmtId="165" fontId="2" fillId="3" borderId="0" xfId="2" applyNumberFormat="1" applyFont="1" applyFill="1"/>
    <xf numFmtId="164" fontId="0" fillId="23" borderId="0" xfId="0" applyNumberFormat="1" applyFill="1"/>
    <xf numFmtId="43" fontId="2" fillId="3" borderId="0" xfId="0" applyNumberFormat="1" applyFont="1" applyFill="1"/>
    <xf numFmtId="165" fontId="0" fillId="2" borderId="8" xfId="2" applyNumberFormat="1" applyFont="1" applyFill="1" applyBorder="1"/>
    <xf numFmtId="0" fontId="2" fillId="12" borderId="1" xfId="0" applyFont="1" applyFill="1" applyBorder="1" applyAlignment="1">
      <alignment horizontal="center"/>
    </xf>
    <xf numFmtId="0" fontId="2" fillId="12" borderId="0" xfId="0" applyFont="1" applyFill="1"/>
    <xf numFmtId="164" fontId="2" fillId="12" borderId="0" xfId="0" applyNumberFormat="1" applyFont="1" applyFill="1"/>
    <xf numFmtId="164" fontId="2" fillId="12" borderId="0" xfId="1" applyNumberFormat="1" applyFont="1" applyFill="1"/>
    <xf numFmtId="164" fontId="2" fillId="12" borderId="19" xfId="0" applyNumberFormat="1" applyFont="1" applyFill="1" applyBorder="1"/>
    <xf numFmtId="165" fontId="2" fillId="12" borderId="19" xfId="2" applyNumberFormat="1" applyFont="1" applyFill="1" applyBorder="1"/>
    <xf numFmtId="0" fontId="2" fillId="12" borderId="0" xfId="0" applyFont="1" applyFill="1" applyAlignment="1">
      <alignment horizontal="center"/>
    </xf>
    <xf numFmtId="0" fontId="2" fillId="12" borderId="1" xfId="0" applyFont="1" applyFill="1" applyBorder="1" applyAlignment="1">
      <alignment horizontal="center"/>
    </xf>
    <xf numFmtId="0" fontId="2" fillId="12" borderId="2" xfId="0" applyFont="1" applyFill="1" applyBorder="1" applyAlignment="1">
      <alignment horizontal="center"/>
    </xf>
    <xf numFmtId="0" fontId="10" fillId="12" borderId="0" xfId="0" applyFont="1" applyFill="1"/>
    <xf numFmtId="164" fontId="2" fillId="12" borderId="1" xfId="0" applyNumberFormat="1" applyFont="1" applyFill="1" applyBorder="1" applyAlignment="1">
      <alignment horizontal="center"/>
    </xf>
    <xf numFmtId="164" fontId="2" fillId="12" borderId="0" xfId="0" applyNumberFormat="1" applyFont="1" applyFill="1" applyBorder="1" applyAlignment="1">
      <alignment horizontal="center"/>
    </xf>
    <xf numFmtId="49" fontId="2" fillId="12" borderId="1" xfId="0" applyNumberFormat="1" applyFont="1" applyFill="1" applyBorder="1" applyAlignment="1">
      <alignment horizontal="center"/>
    </xf>
    <xf numFmtId="171" fontId="0" fillId="21" borderId="0" xfId="0" applyNumberFormat="1" applyFill="1" applyBorder="1"/>
    <xf numFmtId="164" fontId="2" fillId="12" borderId="0" xfId="0" applyNumberFormat="1" applyFont="1" applyFill="1" applyBorder="1"/>
    <xf numFmtId="0" fontId="0" fillId="12" borderId="0" xfId="0" applyFont="1" applyFill="1"/>
    <xf numFmtId="164" fontId="2" fillId="12" borderId="23" xfId="0" applyNumberFormat="1" applyFont="1" applyFill="1" applyBorder="1"/>
    <xf numFmtId="164" fontId="0" fillId="25" borderId="0" xfId="1" applyNumberFormat="1" applyFont="1" applyFill="1" applyBorder="1"/>
    <xf numFmtId="164" fontId="0" fillId="0" borderId="19" xfId="0" applyNumberFormat="1" applyBorder="1"/>
    <xf numFmtId="49" fontId="5" fillId="5" borderId="0" xfId="0" applyNumberFormat="1" applyFont="1" applyFill="1"/>
    <xf numFmtId="164" fontId="0" fillId="5" borderId="0" xfId="0" applyNumberFormat="1" applyFill="1"/>
    <xf numFmtId="0" fontId="0" fillId="5" borderId="0" xfId="0" applyFill="1"/>
    <xf numFmtId="38" fontId="0" fillId="5" borderId="0" xfId="0" applyNumberFormat="1" applyFill="1"/>
    <xf numFmtId="0" fontId="0" fillId="5" borderId="0" xfId="0" applyFill="1" applyAlignment="1">
      <alignment vertical="center"/>
    </xf>
    <xf numFmtId="49" fontId="5" fillId="25" borderId="0" xfId="0" applyNumberFormat="1" applyFont="1" applyFill="1"/>
    <xf numFmtId="164" fontId="2" fillId="21" borderId="0" xfId="0" applyNumberFormat="1" applyFont="1" applyFill="1"/>
    <xf numFmtId="164" fontId="2" fillId="12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64" fontId="2" fillId="12" borderId="0" xfId="0" applyNumberFormat="1" applyFont="1" applyFill="1" applyAlignment="1">
      <alignment horizontal="center" wrapText="1"/>
    </xf>
    <xf numFmtId="164" fontId="2" fillId="12" borderId="1" xfId="0" applyNumberFormat="1" applyFont="1" applyFill="1" applyBorder="1" applyAlignment="1">
      <alignment horizontal="center" wrapText="1"/>
    </xf>
    <xf numFmtId="0" fontId="3" fillId="12" borderId="17" xfId="0" applyFont="1" applyFill="1" applyBorder="1" applyAlignment="1">
      <alignment horizontal="center"/>
    </xf>
    <xf numFmtId="0" fontId="2" fillId="12" borderId="0" xfId="0" applyFont="1" applyFill="1" applyBorder="1" applyAlignment="1">
      <alignment horizontal="center" wrapText="1"/>
    </xf>
    <xf numFmtId="0" fontId="2" fillId="12" borderId="1" xfId="0" applyFont="1" applyFill="1" applyBorder="1" applyAlignment="1">
      <alignment horizontal="center" wrapText="1"/>
    </xf>
    <xf numFmtId="49" fontId="2" fillId="12" borderId="2" xfId="0" applyNumberFormat="1" applyFont="1" applyFill="1" applyBorder="1" applyAlignment="1">
      <alignment horizontal="center" wrapText="1"/>
    </xf>
    <xf numFmtId="0" fontId="10" fillId="12" borderId="0" xfId="0" applyFont="1" applyFill="1" applyAlignment="1">
      <alignment horizontal="left"/>
    </xf>
    <xf numFmtId="0" fontId="2" fillId="12" borderId="1" xfId="0" applyFont="1" applyFill="1" applyBorder="1" applyAlignment="1">
      <alignment horizontal="center"/>
    </xf>
    <xf numFmtId="0" fontId="2" fillId="12" borderId="0" xfId="0" applyFont="1" applyFill="1" applyAlignment="1">
      <alignment horizontal="center" wrapText="1"/>
    </xf>
    <xf numFmtId="0" fontId="2" fillId="12" borderId="0" xfId="0" applyFont="1" applyFill="1" applyAlignment="1">
      <alignment horizontal="center"/>
    </xf>
    <xf numFmtId="164" fontId="2" fillId="12" borderId="0" xfId="1" applyNumberFormat="1" applyFont="1" applyFill="1" applyAlignment="1">
      <alignment horizontal="center"/>
    </xf>
    <xf numFmtId="0" fontId="18" fillId="12" borderId="0" xfId="0" applyFont="1" applyFill="1" applyBorder="1" applyAlignment="1">
      <alignment horizontal="center"/>
    </xf>
    <xf numFmtId="0" fontId="3" fillId="1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18" fillId="12" borderId="23" xfId="0" applyFont="1" applyFill="1" applyBorder="1" applyAlignment="1">
      <alignment horizontal="center"/>
    </xf>
    <xf numFmtId="164" fontId="2" fillId="12" borderId="1" xfId="0" applyNumberFormat="1" applyFont="1" applyFill="1" applyBorder="1" applyAlignment="1">
      <alignment horizontal="center"/>
    </xf>
    <xf numFmtId="0" fontId="2" fillId="12" borderId="2" xfId="0" applyFont="1" applyFill="1" applyBorder="1" applyAlignment="1">
      <alignment horizontal="center"/>
    </xf>
    <xf numFmtId="49" fontId="2" fillId="12" borderId="2" xfId="0" applyNumberFormat="1" applyFont="1" applyFill="1" applyBorder="1" applyAlignment="1">
      <alignment horizontal="center"/>
    </xf>
    <xf numFmtId="16" fontId="18" fillId="12" borderId="0" xfId="0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0" fontId="3" fillId="0" borderId="0" xfId="0" applyFont="1" applyAlignment="1">
      <alignment horizontal="left"/>
    </xf>
    <xf numFmtId="0" fontId="2" fillId="9" borderId="5" xfId="0" applyFont="1" applyFill="1" applyBorder="1" applyAlignment="1">
      <alignment horizontal="center"/>
    </xf>
    <xf numFmtId="0" fontId="2" fillId="9" borderId="6" xfId="0" applyFont="1" applyFill="1" applyBorder="1" applyAlignment="1">
      <alignment horizontal="center"/>
    </xf>
    <xf numFmtId="0" fontId="2" fillId="9" borderId="3" xfId="0" applyFont="1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0" fontId="2" fillId="6" borderId="23" xfId="0" applyFont="1" applyFill="1" applyBorder="1" applyAlignment="1">
      <alignment horizontal="center"/>
    </xf>
    <xf numFmtId="10" fontId="2" fillId="4" borderId="2" xfId="2" applyNumberFormat="1" applyFont="1" applyFill="1" applyBorder="1" applyAlignment="1">
      <alignment horizontal="center"/>
    </xf>
    <xf numFmtId="10" fontId="2" fillId="4" borderId="4" xfId="2" applyNumberFormat="1" applyFont="1" applyFill="1" applyBorder="1" applyAlignment="1">
      <alignment horizontal="center"/>
    </xf>
    <xf numFmtId="0" fontId="2" fillId="15" borderId="3" xfId="0" applyFont="1" applyFill="1" applyBorder="1" applyAlignment="1">
      <alignment horizontal="center"/>
    </xf>
    <xf numFmtId="0" fontId="2" fillId="15" borderId="2" xfId="0" applyFont="1" applyFill="1" applyBorder="1" applyAlignment="1">
      <alignment horizontal="center"/>
    </xf>
    <xf numFmtId="0" fontId="2" fillId="15" borderId="4" xfId="0" applyFont="1" applyFill="1" applyBorder="1" applyAlignment="1">
      <alignment horizontal="center"/>
    </xf>
    <xf numFmtId="0" fontId="2" fillId="6" borderId="46" xfId="0" applyFont="1" applyFill="1" applyBorder="1" applyAlignment="1">
      <alignment horizontal="center"/>
    </xf>
    <xf numFmtId="0" fontId="2" fillId="6" borderId="47" xfId="0" applyFont="1" applyFill="1" applyBorder="1" applyAlignment="1">
      <alignment horizontal="center"/>
    </xf>
    <xf numFmtId="17" fontId="18" fillId="12" borderId="0" xfId="0" applyNumberFormat="1" applyFont="1" applyFill="1" applyBorder="1" applyAlignment="1">
      <alignment horizontal="center"/>
    </xf>
    <xf numFmtId="0" fontId="0" fillId="12" borderId="8" xfId="0" applyFill="1" applyBorder="1" applyAlignment="1">
      <alignment horizontal="center"/>
    </xf>
    <xf numFmtId="0" fontId="0" fillId="12" borderId="1" xfId="0" applyFill="1" applyBorder="1" applyAlignment="1">
      <alignment horizontal="center"/>
    </xf>
    <xf numFmtId="0" fontId="2" fillId="11" borderId="5" xfId="0" applyFont="1" applyFill="1" applyBorder="1" applyAlignment="1">
      <alignment horizontal="center"/>
    </xf>
    <xf numFmtId="0" fontId="2" fillId="11" borderId="6" xfId="0" applyFont="1" applyFill="1" applyBorder="1" applyAlignment="1">
      <alignment horizontal="center"/>
    </xf>
    <xf numFmtId="0" fontId="2" fillId="11" borderId="7" xfId="0" applyFont="1" applyFill="1" applyBorder="1" applyAlignment="1">
      <alignment horizontal="center"/>
    </xf>
    <xf numFmtId="9" fontId="2" fillId="12" borderId="2" xfId="0" applyNumberFormat="1" applyFont="1" applyFill="1" applyBorder="1" applyAlignment="1">
      <alignment horizontal="center"/>
    </xf>
    <xf numFmtId="0" fontId="2" fillId="12" borderId="4" xfId="0" applyFont="1" applyFill="1" applyBorder="1" applyAlignment="1">
      <alignment horizontal="center"/>
    </xf>
    <xf numFmtId="0" fontId="2" fillId="9" borderId="4" xfId="0" applyFont="1" applyFill="1" applyBorder="1" applyAlignment="1">
      <alignment horizontal="center"/>
    </xf>
    <xf numFmtId="9" fontId="2" fillId="7" borderId="3" xfId="0" applyNumberFormat="1" applyFont="1" applyFill="1" applyBorder="1" applyAlignment="1">
      <alignment horizontal="center"/>
    </xf>
    <xf numFmtId="9" fontId="2" fillId="7" borderId="2" xfId="0" applyNumberFormat="1" applyFont="1" applyFill="1" applyBorder="1" applyAlignment="1">
      <alignment horizontal="center"/>
    </xf>
    <xf numFmtId="9" fontId="2" fillId="7" borderId="4" xfId="0" applyNumberFormat="1" applyFont="1" applyFill="1" applyBorder="1" applyAlignment="1">
      <alignment horizontal="center"/>
    </xf>
    <xf numFmtId="0" fontId="2" fillId="12" borderId="3" xfId="0" applyFont="1" applyFill="1" applyBorder="1" applyAlignment="1">
      <alignment horizontal="center"/>
    </xf>
    <xf numFmtId="0" fontId="0" fillId="12" borderId="9" xfId="0" applyFill="1" applyBorder="1" applyAlignment="1">
      <alignment horizontal="center"/>
    </xf>
    <xf numFmtId="0" fontId="0" fillId="12" borderId="3" xfId="0" applyFill="1" applyBorder="1" applyAlignment="1">
      <alignment horizontal="center"/>
    </xf>
    <xf numFmtId="0" fontId="0" fillId="12" borderId="2" xfId="0" applyFill="1" applyBorder="1" applyAlignment="1">
      <alignment horizontal="center"/>
    </xf>
    <xf numFmtId="0" fontId="0" fillId="12" borderId="4" xfId="0" applyFill="1" applyBorder="1" applyAlignment="1">
      <alignment horizontal="center"/>
    </xf>
    <xf numFmtId="0" fontId="2" fillId="8" borderId="12" xfId="0" applyFont="1" applyFill="1" applyBorder="1" applyAlignment="1">
      <alignment horizontal="center"/>
    </xf>
    <xf numFmtId="0" fontId="2" fillId="8" borderId="13" xfId="0" applyFont="1" applyFill="1" applyBorder="1" applyAlignment="1">
      <alignment horizontal="center"/>
    </xf>
    <xf numFmtId="0" fontId="2" fillId="0" borderId="30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29" xfId="0" applyFont="1" applyBorder="1" applyAlignment="1">
      <alignment horizontal="center"/>
    </xf>
    <xf numFmtId="165" fontId="2" fillId="8" borderId="13" xfId="2" applyNumberFormat="1" applyFont="1" applyFill="1" applyBorder="1" applyAlignment="1">
      <alignment horizontal="center"/>
    </xf>
    <xf numFmtId="165" fontId="2" fillId="8" borderId="28" xfId="2" applyNumberFormat="1" applyFont="1" applyFill="1" applyBorder="1" applyAlignment="1">
      <alignment horizontal="center"/>
    </xf>
    <xf numFmtId="164" fontId="2" fillId="14" borderId="5" xfId="1" applyNumberFormat="1" applyFont="1" applyFill="1" applyBorder="1" applyAlignment="1">
      <alignment horizontal="center"/>
    </xf>
    <xf numFmtId="164" fontId="2" fillId="14" borderId="6" xfId="1" applyNumberFormat="1" applyFont="1" applyFill="1" applyBorder="1" applyAlignment="1">
      <alignment horizontal="center"/>
    </xf>
    <xf numFmtId="164" fontId="2" fillId="14" borderId="7" xfId="1" applyNumberFormat="1" applyFont="1" applyFill="1" applyBorder="1" applyAlignment="1">
      <alignment horizontal="center"/>
    </xf>
    <xf numFmtId="0" fontId="2" fillId="16" borderId="24" xfId="0" applyFont="1" applyFill="1" applyBorder="1" applyAlignment="1">
      <alignment horizontal="center" wrapText="1"/>
    </xf>
    <xf numFmtId="0" fontId="2" fillId="16" borderId="25" xfId="0" applyFont="1" applyFill="1" applyBorder="1" applyAlignment="1">
      <alignment horizontal="center" wrapText="1"/>
    </xf>
    <xf numFmtId="164" fontId="2" fillId="16" borderId="5" xfId="1" applyNumberFormat="1" applyFont="1" applyFill="1" applyBorder="1" applyAlignment="1">
      <alignment horizontal="center"/>
    </xf>
    <xf numFmtId="164" fontId="2" fillId="16" borderId="6" xfId="1" applyNumberFormat="1" applyFont="1" applyFill="1" applyBorder="1" applyAlignment="1">
      <alignment horizontal="center"/>
    </xf>
    <xf numFmtId="164" fontId="2" fillId="16" borderId="7" xfId="1" applyNumberFormat="1" applyFont="1" applyFill="1" applyBorder="1" applyAlignment="1">
      <alignment horizontal="center"/>
    </xf>
    <xf numFmtId="0" fontId="0" fillId="5" borderId="8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5" borderId="32" xfId="0" applyFill="1" applyBorder="1" applyAlignment="1">
      <alignment horizontal="center"/>
    </xf>
    <xf numFmtId="0" fontId="4" fillId="20" borderId="23" xfId="0" applyFont="1" applyFill="1" applyBorder="1" applyAlignment="1">
      <alignment horizontal="center" wrapText="1"/>
    </xf>
    <xf numFmtId="0" fontId="4" fillId="20" borderId="1" xfId="0" applyFont="1" applyFill="1" applyBorder="1" applyAlignment="1">
      <alignment horizontal="center" wrapText="1"/>
    </xf>
    <xf numFmtId="0" fontId="0" fillId="5" borderId="30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0" fontId="13" fillId="19" borderId="0" xfId="0" applyFont="1" applyFill="1" applyBorder="1" applyAlignment="1">
      <alignment horizontal="center"/>
    </xf>
    <xf numFmtId="0" fontId="13" fillId="19" borderId="49" xfId="0" applyFont="1" applyFill="1" applyBorder="1" applyAlignment="1">
      <alignment horizontal="center"/>
    </xf>
    <xf numFmtId="0" fontId="13" fillId="19" borderId="50" xfId="0" applyFont="1" applyFill="1" applyBorder="1" applyAlignment="1">
      <alignment horizontal="center"/>
    </xf>
    <xf numFmtId="0" fontId="13" fillId="19" borderId="51" xfId="0" applyFont="1" applyFill="1" applyBorder="1" applyAlignment="1">
      <alignment horizontal="center"/>
    </xf>
    <xf numFmtId="164" fontId="2" fillId="19" borderId="19" xfId="0" applyNumberFormat="1" applyFont="1" applyFill="1" applyBorder="1" applyAlignment="1">
      <alignment horizontal="center"/>
    </xf>
    <xf numFmtId="0" fontId="3" fillId="8" borderId="5" xfId="0" applyFont="1" applyFill="1" applyBorder="1" applyAlignment="1">
      <alignment horizontal="center"/>
    </xf>
    <xf numFmtId="0" fontId="3" fillId="8" borderId="6" xfId="0" applyFont="1" applyFill="1" applyBorder="1" applyAlignment="1">
      <alignment horizontal="center"/>
    </xf>
    <xf numFmtId="0" fontId="3" fillId="8" borderId="7" xfId="0" applyFont="1" applyFill="1" applyBorder="1" applyAlignment="1">
      <alignment horizontal="center"/>
    </xf>
    <xf numFmtId="0" fontId="0" fillId="0" borderId="0" xfId="0" applyAlignment="1">
      <alignment horizontal="left"/>
    </xf>
    <xf numFmtId="164" fontId="13" fillId="19" borderId="41" xfId="1" applyNumberFormat="1" applyFont="1" applyFill="1" applyBorder="1" applyAlignment="1">
      <alignment horizontal="center"/>
    </xf>
    <xf numFmtId="164" fontId="13" fillId="19" borderId="42" xfId="1" applyNumberFormat="1" applyFont="1" applyFill="1" applyBorder="1" applyAlignment="1">
      <alignment horizontal="center"/>
    </xf>
    <xf numFmtId="164" fontId="13" fillId="19" borderId="43" xfId="1" applyNumberFormat="1" applyFont="1" applyFill="1" applyBorder="1" applyAlignment="1">
      <alignment horizontal="center"/>
    </xf>
    <xf numFmtId="164" fontId="10" fillId="19" borderId="6" xfId="1" applyNumberFormat="1" applyFont="1" applyFill="1" applyBorder="1" applyAlignment="1">
      <alignment horizontal="center"/>
    </xf>
    <xf numFmtId="0" fontId="10" fillId="19" borderId="6" xfId="0" applyFont="1" applyFill="1" applyBorder="1" applyAlignment="1">
      <alignment horizontal="center"/>
    </xf>
    <xf numFmtId="164" fontId="2" fillId="7" borderId="5" xfId="1" applyNumberFormat="1" applyFont="1" applyFill="1" applyBorder="1" applyAlignment="1">
      <alignment horizontal="center"/>
    </xf>
    <xf numFmtId="164" fontId="2" fillId="7" borderId="6" xfId="1" applyNumberFormat="1" applyFont="1" applyFill="1" applyBorder="1" applyAlignment="1">
      <alignment horizontal="center"/>
    </xf>
    <xf numFmtId="164" fontId="2" fillId="7" borderId="7" xfId="1" applyNumberFormat="1" applyFont="1" applyFill="1" applyBorder="1" applyAlignment="1">
      <alignment horizontal="center"/>
    </xf>
    <xf numFmtId="164" fontId="10" fillId="7" borderId="6" xfId="1" applyNumberFormat="1" applyFont="1" applyFill="1" applyBorder="1" applyAlignment="1">
      <alignment horizontal="center"/>
    </xf>
    <xf numFmtId="164" fontId="10" fillId="7" borderId="14" xfId="1" applyNumberFormat="1" applyFont="1" applyFill="1" applyBorder="1" applyAlignment="1">
      <alignment horizontal="center"/>
    </xf>
    <xf numFmtId="164" fontId="10" fillId="7" borderId="0" xfId="1" applyNumberFormat="1" applyFont="1" applyFill="1" applyBorder="1" applyAlignment="1">
      <alignment horizontal="center"/>
    </xf>
    <xf numFmtId="164" fontId="7" fillId="7" borderId="0" xfId="1" applyNumberFormat="1" applyFont="1" applyFill="1" applyBorder="1" applyAlignment="1">
      <alignment horizontal="center"/>
    </xf>
    <xf numFmtId="0" fontId="2" fillId="18" borderId="0" xfId="0" applyFont="1" applyFill="1" applyBorder="1" applyAlignment="1">
      <alignment horizontal="center"/>
    </xf>
    <xf numFmtId="0" fontId="10" fillId="7" borderId="6" xfId="0" applyFont="1" applyFill="1" applyBorder="1" applyAlignment="1">
      <alignment horizontal="center"/>
    </xf>
    <xf numFmtId="164" fontId="12" fillId="17" borderId="19" xfId="1" applyNumberFormat="1" applyFont="1" applyFill="1" applyBorder="1" applyAlignment="1">
      <alignment horizontal="center"/>
    </xf>
    <xf numFmtId="164" fontId="0" fillId="3" borderId="0" xfId="1" applyNumberFormat="1" applyFont="1" applyFill="1" applyBorder="1" applyAlignment="1">
      <alignment horizontal="center"/>
    </xf>
    <xf numFmtId="164" fontId="0" fillId="3" borderId="0" xfId="0" applyNumberForma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164" fontId="2" fillId="18" borderId="19" xfId="0" applyNumberFormat="1" applyFont="1" applyFill="1" applyBorder="1" applyAlignment="1">
      <alignment horizontal="center"/>
    </xf>
    <xf numFmtId="0" fontId="2" fillId="18" borderId="19" xfId="0" applyFont="1" applyFill="1" applyBorder="1" applyAlignment="1">
      <alignment horizontal="center"/>
    </xf>
    <xf numFmtId="0" fontId="2" fillId="18" borderId="5" xfId="0" applyFont="1" applyFill="1" applyBorder="1" applyAlignment="1">
      <alignment horizontal="center"/>
    </xf>
    <xf numFmtId="0" fontId="2" fillId="18" borderId="6" xfId="0" applyFont="1" applyFill="1" applyBorder="1" applyAlignment="1">
      <alignment horizontal="center"/>
    </xf>
    <xf numFmtId="0" fontId="2" fillId="18" borderId="7" xfId="0" applyFont="1" applyFill="1" applyBorder="1" applyAlignment="1">
      <alignment horizontal="center"/>
    </xf>
    <xf numFmtId="164" fontId="0" fillId="3" borderId="1" xfId="0" applyNumberForma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164" fontId="13" fillId="19" borderId="0" xfId="1" applyNumberFormat="1" applyFont="1" applyFill="1" applyBorder="1" applyAlignment="1">
      <alignment horizontal="center"/>
    </xf>
    <xf numFmtId="164" fontId="10" fillId="19" borderId="36" xfId="1" applyNumberFormat="1" applyFont="1" applyFill="1" applyBorder="1" applyAlignment="1">
      <alignment horizontal="center"/>
    </xf>
    <xf numFmtId="164" fontId="10" fillId="19" borderId="0" xfId="1" applyNumberFormat="1" applyFont="1" applyFill="1" applyBorder="1" applyAlignment="1">
      <alignment horizontal="center"/>
    </xf>
    <xf numFmtId="164" fontId="11" fillId="19" borderId="19" xfId="1" applyNumberFormat="1" applyFont="1" applyFill="1" applyBorder="1" applyAlignment="1">
      <alignment horizontal="center"/>
    </xf>
    <xf numFmtId="164" fontId="7" fillId="19" borderId="0" xfId="1" applyNumberFormat="1" applyFont="1" applyFill="1" applyBorder="1" applyAlignment="1">
      <alignment horizontal="center"/>
    </xf>
    <xf numFmtId="164" fontId="0" fillId="19" borderId="0" xfId="1" applyNumberFormat="1" applyFont="1" applyFill="1" applyBorder="1" applyAlignment="1">
      <alignment horizontal="center"/>
    </xf>
    <xf numFmtId="164" fontId="0" fillId="19" borderId="0" xfId="0" applyNumberFormat="1" applyFill="1" applyBorder="1" applyAlignment="1">
      <alignment horizontal="center"/>
    </xf>
    <xf numFmtId="0" fontId="0" fillId="19" borderId="0" xfId="0" applyFill="1" applyBorder="1" applyAlignment="1">
      <alignment horizontal="center"/>
    </xf>
    <xf numFmtId="164" fontId="0" fillId="19" borderId="1" xfId="0" applyNumberFormat="1" applyFill="1" applyBorder="1" applyAlignment="1">
      <alignment horizontal="center"/>
    </xf>
    <xf numFmtId="0" fontId="0" fillId="19" borderId="1" xfId="0" applyFill="1" applyBorder="1" applyAlignment="1">
      <alignment horizontal="center"/>
    </xf>
    <xf numFmtId="0" fontId="2" fillId="19" borderId="0" xfId="0" applyFont="1" applyFill="1" applyBorder="1" applyAlignment="1">
      <alignment horizontal="center"/>
    </xf>
    <xf numFmtId="0" fontId="2" fillId="19" borderId="19" xfId="0" applyFont="1" applyFill="1" applyBorder="1" applyAlignment="1">
      <alignment horizontal="center"/>
    </xf>
    <xf numFmtId="164" fontId="2" fillId="19" borderId="52" xfId="0" applyNumberFormat="1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164" fontId="2" fillId="2" borderId="19" xfId="0" applyNumberFormat="1" applyFont="1" applyFill="1" applyBorder="1" applyAlignment="1">
      <alignment horizontal="center"/>
    </xf>
    <xf numFmtId="0" fontId="2" fillId="2" borderId="19" xfId="0" applyFont="1" applyFill="1" applyBorder="1" applyAlignment="1">
      <alignment horizontal="center"/>
    </xf>
    <xf numFmtId="0" fontId="13" fillId="2" borderId="49" xfId="0" applyFont="1" applyFill="1" applyBorder="1" applyAlignment="1">
      <alignment horizontal="center"/>
    </xf>
    <xf numFmtId="0" fontId="13" fillId="2" borderId="50" xfId="0" applyFont="1" applyFill="1" applyBorder="1" applyAlignment="1">
      <alignment horizontal="center"/>
    </xf>
    <xf numFmtId="0" fontId="13" fillId="2" borderId="51" xfId="0" applyFont="1" applyFill="1" applyBorder="1" applyAlignment="1">
      <alignment horizontal="center"/>
    </xf>
    <xf numFmtId="164" fontId="13" fillId="0" borderId="0" xfId="1" applyNumberFormat="1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49" xfId="0" applyFont="1" applyFill="1" applyBorder="1" applyAlignment="1">
      <alignment horizontal="center"/>
    </xf>
    <xf numFmtId="0" fontId="13" fillId="0" borderId="50" xfId="0" applyFont="1" applyFill="1" applyBorder="1" applyAlignment="1">
      <alignment horizontal="center"/>
    </xf>
    <xf numFmtId="0" fontId="13" fillId="0" borderId="51" xfId="0" applyFont="1" applyFill="1" applyBorder="1" applyAlignment="1">
      <alignment horizontal="center"/>
    </xf>
    <xf numFmtId="164" fontId="0" fillId="2" borderId="0" xfId="1" applyNumberFormat="1" applyFont="1" applyFill="1" applyBorder="1" applyAlignment="1">
      <alignment horizontal="center"/>
    </xf>
    <xf numFmtId="164" fontId="0" fillId="2" borderId="0" xfId="0" applyNumberForma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164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164" fontId="13" fillId="0" borderId="41" xfId="1" applyNumberFormat="1" applyFont="1" applyFill="1" applyBorder="1" applyAlignment="1">
      <alignment horizontal="center"/>
    </xf>
    <xf numFmtId="164" fontId="13" fillId="0" borderId="42" xfId="1" applyNumberFormat="1" applyFont="1" applyFill="1" applyBorder="1" applyAlignment="1">
      <alignment horizontal="center"/>
    </xf>
    <xf numFmtId="164" fontId="13" fillId="0" borderId="43" xfId="1" applyNumberFormat="1" applyFont="1" applyFill="1" applyBorder="1" applyAlignment="1">
      <alignment horizontal="center"/>
    </xf>
    <xf numFmtId="164" fontId="10" fillId="2" borderId="6" xfId="1" applyNumberFormat="1" applyFont="1" applyFill="1" applyBorder="1" applyAlignment="1">
      <alignment horizontal="center"/>
    </xf>
    <xf numFmtId="0" fontId="10" fillId="2" borderId="6" xfId="0" applyFont="1" applyFill="1" applyBorder="1" applyAlignment="1">
      <alignment horizontal="center"/>
    </xf>
    <xf numFmtId="164" fontId="10" fillId="2" borderId="36" xfId="1" applyNumberFormat="1" applyFont="1" applyFill="1" applyBorder="1" applyAlignment="1">
      <alignment horizontal="center"/>
    </xf>
    <xf numFmtId="164" fontId="10" fillId="2" borderId="0" xfId="1" applyNumberFormat="1" applyFont="1" applyFill="1" applyBorder="1" applyAlignment="1">
      <alignment horizontal="center"/>
    </xf>
    <xf numFmtId="164" fontId="7" fillId="2" borderId="0" xfId="1" applyNumberFormat="1" applyFont="1" applyFill="1" applyBorder="1" applyAlignment="1">
      <alignment horizontal="center"/>
    </xf>
    <xf numFmtId="164" fontId="11" fillId="2" borderId="19" xfId="1" applyNumberFormat="1" applyFont="1" applyFill="1" applyBorder="1" applyAlignment="1">
      <alignment horizontal="center"/>
    </xf>
  </cellXfs>
  <cellStyles count="5">
    <cellStyle name="Comma" xfId="1" builtinId="3"/>
    <cellStyle name="Comma [0]" xfId="4" builtinId="6"/>
    <cellStyle name="Currency" xfId="3" builtinId="4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FEB4EC"/>
      <color rgb="FFFF6699"/>
      <color rgb="FF9966FF"/>
      <color rgb="FFC1C1FF"/>
      <color rgb="FFE5B0FA"/>
      <color rgb="FFD581F7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COVID 19, U.S. Deaths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212292213473316"/>
          <c:y val="0.15321705426356588"/>
          <c:w val="0.84732152230971125"/>
          <c:h val="0.6522160166025758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'Main Table'!$AG$21:$AG$25</c:f>
              <c:strCache>
                <c:ptCount val="5"/>
              </c:strCache>
            </c:strRef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accent4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4">
                  <a:lumMod val="75000"/>
                </a:schemeClr>
              </a:contourClr>
            </a:sp3d>
          </c:spPr>
          <c:invertIfNegative val="0"/>
          <c:val>
            <c:numRef>
              <c:f>'Main Table'!$AG$26:$AG$243</c:f>
            </c:numRef>
          </c:val>
          <c:extLst>
            <c:ext xmlns:c16="http://schemas.microsoft.com/office/drawing/2014/chart" uri="{C3380CC4-5D6E-409C-BE32-E72D297353CC}">
              <c16:uniqueId val="{00000000-A9AA-4AF3-B700-FCA548686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320301120"/>
        <c:axId val="107561136"/>
        <c:axId val="0"/>
      </c:bar3DChart>
      <c:catAx>
        <c:axId val="3203011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Days Beginning April 5, 2020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561136"/>
        <c:crosses val="autoZero"/>
        <c:auto val="1"/>
        <c:lblAlgn val="ctr"/>
        <c:lblOffset val="100"/>
        <c:noMultiLvlLbl val="0"/>
      </c:catAx>
      <c:valAx>
        <c:axId val="107561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0301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8890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COVID 19, U.S. New Cases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09953185153389"/>
          <c:y val="0.1006688353145046"/>
          <c:w val="0.84576596675415561"/>
          <c:h val="0.7331839416299377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alpha val="85000"/>
              </a:schemeClr>
            </a:solidFill>
            <a:ln w="9525" cap="flat" cmpd="sng" algn="ctr">
              <a:solidFill>
                <a:schemeClr val="accent6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6">
                  <a:lumMod val="75000"/>
                </a:schemeClr>
              </a:contourClr>
            </a:sp3d>
          </c:spPr>
          <c:invertIfNegative val="0"/>
          <c:cat>
            <c:strLit>
              <c:ptCount val="15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7</c:v>
              </c:pt>
              <c:pt idx="4">
                <c:v>14</c:v>
              </c:pt>
              <c:pt idx="5">
                <c:v>21</c:v>
              </c:pt>
              <c:pt idx="6">
                <c:v>28</c:v>
              </c:pt>
              <c:pt idx="7">
                <c:v>35</c:v>
              </c:pt>
              <c:pt idx="8">
                <c:v>42</c:v>
              </c:pt>
              <c:pt idx="9">
                <c:v>49</c:v>
              </c:pt>
              <c:pt idx="10">
                <c:v>56</c:v>
              </c:pt>
              <c:pt idx="11">
                <c:v>63</c:v>
              </c:pt>
              <c:pt idx="12">
                <c:v>70</c:v>
              </c:pt>
              <c:pt idx="13">
                <c:v>77</c:v>
              </c:pt>
              <c:pt idx="14">
                <c:v>84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'Main Table'!$Q$250:$Q$334</c15:sqref>
                  </c15:fullRef>
                </c:ext>
              </c:extLst>
              <c:f>('Main Table'!$Q$250:$Q$252,'Main Table'!$Q$256,'Main Table'!$Q$263,'Main Table'!$Q$270,'Main Table'!$Q$277,'Main Table'!$Q$284,'Main Table'!$Q$291,'Main Table'!$Q$298,'Main Table'!$Q$305,'Main Table'!$Q$312,'Main Table'!$Q$319,'Main Table'!$Q$326,'Main Table'!$Q$333)</c:f>
              <c:numCache>
                <c:formatCode>_(* #,##0_);_(* \(#,##0\);_(* "-"??_);_(@_)</c:formatCode>
                <c:ptCount val="15"/>
                <c:pt idx="0">
                  <c:v>1044818</c:v>
                </c:pt>
                <c:pt idx="1">
                  <c:v>1081278</c:v>
                </c:pt>
                <c:pt idx="2">
                  <c:v>1102886</c:v>
                </c:pt>
                <c:pt idx="3">
                  <c:v>1200631</c:v>
                </c:pt>
                <c:pt idx="4">
                  <c:v>1082360</c:v>
                </c:pt>
                <c:pt idx="5">
                  <c:v>1352100</c:v>
                </c:pt>
                <c:pt idx="6">
                  <c:v>1513946</c:v>
                </c:pt>
                <c:pt idx="7">
                  <c:v>1520043</c:v>
                </c:pt>
                <c:pt idx="8">
                  <c:v>1272285</c:v>
                </c:pt>
                <c:pt idx="9">
                  <c:v>1375212</c:v>
                </c:pt>
                <c:pt idx="10">
                  <c:v>1710516</c:v>
                </c:pt>
                <c:pt idx="11">
                  <c:v>1583203</c:v>
                </c:pt>
                <c:pt idx="12">
                  <c:v>1247237</c:v>
                </c:pt>
                <c:pt idx="13">
                  <c:v>1071582</c:v>
                </c:pt>
                <c:pt idx="14">
                  <c:v>817799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52-4684-B524-877832AA9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241305456"/>
        <c:axId val="763134224"/>
        <c:axId val="0"/>
      </c:bar3DChart>
      <c:catAx>
        <c:axId val="2413054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Days Beginning November 15, 2020</a:t>
                </a:r>
              </a:p>
            </c:rich>
          </c:tx>
          <c:layout>
            <c:manualLayout>
              <c:xMode val="edge"/>
              <c:yMode val="edge"/>
              <c:x val="0.33733226915630438"/>
              <c:y val="0.913234578785759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134224"/>
        <c:crosses val="autoZero"/>
        <c:auto val="1"/>
        <c:lblAlgn val="ctr"/>
        <c:lblOffset val="100"/>
        <c:noMultiLvlLbl val="0"/>
      </c:catAx>
      <c:valAx>
        <c:axId val="763134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1305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889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COVID 19,</a:t>
            </a:r>
            <a:r>
              <a:rPr lang="en-US" baseline="0"/>
              <a:t> U.S. Tests Performed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342825896762903"/>
          <c:y val="0.15766601686925058"/>
          <c:w val="0.86601618547681536"/>
          <c:h val="0.6411385052278301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accent1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1">
                  <a:lumMod val="75000"/>
                </a:schemeClr>
              </a:contourClr>
            </a:sp3d>
          </c:spPr>
          <c:invertIfNegative val="0"/>
          <c:val>
            <c:numRef>
              <c:f>'Main Table'!$BK$40:$BK$341</c:f>
            </c:numRef>
          </c:val>
          <c:extLst>
            <c:ext xmlns:c16="http://schemas.microsoft.com/office/drawing/2014/chart" uri="{C3380CC4-5D6E-409C-BE32-E72D297353CC}">
              <c16:uniqueId val="{00000000-82AE-4CA9-8413-8404A7510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1285091552"/>
        <c:axId val="117102864"/>
        <c:axId val="0"/>
      </c:bar3DChart>
      <c:catAx>
        <c:axId val="1285091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Days Beginning April 19, 2020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02864"/>
        <c:crosses val="autoZero"/>
        <c:auto val="0"/>
        <c:lblAlgn val="ctr"/>
        <c:lblOffset val="100"/>
        <c:noMultiLvlLbl val="0"/>
      </c:catAx>
      <c:valAx>
        <c:axId val="117102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509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8890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US New Cases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rgbClr val="C00000"/>
                </a:solidFill>
              </a:ln>
              <a:effectLst/>
            </c:spPr>
            <c:trendlineType val="linear"/>
            <c:dispRSqr val="0"/>
            <c:dispEq val="0"/>
          </c:trendline>
          <c:cat>
            <c:strLit>
              <c:ptCount val="11"/>
              <c:pt idx="0">
                <c:v>1</c:v>
              </c:pt>
              <c:pt idx="1">
                <c:v>8</c:v>
              </c:pt>
              <c:pt idx="2">
                <c:v>15</c:v>
              </c:pt>
              <c:pt idx="3">
                <c:v>22</c:v>
              </c:pt>
              <c:pt idx="4">
                <c:v>29</c:v>
              </c:pt>
              <c:pt idx="5">
                <c:v>36</c:v>
              </c:pt>
              <c:pt idx="6">
                <c:v>43</c:v>
              </c:pt>
              <c:pt idx="7">
                <c:v>50</c:v>
              </c:pt>
              <c:pt idx="8">
                <c:v>57</c:v>
              </c:pt>
              <c:pt idx="9">
                <c:v>64</c:v>
              </c:pt>
              <c:pt idx="10">
                <c:v>71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'Main Table'!$N$131:$N$201</c15:sqref>
                  </c15:fullRef>
                </c:ext>
              </c:extLst>
              <c:f>('Main Table'!$N$131,'Main Table'!$N$138,'Main Table'!$N$145,'Main Table'!$N$152,'Main Table'!$N$159,'Main Table'!$N$166,'Main Table'!$N$173,'Main Table'!$N$180,'Main Table'!$N$187,'Main Table'!$N$194,'Main Table'!$N$201)</c:f>
              <c:numCache>
                <c:formatCode>_(* #,##0_);_(* \(#,##0\);_(* "-"??_);_(@_)</c:formatCode>
                <c:ptCount val="11"/>
                <c:pt idx="0">
                  <c:v>480454</c:v>
                </c:pt>
                <c:pt idx="1">
                  <c:v>473289</c:v>
                </c:pt>
                <c:pt idx="2">
                  <c:v>440452</c:v>
                </c:pt>
                <c:pt idx="3">
                  <c:v>382362</c:v>
                </c:pt>
                <c:pt idx="4">
                  <c:v>364994</c:v>
                </c:pt>
                <c:pt idx="5">
                  <c:v>301969</c:v>
                </c:pt>
                <c:pt idx="6">
                  <c:v>298467</c:v>
                </c:pt>
                <c:pt idx="7">
                  <c:v>293265</c:v>
                </c:pt>
                <c:pt idx="8">
                  <c:v>245652</c:v>
                </c:pt>
                <c:pt idx="9">
                  <c:v>289312</c:v>
                </c:pt>
                <c:pt idx="10">
                  <c:v>290088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8E-4DBC-B59C-002FB23B63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2033567856"/>
        <c:axId val="543524000"/>
      </c:barChart>
      <c:catAx>
        <c:axId val="2033567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For Weeks Ending July 19 through September</a:t>
                </a:r>
                <a:r>
                  <a:rPr lang="en-US" sz="1000" b="1" baseline="0"/>
                  <a:t> 13</a:t>
                </a:r>
                <a:r>
                  <a:rPr lang="en-US" sz="1000" b="1"/>
                  <a:t>, 2020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3524000"/>
        <c:crosses val="autoZero"/>
        <c:auto val="1"/>
        <c:lblAlgn val="ctr"/>
        <c:lblOffset val="100"/>
        <c:noMultiLvlLbl val="0"/>
      </c:catAx>
      <c:valAx>
        <c:axId val="543524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Number of New Cases per Week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33567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0070C0"/>
                </a:solidFill>
              </a:rPr>
              <a:t>Herd Immunity Factor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6"/>
          <c:order val="6"/>
          <c:tx>
            <c:strRef>
              <c:f>'Main Table'!$BA$871:$BA$875</c:f>
              <c:strCache>
                <c:ptCount val="5"/>
                <c:pt idx="1">
                  <c:v>Herd Immunity Factor</c:v>
                </c:pt>
                <c:pt idx="2">
                  <c:v> Cumulative Cases </c:v>
                </c:pt>
                <c:pt idx="3">
                  <c:v> (a) </c:v>
                </c:pt>
                <c:pt idx="4">
                  <c:v>Recorded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Table'!$AS$876:$AT$881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Table'!$BA$876:$BA$881</c:f>
              <c:numCache>
                <c:formatCode>_(* #,##0_);_(* \(#,##0\);_(* "-"??_);_(@_)</c:formatCode>
                <c:ptCount val="6"/>
                <c:pt idx="0">
                  <c:v>6826001</c:v>
                </c:pt>
                <c:pt idx="1">
                  <c:v>9935229</c:v>
                </c:pt>
                <c:pt idx="2">
                  <c:v>26719787</c:v>
                </c:pt>
                <c:pt idx="3">
                  <c:v>30917716</c:v>
                </c:pt>
                <c:pt idx="4">
                  <c:v>17702720</c:v>
                </c:pt>
                <c:pt idx="5">
                  <c:v>18127951.649189189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622-49B6-BF00-178C0E067969}"/>
            </c:ext>
          </c:extLst>
        </c:ser>
        <c:ser>
          <c:idx val="8"/>
          <c:order val="8"/>
          <c:tx>
            <c:strRef>
              <c:f>'Main Table'!$BC$871:$BC$875</c:f>
              <c:strCache>
                <c:ptCount val="5"/>
                <c:pt idx="1">
                  <c:v>Herd Immunity Factor</c:v>
                </c:pt>
                <c:pt idx="2">
                  <c:v> Cumulative Cases </c:v>
                </c:pt>
                <c:pt idx="3">
                  <c:v>. +   (b)</c:v>
                </c:pt>
                <c:pt idx="4">
                  <c:v>Theoretical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Table'!$AS$876:$AT$881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Table'!$BC$876:$BC$881</c:f>
              <c:numCache>
                <c:formatCode>_(* #,##0_);_(* \(#,##0\);_(* "-"??_);_(@_)</c:formatCode>
                <c:ptCount val="6"/>
                <c:pt idx="0">
                  <c:v>61434009</c:v>
                </c:pt>
                <c:pt idx="1">
                  <c:v>73870921</c:v>
                </c:pt>
                <c:pt idx="2">
                  <c:v>59096736.800000004</c:v>
                </c:pt>
                <c:pt idx="3">
                  <c:v>48754807.859999992</c:v>
                </c:pt>
                <c:pt idx="4">
                  <c:v>36659557</c:v>
                </c:pt>
                <c:pt idx="5">
                  <c:v>45167742.416846842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622-49B6-BF00-178C0E067969}"/>
            </c:ext>
          </c:extLst>
        </c:ser>
        <c:ser>
          <c:idx val="15"/>
          <c:order val="15"/>
          <c:tx>
            <c:strRef>
              <c:f>'Main Table'!$BJ$871:$BJ$875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6">
                <a:lumMod val="5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Table'!$AS$876:$AT$881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Table'!$BJ$876:$BJ$880</c:f>
            </c:numRef>
          </c:val>
          <c:extLst>
            <c:ext xmlns:c16="http://schemas.microsoft.com/office/drawing/2014/chart" uri="{C3380CC4-5D6E-409C-BE32-E72D297353CC}">
              <c16:uniqueId val="{0000000F-C622-49B6-BF00-178C0E067969}"/>
            </c:ext>
          </c:extLst>
        </c:ser>
        <c:ser>
          <c:idx val="16"/>
          <c:order val="16"/>
          <c:tx>
            <c:strRef>
              <c:f>'Main Table'!$BK$871:$BK$875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5">
                <a:lumMod val="5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Table'!$AS$876:$AT$881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Table'!$BK$876:$BK$880</c:f>
            </c:numRef>
          </c:val>
          <c:extLst>
            <c:ext xmlns:c16="http://schemas.microsoft.com/office/drawing/2014/chart" uri="{C3380CC4-5D6E-409C-BE32-E72D297353CC}">
              <c16:uniqueId val="{00000010-C622-49B6-BF00-178C0E067969}"/>
            </c:ext>
          </c:extLst>
        </c:ser>
        <c:ser>
          <c:idx val="17"/>
          <c:order val="17"/>
          <c:tx>
            <c:strRef>
              <c:f>'Main Table'!$BL$871:$BL$875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4">
                <a:lumMod val="5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Table'!$AS$876:$AT$881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Table'!$BL$876:$BL$880</c:f>
            </c:numRef>
          </c:val>
          <c:extLst>
            <c:ext xmlns:c16="http://schemas.microsoft.com/office/drawing/2014/chart" uri="{C3380CC4-5D6E-409C-BE32-E72D297353CC}">
              <c16:uniqueId val="{00000011-C622-49B6-BF00-178C0E067969}"/>
            </c:ext>
          </c:extLst>
        </c:ser>
        <c:ser>
          <c:idx val="18"/>
          <c:order val="18"/>
          <c:tx>
            <c:strRef>
              <c:f>'Main Table'!$BM$871:$BM$875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6">
                <a:lumMod val="70000"/>
                <a:lumOff val="3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Table'!$AS$876:$AT$881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Table'!$BM$876:$BM$880</c:f>
            </c:numRef>
          </c:val>
          <c:extLst>
            <c:ext xmlns:c16="http://schemas.microsoft.com/office/drawing/2014/chart" uri="{C3380CC4-5D6E-409C-BE32-E72D297353CC}">
              <c16:uniqueId val="{00000012-C622-49B6-BF00-178C0E067969}"/>
            </c:ext>
          </c:extLst>
        </c:ser>
        <c:ser>
          <c:idx val="21"/>
          <c:order val="21"/>
          <c:tx>
            <c:strRef>
              <c:f>'Main Table'!$BP$871:$BP$875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Cunulative</c:v>
                </c:pt>
              </c:strCache>
            </c:strRef>
          </c:tx>
          <c:spPr>
            <a:solidFill>
              <a:schemeClr val="accent6">
                <a:lumMod val="7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Table'!$AS$876:$AT$881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Table'!$BP$876:$BP$881</c:f>
              <c:numCache>
                <c:formatCode>_(* #,##0_);_(* \(#,##0\);_(* "-"??_);_(@_)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19060000</c:v>
                </c:pt>
                <c:pt idx="3">
                  <c:v>53420000</c:v>
                </c:pt>
                <c:pt idx="4">
                  <c:v>164760000</c:v>
                </c:pt>
                <c:pt idx="5">
                  <c:v>203610000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C622-49B6-BF00-178C0E0679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7872127"/>
        <c:axId val="1497875039"/>
        <c:extLst>
          <c:ext xmlns:c15="http://schemas.microsoft.com/office/drawing/2012/chart" uri="{02D57815-91ED-43cb-92C2-25804820EDAC}">
            <c15:filteredArea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'Main Table'!$AU$871:$AU$875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6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>
                      <c:ext uri="{02D57815-91ED-43cb-92C2-25804820EDAC}">
                        <c15:formulaRef>
                          <c15:sqref>'Main Table'!$AS$876:$AT$881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'Main Table'!$AU$876:$AU$881</c15:sqref>
                        </c15:formulaRef>
                      </c:ext>
                    </c:extLst>
                    <c:numCache>
                      <c:formatCode>General</c:formatCode>
                      <c:ptCount val="6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C622-49B6-BF00-178C0E067969}"/>
                  </c:ext>
                </c:extLst>
              </c15:ser>
            </c15:filteredAreaSeries>
            <c15:filteredArea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Table'!$AV$871:$AV$875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5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Table'!$AS$876:$AT$881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Table'!$AV$876:$AV$880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C622-49B6-BF00-178C0E067969}"/>
                  </c:ext>
                </c:extLst>
              </c15:ser>
            </c15:filteredAreaSeries>
            <c15:filteredArea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Table'!$AW$871:$AW$875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4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Table'!$AS$876:$AT$881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Table'!$AW$876:$AW$880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C622-49B6-BF00-178C0E067969}"/>
                  </c:ext>
                </c:extLst>
              </c15:ser>
            </c15:filteredAreaSeries>
            <c15:filteredArea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Table'!$AX$871:$AX$875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Table'!$AS$876:$AT$881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Table'!$AX$876:$AX$880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C622-49B6-BF00-178C0E067969}"/>
                  </c:ext>
                </c:extLst>
              </c15:ser>
            </c15:filteredAreaSeries>
            <c15:filteredArea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Table'!$AY$871:$AY$875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Table'!$AS$876:$AT$881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Table'!$AY$876:$AY$880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C622-49B6-BF00-178C0E067969}"/>
                  </c:ext>
                </c:extLst>
              </c15:ser>
            </c15:filteredAreaSeries>
            <c15:filteredArea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Table'!$AZ$871:$AZ$875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Table'!$AS$876:$AT$881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Table'!$AZ$876:$AZ$880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C622-49B6-BF00-178C0E067969}"/>
                  </c:ext>
                </c:extLst>
              </c15:ser>
            </c15:filteredAreaSeries>
            <c15:filteredArea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Table'!$BB$871:$BB$875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 (a) </c:v>
                      </c:pt>
                      <c:pt idx="4">
                        <c:v>Recorded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  <a:lumOff val="2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Table'!$AS$876:$AT$881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Table'!$BB$876:$BB$880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C622-49B6-BF00-178C0E067969}"/>
                  </c:ext>
                </c:extLst>
              </c15:ser>
            </c15:filteredAreaSeries>
            <c15:filteredArea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Table'!$BD$871:$BD$875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. +   (b)</c:v>
                      </c:pt>
                      <c:pt idx="4">
                        <c:v>Theoretical</c:v>
                      </c:pt>
                    </c:strCache>
                  </c:strRef>
                </c:tx>
                <c:spPr>
                  <a:solidFill>
                    <a:schemeClr val="accent6">
                      <a:lumMod val="8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Table'!$AS$876:$AT$881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Table'!$BD$876:$BD$880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C622-49B6-BF00-178C0E067969}"/>
                  </c:ext>
                </c:extLst>
              </c15:ser>
            </c15:filteredAreaSeries>
            <c15:filteredArea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Table'!$BE$871:$BE$875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=  ( c)</c:v>
                      </c:pt>
                      <c:pt idx="4">
                        <c:v>Total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Table'!$AS$876:$AT$881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Table'!$BE$876:$BE$880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68260010</c:v>
                      </c:pt>
                      <c:pt idx="1">
                        <c:v>83806150</c:v>
                      </c:pt>
                      <c:pt idx="2">
                        <c:v>100590708</c:v>
                      </c:pt>
                      <c:pt idx="3">
                        <c:v>104788637</c:v>
                      </c:pt>
                      <c:pt idx="4">
                        <c:v>54362277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C622-49B6-BF00-178C0E067969}"/>
                  </c:ext>
                </c:extLst>
              </c15:ser>
            </c15:filteredAreaSeries>
            <c15:filteredArea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Table'!$BF$871:$BF$875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=  ( c)</c:v>
                      </c:pt>
                      <c:pt idx="4">
                        <c:v>Total</c:v>
                      </c:pt>
                    </c:strCache>
                  </c:strRef>
                </c:tx>
                <c:spPr>
                  <a:solidFill>
                    <a:schemeClr val="accent4">
                      <a:lumMod val="8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Table'!$AS$876:$AT$881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Table'!$BF$876:$BF$880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C622-49B6-BF00-178C0E067969}"/>
                  </c:ext>
                </c:extLst>
              </c15:ser>
            </c15:filteredAreaSeries>
            <c15:filteredArea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Table'!$BG$871:$BG$875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Vaccinations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  <a:lumOff val="4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Table'!$AS$876:$AT$881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Table'!$BG$876:$BG$880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19060000</c:v>
                      </c:pt>
                      <c:pt idx="3">
                        <c:v>34360000</c:v>
                      </c:pt>
                      <c:pt idx="4">
                        <c:v>111340000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C622-49B6-BF00-178C0E067969}"/>
                  </c:ext>
                </c:extLst>
              </c15:ser>
            </c15:filteredAreaSeries>
            <c15:filteredArea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Table'!$BH$871:$BH$875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Vaccinations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  <a:lumOff val="4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Table'!$AS$876:$AT$881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Table'!$BH$876:$BH$880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C622-49B6-BF00-178C0E067969}"/>
                  </c:ext>
                </c:extLst>
              </c15:ser>
            </c15:filteredAreaSeries>
            <c15:filteredArea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Table'!$BI$871:$BI$875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Double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  <a:lumOff val="4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Table'!$AS$876:$AT$881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Table'!$BI$876:$BI$880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C622-49B6-BF00-178C0E067969}"/>
                  </c:ext>
                </c:extLst>
              </c15:ser>
            </c15:filteredAreaSeries>
            <c15:filteredAreaSeries>
              <c15:ser>
                <c:idx val="19"/>
                <c:order val="1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Table'!$BN$871:$BN$875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Double</c:v>
                      </c:pt>
                    </c:strCache>
                  </c:strRef>
                </c:tx>
                <c:spPr>
                  <a:solidFill>
                    <a:schemeClr val="accent5">
                      <a:lumMod val="70000"/>
                      <a:lumOff val="3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Table'!$AS$876:$AT$881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Table'!$BN$876:$BN$880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C622-49B6-BF00-178C0E067969}"/>
                  </c:ext>
                </c:extLst>
              </c15:ser>
            </c15:filteredAreaSeries>
            <c15:filteredAreaSeries>
              <c15:ser>
                <c:idx val="20"/>
                <c:order val="2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Table'!$BO$871:$BO$875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Double</c:v>
                      </c:pt>
                    </c:strCache>
                  </c:strRef>
                </c:tx>
                <c:spPr>
                  <a:solidFill>
                    <a:schemeClr val="accent4">
                      <a:lumMod val="70000"/>
                      <a:lumOff val="3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Table'!$AS$876:$AT$881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Table'!$BO$876:$BO$880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C622-49B6-BF00-178C0E067969}"/>
                  </c:ext>
                </c:extLst>
              </c15:ser>
            </c15:filteredAreaSeries>
            <c15:filteredAreaSeries>
              <c15:ser>
                <c:idx val="22"/>
                <c:order val="2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Table'!$BQ$871:$BQ$875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Cunulative</c:v>
                      </c:pt>
                    </c:strCache>
                  </c:strRef>
                </c:tx>
                <c:spPr>
                  <a:solidFill>
                    <a:schemeClr val="accent5">
                      <a:lumMod val="7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Table'!$AS$876:$AT$881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Table'!$BQ$876:$BQ$880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6-C622-49B6-BF00-178C0E067969}"/>
                  </c:ext>
                </c:extLst>
              </c15:ser>
            </c15:filteredAreaSeries>
            <c15:filteredAreaSeries>
              <c15:ser>
                <c:idx val="23"/>
                <c:order val="2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Table'!$BR$871:$BR$875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4">
                      <a:lumMod val="7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Table'!$AS$876:$AT$881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Table'!$BR$876:$BR$880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68260010</c:v>
                      </c:pt>
                      <c:pt idx="1">
                        <c:v>83806150</c:v>
                      </c:pt>
                      <c:pt idx="2">
                        <c:v>119650708</c:v>
                      </c:pt>
                      <c:pt idx="3">
                        <c:v>158208637</c:v>
                      </c:pt>
                      <c:pt idx="4">
                        <c:v>219122277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7-C622-49B6-BF00-178C0E067969}"/>
                  </c:ext>
                </c:extLst>
              </c15:ser>
            </c15:filteredAreaSeries>
            <c15:filteredAreaSeries>
              <c15:ser>
                <c:idx val="24"/>
                <c:order val="2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Table'!$BS$871:$BS$875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6">
                      <a:lumMod val="50000"/>
                      <a:lumOff val="5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Table'!$AS$876:$AT$881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Table'!$BS$876:$BS$880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8-C622-49B6-BF00-178C0E067969}"/>
                  </c:ext>
                </c:extLst>
              </c15:ser>
            </c15:filteredAreaSeries>
            <c15:filteredAreaSeries>
              <c15:ser>
                <c:idx val="25"/>
                <c:order val="2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Table'!$BT$871:$BT$875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5">
                      <a:lumMod val="50000"/>
                      <a:lumOff val="50000"/>
                      <a:alpha val="85000"/>
                    </a:schemeClr>
                  </a:solidFill>
                  <a:ln w="25400"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Table'!$AS$876:$AT$881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Table'!$BR$876:$BR$881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6"/>
                      <c:pt idx="0">
                        <c:v>68260010</c:v>
                      </c:pt>
                      <c:pt idx="1">
                        <c:v>83806150</c:v>
                      </c:pt>
                      <c:pt idx="2">
                        <c:v>119650708</c:v>
                      </c:pt>
                      <c:pt idx="3">
                        <c:v>158208637</c:v>
                      </c:pt>
                      <c:pt idx="4">
                        <c:v>219122277</c:v>
                      </c:pt>
                      <c:pt idx="5">
                        <c:v>266905694.06603605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9-C622-49B6-BF00-178C0E067969}"/>
                  </c:ext>
                </c:extLst>
              </c15:ser>
            </c15:filteredAreaSeries>
            <c15:filteredAreaSeries>
              <c15:ser>
                <c:idx val="26"/>
                <c:order val="2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Table'!$BU$871:$BU$875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4">
                      <a:lumMod val="50000"/>
                      <a:lumOff val="5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Table'!$AS$876:$AT$881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Table'!$BU$876:$BU$880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A-C622-49B6-BF00-178C0E067969}"/>
                  </c:ext>
                </c:extLst>
              </c15:ser>
            </c15:filteredAreaSeries>
            <c15:filteredAreaSeries>
              <c15:ser>
                <c:idx val="27"/>
                <c:order val="2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Table'!$BV$871:$BV$875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6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Table'!$AS$876:$AT$881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Table'!$BV$876:$BV$880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B-C622-49B6-BF00-178C0E067969}"/>
                  </c:ext>
                </c:extLst>
              </c15:ser>
            </c15:filteredAreaSeries>
          </c:ext>
        </c:extLst>
      </c:areaChart>
      <c:catAx>
        <c:axId val="14978721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7875039"/>
        <c:crosses val="autoZero"/>
        <c:auto val="0"/>
        <c:lblAlgn val="ctr"/>
        <c:lblOffset val="100"/>
        <c:noMultiLvlLbl val="0"/>
      </c:catAx>
      <c:valAx>
        <c:axId val="1497875039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787212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811751043275182"/>
          <c:y val="0.82107966786527531"/>
          <c:w val="0.73451571187313103"/>
          <c:h val="0.1594461354453380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Reversed" id="24">
  <a:schemeClr val="accent4"/>
</cs:colorStyle>
</file>

<file path=xl/charts/colors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79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effectLst>
        <a:innerShdw dist="12700" dir="16200000">
          <a:schemeClr val="lt1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effectLst>
        <a:innerShdw dist="12700" dir="16200000">
          <a:schemeClr val="lt1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91</xdr:col>
      <xdr:colOff>259080</xdr:colOff>
      <xdr:row>4</xdr:row>
      <xdr:rowOff>60960</xdr:rowOff>
    </xdr:from>
    <xdr:to>
      <xdr:col>91</xdr:col>
      <xdr:colOff>342900</xdr:colOff>
      <xdr:row>4</xdr:row>
      <xdr:rowOff>175260</xdr:rowOff>
    </xdr:to>
    <xdr:sp macro="" textlink="">
      <xdr:nvSpPr>
        <xdr:cNvPr id="4" name="Arrow: Down 3">
          <a:extLst>
            <a:ext uri="{FF2B5EF4-FFF2-40B4-BE49-F238E27FC236}">
              <a16:creationId xmlns:a16="http://schemas.microsoft.com/office/drawing/2014/main" id="{7BB724AA-2997-4487-9D13-52A765C5F08E}"/>
            </a:ext>
          </a:extLst>
        </xdr:cNvPr>
        <xdr:cNvSpPr/>
      </xdr:nvSpPr>
      <xdr:spPr>
        <a:xfrm>
          <a:off x="16908780" y="670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91</xdr:col>
      <xdr:colOff>274320</xdr:colOff>
      <xdr:row>5</xdr:row>
      <xdr:rowOff>76200</xdr:rowOff>
    </xdr:from>
    <xdr:to>
      <xdr:col>91</xdr:col>
      <xdr:colOff>358140</xdr:colOff>
      <xdr:row>6</xdr:row>
      <xdr:rowOff>7620</xdr:rowOff>
    </xdr:to>
    <xdr:sp macro="" textlink="">
      <xdr:nvSpPr>
        <xdr:cNvPr id="12" name="Arrow: Down 11">
          <a:extLst>
            <a:ext uri="{FF2B5EF4-FFF2-40B4-BE49-F238E27FC236}">
              <a16:creationId xmlns:a16="http://schemas.microsoft.com/office/drawing/2014/main" id="{9C9BC6A7-F98F-4545-B362-C33CEA8794F1}"/>
            </a:ext>
          </a:extLst>
        </xdr:cNvPr>
        <xdr:cNvSpPr/>
      </xdr:nvSpPr>
      <xdr:spPr>
        <a:xfrm rot="10800000">
          <a:off x="16924020" y="86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91</xdr:col>
      <xdr:colOff>289560</xdr:colOff>
      <xdr:row>7</xdr:row>
      <xdr:rowOff>45720</xdr:rowOff>
    </xdr:from>
    <xdr:to>
      <xdr:col>91</xdr:col>
      <xdr:colOff>449580</xdr:colOff>
      <xdr:row>8</xdr:row>
      <xdr:rowOff>30480</xdr:rowOff>
    </xdr:to>
    <xdr:sp macro="" textlink="">
      <xdr:nvSpPr>
        <xdr:cNvPr id="13" name="Minus Sign 12">
          <a:extLst>
            <a:ext uri="{FF2B5EF4-FFF2-40B4-BE49-F238E27FC236}">
              <a16:creationId xmlns:a16="http://schemas.microsoft.com/office/drawing/2014/main" id="{D63F33E3-BC66-44CE-BA9B-CCC003B42CE2}"/>
            </a:ext>
          </a:extLst>
        </xdr:cNvPr>
        <xdr:cNvSpPr/>
      </xdr:nvSpPr>
      <xdr:spPr>
        <a:xfrm>
          <a:off x="16939260" y="12039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15</xdr:row>
      <xdr:rowOff>0</xdr:rowOff>
    </xdr:from>
    <xdr:to>
      <xdr:col>45</xdr:col>
      <xdr:colOff>83820</xdr:colOff>
      <xdr:row>15</xdr:row>
      <xdr:rowOff>114300</xdr:rowOff>
    </xdr:to>
    <xdr:sp macro="" textlink="">
      <xdr:nvSpPr>
        <xdr:cNvPr id="26" name="Arrow: Down 25">
          <a:extLst>
            <a:ext uri="{FF2B5EF4-FFF2-40B4-BE49-F238E27FC236}">
              <a16:creationId xmlns:a16="http://schemas.microsoft.com/office/drawing/2014/main" id="{97BEA482-DB5A-473A-AB49-0BD9D6ACEB8C}"/>
            </a:ext>
          </a:extLst>
        </xdr:cNvPr>
        <xdr:cNvSpPr/>
      </xdr:nvSpPr>
      <xdr:spPr>
        <a:xfrm rot="10800000">
          <a:off x="9113520" y="2621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</xdr:row>
      <xdr:rowOff>0</xdr:rowOff>
    </xdr:from>
    <xdr:to>
      <xdr:col>45</xdr:col>
      <xdr:colOff>83820</xdr:colOff>
      <xdr:row>16</xdr:row>
      <xdr:rowOff>114300</xdr:rowOff>
    </xdr:to>
    <xdr:sp macro="" textlink="">
      <xdr:nvSpPr>
        <xdr:cNvPr id="28" name="Arrow: Down 27">
          <a:extLst>
            <a:ext uri="{FF2B5EF4-FFF2-40B4-BE49-F238E27FC236}">
              <a16:creationId xmlns:a16="http://schemas.microsoft.com/office/drawing/2014/main" id="{DCF34EAD-2461-407F-838A-A52984687A9D}"/>
            </a:ext>
          </a:extLst>
        </xdr:cNvPr>
        <xdr:cNvSpPr/>
      </xdr:nvSpPr>
      <xdr:spPr>
        <a:xfrm rot="10800000">
          <a:off x="9113520" y="2804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</xdr:row>
      <xdr:rowOff>0</xdr:rowOff>
    </xdr:from>
    <xdr:to>
      <xdr:col>45</xdr:col>
      <xdr:colOff>83820</xdr:colOff>
      <xdr:row>17</xdr:row>
      <xdr:rowOff>114300</xdr:rowOff>
    </xdr:to>
    <xdr:sp macro="" textlink="">
      <xdr:nvSpPr>
        <xdr:cNvPr id="29" name="Arrow: Down 28">
          <a:extLst>
            <a:ext uri="{FF2B5EF4-FFF2-40B4-BE49-F238E27FC236}">
              <a16:creationId xmlns:a16="http://schemas.microsoft.com/office/drawing/2014/main" id="{FD8235BE-CFF9-4299-B928-3B84C81A3764}"/>
            </a:ext>
          </a:extLst>
        </xdr:cNvPr>
        <xdr:cNvSpPr/>
      </xdr:nvSpPr>
      <xdr:spPr>
        <a:xfrm rot="10800000">
          <a:off x="9113520" y="2987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</xdr:row>
      <xdr:rowOff>0</xdr:rowOff>
    </xdr:from>
    <xdr:to>
      <xdr:col>45</xdr:col>
      <xdr:colOff>83820</xdr:colOff>
      <xdr:row>18</xdr:row>
      <xdr:rowOff>114300</xdr:rowOff>
    </xdr:to>
    <xdr:sp macro="" textlink="">
      <xdr:nvSpPr>
        <xdr:cNvPr id="30" name="Arrow: Down 29">
          <a:extLst>
            <a:ext uri="{FF2B5EF4-FFF2-40B4-BE49-F238E27FC236}">
              <a16:creationId xmlns:a16="http://schemas.microsoft.com/office/drawing/2014/main" id="{A9D1558D-2A28-4426-BF6F-062B3564FF70}"/>
            </a:ext>
          </a:extLst>
        </xdr:cNvPr>
        <xdr:cNvSpPr/>
      </xdr:nvSpPr>
      <xdr:spPr>
        <a:xfrm rot="10800000">
          <a:off x="911352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</xdr:row>
      <xdr:rowOff>0</xdr:rowOff>
    </xdr:from>
    <xdr:to>
      <xdr:col>45</xdr:col>
      <xdr:colOff>83820</xdr:colOff>
      <xdr:row>19</xdr:row>
      <xdr:rowOff>114300</xdr:rowOff>
    </xdr:to>
    <xdr:sp macro="" textlink="">
      <xdr:nvSpPr>
        <xdr:cNvPr id="31" name="Arrow: Down 30">
          <a:extLst>
            <a:ext uri="{FF2B5EF4-FFF2-40B4-BE49-F238E27FC236}">
              <a16:creationId xmlns:a16="http://schemas.microsoft.com/office/drawing/2014/main" id="{84DA76D7-2B44-4F34-9C1F-ACCD6BA0A496}"/>
            </a:ext>
          </a:extLst>
        </xdr:cNvPr>
        <xdr:cNvSpPr/>
      </xdr:nvSpPr>
      <xdr:spPr>
        <a:xfrm rot="10800000">
          <a:off x="9113520" y="3352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92</xdr:col>
      <xdr:colOff>281940</xdr:colOff>
      <xdr:row>5</xdr:row>
      <xdr:rowOff>45720</xdr:rowOff>
    </xdr:from>
    <xdr:to>
      <xdr:col>92</xdr:col>
      <xdr:colOff>365760</xdr:colOff>
      <xdr:row>5</xdr:row>
      <xdr:rowOff>160020</xdr:rowOff>
    </xdr:to>
    <xdr:sp macro="" textlink="">
      <xdr:nvSpPr>
        <xdr:cNvPr id="34" name="Arrow: Down 33">
          <a:extLst>
            <a:ext uri="{FF2B5EF4-FFF2-40B4-BE49-F238E27FC236}">
              <a16:creationId xmlns:a16="http://schemas.microsoft.com/office/drawing/2014/main" id="{87FD0F4F-F588-464D-8458-F34D18AA5EDE}"/>
            </a:ext>
          </a:extLst>
        </xdr:cNvPr>
        <xdr:cNvSpPr/>
      </xdr:nvSpPr>
      <xdr:spPr>
        <a:xfrm>
          <a:off x="17541240" y="83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</xdr:row>
      <xdr:rowOff>0</xdr:rowOff>
    </xdr:from>
    <xdr:to>
      <xdr:col>45</xdr:col>
      <xdr:colOff>83820</xdr:colOff>
      <xdr:row>20</xdr:row>
      <xdr:rowOff>114300</xdr:rowOff>
    </xdr:to>
    <xdr:sp macro="" textlink="">
      <xdr:nvSpPr>
        <xdr:cNvPr id="20" name="Arrow: Down 19">
          <a:extLst>
            <a:ext uri="{FF2B5EF4-FFF2-40B4-BE49-F238E27FC236}">
              <a16:creationId xmlns:a16="http://schemas.microsoft.com/office/drawing/2014/main" id="{38421014-4587-4781-946A-3D4A80382EB1}"/>
            </a:ext>
          </a:extLst>
        </xdr:cNvPr>
        <xdr:cNvSpPr/>
      </xdr:nvSpPr>
      <xdr:spPr>
        <a:xfrm rot="10800000">
          <a:off x="9296400" y="3352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</xdr:row>
      <xdr:rowOff>0</xdr:rowOff>
    </xdr:from>
    <xdr:to>
      <xdr:col>45</xdr:col>
      <xdr:colOff>83820</xdr:colOff>
      <xdr:row>21</xdr:row>
      <xdr:rowOff>114300</xdr:rowOff>
    </xdr:to>
    <xdr:sp macro="" textlink="">
      <xdr:nvSpPr>
        <xdr:cNvPr id="38" name="Arrow: Down 37">
          <a:extLst>
            <a:ext uri="{FF2B5EF4-FFF2-40B4-BE49-F238E27FC236}">
              <a16:creationId xmlns:a16="http://schemas.microsoft.com/office/drawing/2014/main" id="{036ABE79-DA98-4599-BC86-BDFBF984BFB0}"/>
            </a:ext>
          </a:extLst>
        </xdr:cNvPr>
        <xdr:cNvSpPr/>
      </xdr:nvSpPr>
      <xdr:spPr>
        <a:xfrm rot="10800000">
          <a:off x="9296400" y="3535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</xdr:row>
      <xdr:rowOff>0</xdr:rowOff>
    </xdr:from>
    <xdr:to>
      <xdr:col>45</xdr:col>
      <xdr:colOff>83820</xdr:colOff>
      <xdr:row>22</xdr:row>
      <xdr:rowOff>114300</xdr:rowOff>
    </xdr:to>
    <xdr:sp macro="" textlink="">
      <xdr:nvSpPr>
        <xdr:cNvPr id="35" name="Arrow: Down 34">
          <a:extLst>
            <a:ext uri="{FF2B5EF4-FFF2-40B4-BE49-F238E27FC236}">
              <a16:creationId xmlns:a16="http://schemas.microsoft.com/office/drawing/2014/main" id="{1A4EAEE9-2269-4A97-A6BA-05C97A2E74EB}"/>
            </a:ext>
          </a:extLst>
        </xdr:cNvPr>
        <xdr:cNvSpPr/>
      </xdr:nvSpPr>
      <xdr:spPr>
        <a:xfrm rot="10800000">
          <a:off x="9364980" y="3718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92</xdr:col>
      <xdr:colOff>274320</xdr:colOff>
      <xdr:row>4</xdr:row>
      <xdr:rowOff>22860</xdr:rowOff>
    </xdr:from>
    <xdr:to>
      <xdr:col>92</xdr:col>
      <xdr:colOff>358140</xdr:colOff>
      <xdr:row>4</xdr:row>
      <xdr:rowOff>137160</xdr:rowOff>
    </xdr:to>
    <xdr:sp macro="" textlink="">
      <xdr:nvSpPr>
        <xdr:cNvPr id="44" name="Arrow: Down 43">
          <a:extLst>
            <a:ext uri="{FF2B5EF4-FFF2-40B4-BE49-F238E27FC236}">
              <a16:creationId xmlns:a16="http://schemas.microsoft.com/office/drawing/2014/main" id="{94F8C43D-030C-41BC-947E-4C3FED4BB2E3}"/>
            </a:ext>
          </a:extLst>
        </xdr:cNvPr>
        <xdr:cNvSpPr/>
      </xdr:nvSpPr>
      <xdr:spPr>
        <a:xfrm flipH="1" flipV="1">
          <a:off x="17533620" y="632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</xdr:row>
      <xdr:rowOff>0</xdr:rowOff>
    </xdr:from>
    <xdr:to>
      <xdr:col>39</xdr:col>
      <xdr:colOff>83820</xdr:colOff>
      <xdr:row>17</xdr:row>
      <xdr:rowOff>114300</xdr:rowOff>
    </xdr:to>
    <xdr:sp macro="" textlink="">
      <xdr:nvSpPr>
        <xdr:cNvPr id="61" name="Arrow: Down 60">
          <a:extLst>
            <a:ext uri="{FF2B5EF4-FFF2-40B4-BE49-F238E27FC236}">
              <a16:creationId xmlns:a16="http://schemas.microsoft.com/office/drawing/2014/main" id="{3978773A-558E-4F92-880E-45B921ED01DF}"/>
            </a:ext>
          </a:extLst>
        </xdr:cNvPr>
        <xdr:cNvSpPr/>
      </xdr:nvSpPr>
      <xdr:spPr>
        <a:xfrm flipH="1" flipV="1">
          <a:off x="7680960" y="2987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</xdr:row>
      <xdr:rowOff>0</xdr:rowOff>
    </xdr:from>
    <xdr:to>
      <xdr:col>39</xdr:col>
      <xdr:colOff>83820</xdr:colOff>
      <xdr:row>18</xdr:row>
      <xdr:rowOff>114300</xdr:rowOff>
    </xdr:to>
    <xdr:sp macro="" textlink="">
      <xdr:nvSpPr>
        <xdr:cNvPr id="63" name="Arrow: Down 62">
          <a:extLst>
            <a:ext uri="{FF2B5EF4-FFF2-40B4-BE49-F238E27FC236}">
              <a16:creationId xmlns:a16="http://schemas.microsoft.com/office/drawing/2014/main" id="{5A1C8C26-F18E-49B0-8F25-012188B1AA86}"/>
            </a:ext>
          </a:extLst>
        </xdr:cNvPr>
        <xdr:cNvSpPr/>
      </xdr:nvSpPr>
      <xdr:spPr>
        <a:xfrm flipH="1" flipV="1">
          <a:off x="768096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</xdr:row>
      <xdr:rowOff>0</xdr:rowOff>
    </xdr:from>
    <xdr:to>
      <xdr:col>39</xdr:col>
      <xdr:colOff>83820</xdr:colOff>
      <xdr:row>20</xdr:row>
      <xdr:rowOff>114300</xdr:rowOff>
    </xdr:to>
    <xdr:sp macro="" textlink="">
      <xdr:nvSpPr>
        <xdr:cNvPr id="65" name="Arrow: Down 64">
          <a:extLst>
            <a:ext uri="{FF2B5EF4-FFF2-40B4-BE49-F238E27FC236}">
              <a16:creationId xmlns:a16="http://schemas.microsoft.com/office/drawing/2014/main" id="{E0408061-5005-407F-89E8-3B4C559E8C32}"/>
            </a:ext>
          </a:extLst>
        </xdr:cNvPr>
        <xdr:cNvSpPr/>
      </xdr:nvSpPr>
      <xdr:spPr>
        <a:xfrm flipH="1" flipV="1">
          <a:off x="7680960" y="3535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</xdr:row>
      <xdr:rowOff>0</xdr:rowOff>
    </xdr:from>
    <xdr:to>
      <xdr:col>39</xdr:col>
      <xdr:colOff>83820</xdr:colOff>
      <xdr:row>19</xdr:row>
      <xdr:rowOff>114300</xdr:rowOff>
    </xdr:to>
    <xdr:sp macro="" textlink="">
      <xdr:nvSpPr>
        <xdr:cNvPr id="67" name="Arrow: Down 66">
          <a:extLst>
            <a:ext uri="{FF2B5EF4-FFF2-40B4-BE49-F238E27FC236}">
              <a16:creationId xmlns:a16="http://schemas.microsoft.com/office/drawing/2014/main" id="{4BA885B2-1889-4E6D-B2E5-B2D6194ABEAA}"/>
            </a:ext>
          </a:extLst>
        </xdr:cNvPr>
        <xdr:cNvSpPr/>
      </xdr:nvSpPr>
      <xdr:spPr>
        <a:xfrm>
          <a:off x="7680960" y="335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</xdr:row>
      <xdr:rowOff>0</xdr:rowOff>
    </xdr:from>
    <xdr:to>
      <xdr:col>39</xdr:col>
      <xdr:colOff>83820</xdr:colOff>
      <xdr:row>21</xdr:row>
      <xdr:rowOff>114300</xdr:rowOff>
    </xdr:to>
    <xdr:sp macro="" textlink="">
      <xdr:nvSpPr>
        <xdr:cNvPr id="69" name="Arrow: Down 68">
          <a:extLst>
            <a:ext uri="{FF2B5EF4-FFF2-40B4-BE49-F238E27FC236}">
              <a16:creationId xmlns:a16="http://schemas.microsoft.com/office/drawing/2014/main" id="{F1263BC6-5B7B-4547-9F01-C55E1B84AA0B}"/>
            </a:ext>
          </a:extLst>
        </xdr:cNvPr>
        <xdr:cNvSpPr/>
      </xdr:nvSpPr>
      <xdr:spPr>
        <a:xfrm>
          <a:off x="7680960" y="371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</xdr:row>
      <xdr:rowOff>0</xdr:rowOff>
    </xdr:from>
    <xdr:to>
      <xdr:col>39</xdr:col>
      <xdr:colOff>83820</xdr:colOff>
      <xdr:row>22</xdr:row>
      <xdr:rowOff>114300</xdr:rowOff>
    </xdr:to>
    <xdr:sp macro="" textlink="">
      <xdr:nvSpPr>
        <xdr:cNvPr id="70" name="Arrow: Down 69">
          <a:extLst>
            <a:ext uri="{FF2B5EF4-FFF2-40B4-BE49-F238E27FC236}">
              <a16:creationId xmlns:a16="http://schemas.microsoft.com/office/drawing/2014/main" id="{C5DBCBD0-33D9-4C5B-8266-2CCCE9E01070}"/>
            </a:ext>
          </a:extLst>
        </xdr:cNvPr>
        <xdr:cNvSpPr/>
      </xdr:nvSpPr>
      <xdr:spPr>
        <a:xfrm>
          <a:off x="7680960" y="3901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</xdr:row>
      <xdr:rowOff>0</xdr:rowOff>
    </xdr:from>
    <xdr:to>
      <xdr:col>24</xdr:col>
      <xdr:colOff>83820</xdr:colOff>
      <xdr:row>17</xdr:row>
      <xdr:rowOff>114300</xdr:rowOff>
    </xdr:to>
    <xdr:sp macro="" textlink="">
      <xdr:nvSpPr>
        <xdr:cNvPr id="71" name="Arrow: Down 70">
          <a:extLst>
            <a:ext uri="{FF2B5EF4-FFF2-40B4-BE49-F238E27FC236}">
              <a16:creationId xmlns:a16="http://schemas.microsoft.com/office/drawing/2014/main" id="{B3333557-C866-4949-BDCF-233E7F22D922}"/>
            </a:ext>
          </a:extLst>
        </xdr:cNvPr>
        <xdr:cNvSpPr/>
      </xdr:nvSpPr>
      <xdr:spPr>
        <a:xfrm rot="10800000">
          <a:off x="4922520" y="2987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</xdr:row>
      <xdr:rowOff>0</xdr:rowOff>
    </xdr:from>
    <xdr:to>
      <xdr:col>24</xdr:col>
      <xdr:colOff>83820</xdr:colOff>
      <xdr:row>19</xdr:row>
      <xdr:rowOff>114300</xdr:rowOff>
    </xdr:to>
    <xdr:sp macro="" textlink="">
      <xdr:nvSpPr>
        <xdr:cNvPr id="74" name="Arrow: Down 73">
          <a:extLst>
            <a:ext uri="{FF2B5EF4-FFF2-40B4-BE49-F238E27FC236}">
              <a16:creationId xmlns:a16="http://schemas.microsoft.com/office/drawing/2014/main" id="{608E0DC2-3B29-4CBE-AB92-1994DEDE852D}"/>
            </a:ext>
          </a:extLst>
        </xdr:cNvPr>
        <xdr:cNvSpPr/>
      </xdr:nvSpPr>
      <xdr:spPr>
        <a:xfrm rot="10800000">
          <a:off x="4922520" y="335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</xdr:row>
      <xdr:rowOff>0</xdr:rowOff>
    </xdr:from>
    <xdr:to>
      <xdr:col>24</xdr:col>
      <xdr:colOff>83820</xdr:colOff>
      <xdr:row>20</xdr:row>
      <xdr:rowOff>114300</xdr:rowOff>
    </xdr:to>
    <xdr:sp macro="" textlink="">
      <xdr:nvSpPr>
        <xdr:cNvPr id="76" name="Arrow: Down 75">
          <a:extLst>
            <a:ext uri="{FF2B5EF4-FFF2-40B4-BE49-F238E27FC236}">
              <a16:creationId xmlns:a16="http://schemas.microsoft.com/office/drawing/2014/main" id="{65BC8D0A-7319-4727-951B-EACEBD8D8C4F}"/>
            </a:ext>
          </a:extLst>
        </xdr:cNvPr>
        <xdr:cNvSpPr/>
      </xdr:nvSpPr>
      <xdr:spPr>
        <a:xfrm rot="10800000">
          <a:off x="4922520" y="353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</xdr:row>
      <xdr:rowOff>0</xdr:rowOff>
    </xdr:from>
    <xdr:to>
      <xdr:col>24</xdr:col>
      <xdr:colOff>83820</xdr:colOff>
      <xdr:row>21</xdr:row>
      <xdr:rowOff>114300</xdr:rowOff>
    </xdr:to>
    <xdr:sp macro="" textlink="">
      <xdr:nvSpPr>
        <xdr:cNvPr id="78" name="Arrow: Down 77">
          <a:extLst>
            <a:ext uri="{FF2B5EF4-FFF2-40B4-BE49-F238E27FC236}">
              <a16:creationId xmlns:a16="http://schemas.microsoft.com/office/drawing/2014/main" id="{FAC7961A-DE9E-4C78-ADE3-AA8B4CEABC05}"/>
            </a:ext>
          </a:extLst>
        </xdr:cNvPr>
        <xdr:cNvSpPr/>
      </xdr:nvSpPr>
      <xdr:spPr>
        <a:xfrm rot="10800000">
          <a:off x="4922520" y="371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</xdr:row>
      <xdr:rowOff>0</xdr:rowOff>
    </xdr:from>
    <xdr:to>
      <xdr:col>24</xdr:col>
      <xdr:colOff>83820</xdr:colOff>
      <xdr:row>18</xdr:row>
      <xdr:rowOff>114300</xdr:rowOff>
    </xdr:to>
    <xdr:sp macro="" textlink="">
      <xdr:nvSpPr>
        <xdr:cNvPr id="80" name="Arrow: Down 79">
          <a:extLst>
            <a:ext uri="{FF2B5EF4-FFF2-40B4-BE49-F238E27FC236}">
              <a16:creationId xmlns:a16="http://schemas.microsoft.com/office/drawing/2014/main" id="{F62459DF-CBE5-4E23-9D08-49155AEAD163}"/>
            </a:ext>
          </a:extLst>
        </xdr:cNvPr>
        <xdr:cNvSpPr/>
      </xdr:nvSpPr>
      <xdr:spPr>
        <a:xfrm>
          <a:off x="492252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</xdr:row>
      <xdr:rowOff>0</xdr:rowOff>
    </xdr:from>
    <xdr:to>
      <xdr:col>24</xdr:col>
      <xdr:colOff>83820</xdr:colOff>
      <xdr:row>22</xdr:row>
      <xdr:rowOff>114300</xdr:rowOff>
    </xdr:to>
    <xdr:sp macro="" textlink="">
      <xdr:nvSpPr>
        <xdr:cNvPr id="81" name="Arrow: Down 80">
          <a:extLst>
            <a:ext uri="{FF2B5EF4-FFF2-40B4-BE49-F238E27FC236}">
              <a16:creationId xmlns:a16="http://schemas.microsoft.com/office/drawing/2014/main" id="{3BDC9BB9-920C-46AD-A90B-70BAC34CA901}"/>
            </a:ext>
          </a:extLst>
        </xdr:cNvPr>
        <xdr:cNvSpPr/>
      </xdr:nvSpPr>
      <xdr:spPr>
        <a:xfrm>
          <a:off x="492252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</xdr:row>
      <xdr:rowOff>0</xdr:rowOff>
    </xdr:from>
    <xdr:to>
      <xdr:col>11</xdr:col>
      <xdr:colOff>83820</xdr:colOff>
      <xdr:row>17</xdr:row>
      <xdr:rowOff>114300</xdr:rowOff>
    </xdr:to>
    <xdr:sp macro="" textlink="">
      <xdr:nvSpPr>
        <xdr:cNvPr id="82" name="Arrow: Down 81">
          <a:extLst>
            <a:ext uri="{FF2B5EF4-FFF2-40B4-BE49-F238E27FC236}">
              <a16:creationId xmlns:a16="http://schemas.microsoft.com/office/drawing/2014/main" id="{9C55C630-EA0F-4ACE-BB26-CD894A520B39}"/>
            </a:ext>
          </a:extLst>
        </xdr:cNvPr>
        <xdr:cNvSpPr/>
      </xdr:nvSpPr>
      <xdr:spPr>
        <a:xfrm>
          <a:off x="3855720" y="2987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</xdr:row>
      <xdr:rowOff>0</xdr:rowOff>
    </xdr:from>
    <xdr:to>
      <xdr:col>11</xdr:col>
      <xdr:colOff>83820</xdr:colOff>
      <xdr:row>18</xdr:row>
      <xdr:rowOff>114300</xdr:rowOff>
    </xdr:to>
    <xdr:sp macro="" textlink="">
      <xdr:nvSpPr>
        <xdr:cNvPr id="84" name="Arrow: Down 83">
          <a:extLst>
            <a:ext uri="{FF2B5EF4-FFF2-40B4-BE49-F238E27FC236}">
              <a16:creationId xmlns:a16="http://schemas.microsoft.com/office/drawing/2014/main" id="{7EFBD03C-7FBC-49B0-887A-5B8A5F62FF12}"/>
            </a:ext>
          </a:extLst>
        </xdr:cNvPr>
        <xdr:cNvSpPr/>
      </xdr:nvSpPr>
      <xdr:spPr>
        <a:xfrm>
          <a:off x="385572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</xdr:row>
      <xdr:rowOff>0</xdr:rowOff>
    </xdr:from>
    <xdr:to>
      <xdr:col>11</xdr:col>
      <xdr:colOff>83820</xdr:colOff>
      <xdr:row>19</xdr:row>
      <xdr:rowOff>114300</xdr:rowOff>
    </xdr:to>
    <xdr:sp macro="" textlink="">
      <xdr:nvSpPr>
        <xdr:cNvPr id="86" name="Arrow: Down 85">
          <a:extLst>
            <a:ext uri="{FF2B5EF4-FFF2-40B4-BE49-F238E27FC236}">
              <a16:creationId xmlns:a16="http://schemas.microsoft.com/office/drawing/2014/main" id="{A70BE426-F8D3-461D-B8B3-FB6D5FF65453}"/>
            </a:ext>
          </a:extLst>
        </xdr:cNvPr>
        <xdr:cNvSpPr/>
      </xdr:nvSpPr>
      <xdr:spPr>
        <a:xfrm>
          <a:off x="3855720" y="3352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</xdr:row>
      <xdr:rowOff>0</xdr:rowOff>
    </xdr:from>
    <xdr:to>
      <xdr:col>11</xdr:col>
      <xdr:colOff>83820</xdr:colOff>
      <xdr:row>21</xdr:row>
      <xdr:rowOff>114300</xdr:rowOff>
    </xdr:to>
    <xdr:sp macro="" textlink="">
      <xdr:nvSpPr>
        <xdr:cNvPr id="87" name="Arrow: Down 86">
          <a:extLst>
            <a:ext uri="{FF2B5EF4-FFF2-40B4-BE49-F238E27FC236}">
              <a16:creationId xmlns:a16="http://schemas.microsoft.com/office/drawing/2014/main" id="{8ED7E8BA-7B05-4A94-A6A7-E6DC0C6BA560}"/>
            </a:ext>
          </a:extLst>
        </xdr:cNvPr>
        <xdr:cNvSpPr/>
      </xdr:nvSpPr>
      <xdr:spPr>
        <a:xfrm>
          <a:off x="3855720" y="3718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</xdr:row>
      <xdr:rowOff>0</xdr:rowOff>
    </xdr:from>
    <xdr:to>
      <xdr:col>11</xdr:col>
      <xdr:colOff>83820</xdr:colOff>
      <xdr:row>22</xdr:row>
      <xdr:rowOff>114300</xdr:rowOff>
    </xdr:to>
    <xdr:sp macro="" textlink="">
      <xdr:nvSpPr>
        <xdr:cNvPr id="89" name="Arrow: Down 88">
          <a:extLst>
            <a:ext uri="{FF2B5EF4-FFF2-40B4-BE49-F238E27FC236}">
              <a16:creationId xmlns:a16="http://schemas.microsoft.com/office/drawing/2014/main" id="{D792D5A8-CEFC-4837-9418-0A8223AB81DB}"/>
            </a:ext>
          </a:extLst>
        </xdr:cNvPr>
        <xdr:cNvSpPr/>
      </xdr:nvSpPr>
      <xdr:spPr>
        <a:xfrm>
          <a:off x="385572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</xdr:row>
      <xdr:rowOff>0</xdr:rowOff>
    </xdr:from>
    <xdr:to>
      <xdr:col>11</xdr:col>
      <xdr:colOff>83820</xdr:colOff>
      <xdr:row>20</xdr:row>
      <xdr:rowOff>114300</xdr:rowOff>
    </xdr:to>
    <xdr:sp macro="" textlink="">
      <xdr:nvSpPr>
        <xdr:cNvPr id="90" name="Arrow: Down 89">
          <a:extLst>
            <a:ext uri="{FF2B5EF4-FFF2-40B4-BE49-F238E27FC236}">
              <a16:creationId xmlns:a16="http://schemas.microsoft.com/office/drawing/2014/main" id="{D37D2FF0-8FE9-4B11-BB50-15CFCC8FA45D}"/>
            </a:ext>
          </a:extLst>
        </xdr:cNvPr>
        <xdr:cNvSpPr/>
      </xdr:nvSpPr>
      <xdr:spPr>
        <a:xfrm rot="10800000">
          <a:off x="3855720" y="353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</xdr:row>
      <xdr:rowOff>0</xdr:rowOff>
    </xdr:from>
    <xdr:to>
      <xdr:col>45</xdr:col>
      <xdr:colOff>83820</xdr:colOff>
      <xdr:row>23</xdr:row>
      <xdr:rowOff>114300</xdr:rowOff>
    </xdr:to>
    <xdr:sp macro="" textlink="">
      <xdr:nvSpPr>
        <xdr:cNvPr id="93" name="Arrow: Down 92">
          <a:extLst>
            <a:ext uri="{FF2B5EF4-FFF2-40B4-BE49-F238E27FC236}">
              <a16:creationId xmlns:a16="http://schemas.microsoft.com/office/drawing/2014/main" id="{E59577E0-1321-4990-AFA2-637AA4D292C8}"/>
            </a:ext>
          </a:extLst>
        </xdr:cNvPr>
        <xdr:cNvSpPr/>
      </xdr:nvSpPr>
      <xdr:spPr>
        <a:xfrm rot="10800000">
          <a:off x="936498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</xdr:row>
      <xdr:rowOff>0</xdr:rowOff>
    </xdr:from>
    <xdr:to>
      <xdr:col>39</xdr:col>
      <xdr:colOff>83820</xdr:colOff>
      <xdr:row>23</xdr:row>
      <xdr:rowOff>114300</xdr:rowOff>
    </xdr:to>
    <xdr:sp macro="" textlink="">
      <xdr:nvSpPr>
        <xdr:cNvPr id="95" name="Arrow: Down 94">
          <a:extLst>
            <a:ext uri="{FF2B5EF4-FFF2-40B4-BE49-F238E27FC236}">
              <a16:creationId xmlns:a16="http://schemas.microsoft.com/office/drawing/2014/main" id="{B107AFD1-909F-4E64-90B3-AA20C009E2C0}"/>
            </a:ext>
          </a:extLst>
        </xdr:cNvPr>
        <xdr:cNvSpPr/>
      </xdr:nvSpPr>
      <xdr:spPr>
        <a:xfrm flipH="1" flipV="1">
          <a:off x="7680960" y="4084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</xdr:row>
      <xdr:rowOff>0</xdr:rowOff>
    </xdr:from>
    <xdr:to>
      <xdr:col>11</xdr:col>
      <xdr:colOff>83820</xdr:colOff>
      <xdr:row>23</xdr:row>
      <xdr:rowOff>114300</xdr:rowOff>
    </xdr:to>
    <xdr:sp macro="" textlink="">
      <xdr:nvSpPr>
        <xdr:cNvPr id="97" name="Arrow: Down 96">
          <a:extLst>
            <a:ext uri="{FF2B5EF4-FFF2-40B4-BE49-F238E27FC236}">
              <a16:creationId xmlns:a16="http://schemas.microsoft.com/office/drawing/2014/main" id="{FC7C2545-F289-4858-97B1-D6B4CD610789}"/>
            </a:ext>
          </a:extLst>
        </xdr:cNvPr>
        <xdr:cNvSpPr/>
      </xdr:nvSpPr>
      <xdr:spPr>
        <a:xfrm>
          <a:off x="385572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</xdr:row>
      <xdr:rowOff>0</xdr:rowOff>
    </xdr:from>
    <xdr:to>
      <xdr:col>24</xdr:col>
      <xdr:colOff>83820</xdr:colOff>
      <xdr:row>23</xdr:row>
      <xdr:rowOff>114300</xdr:rowOff>
    </xdr:to>
    <xdr:sp macro="" textlink="">
      <xdr:nvSpPr>
        <xdr:cNvPr id="102" name="Arrow: Down 101">
          <a:extLst>
            <a:ext uri="{FF2B5EF4-FFF2-40B4-BE49-F238E27FC236}">
              <a16:creationId xmlns:a16="http://schemas.microsoft.com/office/drawing/2014/main" id="{4AC821D8-276F-4107-8712-D744DEC6DD51}"/>
            </a:ext>
          </a:extLst>
        </xdr:cNvPr>
        <xdr:cNvSpPr/>
      </xdr:nvSpPr>
      <xdr:spPr>
        <a:xfrm rot="10800000">
          <a:off x="4922520" y="4084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</xdr:row>
      <xdr:rowOff>0</xdr:rowOff>
    </xdr:from>
    <xdr:to>
      <xdr:col>45</xdr:col>
      <xdr:colOff>83820</xdr:colOff>
      <xdr:row>12</xdr:row>
      <xdr:rowOff>114300</xdr:rowOff>
    </xdr:to>
    <xdr:sp macro="" textlink="">
      <xdr:nvSpPr>
        <xdr:cNvPr id="107" name="Arrow: Down 106">
          <a:extLst>
            <a:ext uri="{FF2B5EF4-FFF2-40B4-BE49-F238E27FC236}">
              <a16:creationId xmlns:a16="http://schemas.microsoft.com/office/drawing/2014/main" id="{286E9A6F-495C-4C1B-8526-82EB647DA858}"/>
            </a:ext>
          </a:extLst>
        </xdr:cNvPr>
        <xdr:cNvSpPr/>
      </xdr:nvSpPr>
      <xdr:spPr>
        <a:xfrm rot="10800000">
          <a:off x="9364980" y="2072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</xdr:row>
      <xdr:rowOff>0</xdr:rowOff>
    </xdr:from>
    <xdr:to>
      <xdr:col>45</xdr:col>
      <xdr:colOff>83820</xdr:colOff>
      <xdr:row>13</xdr:row>
      <xdr:rowOff>114300</xdr:rowOff>
    </xdr:to>
    <xdr:sp macro="" textlink="">
      <xdr:nvSpPr>
        <xdr:cNvPr id="108" name="Arrow: Down 107">
          <a:extLst>
            <a:ext uri="{FF2B5EF4-FFF2-40B4-BE49-F238E27FC236}">
              <a16:creationId xmlns:a16="http://schemas.microsoft.com/office/drawing/2014/main" id="{6577D4AB-D1C5-48B9-9617-E840DCD060AF}"/>
            </a:ext>
          </a:extLst>
        </xdr:cNvPr>
        <xdr:cNvSpPr/>
      </xdr:nvSpPr>
      <xdr:spPr>
        <a:xfrm rot="10800000">
          <a:off x="9364980" y="2255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83820</xdr:colOff>
      <xdr:row>14</xdr:row>
      <xdr:rowOff>114300</xdr:rowOff>
    </xdr:to>
    <xdr:sp macro="" textlink="">
      <xdr:nvSpPr>
        <xdr:cNvPr id="109" name="Arrow: Down 108">
          <a:extLst>
            <a:ext uri="{FF2B5EF4-FFF2-40B4-BE49-F238E27FC236}">
              <a16:creationId xmlns:a16="http://schemas.microsoft.com/office/drawing/2014/main" id="{7B3762FE-5ACA-4A6A-96C2-F9D970211191}"/>
            </a:ext>
          </a:extLst>
        </xdr:cNvPr>
        <xdr:cNvSpPr/>
      </xdr:nvSpPr>
      <xdr:spPr>
        <a:xfrm>
          <a:off x="936498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</xdr:row>
      <xdr:rowOff>0</xdr:rowOff>
    </xdr:from>
    <xdr:to>
      <xdr:col>39</xdr:col>
      <xdr:colOff>83820</xdr:colOff>
      <xdr:row>12</xdr:row>
      <xdr:rowOff>114300</xdr:rowOff>
    </xdr:to>
    <xdr:sp macro="" textlink="">
      <xdr:nvSpPr>
        <xdr:cNvPr id="113" name="Arrow: Down 112">
          <a:extLst>
            <a:ext uri="{FF2B5EF4-FFF2-40B4-BE49-F238E27FC236}">
              <a16:creationId xmlns:a16="http://schemas.microsoft.com/office/drawing/2014/main" id="{717C254B-25BC-4868-8C32-097BB26B452F}"/>
            </a:ext>
          </a:extLst>
        </xdr:cNvPr>
        <xdr:cNvSpPr/>
      </xdr:nvSpPr>
      <xdr:spPr>
        <a:xfrm flipH="1" flipV="1">
          <a:off x="7680960" y="2072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</xdr:row>
      <xdr:rowOff>0</xdr:rowOff>
    </xdr:from>
    <xdr:to>
      <xdr:col>39</xdr:col>
      <xdr:colOff>83820</xdr:colOff>
      <xdr:row>15</xdr:row>
      <xdr:rowOff>114300</xdr:rowOff>
    </xdr:to>
    <xdr:sp macro="" textlink="">
      <xdr:nvSpPr>
        <xdr:cNvPr id="114" name="Arrow: Down 113">
          <a:extLst>
            <a:ext uri="{FF2B5EF4-FFF2-40B4-BE49-F238E27FC236}">
              <a16:creationId xmlns:a16="http://schemas.microsoft.com/office/drawing/2014/main" id="{02719312-EB2A-421F-B40D-28760A4621BE}"/>
            </a:ext>
          </a:extLst>
        </xdr:cNvPr>
        <xdr:cNvSpPr/>
      </xdr:nvSpPr>
      <xdr:spPr>
        <a:xfrm flipH="1" flipV="1">
          <a:off x="7680960" y="2621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</xdr:row>
      <xdr:rowOff>0</xdr:rowOff>
    </xdr:from>
    <xdr:to>
      <xdr:col>39</xdr:col>
      <xdr:colOff>83820</xdr:colOff>
      <xdr:row>13</xdr:row>
      <xdr:rowOff>114300</xdr:rowOff>
    </xdr:to>
    <xdr:sp macro="" textlink="">
      <xdr:nvSpPr>
        <xdr:cNvPr id="115" name="Arrow: Down 114">
          <a:extLst>
            <a:ext uri="{FF2B5EF4-FFF2-40B4-BE49-F238E27FC236}">
              <a16:creationId xmlns:a16="http://schemas.microsoft.com/office/drawing/2014/main" id="{26051846-5C6E-4E40-9FF6-57059AFEBD57}"/>
            </a:ext>
          </a:extLst>
        </xdr:cNvPr>
        <xdr:cNvSpPr/>
      </xdr:nvSpPr>
      <xdr:spPr>
        <a:xfrm>
          <a:off x="768096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</xdr:row>
      <xdr:rowOff>0</xdr:rowOff>
    </xdr:from>
    <xdr:to>
      <xdr:col>39</xdr:col>
      <xdr:colOff>83820</xdr:colOff>
      <xdr:row>14</xdr:row>
      <xdr:rowOff>114300</xdr:rowOff>
    </xdr:to>
    <xdr:sp macro="" textlink="">
      <xdr:nvSpPr>
        <xdr:cNvPr id="117" name="Arrow: Down 116">
          <a:extLst>
            <a:ext uri="{FF2B5EF4-FFF2-40B4-BE49-F238E27FC236}">
              <a16:creationId xmlns:a16="http://schemas.microsoft.com/office/drawing/2014/main" id="{C7367F7D-7FD2-4600-871D-AAA5046A58A0}"/>
            </a:ext>
          </a:extLst>
        </xdr:cNvPr>
        <xdr:cNvSpPr/>
      </xdr:nvSpPr>
      <xdr:spPr>
        <a:xfrm>
          <a:off x="768096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</xdr:row>
      <xdr:rowOff>0</xdr:rowOff>
    </xdr:from>
    <xdr:to>
      <xdr:col>39</xdr:col>
      <xdr:colOff>83820</xdr:colOff>
      <xdr:row>16</xdr:row>
      <xdr:rowOff>114300</xdr:rowOff>
    </xdr:to>
    <xdr:sp macro="" textlink="">
      <xdr:nvSpPr>
        <xdr:cNvPr id="119" name="Arrow: Down 118">
          <a:extLst>
            <a:ext uri="{FF2B5EF4-FFF2-40B4-BE49-F238E27FC236}">
              <a16:creationId xmlns:a16="http://schemas.microsoft.com/office/drawing/2014/main" id="{DB93CD64-C578-4FB2-B0EB-DE9EAD0C815D}"/>
            </a:ext>
          </a:extLst>
        </xdr:cNvPr>
        <xdr:cNvSpPr/>
      </xdr:nvSpPr>
      <xdr:spPr>
        <a:xfrm>
          <a:off x="7680960" y="280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</xdr:row>
      <xdr:rowOff>0</xdr:rowOff>
    </xdr:from>
    <xdr:to>
      <xdr:col>24</xdr:col>
      <xdr:colOff>83820</xdr:colOff>
      <xdr:row>11</xdr:row>
      <xdr:rowOff>114300</xdr:rowOff>
    </xdr:to>
    <xdr:sp macro="" textlink="">
      <xdr:nvSpPr>
        <xdr:cNvPr id="120" name="Arrow: Down 119">
          <a:extLst>
            <a:ext uri="{FF2B5EF4-FFF2-40B4-BE49-F238E27FC236}">
              <a16:creationId xmlns:a16="http://schemas.microsoft.com/office/drawing/2014/main" id="{3ED13040-F4E5-41AE-B430-585B07CFC17F}"/>
            </a:ext>
          </a:extLst>
        </xdr:cNvPr>
        <xdr:cNvSpPr/>
      </xdr:nvSpPr>
      <xdr:spPr>
        <a:xfrm rot="10800000">
          <a:off x="4922520" y="1889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</xdr:row>
      <xdr:rowOff>0</xdr:rowOff>
    </xdr:from>
    <xdr:to>
      <xdr:col>24</xdr:col>
      <xdr:colOff>83820</xdr:colOff>
      <xdr:row>12</xdr:row>
      <xdr:rowOff>114300</xdr:rowOff>
    </xdr:to>
    <xdr:sp macro="" textlink="">
      <xdr:nvSpPr>
        <xdr:cNvPr id="121" name="Arrow: Down 120">
          <a:extLst>
            <a:ext uri="{FF2B5EF4-FFF2-40B4-BE49-F238E27FC236}">
              <a16:creationId xmlns:a16="http://schemas.microsoft.com/office/drawing/2014/main" id="{27360222-C7DC-448C-8901-2E7E2949B4C6}"/>
            </a:ext>
          </a:extLst>
        </xdr:cNvPr>
        <xdr:cNvSpPr/>
      </xdr:nvSpPr>
      <xdr:spPr>
        <a:xfrm rot="10800000">
          <a:off x="4922520" y="2072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</xdr:row>
      <xdr:rowOff>0</xdr:rowOff>
    </xdr:from>
    <xdr:to>
      <xdr:col>24</xdr:col>
      <xdr:colOff>83820</xdr:colOff>
      <xdr:row>13</xdr:row>
      <xdr:rowOff>114300</xdr:rowOff>
    </xdr:to>
    <xdr:sp macro="" textlink="">
      <xdr:nvSpPr>
        <xdr:cNvPr id="122" name="Arrow: Down 121">
          <a:extLst>
            <a:ext uri="{FF2B5EF4-FFF2-40B4-BE49-F238E27FC236}">
              <a16:creationId xmlns:a16="http://schemas.microsoft.com/office/drawing/2014/main" id="{678879A9-8D53-4238-AA6E-20C299EE3DB4}"/>
            </a:ext>
          </a:extLst>
        </xdr:cNvPr>
        <xdr:cNvSpPr/>
      </xdr:nvSpPr>
      <xdr:spPr>
        <a:xfrm rot="10800000">
          <a:off x="492252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83820</xdr:colOff>
      <xdr:row>14</xdr:row>
      <xdr:rowOff>114300</xdr:rowOff>
    </xdr:to>
    <xdr:sp macro="" textlink="">
      <xdr:nvSpPr>
        <xdr:cNvPr id="123" name="Arrow: Down 122">
          <a:extLst>
            <a:ext uri="{FF2B5EF4-FFF2-40B4-BE49-F238E27FC236}">
              <a16:creationId xmlns:a16="http://schemas.microsoft.com/office/drawing/2014/main" id="{6F9C1911-ECB9-4CA0-9CF2-A0108F27F6CA}"/>
            </a:ext>
          </a:extLst>
        </xdr:cNvPr>
        <xdr:cNvSpPr/>
      </xdr:nvSpPr>
      <xdr:spPr>
        <a:xfrm rot="10800000">
          <a:off x="492252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</xdr:row>
      <xdr:rowOff>0</xdr:rowOff>
    </xdr:from>
    <xdr:to>
      <xdr:col>24</xdr:col>
      <xdr:colOff>83820</xdr:colOff>
      <xdr:row>15</xdr:row>
      <xdr:rowOff>114300</xdr:rowOff>
    </xdr:to>
    <xdr:sp macro="" textlink="">
      <xdr:nvSpPr>
        <xdr:cNvPr id="124" name="Arrow: Down 123">
          <a:extLst>
            <a:ext uri="{FF2B5EF4-FFF2-40B4-BE49-F238E27FC236}">
              <a16:creationId xmlns:a16="http://schemas.microsoft.com/office/drawing/2014/main" id="{C12FC9F4-C9A9-4D1C-9A32-D6B296100708}"/>
            </a:ext>
          </a:extLst>
        </xdr:cNvPr>
        <xdr:cNvSpPr/>
      </xdr:nvSpPr>
      <xdr:spPr>
        <a:xfrm rot="10800000">
          <a:off x="4922520" y="262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</xdr:row>
      <xdr:rowOff>0</xdr:rowOff>
    </xdr:from>
    <xdr:to>
      <xdr:col>24</xdr:col>
      <xdr:colOff>83820</xdr:colOff>
      <xdr:row>16</xdr:row>
      <xdr:rowOff>114300</xdr:rowOff>
    </xdr:to>
    <xdr:sp macro="" textlink="">
      <xdr:nvSpPr>
        <xdr:cNvPr id="125" name="Arrow: Down 124">
          <a:extLst>
            <a:ext uri="{FF2B5EF4-FFF2-40B4-BE49-F238E27FC236}">
              <a16:creationId xmlns:a16="http://schemas.microsoft.com/office/drawing/2014/main" id="{D1F5DA11-C5C5-4B6B-9E19-DE29FCB27AD4}"/>
            </a:ext>
          </a:extLst>
        </xdr:cNvPr>
        <xdr:cNvSpPr/>
      </xdr:nvSpPr>
      <xdr:spPr>
        <a:xfrm rot="10800000">
          <a:off x="4922520" y="280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83820</xdr:colOff>
      <xdr:row>10</xdr:row>
      <xdr:rowOff>114300</xdr:rowOff>
    </xdr:to>
    <xdr:sp macro="" textlink="">
      <xdr:nvSpPr>
        <xdr:cNvPr id="126" name="Arrow: Down 125">
          <a:extLst>
            <a:ext uri="{FF2B5EF4-FFF2-40B4-BE49-F238E27FC236}">
              <a16:creationId xmlns:a16="http://schemas.microsoft.com/office/drawing/2014/main" id="{68925950-A500-41B6-8403-EBE42982C3E8}"/>
            </a:ext>
          </a:extLst>
        </xdr:cNvPr>
        <xdr:cNvSpPr/>
      </xdr:nvSpPr>
      <xdr:spPr>
        <a:xfrm>
          <a:off x="3855720" y="170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</xdr:row>
      <xdr:rowOff>0</xdr:rowOff>
    </xdr:from>
    <xdr:to>
      <xdr:col>11</xdr:col>
      <xdr:colOff>83820</xdr:colOff>
      <xdr:row>12</xdr:row>
      <xdr:rowOff>114300</xdr:rowOff>
    </xdr:to>
    <xdr:sp macro="" textlink="">
      <xdr:nvSpPr>
        <xdr:cNvPr id="127" name="Arrow: Down 126">
          <a:extLst>
            <a:ext uri="{FF2B5EF4-FFF2-40B4-BE49-F238E27FC236}">
              <a16:creationId xmlns:a16="http://schemas.microsoft.com/office/drawing/2014/main" id="{2B65CBEA-A241-40CA-96E5-A98F17C71DE7}"/>
            </a:ext>
          </a:extLst>
        </xdr:cNvPr>
        <xdr:cNvSpPr/>
      </xdr:nvSpPr>
      <xdr:spPr>
        <a:xfrm>
          <a:off x="3855720" y="2072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</xdr:row>
      <xdr:rowOff>0</xdr:rowOff>
    </xdr:from>
    <xdr:to>
      <xdr:col>11</xdr:col>
      <xdr:colOff>83820</xdr:colOff>
      <xdr:row>14</xdr:row>
      <xdr:rowOff>114300</xdr:rowOff>
    </xdr:to>
    <xdr:sp macro="" textlink="">
      <xdr:nvSpPr>
        <xdr:cNvPr id="128" name="Arrow: Down 127">
          <a:extLst>
            <a:ext uri="{FF2B5EF4-FFF2-40B4-BE49-F238E27FC236}">
              <a16:creationId xmlns:a16="http://schemas.microsoft.com/office/drawing/2014/main" id="{3D4AE680-4B34-40F9-83DC-033CB2AFDA9D}"/>
            </a:ext>
          </a:extLst>
        </xdr:cNvPr>
        <xdr:cNvSpPr/>
      </xdr:nvSpPr>
      <xdr:spPr>
        <a:xfrm>
          <a:off x="3855720" y="2438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</xdr:row>
      <xdr:rowOff>0</xdr:rowOff>
    </xdr:from>
    <xdr:to>
      <xdr:col>11</xdr:col>
      <xdr:colOff>83820</xdr:colOff>
      <xdr:row>16</xdr:row>
      <xdr:rowOff>114300</xdr:rowOff>
    </xdr:to>
    <xdr:sp macro="" textlink="">
      <xdr:nvSpPr>
        <xdr:cNvPr id="129" name="Arrow: Down 128">
          <a:extLst>
            <a:ext uri="{FF2B5EF4-FFF2-40B4-BE49-F238E27FC236}">
              <a16:creationId xmlns:a16="http://schemas.microsoft.com/office/drawing/2014/main" id="{3D9D94ED-D325-4F12-A8C7-6B63777C7EBB}"/>
            </a:ext>
          </a:extLst>
        </xdr:cNvPr>
        <xdr:cNvSpPr/>
      </xdr:nvSpPr>
      <xdr:spPr>
        <a:xfrm>
          <a:off x="3855720" y="2804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</xdr:row>
      <xdr:rowOff>0</xdr:rowOff>
    </xdr:from>
    <xdr:to>
      <xdr:col>11</xdr:col>
      <xdr:colOff>83820</xdr:colOff>
      <xdr:row>11</xdr:row>
      <xdr:rowOff>114300</xdr:rowOff>
    </xdr:to>
    <xdr:sp macro="" textlink="">
      <xdr:nvSpPr>
        <xdr:cNvPr id="130" name="Arrow: Down 129">
          <a:extLst>
            <a:ext uri="{FF2B5EF4-FFF2-40B4-BE49-F238E27FC236}">
              <a16:creationId xmlns:a16="http://schemas.microsoft.com/office/drawing/2014/main" id="{4F28D2C6-18CA-42FA-B650-78237BF0AFAD}"/>
            </a:ext>
          </a:extLst>
        </xdr:cNvPr>
        <xdr:cNvSpPr/>
      </xdr:nvSpPr>
      <xdr:spPr>
        <a:xfrm rot="10800000">
          <a:off x="3855720" y="1889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</xdr:row>
      <xdr:rowOff>0</xdr:rowOff>
    </xdr:from>
    <xdr:to>
      <xdr:col>11</xdr:col>
      <xdr:colOff>83820</xdr:colOff>
      <xdr:row>15</xdr:row>
      <xdr:rowOff>114300</xdr:rowOff>
    </xdr:to>
    <xdr:sp macro="" textlink="">
      <xdr:nvSpPr>
        <xdr:cNvPr id="132" name="Arrow: Down 131">
          <a:extLst>
            <a:ext uri="{FF2B5EF4-FFF2-40B4-BE49-F238E27FC236}">
              <a16:creationId xmlns:a16="http://schemas.microsoft.com/office/drawing/2014/main" id="{5B12450C-B17B-4A35-B2E1-4FC0FA372CAF}"/>
            </a:ext>
          </a:extLst>
        </xdr:cNvPr>
        <xdr:cNvSpPr/>
      </xdr:nvSpPr>
      <xdr:spPr>
        <a:xfrm rot="10800000">
          <a:off x="3855720" y="262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</xdr:row>
      <xdr:rowOff>0</xdr:rowOff>
    </xdr:from>
    <xdr:to>
      <xdr:col>11</xdr:col>
      <xdr:colOff>83820</xdr:colOff>
      <xdr:row>13</xdr:row>
      <xdr:rowOff>114300</xdr:rowOff>
    </xdr:to>
    <xdr:sp macro="" textlink="">
      <xdr:nvSpPr>
        <xdr:cNvPr id="134" name="Arrow: Down 133">
          <a:extLst>
            <a:ext uri="{FF2B5EF4-FFF2-40B4-BE49-F238E27FC236}">
              <a16:creationId xmlns:a16="http://schemas.microsoft.com/office/drawing/2014/main" id="{E411B02F-7993-4E2C-B51A-EB08FA0BED39}"/>
            </a:ext>
          </a:extLst>
        </xdr:cNvPr>
        <xdr:cNvSpPr/>
      </xdr:nvSpPr>
      <xdr:spPr>
        <a:xfrm rot="10800000">
          <a:off x="385572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</xdr:row>
      <xdr:rowOff>0</xdr:rowOff>
    </xdr:from>
    <xdr:to>
      <xdr:col>11</xdr:col>
      <xdr:colOff>160020</xdr:colOff>
      <xdr:row>9</xdr:row>
      <xdr:rowOff>167640</xdr:rowOff>
    </xdr:to>
    <xdr:sp macro="" textlink="">
      <xdr:nvSpPr>
        <xdr:cNvPr id="138" name="Minus Sign 137">
          <a:extLst>
            <a:ext uri="{FF2B5EF4-FFF2-40B4-BE49-F238E27FC236}">
              <a16:creationId xmlns:a16="http://schemas.microsoft.com/office/drawing/2014/main" id="{F00432E2-A43D-48D8-B7AF-D7D7B2CF1FB4}"/>
            </a:ext>
          </a:extLst>
        </xdr:cNvPr>
        <xdr:cNvSpPr/>
      </xdr:nvSpPr>
      <xdr:spPr>
        <a:xfrm>
          <a:off x="3855720" y="15240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9</xdr:row>
      <xdr:rowOff>0</xdr:rowOff>
    </xdr:from>
    <xdr:to>
      <xdr:col>24</xdr:col>
      <xdr:colOff>160020</xdr:colOff>
      <xdr:row>9</xdr:row>
      <xdr:rowOff>167640</xdr:rowOff>
    </xdr:to>
    <xdr:sp macro="" textlink="">
      <xdr:nvSpPr>
        <xdr:cNvPr id="140" name="Minus Sign 139">
          <a:extLst>
            <a:ext uri="{FF2B5EF4-FFF2-40B4-BE49-F238E27FC236}">
              <a16:creationId xmlns:a16="http://schemas.microsoft.com/office/drawing/2014/main" id="{7293DE0B-586E-4085-903B-EC99BA9C608B}"/>
            </a:ext>
          </a:extLst>
        </xdr:cNvPr>
        <xdr:cNvSpPr/>
      </xdr:nvSpPr>
      <xdr:spPr>
        <a:xfrm>
          <a:off x="4922520" y="15240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11</xdr:row>
      <xdr:rowOff>0</xdr:rowOff>
    </xdr:from>
    <xdr:to>
      <xdr:col>40</xdr:col>
      <xdr:colOff>0</xdr:colOff>
      <xdr:row>11</xdr:row>
      <xdr:rowOff>167640</xdr:rowOff>
    </xdr:to>
    <xdr:sp macro="" textlink="">
      <xdr:nvSpPr>
        <xdr:cNvPr id="142" name="Minus Sign 141">
          <a:extLst>
            <a:ext uri="{FF2B5EF4-FFF2-40B4-BE49-F238E27FC236}">
              <a16:creationId xmlns:a16="http://schemas.microsoft.com/office/drawing/2014/main" id="{D2563AFD-3246-4055-B876-2053BB18F750}"/>
            </a:ext>
          </a:extLst>
        </xdr:cNvPr>
        <xdr:cNvSpPr/>
      </xdr:nvSpPr>
      <xdr:spPr>
        <a:xfrm>
          <a:off x="7680960" y="18897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10</xdr:row>
      <xdr:rowOff>0</xdr:rowOff>
    </xdr:from>
    <xdr:to>
      <xdr:col>24</xdr:col>
      <xdr:colOff>83820</xdr:colOff>
      <xdr:row>10</xdr:row>
      <xdr:rowOff>114300</xdr:rowOff>
    </xdr:to>
    <xdr:sp macro="" textlink="">
      <xdr:nvSpPr>
        <xdr:cNvPr id="143" name="Arrow: Down 142">
          <a:extLst>
            <a:ext uri="{FF2B5EF4-FFF2-40B4-BE49-F238E27FC236}">
              <a16:creationId xmlns:a16="http://schemas.microsoft.com/office/drawing/2014/main" id="{5CBC945A-6D47-4DCD-8466-289550942D9E}"/>
            </a:ext>
          </a:extLst>
        </xdr:cNvPr>
        <xdr:cNvSpPr/>
      </xdr:nvSpPr>
      <xdr:spPr>
        <a:xfrm>
          <a:off x="4922520" y="170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</xdr:row>
      <xdr:rowOff>0</xdr:rowOff>
    </xdr:from>
    <xdr:to>
      <xdr:col>46</xdr:col>
      <xdr:colOff>0</xdr:colOff>
      <xdr:row>11</xdr:row>
      <xdr:rowOff>167640</xdr:rowOff>
    </xdr:to>
    <xdr:sp macro="" textlink="">
      <xdr:nvSpPr>
        <xdr:cNvPr id="144" name="Minus Sign 143">
          <a:extLst>
            <a:ext uri="{FF2B5EF4-FFF2-40B4-BE49-F238E27FC236}">
              <a16:creationId xmlns:a16="http://schemas.microsoft.com/office/drawing/2014/main" id="{1194795E-1190-43C1-B4D2-5BE449088C9B}"/>
            </a:ext>
          </a:extLst>
        </xdr:cNvPr>
        <xdr:cNvSpPr/>
      </xdr:nvSpPr>
      <xdr:spPr>
        <a:xfrm>
          <a:off x="9364980" y="18897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11</xdr:row>
      <xdr:rowOff>0</xdr:rowOff>
    </xdr:from>
    <xdr:to>
      <xdr:col>5</xdr:col>
      <xdr:colOff>83820</xdr:colOff>
      <xdr:row>11</xdr:row>
      <xdr:rowOff>114300</xdr:rowOff>
    </xdr:to>
    <xdr:sp macro="" textlink="">
      <xdr:nvSpPr>
        <xdr:cNvPr id="145" name="Arrow: Down 144">
          <a:extLst>
            <a:ext uri="{FF2B5EF4-FFF2-40B4-BE49-F238E27FC236}">
              <a16:creationId xmlns:a16="http://schemas.microsoft.com/office/drawing/2014/main" id="{064DC395-B2AC-45CB-89D9-E1C831E2545A}"/>
            </a:ext>
          </a:extLst>
        </xdr:cNvPr>
        <xdr:cNvSpPr/>
      </xdr:nvSpPr>
      <xdr:spPr>
        <a:xfrm rot="10800000">
          <a:off x="2141220" y="1889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</xdr:row>
      <xdr:rowOff>0</xdr:rowOff>
    </xdr:from>
    <xdr:to>
      <xdr:col>5</xdr:col>
      <xdr:colOff>83820</xdr:colOff>
      <xdr:row>12</xdr:row>
      <xdr:rowOff>114300</xdr:rowOff>
    </xdr:to>
    <xdr:sp macro="" textlink="">
      <xdr:nvSpPr>
        <xdr:cNvPr id="146" name="Arrow: Down 145">
          <a:extLst>
            <a:ext uri="{FF2B5EF4-FFF2-40B4-BE49-F238E27FC236}">
              <a16:creationId xmlns:a16="http://schemas.microsoft.com/office/drawing/2014/main" id="{1C0D65E8-5556-4048-A403-1824E6736FA9}"/>
            </a:ext>
          </a:extLst>
        </xdr:cNvPr>
        <xdr:cNvSpPr/>
      </xdr:nvSpPr>
      <xdr:spPr>
        <a:xfrm rot="10800000">
          <a:off x="2141220" y="2072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</xdr:row>
      <xdr:rowOff>0</xdr:rowOff>
    </xdr:from>
    <xdr:to>
      <xdr:col>5</xdr:col>
      <xdr:colOff>83820</xdr:colOff>
      <xdr:row>13</xdr:row>
      <xdr:rowOff>114300</xdr:rowOff>
    </xdr:to>
    <xdr:sp macro="" textlink="">
      <xdr:nvSpPr>
        <xdr:cNvPr id="147" name="Arrow: Down 146">
          <a:extLst>
            <a:ext uri="{FF2B5EF4-FFF2-40B4-BE49-F238E27FC236}">
              <a16:creationId xmlns:a16="http://schemas.microsoft.com/office/drawing/2014/main" id="{B82A486C-33E6-4906-9B63-7B091421ADBA}"/>
            </a:ext>
          </a:extLst>
        </xdr:cNvPr>
        <xdr:cNvSpPr/>
      </xdr:nvSpPr>
      <xdr:spPr>
        <a:xfrm rot="10800000">
          <a:off x="214122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</xdr:row>
      <xdr:rowOff>0</xdr:rowOff>
    </xdr:from>
    <xdr:to>
      <xdr:col>5</xdr:col>
      <xdr:colOff>83820</xdr:colOff>
      <xdr:row>14</xdr:row>
      <xdr:rowOff>114300</xdr:rowOff>
    </xdr:to>
    <xdr:sp macro="" textlink="">
      <xdr:nvSpPr>
        <xdr:cNvPr id="149" name="Arrow: Down 148">
          <a:extLst>
            <a:ext uri="{FF2B5EF4-FFF2-40B4-BE49-F238E27FC236}">
              <a16:creationId xmlns:a16="http://schemas.microsoft.com/office/drawing/2014/main" id="{FB1D8145-3E95-470B-8361-385361C865B7}"/>
            </a:ext>
          </a:extLst>
        </xdr:cNvPr>
        <xdr:cNvSpPr/>
      </xdr:nvSpPr>
      <xdr:spPr>
        <a:xfrm rot="10800000">
          <a:off x="214122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</xdr:row>
      <xdr:rowOff>0</xdr:rowOff>
    </xdr:from>
    <xdr:to>
      <xdr:col>5</xdr:col>
      <xdr:colOff>83820</xdr:colOff>
      <xdr:row>15</xdr:row>
      <xdr:rowOff>114300</xdr:rowOff>
    </xdr:to>
    <xdr:sp macro="" textlink="">
      <xdr:nvSpPr>
        <xdr:cNvPr id="150" name="Arrow: Down 149">
          <a:extLst>
            <a:ext uri="{FF2B5EF4-FFF2-40B4-BE49-F238E27FC236}">
              <a16:creationId xmlns:a16="http://schemas.microsoft.com/office/drawing/2014/main" id="{58A568D3-BAB6-4161-ACFC-8AFA8887D10A}"/>
            </a:ext>
          </a:extLst>
        </xdr:cNvPr>
        <xdr:cNvSpPr/>
      </xdr:nvSpPr>
      <xdr:spPr>
        <a:xfrm rot="10800000">
          <a:off x="2141220" y="262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</xdr:row>
      <xdr:rowOff>0</xdr:rowOff>
    </xdr:from>
    <xdr:to>
      <xdr:col>5</xdr:col>
      <xdr:colOff>83820</xdr:colOff>
      <xdr:row>16</xdr:row>
      <xdr:rowOff>114300</xdr:rowOff>
    </xdr:to>
    <xdr:sp macro="" textlink="">
      <xdr:nvSpPr>
        <xdr:cNvPr id="151" name="Arrow: Down 150">
          <a:extLst>
            <a:ext uri="{FF2B5EF4-FFF2-40B4-BE49-F238E27FC236}">
              <a16:creationId xmlns:a16="http://schemas.microsoft.com/office/drawing/2014/main" id="{6FF4D052-B43E-4B76-9D1B-051B58709139}"/>
            </a:ext>
          </a:extLst>
        </xdr:cNvPr>
        <xdr:cNvSpPr/>
      </xdr:nvSpPr>
      <xdr:spPr>
        <a:xfrm rot="10800000">
          <a:off x="2141220" y="280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</xdr:row>
      <xdr:rowOff>0</xdr:rowOff>
    </xdr:from>
    <xdr:to>
      <xdr:col>5</xdr:col>
      <xdr:colOff>83820</xdr:colOff>
      <xdr:row>17</xdr:row>
      <xdr:rowOff>114300</xdr:rowOff>
    </xdr:to>
    <xdr:sp macro="" textlink="">
      <xdr:nvSpPr>
        <xdr:cNvPr id="153" name="Arrow: Down 152">
          <a:extLst>
            <a:ext uri="{FF2B5EF4-FFF2-40B4-BE49-F238E27FC236}">
              <a16:creationId xmlns:a16="http://schemas.microsoft.com/office/drawing/2014/main" id="{375E3986-8CAB-45EA-AEE4-A167BEA966EB}"/>
            </a:ext>
          </a:extLst>
        </xdr:cNvPr>
        <xdr:cNvSpPr/>
      </xdr:nvSpPr>
      <xdr:spPr>
        <a:xfrm rot="10800000">
          <a:off x="2141220" y="2987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</xdr:row>
      <xdr:rowOff>0</xdr:rowOff>
    </xdr:from>
    <xdr:to>
      <xdr:col>5</xdr:col>
      <xdr:colOff>83820</xdr:colOff>
      <xdr:row>18</xdr:row>
      <xdr:rowOff>114300</xdr:rowOff>
    </xdr:to>
    <xdr:sp macro="" textlink="">
      <xdr:nvSpPr>
        <xdr:cNvPr id="155" name="Arrow: Down 154">
          <a:extLst>
            <a:ext uri="{FF2B5EF4-FFF2-40B4-BE49-F238E27FC236}">
              <a16:creationId xmlns:a16="http://schemas.microsoft.com/office/drawing/2014/main" id="{3ECDEF29-030A-434A-B6B1-71733CD56983}"/>
            </a:ext>
          </a:extLst>
        </xdr:cNvPr>
        <xdr:cNvSpPr/>
      </xdr:nvSpPr>
      <xdr:spPr>
        <a:xfrm rot="10800000">
          <a:off x="2141220" y="3169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</xdr:row>
      <xdr:rowOff>0</xdr:rowOff>
    </xdr:from>
    <xdr:to>
      <xdr:col>5</xdr:col>
      <xdr:colOff>83820</xdr:colOff>
      <xdr:row>19</xdr:row>
      <xdr:rowOff>114300</xdr:rowOff>
    </xdr:to>
    <xdr:sp macro="" textlink="">
      <xdr:nvSpPr>
        <xdr:cNvPr id="157" name="Arrow: Down 156">
          <a:extLst>
            <a:ext uri="{FF2B5EF4-FFF2-40B4-BE49-F238E27FC236}">
              <a16:creationId xmlns:a16="http://schemas.microsoft.com/office/drawing/2014/main" id="{45EAE2E9-6C7C-401D-A46B-2B7B2797FB01}"/>
            </a:ext>
          </a:extLst>
        </xdr:cNvPr>
        <xdr:cNvSpPr/>
      </xdr:nvSpPr>
      <xdr:spPr>
        <a:xfrm rot="10800000">
          <a:off x="2141220" y="335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</xdr:row>
      <xdr:rowOff>0</xdr:rowOff>
    </xdr:from>
    <xdr:to>
      <xdr:col>5</xdr:col>
      <xdr:colOff>83820</xdr:colOff>
      <xdr:row>20</xdr:row>
      <xdr:rowOff>114300</xdr:rowOff>
    </xdr:to>
    <xdr:sp macro="" textlink="">
      <xdr:nvSpPr>
        <xdr:cNvPr id="158" name="Arrow: Down 157">
          <a:extLst>
            <a:ext uri="{FF2B5EF4-FFF2-40B4-BE49-F238E27FC236}">
              <a16:creationId xmlns:a16="http://schemas.microsoft.com/office/drawing/2014/main" id="{CD4F13FB-B1D8-4029-AF61-2EBEE6DD249F}"/>
            </a:ext>
          </a:extLst>
        </xdr:cNvPr>
        <xdr:cNvSpPr/>
      </xdr:nvSpPr>
      <xdr:spPr>
        <a:xfrm rot="10800000">
          <a:off x="2141220" y="353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</xdr:row>
      <xdr:rowOff>0</xdr:rowOff>
    </xdr:from>
    <xdr:to>
      <xdr:col>5</xdr:col>
      <xdr:colOff>83820</xdr:colOff>
      <xdr:row>21</xdr:row>
      <xdr:rowOff>114300</xdr:rowOff>
    </xdr:to>
    <xdr:sp macro="" textlink="">
      <xdr:nvSpPr>
        <xdr:cNvPr id="160" name="Arrow: Down 159">
          <a:extLst>
            <a:ext uri="{FF2B5EF4-FFF2-40B4-BE49-F238E27FC236}">
              <a16:creationId xmlns:a16="http://schemas.microsoft.com/office/drawing/2014/main" id="{E5380E20-CC0A-4E18-8231-AC9222801DD5}"/>
            </a:ext>
          </a:extLst>
        </xdr:cNvPr>
        <xdr:cNvSpPr/>
      </xdr:nvSpPr>
      <xdr:spPr>
        <a:xfrm rot="10800000">
          <a:off x="2141220" y="371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</xdr:row>
      <xdr:rowOff>0</xdr:rowOff>
    </xdr:from>
    <xdr:to>
      <xdr:col>5</xdr:col>
      <xdr:colOff>83820</xdr:colOff>
      <xdr:row>22</xdr:row>
      <xdr:rowOff>114300</xdr:rowOff>
    </xdr:to>
    <xdr:sp macro="" textlink="">
      <xdr:nvSpPr>
        <xdr:cNvPr id="161" name="Arrow: Down 160">
          <a:extLst>
            <a:ext uri="{FF2B5EF4-FFF2-40B4-BE49-F238E27FC236}">
              <a16:creationId xmlns:a16="http://schemas.microsoft.com/office/drawing/2014/main" id="{30DF2EFD-429D-4346-921B-4C2657ED342F}"/>
            </a:ext>
          </a:extLst>
        </xdr:cNvPr>
        <xdr:cNvSpPr/>
      </xdr:nvSpPr>
      <xdr:spPr>
        <a:xfrm rot="10800000">
          <a:off x="2141220" y="3901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</xdr:row>
      <xdr:rowOff>0</xdr:rowOff>
    </xdr:from>
    <xdr:to>
      <xdr:col>5</xdr:col>
      <xdr:colOff>83820</xdr:colOff>
      <xdr:row>23</xdr:row>
      <xdr:rowOff>114300</xdr:rowOff>
    </xdr:to>
    <xdr:sp macro="" textlink="">
      <xdr:nvSpPr>
        <xdr:cNvPr id="162" name="Arrow: Down 161">
          <a:extLst>
            <a:ext uri="{FF2B5EF4-FFF2-40B4-BE49-F238E27FC236}">
              <a16:creationId xmlns:a16="http://schemas.microsoft.com/office/drawing/2014/main" id="{70879A06-A3F2-45A4-A0B4-ACC7FCF1C8A1}"/>
            </a:ext>
          </a:extLst>
        </xdr:cNvPr>
        <xdr:cNvSpPr/>
      </xdr:nvSpPr>
      <xdr:spPr>
        <a:xfrm rot="10800000">
          <a:off x="2141220" y="4084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83820</xdr:colOff>
      <xdr:row>10</xdr:row>
      <xdr:rowOff>114300</xdr:rowOff>
    </xdr:to>
    <xdr:sp macro="" textlink="">
      <xdr:nvSpPr>
        <xdr:cNvPr id="163" name="Arrow: Down 162">
          <a:extLst>
            <a:ext uri="{FF2B5EF4-FFF2-40B4-BE49-F238E27FC236}">
              <a16:creationId xmlns:a16="http://schemas.microsoft.com/office/drawing/2014/main" id="{414528EA-8D56-4C96-A9B7-FF9515EC834C}"/>
            </a:ext>
          </a:extLst>
        </xdr:cNvPr>
        <xdr:cNvSpPr/>
      </xdr:nvSpPr>
      <xdr:spPr>
        <a:xfrm>
          <a:off x="2141220" y="170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</xdr:row>
      <xdr:rowOff>38100</xdr:rowOff>
    </xdr:from>
    <xdr:to>
      <xdr:col>45</xdr:col>
      <xdr:colOff>83820</xdr:colOff>
      <xdr:row>24</xdr:row>
      <xdr:rowOff>152400</xdr:rowOff>
    </xdr:to>
    <xdr:sp macro="" textlink="">
      <xdr:nvSpPr>
        <xdr:cNvPr id="83" name="Arrow: Down 82">
          <a:extLst>
            <a:ext uri="{FF2B5EF4-FFF2-40B4-BE49-F238E27FC236}">
              <a16:creationId xmlns:a16="http://schemas.microsoft.com/office/drawing/2014/main" id="{D2557C3A-CE73-4F6A-B612-687749AE5C61}"/>
            </a:ext>
          </a:extLst>
        </xdr:cNvPr>
        <xdr:cNvSpPr/>
      </xdr:nvSpPr>
      <xdr:spPr>
        <a:xfrm rot="10800000">
          <a:off x="8625840" y="430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</xdr:row>
      <xdr:rowOff>30480</xdr:rowOff>
    </xdr:from>
    <xdr:to>
      <xdr:col>39</xdr:col>
      <xdr:colOff>83820</xdr:colOff>
      <xdr:row>24</xdr:row>
      <xdr:rowOff>144780</xdr:rowOff>
    </xdr:to>
    <xdr:sp macro="" textlink="">
      <xdr:nvSpPr>
        <xdr:cNvPr id="85" name="Arrow: Down 84">
          <a:extLst>
            <a:ext uri="{FF2B5EF4-FFF2-40B4-BE49-F238E27FC236}">
              <a16:creationId xmlns:a16="http://schemas.microsoft.com/office/drawing/2014/main" id="{0F36F6EC-A7D5-4038-9B4A-9D8E751CB2BA}"/>
            </a:ext>
          </a:extLst>
        </xdr:cNvPr>
        <xdr:cNvSpPr/>
      </xdr:nvSpPr>
      <xdr:spPr>
        <a:xfrm flipH="1" flipV="1">
          <a:off x="7200900" y="4297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</xdr:row>
      <xdr:rowOff>30480</xdr:rowOff>
    </xdr:from>
    <xdr:to>
      <xdr:col>11</xdr:col>
      <xdr:colOff>83820</xdr:colOff>
      <xdr:row>24</xdr:row>
      <xdr:rowOff>144780</xdr:rowOff>
    </xdr:to>
    <xdr:sp macro="" textlink="">
      <xdr:nvSpPr>
        <xdr:cNvPr id="94" name="Arrow: Down 93">
          <a:extLst>
            <a:ext uri="{FF2B5EF4-FFF2-40B4-BE49-F238E27FC236}">
              <a16:creationId xmlns:a16="http://schemas.microsoft.com/office/drawing/2014/main" id="{9CB164D4-690B-446B-98A3-DB8A9F4986EB}"/>
            </a:ext>
          </a:extLst>
        </xdr:cNvPr>
        <xdr:cNvSpPr/>
      </xdr:nvSpPr>
      <xdr:spPr>
        <a:xfrm>
          <a:off x="3695700" y="4297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</xdr:row>
      <xdr:rowOff>0</xdr:rowOff>
    </xdr:from>
    <xdr:to>
      <xdr:col>71</xdr:col>
      <xdr:colOff>160020</xdr:colOff>
      <xdr:row>23</xdr:row>
      <xdr:rowOff>167640</xdr:rowOff>
    </xdr:to>
    <xdr:sp macro="" textlink="">
      <xdr:nvSpPr>
        <xdr:cNvPr id="99" name="Minus Sign 98">
          <a:extLst>
            <a:ext uri="{FF2B5EF4-FFF2-40B4-BE49-F238E27FC236}">
              <a16:creationId xmlns:a16="http://schemas.microsoft.com/office/drawing/2014/main" id="{0626B640-59CC-41A0-95FA-73438C3C0ABB}"/>
            </a:ext>
          </a:extLst>
        </xdr:cNvPr>
        <xdr:cNvSpPr/>
      </xdr:nvSpPr>
      <xdr:spPr>
        <a:xfrm>
          <a:off x="11597640" y="40843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24</xdr:row>
      <xdr:rowOff>0</xdr:rowOff>
    </xdr:from>
    <xdr:to>
      <xdr:col>5</xdr:col>
      <xdr:colOff>83820</xdr:colOff>
      <xdr:row>24</xdr:row>
      <xdr:rowOff>114300</xdr:rowOff>
    </xdr:to>
    <xdr:sp macro="" textlink="">
      <xdr:nvSpPr>
        <xdr:cNvPr id="133" name="Arrow: Down 132">
          <a:extLst>
            <a:ext uri="{FF2B5EF4-FFF2-40B4-BE49-F238E27FC236}">
              <a16:creationId xmlns:a16="http://schemas.microsoft.com/office/drawing/2014/main" id="{5A36C91A-CB69-4854-850E-50B8DBB561BA}"/>
            </a:ext>
          </a:extLst>
        </xdr:cNvPr>
        <xdr:cNvSpPr/>
      </xdr:nvSpPr>
      <xdr:spPr>
        <a:xfrm rot="10800000">
          <a:off x="2103120" y="4267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</xdr:row>
      <xdr:rowOff>0</xdr:rowOff>
    </xdr:from>
    <xdr:to>
      <xdr:col>24</xdr:col>
      <xdr:colOff>83820</xdr:colOff>
      <xdr:row>24</xdr:row>
      <xdr:rowOff>114300</xdr:rowOff>
    </xdr:to>
    <xdr:sp macro="" textlink="">
      <xdr:nvSpPr>
        <xdr:cNvPr id="137" name="Arrow: Down 136">
          <a:extLst>
            <a:ext uri="{FF2B5EF4-FFF2-40B4-BE49-F238E27FC236}">
              <a16:creationId xmlns:a16="http://schemas.microsoft.com/office/drawing/2014/main" id="{C41BEE00-C18A-4E46-AF33-5D1515C0A42A}"/>
            </a:ext>
          </a:extLst>
        </xdr:cNvPr>
        <xdr:cNvSpPr/>
      </xdr:nvSpPr>
      <xdr:spPr>
        <a:xfrm rot="10800000">
          <a:off x="4686300" y="4267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</xdr:row>
      <xdr:rowOff>38100</xdr:rowOff>
    </xdr:from>
    <xdr:to>
      <xdr:col>45</xdr:col>
      <xdr:colOff>83820</xdr:colOff>
      <xdr:row>25</xdr:row>
      <xdr:rowOff>152400</xdr:rowOff>
    </xdr:to>
    <xdr:sp macro="" textlink="">
      <xdr:nvSpPr>
        <xdr:cNvPr id="88" name="Arrow: Down 87">
          <a:extLst>
            <a:ext uri="{FF2B5EF4-FFF2-40B4-BE49-F238E27FC236}">
              <a16:creationId xmlns:a16="http://schemas.microsoft.com/office/drawing/2014/main" id="{2F29CCDF-FABE-4C8A-98FC-53ACF6FD3F46}"/>
            </a:ext>
          </a:extLst>
        </xdr:cNvPr>
        <xdr:cNvSpPr/>
      </xdr:nvSpPr>
      <xdr:spPr>
        <a:xfrm rot="10800000">
          <a:off x="8625840" y="4328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</xdr:row>
      <xdr:rowOff>30480</xdr:rowOff>
    </xdr:from>
    <xdr:to>
      <xdr:col>39</xdr:col>
      <xdr:colOff>83820</xdr:colOff>
      <xdr:row>25</xdr:row>
      <xdr:rowOff>144780</xdr:rowOff>
    </xdr:to>
    <xdr:sp macro="" textlink="">
      <xdr:nvSpPr>
        <xdr:cNvPr id="91" name="Arrow: Down 90">
          <a:extLst>
            <a:ext uri="{FF2B5EF4-FFF2-40B4-BE49-F238E27FC236}">
              <a16:creationId xmlns:a16="http://schemas.microsoft.com/office/drawing/2014/main" id="{FB49E51C-EB06-4803-A7F5-DAE7B5EB87A6}"/>
            </a:ext>
          </a:extLst>
        </xdr:cNvPr>
        <xdr:cNvSpPr/>
      </xdr:nvSpPr>
      <xdr:spPr>
        <a:xfrm flipH="1" flipV="1">
          <a:off x="7200900" y="432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</xdr:row>
      <xdr:rowOff>30480</xdr:rowOff>
    </xdr:from>
    <xdr:to>
      <xdr:col>11</xdr:col>
      <xdr:colOff>83820</xdr:colOff>
      <xdr:row>25</xdr:row>
      <xdr:rowOff>144780</xdr:rowOff>
    </xdr:to>
    <xdr:sp macro="" textlink="">
      <xdr:nvSpPr>
        <xdr:cNvPr id="92" name="Arrow: Down 91">
          <a:extLst>
            <a:ext uri="{FF2B5EF4-FFF2-40B4-BE49-F238E27FC236}">
              <a16:creationId xmlns:a16="http://schemas.microsoft.com/office/drawing/2014/main" id="{8295B780-6DEA-4501-B55A-2090C33CBA90}"/>
            </a:ext>
          </a:extLst>
        </xdr:cNvPr>
        <xdr:cNvSpPr/>
      </xdr:nvSpPr>
      <xdr:spPr>
        <a:xfrm>
          <a:off x="3695700" y="432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</xdr:row>
      <xdr:rowOff>22860</xdr:rowOff>
    </xdr:from>
    <xdr:to>
      <xdr:col>5</xdr:col>
      <xdr:colOff>83820</xdr:colOff>
      <xdr:row>25</xdr:row>
      <xdr:rowOff>137160</xdr:rowOff>
    </xdr:to>
    <xdr:sp macro="" textlink="">
      <xdr:nvSpPr>
        <xdr:cNvPr id="101" name="Arrow: Down 100">
          <a:extLst>
            <a:ext uri="{FF2B5EF4-FFF2-40B4-BE49-F238E27FC236}">
              <a16:creationId xmlns:a16="http://schemas.microsoft.com/office/drawing/2014/main" id="{D68160C8-DBAE-4162-8ECC-513C22FA0371}"/>
            </a:ext>
          </a:extLst>
        </xdr:cNvPr>
        <xdr:cNvSpPr/>
      </xdr:nvSpPr>
      <xdr:spPr>
        <a:xfrm>
          <a:off x="2103120" y="449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</xdr:row>
      <xdr:rowOff>30480</xdr:rowOff>
    </xdr:from>
    <xdr:to>
      <xdr:col>24</xdr:col>
      <xdr:colOff>83820</xdr:colOff>
      <xdr:row>25</xdr:row>
      <xdr:rowOff>144780</xdr:rowOff>
    </xdr:to>
    <xdr:sp macro="" textlink="">
      <xdr:nvSpPr>
        <xdr:cNvPr id="103" name="Arrow: Down 102">
          <a:extLst>
            <a:ext uri="{FF2B5EF4-FFF2-40B4-BE49-F238E27FC236}">
              <a16:creationId xmlns:a16="http://schemas.microsoft.com/office/drawing/2014/main" id="{F3915D6D-8535-4A23-A943-24D06E807706}"/>
            </a:ext>
          </a:extLst>
        </xdr:cNvPr>
        <xdr:cNvSpPr/>
      </xdr:nvSpPr>
      <xdr:spPr>
        <a:xfrm>
          <a:off x="4686300" y="450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</xdr:row>
      <xdr:rowOff>38100</xdr:rowOff>
    </xdr:from>
    <xdr:to>
      <xdr:col>45</xdr:col>
      <xdr:colOff>83820</xdr:colOff>
      <xdr:row>26</xdr:row>
      <xdr:rowOff>152400</xdr:rowOff>
    </xdr:to>
    <xdr:sp macro="" textlink="">
      <xdr:nvSpPr>
        <xdr:cNvPr id="110" name="Arrow: Down 109">
          <a:extLst>
            <a:ext uri="{FF2B5EF4-FFF2-40B4-BE49-F238E27FC236}">
              <a16:creationId xmlns:a16="http://schemas.microsoft.com/office/drawing/2014/main" id="{EB2F6F9E-AAAE-4A18-810B-0F76454BD56C}"/>
            </a:ext>
          </a:extLst>
        </xdr:cNvPr>
        <xdr:cNvSpPr/>
      </xdr:nvSpPr>
      <xdr:spPr>
        <a:xfrm rot="10800000">
          <a:off x="8709660" y="4511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</xdr:row>
      <xdr:rowOff>0</xdr:rowOff>
    </xdr:from>
    <xdr:to>
      <xdr:col>11</xdr:col>
      <xdr:colOff>83820</xdr:colOff>
      <xdr:row>26</xdr:row>
      <xdr:rowOff>114300</xdr:rowOff>
    </xdr:to>
    <xdr:sp macro="" textlink="">
      <xdr:nvSpPr>
        <xdr:cNvPr id="105" name="Arrow: Down 104">
          <a:extLst>
            <a:ext uri="{FF2B5EF4-FFF2-40B4-BE49-F238E27FC236}">
              <a16:creationId xmlns:a16="http://schemas.microsoft.com/office/drawing/2014/main" id="{516A3FD9-4570-40DC-8468-77B358A91883}"/>
            </a:ext>
          </a:extLst>
        </xdr:cNvPr>
        <xdr:cNvSpPr/>
      </xdr:nvSpPr>
      <xdr:spPr>
        <a:xfrm rot="10800000">
          <a:off x="3779520" y="4655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</xdr:row>
      <xdr:rowOff>53340</xdr:rowOff>
    </xdr:from>
    <xdr:to>
      <xdr:col>39</xdr:col>
      <xdr:colOff>83820</xdr:colOff>
      <xdr:row>26</xdr:row>
      <xdr:rowOff>167640</xdr:rowOff>
    </xdr:to>
    <xdr:sp macro="" textlink="">
      <xdr:nvSpPr>
        <xdr:cNvPr id="154" name="Arrow: Down 153">
          <a:extLst>
            <a:ext uri="{FF2B5EF4-FFF2-40B4-BE49-F238E27FC236}">
              <a16:creationId xmlns:a16="http://schemas.microsoft.com/office/drawing/2014/main" id="{BF61D7B6-368D-4CB6-92AC-7092F7D4D234}"/>
            </a:ext>
          </a:extLst>
        </xdr:cNvPr>
        <xdr:cNvSpPr/>
      </xdr:nvSpPr>
      <xdr:spPr>
        <a:xfrm>
          <a:off x="7284720" y="470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</xdr:row>
      <xdr:rowOff>0</xdr:rowOff>
    </xdr:from>
    <xdr:to>
      <xdr:col>71</xdr:col>
      <xdr:colOff>160020</xdr:colOff>
      <xdr:row>24</xdr:row>
      <xdr:rowOff>167640</xdr:rowOff>
    </xdr:to>
    <xdr:sp macro="" textlink="">
      <xdr:nvSpPr>
        <xdr:cNvPr id="164" name="Minus Sign 163">
          <a:extLst>
            <a:ext uri="{FF2B5EF4-FFF2-40B4-BE49-F238E27FC236}">
              <a16:creationId xmlns:a16="http://schemas.microsoft.com/office/drawing/2014/main" id="{858F6565-0741-46B9-ACD3-75C116DA28B8}"/>
            </a:ext>
          </a:extLst>
        </xdr:cNvPr>
        <xdr:cNvSpPr/>
      </xdr:nvSpPr>
      <xdr:spPr>
        <a:xfrm>
          <a:off x="13075920" y="42900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71</xdr:col>
      <xdr:colOff>0</xdr:colOff>
      <xdr:row>25</xdr:row>
      <xdr:rowOff>0</xdr:rowOff>
    </xdr:from>
    <xdr:to>
      <xdr:col>71</xdr:col>
      <xdr:colOff>160020</xdr:colOff>
      <xdr:row>25</xdr:row>
      <xdr:rowOff>167640</xdr:rowOff>
    </xdr:to>
    <xdr:sp macro="" textlink="">
      <xdr:nvSpPr>
        <xdr:cNvPr id="165" name="Minus Sign 164">
          <a:extLst>
            <a:ext uri="{FF2B5EF4-FFF2-40B4-BE49-F238E27FC236}">
              <a16:creationId xmlns:a16="http://schemas.microsoft.com/office/drawing/2014/main" id="{0CFB03FB-DBE1-4732-B43F-F73C0D6D8A77}"/>
            </a:ext>
          </a:extLst>
        </xdr:cNvPr>
        <xdr:cNvSpPr/>
      </xdr:nvSpPr>
      <xdr:spPr>
        <a:xfrm>
          <a:off x="13075920" y="44729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71</xdr:col>
      <xdr:colOff>0</xdr:colOff>
      <xdr:row>26</xdr:row>
      <xdr:rowOff>0</xdr:rowOff>
    </xdr:from>
    <xdr:to>
      <xdr:col>71</xdr:col>
      <xdr:colOff>160020</xdr:colOff>
      <xdr:row>26</xdr:row>
      <xdr:rowOff>167640</xdr:rowOff>
    </xdr:to>
    <xdr:sp macro="" textlink="">
      <xdr:nvSpPr>
        <xdr:cNvPr id="166" name="Minus Sign 165">
          <a:extLst>
            <a:ext uri="{FF2B5EF4-FFF2-40B4-BE49-F238E27FC236}">
              <a16:creationId xmlns:a16="http://schemas.microsoft.com/office/drawing/2014/main" id="{CCE3EE16-5471-469A-A785-1ECC6879B861}"/>
            </a:ext>
          </a:extLst>
        </xdr:cNvPr>
        <xdr:cNvSpPr/>
      </xdr:nvSpPr>
      <xdr:spPr>
        <a:xfrm>
          <a:off x="13075920" y="46558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26</xdr:row>
      <xdr:rowOff>0</xdr:rowOff>
    </xdr:from>
    <xdr:to>
      <xdr:col>5</xdr:col>
      <xdr:colOff>83820</xdr:colOff>
      <xdr:row>26</xdr:row>
      <xdr:rowOff>114300</xdr:rowOff>
    </xdr:to>
    <xdr:sp macro="" textlink="">
      <xdr:nvSpPr>
        <xdr:cNvPr id="167" name="Arrow: Down 166">
          <a:extLst>
            <a:ext uri="{FF2B5EF4-FFF2-40B4-BE49-F238E27FC236}">
              <a16:creationId xmlns:a16="http://schemas.microsoft.com/office/drawing/2014/main" id="{BBC02987-D798-44C1-9DAF-0EAD12110EC0}"/>
            </a:ext>
          </a:extLst>
        </xdr:cNvPr>
        <xdr:cNvSpPr/>
      </xdr:nvSpPr>
      <xdr:spPr>
        <a:xfrm rot="10800000">
          <a:off x="2186940" y="4655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</xdr:row>
      <xdr:rowOff>38100</xdr:rowOff>
    </xdr:from>
    <xdr:to>
      <xdr:col>45</xdr:col>
      <xdr:colOff>83820</xdr:colOff>
      <xdr:row>27</xdr:row>
      <xdr:rowOff>152400</xdr:rowOff>
    </xdr:to>
    <xdr:sp macro="" textlink="">
      <xdr:nvSpPr>
        <xdr:cNvPr id="168" name="Arrow: Down 167">
          <a:extLst>
            <a:ext uri="{FF2B5EF4-FFF2-40B4-BE49-F238E27FC236}">
              <a16:creationId xmlns:a16="http://schemas.microsoft.com/office/drawing/2014/main" id="{36371F47-7337-4A14-BA5A-954956DDF3DA}"/>
            </a:ext>
          </a:extLst>
        </xdr:cNvPr>
        <xdr:cNvSpPr/>
      </xdr:nvSpPr>
      <xdr:spPr>
        <a:xfrm rot="10800000">
          <a:off x="8709660" y="4693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</xdr:row>
      <xdr:rowOff>0</xdr:rowOff>
    </xdr:from>
    <xdr:to>
      <xdr:col>71</xdr:col>
      <xdr:colOff>160020</xdr:colOff>
      <xdr:row>27</xdr:row>
      <xdr:rowOff>167640</xdr:rowOff>
    </xdr:to>
    <xdr:sp macro="" textlink="">
      <xdr:nvSpPr>
        <xdr:cNvPr id="172" name="Minus Sign 171">
          <a:extLst>
            <a:ext uri="{FF2B5EF4-FFF2-40B4-BE49-F238E27FC236}">
              <a16:creationId xmlns:a16="http://schemas.microsoft.com/office/drawing/2014/main" id="{3C9CCF15-2152-4284-97E3-2CACC87D8B8B}"/>
            </a:ext>
          </a:extLst>
        </xdr:cNvPr>
        <xdr:cNvSpPr/>
      </xdr:nvSpPr>
      <xdr:spPr>
        <a:xfrm>
          <a:off x="13075920" y="46558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27</xdr:row>
      <xdr:rowOff>0</xdr:rowOff>
    </xdr:from>
    <xdr:to>
      <xdr:col>5</xdr:col>
      <xdr:colOff>83820</xdr:colOff>
      <xdr:row>27</xdr:row>
      <xdr:rowOff>114300</xdr:rowOff>
    </xdr:to>
    <xdr:sp macro="" textlink="">
      <xdr:nvSpPr>
        <xdr:cNvPr id="176" name="Arrow: Down 175">
          <a:extLst>
            <a:ext uri="{FF2B5EF4-FFF2-40B4-BE49-F238E27FC236}">
              <a16:creationId xmlns:a16="http://schemas.microsoft.com/office/drawing/2014/main" id="{C52257C0-BDFF-44AB-986C-6D9E145D3C32}"/>
            </a:ext>
          </a:extLst>
        </xdr:cNvPr>
        <xdr:cNvSpPr/>
      </xdr:nvSpPr>
      <xdr:spPr>
        <a:xfrm rot="10800000">
          <a:off x="2186940" y="4838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</xdr:row>
      <xdr:rowOff>0</xdr:rowOff>
    </xdr:from>
    <xdr:to>
      <xdr:col>71</xdr:col>
      <xdr:colOff>160020</xdr:colOff>
      <xdr:row>28</xdr:row>
      <xdr:rowOff>167640</xdr:rowOff>
    </xdr:to>
    <xdr:sp macro="" textlink="">
      <xdr:nvSpPr>
        <xdr:cNvPr id="135" name="Minus Sign 134">
          <a:extLst>
            <a:ext uri="{FF2B5EF4-FFF2-40B4-BE49-F238E27FC236}">
              <a16:creationId xmlns:a16="http://schemas.microsoft.com/office/drawing/2014/main" id="{BF4FFEBE-76AC-47FD-971C-AA51843FBDC8}"/>
            </a:ext>
          </a:extLst>
        </xdr:cNvPr>
        <xdr:cNvSpPr/>
      </xdr:nvSpPr>
      <xdr:spPr>
        <a:xfrm>
          <a:off x="13075920" y="48387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99060</xdr:colOff>
      <xdr:row>28</xdr:row>
      <xdr:rowOff>22860</xdr:rowOff>
    </xdr:from>
    <xdr:to>
      <xdr:col>5</xdr:col>
      <xdr:colOff>76200</xdr:colOff>
      <xdr:row>28</xdr:row>
      <xdr:rowOff>137160</xdr:rowOff>
    </xdr:to>
    <xdr:sp macro="" textlink="">
      <xdr:nvSpPr>
        <xdr:cNvPr id="159" name="Arrow: Down 158">
          <a:extLst>
            <a:ext uri="{FF2B5EF4-FFF2-40B4-BE49-F238E27FC236}">
              <a16:creationId xmlns:a16="http://schemas.microsoft.com/office/drawing/2014/main" id="{10FF57F7-E68B-4459-9A14-587B9F40083C}"/>
            </a:ext>
          </a:extLst>
        </xdr:cNvPr>
        <xdr:cNvSpPr/>
      </xdr:nvSpPr>
      <xdr:spPr>
        <a:xfrm>
          <a:off x="2179320" y="504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7620</xdr:colOff>
      <xdr:row>28</xdr:row>
      <xdr:rowOff>30480</xdr:rowOff>
    </xdr:from>
    <xdr:to>
      <xdr:col>11</xdr:col>
      <xdr:colOff>91440</xdr:colOff>
      <xdr:row>28</xdr:row>
      <xdr:rowOff>144780</xdr:rowOff>
    </xdr:to>
    <xdr:sp macro="" textlink="">
      <xdr:nvSpPr>
        <xdr:cNvPr id="170" name="Arrow: Down 169">
          <a:extLst>
            <a:ext uri="{FF2B5EF4-FFF2-40B4-BE49-F238E27FC236}">
              <a16:creationId xmlns:a16="http://schemas.microsoft.com/office/drawing/2014/main" id="{BB459932-C887-44B0-89E3-44589FB13B35}"/>
            </a:ext>
          </a:extLst>
        </xdr:cNvPr>
        <xdr:cNvSpPr/>
      </xdr:nvSpPr>
      <xdr:spPr>
        <a:xfrm>
          <a:off x="3787140" y="505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</xdr:row>
      <xdr:rowOff>60960</xdr:rowOff>
    </xdr:from>
    <xdr:to>
      <xdr:col>45</xdr:col>
      <xdr:colOff>83820</xdr:colOff>
      <xdr:row>28</xdr:row>
      <xdr:rowOff>175260</xdr:rowOff>
    </xdr:to>
    <xdr:sp macro="" textlink="">
      <xdr:nvSpPr>
        <xdr:cNvPr id="174" name="Arrow: Down 173">
          <a:extLst>
            <a:ext uri="{FF2B5EF4-FFF2-40B4-BE49-F238E27FC236}">
              <a16:creationId xmlns:a16="http://schemas.microsoft.com/office/drawing/2014/main" id="{8C5D4251-F0AF-469A-B659-0822ED93175C}"/>
            </a:ext>
          </a:extLst>
        </xdr:cNvPr>
        <xdr:cNvSpPr/>
      </xdr:nvSpPr>
      <xdr:spPr>
        <a:xfrm>
          <a:off x="8709660" y="5082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</xdr:row>
      <xdr:rowOff>0</xdr:rowOff>
    </xdr:from>
    <xdr:to>
      <xdr:col>71</xdr:col>
      <xdr:colOff>160020</xdr:colOff>
      <xdr:row>29</xdr:row>
      <xdr:rowOff>167640</xdr:rowOff>
    </xdr:to>
    <xdr:sp macro="" textlink="">
      <xdr:nvSpPr>
        <xdr:cNvPr id="178" name="Minus Sign 177">
          <a:extLst>
            <a:ext uri="{FF2B5EF4-FFF2-40B4-BE49-F238E27FC236}">
              <a16:creationId xmlns:a16="http://schemas.microsoft.com/office/drawing/2014/main" id="{ED27D3D1-C690-46AE-ACAE-2E1BBFC163BC}"/>
            </a:ext>
          </a:extLst>
        </xdr:cNvPr>
        <xdr:cNvSpPr/>
      </xdr:nvSpPr>
      <xdr:spPr>
        <a:xfrm>
          <a:off x="13075920" y="50215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29</xdr:row>
      <xdr:rowOff>30480</xdr:rowOff>
    </xdr:from>
    <xdr:to>
      <xdr:col>11</xdr:col>
      <xdr:colOff>91440</xdr:colOff>
      <xdr:row>29</xdr:row>
      <xdr:rowOff>144780</xdr:rowOff>
    </xdr:to>
    <xdr:sp macro="" textlink="">
      <xdr:nvSpPr>
        <xdr:cNvPr id="181" name="Arrow: Down 180">
          <a:extLst>
            <a:ext uri="{FF2B5EF4-FFF2-40B4-BE49-F238E27FC236}">
              <a16:creationId xmlns:a16="http://schemas.microsoft.com/office/drawing/2014/main" id="{480A28E8-C527-4372-ABE8-8F70A8B7B49F}"/>
            </a:ext>
          </a:extLst>
        </xdr:cNvPr>
        <xdr:cNvSpPr/>
      </xdr:nvSpPr>
      <xdr:spPr>
        <a:xfrm>
          <a:off x="3787140" y="505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</xdr:row>
      <xdr:rowOff>0</xdr:rowOff>
    </xdr:from>
    <xdr:to>
      <xdr:col>39</xdr:col>
      <xdr:colOff>83820</xdr:colOff>
      <xdr:row>28</xdr:row>
      <xdr:rowOff>114300</xdr:rowOff>
    </xdr:to>
    <xdr:sp macro="" textlink="">
      <xdr:nvSpPr>
        <xdr:cNvPr id="187" name="Arrow: Down 186">
          <a:extLst>
            <a:ext uri="{FF2B5EF4-FFF2-40B4-BE49-F238E27FC236}">
              <a16:creationId xmlns:a16="http://schemas.microsoft.com/office/drawing/2014/main" id="{E8F1424D-D658-409C-9166-4D309F2521F9}"/>
            </a:ext>
          </a:extLst>
        </xdr:cNvPr>
        <xdr:cNvSpPr/>
      </xdr:nvSpPr>
      <xdr:spPr>
        <a:xfrm>
          <a:off x="7284720" y="5021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</xdr:row>
      <xdr:rowOff>0</xdr:rowOff>
    </xdr:from>
    <xdr:to>
      <xdr:col>39</xdr:col>
      <xdr:colOff>83820</xdr:colOff>
      <xdr:row>27</xdr:row>
      <xdr:rowOff>114300</xdr:rowOff>
    </xdr:to>
    <xdr:sp macro="" textlink="">
      <xdr:nvSpPr>
        <xdr:cNvPr id="189" name="Arrow: Down 188">
          <a:extLst>
            <a:ext uri="{FF2B5EF4-FFF2-40B4-BE49-F238E27FC236}">
              <a16:creationId xmlns:a16="http://schemas.microsoft.com/office/drawing/2014/main" id="{FE4BCF33-E875-4D0C-B659-E58C940C6E30}"/>
            </a:ext>
          </a:extLst>
        </xdr:cNvPr>
        <xdr:cNvSpPr/>
      </xdr:nvSpPr>
      <xdr:spPr>
        <a:xfrm rot="10800000">
          <a:off x="7284720" y="4838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7620</xdr:colOff>
      <xdr:row>29</xdr:row>
      <xdr:rowOff>53340</xdr:rowOff>
    </xdr:from>
    <xdr:to>
      <xdr:col>45</xdr:col>
      <xdr:colOff>91440</xdr:colOff>
      <xdr:row>29</xdr:row>
      <xdr:rowOff>167640</xdr:rowOff>
    </xdr:to>
    <xdr:sp macro="" textlink="">
      <xdr:nvSpPr>
        <xdr:cNvPr id="190" name="Arrow: Down 189">
          <a:extLst>
            <a:ext uri="{FF2B5EF4-FFF2-40B4-BE49-F238E27FC236}">
              <a16:creationId xmlns:a16="http://schemas.microsoft.com/office/drawing/2014/main" id="{3BD9BFB7-35BB-4194-BDD8-F6F81E64AB86}"/>
            </a:ext>
          </a:extLst>
        </xdr:cNvPr>
        <xdr:cNvSpPr/>
      </xdr:nvSpPr>
      <xdr:spPr>
        <a:xfrm rot="10800000">
          <a:off x="8717280" y="525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</xdr:row>
      <xdr:rowOff>0</xdr:rowOff>
    </xdr:from>
    <xdr:to>
      <xdr:col>5</xdr:col>
      <xdr:colOff>83820</xdr:colOff>
      <xdr:row>29</xdr:row>
      <xdr:rowOff>114300</xdr:rowOff>
    </xdr:to>
    <xdr:sp macro="" textlink="">
      <xdr:nvSpPr>
        <xdr:cNvPr id="191" name="Arrow: Down 190">
          <a:extLst>
            <a:ext uri="{FF2B5EF4-FFF2-40B4-BE49-F238E27FC236}">
              <a16:creationId xmlns:a16="http://schemas.microsoft.com/office/drawing/2014/main" id="{4FFF532A-96C1-4555-A5FC-765B2457BF5B}"/>
            </a:ext>
          </a:extLst>
        </xdr:cNvPr>
        <xdr:cNvSpPr/>
      </xdr:nvSpPr>
      <xdr:spPr>
        <a:xfrm rot="10800000">
          <a:off x="2186940" y="5204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83820</xdr:colOff>
      <xdr:row>27</xdr:row>
      <xdr:rowOff>114300</xdr:rowOff>
    </xdr:to>
    <xdr:sp macro="" textlink="">
      <xdr:nvSpPr>
        <xdr:cNvPr id="192" name="Arrow: Down 191">
          <a:extLst>
            <a:ext uri="{FF2B5EF4-FFF2-40B4-BE49-F238E27FC236}">
              <a16:creationId xmlns:a16="http://schemas.microsoft.com/office/drawing/2014/main" id="{9FF780AD-DADF-4856-A729-CE0BED68D2ED}"/>
            </a:ext>
          </a:extLst>
        </xdr:cNvPr>
        <xdr:cNvSpPr/>
      </xdr:nvSpPr>
      <xdr:spPr>
        <a:xfrm>
          <a:off x="3779520" y="4838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</xdr:row>
      <xdr:rowOff>0</xdr:rowOff>
    </xdr:from>
    <xdr:to>
      <xdr:col>71</xdr:col>
      <xdr:colOff>160020</xdr:colOff>
      <xdr:row>30</xdr:row>
      <xdr:rowOff>167640</xdr:rowOff>
    </xdr:to>
    <xdr:sp macro="" textlink="">
      <xdr:nvSpPr>
        <xdr:cNvPr id="199" name="Minus Sign 198">
          <a:extLst>
            <a:ext uri="{FF2B5EF4-FFF2-40B4-BE49-F238E27FC236}">
              <a16:creationId xmlns:a16="http://schemas.microsoft.com/office/drawing/2014/main" id="{F102A01D-A6AC-4717-9F5C-C1ECB746A077}"/>
            </a:ext>
          </a:extLst>
        </xdr:cNvPr>
        <xdr:cNvSpPr/>
      </xdr:nvSpPr>
      <xdr:spPr>
        <a:xfrm>
          <a:off x="13075920" y="52044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30</xdr:row>
      <xdr:rowOff>30480</xdr:rowOff>
    </xdr:from>
    <xdr:to>
      <xdr:col>11</xdr:col>
      <xdr:colOff>91440</xdr:colOff>
      <xdr:row>30</xdr:row>
      <xdr:rowOff>144780</xdr:rowOff>
    </xdr:to>
    <xdr:sp macro="" textlink="">
      <xdr:nvSpPr>
        <xdr:cNvPr id="200" name="Arrow: Down 199">
          <a:extLst>
            <a:ext uri="{FF2B5EF4-FFF2-40B4-BE49-F238E27FC236}">
              <a16:creationId xmlns:a16="http://schemas.microsoft.com/office/drawing/2014/main" id="{8299D4EB-2507-4C3E-AAC9-E5053D55265E}"/>
            </a:ext>
          </a:extLst>
        </xdr:cNvPr>
        <xdr:cNvSpPr/>
      </xdr:nvSpPr>
      <xdr:spPr>
        <a:xfrm>
          <a:off x="3787140" y="5234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</xdr:row>
      <xdr:rowOff>0</xdr:rowOff>
    </xdr:from>
    <xdr:to>
      <xdr:col>5</xdr:col>
      <xdr:colOff>83820</xdr:colOff>
      <xdr:row>30</xdr:row>
      <xdr:rowOff>114300</xdr:rowOff>
    </xdr:to>
    <xdr:sp macro="" textlink="">
      <xdr:nvSpPr>
        <xdr:cNvPr id="205" name="Arrow: Down 204">
          <a:extLst>
            <a:ext uri="{FF2B5EF4-FFF2-40B4-BE49-F238E27FC236}">
              <a16:creationId xmlns:a16="http://schemas.microsoft.com/office/drawing/2014/main" id="{08623522-750B-4471-B011-97EB1DDB3869}"/>
            </a:ext>
          </a:extLst>
        </xdr:cNvPr>
        <xdr:cNvSpPr/>
      </xdr:nvSpPr>
      <xdr:spPr>
        <a:xfrm rot="10800000">
          <a:off x="2186940" y="5387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38</xdr:col>
      <xdr:colOff>60960</xdr:colOff>
      <xdr:row>30</xdr:row>
      <xdr:rowOff>30480</xdr:rowOff>
    </xdr:from>
    <xdr:to>
      <xdr:col>39</xdr:col>
      <xdr:colOff>76200</xdr:colOff>
      <xdr:row>30</xdr:row>
      <xdr:rowOff>144780</xdr:rowOff>
    </xdr:to>
    <xdr:sp macro="" textlink="">
      <xdr:nvSpPr>
        <xdr:cNvPr id="207" name="Arrow: Down 206">
          <a:extLst>
            <a:ext uri="{FF2B5EF4-FFF2-40B4-BE49-F238E27FC236}">
              <a16:creationId xmlns:a16="http://schemas.microsoft.com/office/drawing/2014/main" id="{D530CBC3-891B-4D49-BAEF-F85431E49C31}"/>
            </a:ext>
          </a:extLst>
        </xdr:cNvPr>
        <xdr:cNvSpPr/>
      </xdr:nvSpPr>
      <xdr:spPr>
        <a:xfrm>
          <a:off x="7345680" y="5417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</xdr:row>
      <xdr:rowOff>53340</xdr:rowOff>
    </xdr:from>
    <xdr:to>
      <xdr:col>45</xdr:col>
      <xdr:colOff>83820</xdr:colOff>
      <xdr:row>30</xdr:row>
      <xdr:rowOff>167640</xdr:rowOff>
    </xdr:to>
    <xdr:sp macro="" textlink="">
      <xdr:nvSpPr>
        <xdr:cNvPr id="209" name="Arrow: Down 208">
          <a:extLst>
            <a:ext uri="{FF2B5EF4-FFF2-40B4-BE49-F238E27FC236}">
              <a16:creationId xmlns:a16="http://schemas.microsoft.com/office/drawing/2014/main" id="{E1310EBB-9CDC-4F98-9DFE-43054E7ED13C}"/>
            </a:ext>
          </a:extLst>
        </xdr:cNvPr>
        <xdr:cNvSpPr/>
      </xdr:nvSpPr>
      <xdr:spPr>
        <a:xfrm>
          <a:off x="8778240" y="544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</xdr:row>
      <xdr:rowOff>0</xdr:rowOff>
    </xdr:from>
    <xdr:to>
      <xdr:col>71</xdr:col>
      <xdr:colOff>160020</xdr:colOff>
      <xdr:row>31</xdr:row>
      <xdr:rowOff>167640</xdr:rowOff>
    </xdr:to>
    <xdr:sp macro="" textlink="">
      <xdr:nvSpPr>
        <xdr:cNvPr id="131" name="Minus Sign 130">
          <a:extLst>
            <a:ext uri="{FF2B5EF4-FFF2-40B4-BE49-F238E27FC236}">
              <a16:creationId xmlns:a16="http://schemas.microsoft.com/office/drawing/2014/main" id="{FEB166E2-4496-467D-9109-8790C65FC7CB}"/>
            </a:ext>
          </a:extLst>
        </xdr:cNvPr>
        <xdr:cNvSpPr/>
      </xdr:nvSpPr>
      <xdr:spPr>
        <a:xfrm>
          <a:off x="13205460" y="53873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31</xdr:row>
      <xdr:rowOff>30480</xdr:rowOff>
    </xdr:from>
    <xdr:to>
      <xdr:col>11</xdr:col>
      <xdr:colOff>91440</xdr:colOff>
      <xdr:row>31</xdr:row>
      <xdr:rowOff>144780</xdr:rowOff>
    </xdr:to>
    <xdr:sp macro="" textlink="">
      <xdr:nvSpPr>
        <xdr:cNvPr id="136" name="Arrow: Down 135">
          <a:extLst>
            <a:ext uri="{FF2B5EF4-FFF2-40B4-BE49-F238E27FC236}">
              <a16:creationId xmlns:a16="http://schemas.microsoft.com/office/drawing/2014/main" id="{62E17F5E-68D6-46F4-B687-E3A88B22CD2F}"/>
            </a:ext>
          </a:extLst>
        </xdr:cNvPr>
        <xdr:cNvSpPr/>
      </xdr:nvSpPr>
      <xdr:spPr>
        <a:xfrm>
          <a:off x="3855720" y="5417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</xdr:row>
      <xdr:rowOff>0</xdr:rowOff>
    </xdr:from>
    <xdr:to>
      <xdr:col>39</xdr:col>
      <xdr:colOff>83820</xdr:colOff>
      <xdr:row>29</xdr:row>
      <xdr:rowOff>114300</xdr:rowOff>
    </xdr:to>
    <xdr:sp macro="" textlink="">
      <xdr:nvSpPr>
        <xdr:cNvPr id="169" name="Arrow: Down 168">
          <a:extLst>
            <a:ext uri="{FF2B5EF4-FFF2-40B4-BE49-F238E27FC236}">
              <a16:creationId xmlns:a16="http://schemas.microsoft.com/office/drawing/2014/main" id="{08C125A3-7E64-4183-8467-3479C7F68492}"/>
            </a:ext>
          </a:extLst>
        </xdr:cNvPr>
        <xdr:cNvSpPr/>
      </xdr:nvSpPr>
      <xdr:spPr>
        <a:xfrm flipH="1" flipV="1">
          <a:off x="7414260" y="5204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</xdr:row>
      <xdr:rowOff>0</xdr:rowOff>
    </xdr:from>
    <xdr:to>
      <xdr:col>39</xdr:col>
      <xdr:colOff>83820</xdr:colOff>
      <xdr:row>31</xdr:row>
      <xdr:rowOff>114300</xdr:rowOff>
    </xdr:to>
    <xdr:sp macro="" textlink="">
      <xdr:nvSpPr>
        <xdr:cNvPr id="173" name="Arrow: Down 172">
          <a:extLst>
            <a:ext uri="{FF2B5EF4-FFF2-40B4-BE49-F238E27FC236}">
              <a16:creationId xmlns:a16="http://schemas.microsoft.com/office/drawing/2014/main" id="{283D51DB-5949-41CE-A3D2-DBBA10217AE8}"/>
            </a:ext>
          </a:extLst>
        </xdr:cNvPr>
        <xdr:cNvSpPr/>
      </xdr:nvSpPr>
      <xdr:spPr>
        <a:xfrm flipH="1" flipV="1">
          <a:off x="741426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</xdr:row>
      <xdr:rowOff>0</xdr:rowOff>
    </xdr:from>
    <xdr:to>
      <xdr:col>45</xdr:col>
      <xdr:colOff>83820</xdr:colOff>
      <xdr:row>31</xdr:row>
      <xdr:rowOff>114300</xdr:rowOff>
    </xdr:to>
    <xdr:sp macro="" textlink="">
      <xdr:nvSpPr>
        <xdr:cNvPr id="177" name="Arrow: Down 176">
          <a:extLst>
            <a:ext uri="{FF2B5EF4-FFF2-40B4-BE49-F238E27FC236}">
              <a16:creationId xmlns:a16="http://schemas.microsoft.com/office/drawing/2014/main" id="{D42F89A4-0BF2-4FD4-AE37-1A97281D3E13}"/>
            </a:ext>
          </a:extLst>
        </xdr:cNvPr>
        <xdr:cNvSpPr/>
      </xdr:nvSpPr>
      <xdr:spPr>
        <a:xfrm rot="10800000">
          <a:off x="883920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</xdr:row>
      <xdr:rowOff>0</xdr:rowOff>
    </xdr:from>
    <xdr:to>
      <xdr:col>5</xdr:col>
      <xdr:colOff>83820</xdr:colOff>
      <xdr:row>31</xdr:row>
      <xdr:rowOff>114300</xdr:rowOff>
    </xdr:to>
    <xdr:sp macro="" textlink="">
      <xdr:nvSpPr>
        <xdr:cNvPr id="180" name="Arrow: Down 179">
          <a:extLst>
            <a:ext uri="{FF2B5EF4-FFF2-40B4-BE49-F238E27FC236}">
              <a16:creationId xmlns:a16="http://schemas.microsoft.com/office/drawing/2014/main" id="{0045FA79-30D9-44C5-9392-8A0117DF52C8}"/>
            </a:ext>
          </a:extLst>
        </xdr:cNvPr>
        <xdr:cNvSpPr/>
      </xdr:nvSpPr>
      <xdr:spPr>
        <a:xfrm>
          <a:off x="218694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</xdr:row>
      <xdr:rowOff>0</xdr:rowOff>
    </xdr:from>
    <xdr:to>
      <xdr:col>24</xdr:col>
      <xdr:colOff>83820</xdr:colOff>
      <xdr:row>31</xdr:row>
      <xdr:rowOff>114300</xdr:rowOff>
    </xdr:to>
    <xdr:sp macro="" textlink="">
      <xdr:nvSpPr>
        <xdr:cNvPr id="184" name="Arrow: Down 183">
          <a:extLst>
            <a:ext uri="{FF2B5EF4-FFF2-40B4-BE49-F238E27FC236}">
              <a16:creationId xmlns:a16="http://schemas.microsoft.com/office/drawing/2014/main" id="{9D42BA44-39AC-4163-98ED-C77D2FF4BB2A}"/>
            </a:ext>
          </a:extLst>
        </xdr:cNvPr>
        <xdr:cNvSpPr/>
      </xdr:nvSpPr>
      <xdr:spPr>
        <a:xfrm>
          <a:off x="483870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</xdr:row>
      <xdr:rowOff>0</xdr:rowOff>
    </xdr:from>
    <xdr:to>
      <xdr:col>24</xdr:col>
      <xdr:colOff>83820</xdr:colOff>
      <xdr:row>29</xdr:row>
      <xdr:rowOff>114300</xdr:rowOff>
    </xdr:to>
    <xdr:sp macro="" textlink="">
      <xdr:nvSpPr>
        <xdr:cNvPr id="194" name="Arrow: Down 193">
          <a:extLst>
            <a:ext uri="{FF2B5EF4-FFF2-40B4-BE49-F238E27FC236}">
              <a16:creationId xmlns:a16="http://schemas.microsoft.com/office/drawing/2014/main" id="{71298247-DDC6-46EE-A766-125486407F56}"/>
            </a:ext>
          </a:extLst>
        </xdr:cNvPr>
        <xdr:cNvSpPr/>
      </xdr:nvSpPr>
      <xdr:spPr>
        <a:xfrm>
          <a:off x="4838700" y="5204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</xdr:row>
      <xdr:rowOff>0</xdr:rowOff>
    </xdr:from>
    <xdr:to>
      <xdr:col>24</xdr:col>
      <xdr:colOff>83820</xdr:colOff>
      <xdr:row>27</xdr:row>
      <xdr:rowOff>114300</xdr:rowOff>
    </xdr:to>
    <xdr:sp macro="" textlink="">
      <xdr:nvSpPr>
        <xdr:cNvPr id="195" name="Arrow: Down 194">
          <a:extLst>
            <a:ext uri="{FF2B5EF4-FFF2-40B4-BE49-F238E27FC236}">
              <a16:creationId xmlns:a16="http://schemas.microsoft.com/office/drawing/2014/main" id="{797461CE-4183-454B-AE52-2B86F5305F18}"/>
            </a:ext>
          </a:extLst>
        </xdr:cNvPr>
        <xdr:cNvSpPr/>
      </xdr:nvSpPr>
      <xdr:spPr>
        <a:xfrm rot="10800000">
          <a:off x="4838700" y="4838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</xdr:row>
      <xdr:rowOff>0</xdr:rowOff>
    </xdr:from>
    <xdr:to>
      <xdr:col>24</xdr:col>
      <xdr:colOff>83820</xdr:colOff>
      <xdr:row>26</xdr:row>
      <xdr:rowOff>114300</xdr:rowOff>
    </xdr:to>
    <xdr:sp macro="" textlink="">
      <xdr:nvSpPr>
        <xdr:cNvPr id="197" name="Arrow: Down 196">
          <a:extLst>
            <a:ext uri="{FF2B5EF4-FFF2-40B4-BE49-F238E27FC236}">
              <a16:creationId xmlns:a16="http://schemas.microsoft.com/office/drawing/2014/main" id="{07A2326D-23AD-446C-B211-0628D32D8F60}"/>
            </a:ext>
          </a:extLst>
        </xdr:cNvPr>
        <xdr:cNvSpPr/>
      </xdr:nvSpPr>
      <xdr:spPr>
        <a:xfrm rot="10800000">
          <a:off x="4838700" y="4655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</xdr:row>
      <xdr:rowOff>0</xdr:rowOff>
    </xdr:from>
    <xdr:to>
      <xdr:col>24</xdr:col>
      <xdr:colOff>83820</xdr:colOff>
      <xdr:row>30</xdr:row>
      <xdr:rowOff>114300</xdr:rowOff>
    </xdr:to>
    <xdr:sp macro="" textlink="">
      <xdr:nvSpPr>
        <xdr:cNvPr id="198" name="Arrow: Down 197">
          <a:extLst>
            <a:ext uri="{FF2B5EF4-FFF2-40B4-BE49-F238E27FC236}">
              <a16:creationId xmlns:a16="http://schemas.microsoft.com/office/drawing/2014/main" id="{DC7452E3-A0A0-4A32-BF58-395CE8177BAA}"/>
            </a:ext>
          </a:extLst>
        </xdr:cNvPr>
        <xdr:cNvSpPr/>
      </xdr:nvSpPr>
      <xdr:spPr>
        <a:xfrm rot="10800000">
          <a:off x="4838700" y="5387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</xdr:row>
      <xdr:rowOff>0</xdr:rowOff>
    </xdr:from>
    <xdr:to>
      <xdr:col>24</xdr:col>
      <xdr:colOff>83820</xdr:colOff>
      <xdr:row>28</xdr:row>
      <xdr:rowOff>114300</xdr:rowOff>
    </xdr:to>
    <xdr:sp macro="" textlink="">
      <xdr:nvSpPr>
        <xdr:cNvPr id="201" name="Arrow: Down 200">
          <a:extLst>
            <a:ext uri="{FF2B5EF4-FFF2-40B4-BE49-F238E27FC236}">
              <a16:creationId xmlns:a16="http://schemas.microsoft.com/office/drawing/2014/main" id="{664C8544-4B20-4BF9-89E9-79D911BC978F}"/>
            </a:ext>
          </a:extLst>
        </xdr:cNvPr>
        <xdr:cNvSpPr/>
      </xdr:nvSpPr>
      <xdr:spPr>
        <a:xfrm>
          <a:off x="4838700" y="5021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</xdr:row>
      <xdr:rowOff>0</xdr:rowOff>
    </xdr:from>
    <xdr:to>
      <xdr:col>71</xdr:col>
      <xdr:colOff>160020</xdr:colOff>
      <xdr:row>32</xdr:row>
      <xdr:rowOff>167640</xdr:rowOff>
    </xdr:to>
    <xdr:sp macro="" textlink="">
      <xdr:nvSpPr>
        <xdr:cNvPr id="202" name="Minus Sign 201">
          <a:extLst>
            <a:ext uri="{FF2B5EF4-FFF2-40B4-BE49-F238E27FC236}">
              <a16:creationId xmlns:a16="http://schemas.microsoft.com/office/drawing/2014/main" id="{7736F988-78AD-4A65-8463-4219F2B1A60D}"/>
            </a:ext>
          </a:extLst>
        </xdr:cNvPr>
        <xdr:cNvSpPr/>
      </xdr:nvSpPr>
      <xdr:spPr>
        <a:xfrm>
          <a:off x="13235940" y="55702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32</xdr:row>
      <xdr:rowOff>30480</xdr:rowOff>
    </xdr:from>
    <xdr:to>
      <xdr:col>11</xdr:col>
      <xdr:colOff>91440</xdr:colOff>
      <xdr:row>32</xdr:row>
      <xdr:rowOff>144780</xdr:rowOff>
    </xdr:to>
    <xdr:sp macro="" textlink="">
      <xdr:nvSpPr>
        <xdr:cNvPr id="203" name="Arrow: Down 202">
          <a:extLst>
            <a:ext uri="{FF2B5EF4-FFF2-40B4-BE49-F238E27FC236}">
              <a16:creationId xmlns:a16="http://schemas.microsoft.com/office/drawing/2014/main" id="{66260BC3-46AF-4438-BB62-C1FEC6707476}"/>
            </a:ext>
          </a:extLst>
        </xdr:cNvPr>
        <xdr:cNvSpPr/>
      </xdr:nvSpPr>
      <xdr:spPr>
        <a:xfrm>
          <a:off x="3855720" y="5600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</xdr:row>
      <xdr:rowOff>0</xdr:rowOff>
    </xdr:from>
    <xdr:to>
      <xdr:col>5</xdr:col>
      <xdr:colOff>83820</xdr:colOff>
      <xdr:row>32</xdr:row>
      <xdr:rowOff>114300</xdr:rowOff>
    </xdr:to>
    <xdr:sp macro="" textlink="">
      <xdr:nvSpPr>
        <xdr:cNvPr id="218" name="Arrow: Down 217">
          <a:extLst>
            <a:ext uri="{FF2B5EF4-FFF2-40B4-BE49-F238E27FC236}">
              <a16:creationId xmlns:a16="http://schemas.microsoft.com/office/drawing/2014/main" id="{B10E4104-469C-4684-91B5-F8A41C4CFC8D}"/>
            </a:ext>
          </a:extLst>
        </xdr:cNvPr>
        <xdr:cNvSpPr/>
      </xdr:nvSpPr>
      <xdr:spPr>
        <a:xfrm>
          <a:off x="218694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</xdr:row>
      <xdr:rowOff>0</xdr:rowOff>
    </xdr:from>
    <xdr:to>
      <xdr:col>24</xdr:col>
      <xdr:colOff>83820</xdr:colOff>
      <xdr:row>32</xdr:row>
      <xdr:rowOff>114300</xdr:rowOff>
    </xdr:to>
    <xdr:sp macro="" textlink="">
      <xdr:nvSpPr>
        <xdr:cNvPr id="219" name="Arrow: Down 218">
          <a:extLst>
            <a:ext uri="{FF2B5EF4-FFF2-40B4-BE49-F238E27FC236}">
              <a16:creationId xmlns:a16="http://schemas.microsoft.com/office/drawing/2014/main" id="{FF0657ED-43F0-4202-984B-8D26AEBCA84A}"/>
            </a:ext>
          </a:extLst>
        </xdr:cNvPr>
        <xdr:cNvSpPr/>
      </xdr:nvSpPr>
      <xdr:spPr>
        <a:xfrm>
          <a:off x="483870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</xdr:row>
      <xdr:rowOff>0</xdr:rowOff>
    </xdr:from>
    <xdr:to>
      <xdr:col>39</xdr:col>
      <xdr:colOff>83820</xdr:colOff>
      <xdr:row>32</xdr:row>
      <xdr:rowOff>114300</xdr:rowOff>
    </xdr:to>
    <xdr:sp macro="" textlink="">
      <xdr:nvSpPr>
        <xdr:cNvPr id="220" name="Arrow: Down 219">
          <a:extLst>
            <a:ext uri="{FF2B5EF4-FFF2-40B4-BE49-F238E27FC236}">
              <a16:creationId xmlns:a16="http://schemas.microsoft.com/office/drawing/2014/main" id="{103A9476-0E9D-404D-A0F4-613157B4F4D0}"/>
            </a:ext>
          </a:extLst>
        </xdr:cNvPr>
        <xdr:cNvSpPr/>
      </xdr:nvSpPr>
      <xdr:spPr>
        <a:xfrm>
          <a:off x="7444740" y="5753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</xdr:row>
      <xdr:rowOff>0</xdr:rowOff>
    </xdr:from>
    <xdr:to>
      <xdr:col>45</xdr:col>
      <xdr:colOff>83820</xdr:colOff>
      <xdr:row>32</xdr:row>
      <xdr:rowOff>114300</xdr:rowOff>
    </xdr:to>
    <xdr:sp macro="" textlink="">
      <xdr:nvSpPr>
        <xdr:cNvPr id="222" name="Arrow: Down 221">
          <a:extLst>
            <a:ext uri="{FF2B5EF4-FFF2-40B4-BE49-F238E27FC236}">
              <a16:creationId xmlns:a16="http://schemas.microsoft.com/office/drawing/2014/main" id="{AF1B6C6A-42E5-4680-B6DD-ADCD6B7DD9F3}"/>
            </a:ext>
          </a:extLst>
        </xdr:cNvPr>
        <xdr:cNvSpPr/>
      </xdr:nvSpPr>
      <xdr:spPr>
        <a:xfrm rot="10800000">
          <a:off x="886968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</xdr:row>
      <xdr:rowOff>0</xdr:rowOff>
    </xdr:from>
    <xdr:to>
      <xdr:col>71</xdr:col>
      <xdr:colOff>160020</xdr:colOff>
      <xdr:row>33</xdr:row>
      <xdr:rowOff>167640</xdr:rowOff>
    </xdr:to>
    <xdr:sp macro="" textlink="">
      <xdr:nvSpPr>
        <xdr:cNvPr id="225" name="Minus Sign 224">
          <a:extLst>
            <a:ext uri="{FF2B5EF4-FFF2-40B4-BE49-F238E27FC236}">
              <a16:creationId xmlns:a16="http://schemas.microsoft.com/office/drawing/2014/main" id="{462306C8-06FB-4617-87D0-A4B4A9D6090F}"/>
            </a:ext>
          </a:extLst>
        </xdr:cNvPr>
        <xdr:cNvSpPr/>
      </xdr:nvSpPr>
      <xdr:spPr>
        <a:xfrm>
          <a:off x="13335000" y="57531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33</xdr:row>
      <xdr:rowOff>30480</xdr:rowOff>
    </xdr:from>
    <xdr:to>
      <xdr:col>11</xdr:col>
      <xdr:colOff>91440</xdr:colOff>
      <xdr:row>33</xdr:row>
      <xdr:rowOff>144780</xdr:rowOff>
    </xdr:to>
    <xdr:sp macro="" textlink="">
      <xdr:nvSpPr>
        <xdr:cNvPr id="226" name="Arrow: Down 225">
          <a:extLst>
            <a:ext uri="{FF2B5EF4-FFF2-40B4-BE49-F238E27FC236}">
              <a16:creationId xmlns:a16="http://schemas.microsoft.com/office/drawing/2014/main" id="{308EBA59-28D3-46C0-81FE-C6353521FCF3}"/>
            </a:ext>
          </a:extLst>
        </xdr:cNvPr>
        <xdr:cNvSpPr/>
      </xdr:nvSpPr>
      <xdr:spPr>
        <a:xfrm>
          <a:off x="3855720" y="5783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</xdr:row>
      <xdr:rowOff>0</xdr:rowOff>
    </xdr:from>
    <xdr:to>
      <xdr:col>45</xdr:col>
      <xdr:colOff>83820</xdr:colOff>
      <xdr:row>33</xdr:row>
      <xdr:rowOff>114300</xdr:rowOff>
    </xdr:to>
    <xdr:sp macro="" textlink="">
      <xdr:nvSpPr>
        <xdr:cNvPr id="230" name="Arrow: Down 229">
          <a:extLst>
            <a:ext uri="{FF2B5EF4-FFF2-40B4-BE49-F238E27FC236}">
              <a16:creationId xmlns:a16="http://schemas.microsoft.com/office/drawing/2014/main" id="{3FD2DDE0-8035-40AE-ADC6-B7C3874C6FB8}"/>
            </a:ext>
          </a:extLst>
        </xdr:cNvPr>
        <xdr:cNvSpPr/>
      </xdr:nvSpPr>
      <xdr:spPr>
        <a:xfrm rot="10800000">
          <a:off x="886968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</xdr:row>
      <xdr:rowOff>0</xdr:rowOff>
    </xdr:from>
    <xdr:to>
      <xdr:col>39</xdr:col>
      <xdr:colOff>83820</xdr:colOff>
      <xdr:row>33</xdr:row>
      <xdr:rowOff>114300</xdr:rowOff>
    </xdr:to>
    <xdr:sp macro="" textlink="">
      <xdr:nvSpPr>
        <xdr:cNvPr id="232" name="Arrow: Down 231">
          <a:extLst>
            <a:ext uri="{FF2B5EF4-FFF2-40B4-BE49-F238E27FC236}">
              <a16:creationId xmlns:a16="http://schemas.microsoft.com/office/drawing/2014/main" id="{817EBEF8-6854-4B78-9139-AC792EA0316F}"/>
            </a:ext>
          </a:extLst>
        </xdr:cNvPr>
        <xdr:cNvSpPr/>
      </xdr:nvSpPr>
      <xdr:spPr>
        <a:xfrm rot="10800000">
          <a:off x="744474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83820</xdr:colOff>
      <xdr:row>33</xdr:row>
      <xdr:rowOff>114300</xdr:rowOff>
    </xdr:to>
    <xdr:sp macro="" textlink="">
      <xdr:nvSpPr>
        <xdr:cNvPr id="233" name="Arrow: Down 232">
          <a:extLst>
            <a:ext uri="{FF2B5EF4-FFF2-40B4-BE49-F238E27FC236}">
              <a16:creationId xmlns:a16="http://schemas.microsoft.com/office/drawing/2014/main" id="{048DDE2C-099B-46FB-AB04-C1B6647FA133}"/>
            </a:ext>
          </a:extLst>
        </xdr:cNvPr>
        <xdr:cNvSpPr/>
      </xdr:nvSpPr>
      <xdr:spPr>
        <a:xfrm>
          <a:off x="218694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</xdr:row>
      <xdr:rowOff>0</xdr:rowOff>
    </xdr:from>
    <xdr:to>
      <xdr:col>24</xdr:col>
      <xdr:colOff>83820</xdr:colOff>
      <xdr:row>33</xdr:row>
      <xdr:rowOff>114300</xdr:rowOff>
    </xdr:to>
    <xdr:sp macro="" textlink="">
      <xdr:nvSpPr>
        <xdr:cNvPr id="234" name="Arrow: Down 233">
          <a:extLst>
            <a:ext uri="{FF2B5EF4-FFF2-40B4-BE49-F238E27FC236}">
              <a16:creationId xmlns:a16="http://schemas.microsoft.com/office/drawing/2014/main" id="{7186EF3C-3DCE-47B3-8E75-2D937DD7C951}"/>
            </a:ext>
          </a:extLst>
        </xdr:cNvPr>
        <xdr:cNvSpPr/>
      </xdr:nvSpPr>
      <xdr:spPr>
        <a:xfrm rot="10800000">
          <a:off x="4838700" y="5935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</xdr:row>
      <xdr:rowOff>0</xdr:rowOff>
    </xdr:from>
    <xdr:to>
      <xdr:col>71</xdr:col>
      <xdr:colOff>160020</xdr:colOff>
      <xdr:row>34</xdr:row>
      <xdr:rowOff>167640</xdr:rowOff>
    </xdr:to>
    <xdr:sp macro="" textlink="">
      <xdr:nvSpPr>
        <xdr:cNvPr id="148" name="Minus Sign 147">
          <a:extLst>
            <a:ext uri="{FF2B5EF4-FFF2-40B4-BE49-F238E27FC236}">
              <a16:creationId xmlns:a16="http://schemas.microsoft.com/office/drawing/2014/main" id="{74FEDDBB-C5D1-4718-B048-6DEB9A639200}"/>
            </a:ext>
          </a:extLst>
        </xdr:cNvPr>
        <xdr:cNvSpPr/>
      </xdr:nvSpPr>
      <xdr:spPr>
        <a:xfrm>
          <a:off x="13335000" y="59359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34</xdr:row>
      <xdr:rowOff>0</xdr:rowOff>
    </xdr:from>
    <xdr:to>
      <xdr:col>45</xdr:col>
      <xdr:colOff>83820</xdr:colOff>
      <xdr:row>34</xdr:row>
      <xdr:rowOff>114300</xdr:rowOff>
    </xdr:to>
    <xdr:sp macro="" textlink="">
      <xdr:nvSpPr>
        <xdr:cNvPr id="156" name="Arrow: Down 155">
          <a:extLst>
            <a:ext uri="{FF2B5EF4-FFF2-40B4-BE49-F238E27FC236}">
              <a16:creationId xmlns:a16="http://schemas.microsoft.com/office/drawing/2014/main" id="{E4264FCF-EE0A-4D11-A94F-E320727FDCED}"/>
            </a:ext>
          </a:extLst>
        </xdr:cNvPr>
        <xdr:cNvSpPr/>
      </xdr:nvSpPr>
      <xdr:spPr>
        <a:xfrm rot="10800000">
          <a:off x="886968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</xdr:row>
      <xdr:rowOff>0</xdr:rowOff>
    </xdr:from>
    <xdr:to>
      <xdr:col>24</xdr:col>
      <xdr:colOff>83820</xdr:colOff>
      <xdr:row>34</xdr:row>
      <xdr:rowOff>114300</xdr:rowOff>
    </xdr:to>
    <xdr:sp macro="" textlink="">
      <xdr:nvSpPr>
        <xdr:cNvPr id="183" name="Arrow: Down 182">
          <a:extLst>
            <a:ext uri="{FF2B5EF4-FFF2-40B4-BE49-F238E27FC236}">
              <a16:creationId xmlns:a16="http://schemas.microsoft.com/office/drawing/2014/main" id="{2FDD57D6-3743-45F8-B796-8C856F981E05}"/>
            </a:ext>
          </a:extLst>
        </xdr:cNvPr>
        <xdr:cNvSpPr/>
      </xdr:nvSpPr>
      <xdr:spPr>
        <a:xfrm rot="10800000">
          <a:off x="4838700" y="6118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</xdr:row>
      <xdr:rowOff>0</xdr:rowOff>
    </xdr:from>
    <xdr:to>
      <xdr:col>39</xdr:col>
      <xdr:colOff>83820</xdr:colOff>
      <xdr:row>34</xdr:row>
      <xdr:rowOff>114300</xdr:rowOff>
    </xdr:to>
    <xdr:sp macro="" textlink="">
      <xdr:nvSpPr>
        <xdr:cNvPr id="188" name="Arrow: Down 187">
          <a:extLst>
            <a:ext uri="{FF2B5EF4-FFF2-40B4-BE49-F238E27FC236}">
              <a16:creationId xmlns:a16="http://schemas.microsoft.com/office/drawing/2014/main" id="{6D1C2CFA-568D-4D74-86C4-D87679015F9B}"/>
            </a:ext>
          </a:extLst>
        </xdr:cNvPr>
        <xdr:cNvSpPr/>
      </xdr:nvSpPr>
      <xdr:spPr>
        <a:xfrm>
          <a:off x="7444740" y="6118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</xdr:row>
      <xdr:rowOff>0</xdr:rowOff>
    </xdr:from>
    <xdr:to>
      <xdr:col>71</xdr:col>
      <xdr:colOff>160020</xdr:colOff>
      <xdr:row>35</xdr:row>
      <xdr:rowOff>167640</xdr:rowOff>
    </xdr:to>
    <xdr:sp macro="" textlink="">
      <xdr:nvSpPr>
        <xdr:cNvPr id="196" name="Minus Sign 195">
          <a:extLst>
            <a:ext uri="{FF2B5EF4-FFF2-40B4-BE49-F238E27FC236}">
              <a16:creationId xmlns:a16="http://schemas.microsoft.com/office/drawing/2014/main" id="{6E1EAD94-730E-4535-B37E-168D07C32B77}"/>
            </a:ext>
          </a:extLst>
        </xdr:cNvPr>
        <xdr:cNvSpPr/>
      </xdr:nvSpPr>
      <xdr:spPr>
        <a:xfrm>
          <a:off x="13335000" y="61188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35</xdr:row>
      <xdr:rowOff>0</xdr:rowOff>
    </xdr:from>
    <xdr:to>
      <xdr:col>45</xdr:col>
      <xdr:colOff>83820</xdr:colOff>
      <xdr:row>35</xdr:row>
      <xdr:rowOff>114300</xdr:rowOff>
    </xdr:to>
    <xdr:sp macro="" textlink="">
      <xdr:nvSpPr>
        <xdr:cNvPr id="216" name="Arrow: Down 215">
          <a:extLst>
            <a:ext uri="{FF2B5EF4-FFF2-40B4-BE49-F238E27FC236}">
              <a16:creationId xmlns:a16="http://schemas.microsoft.com/office/drawing/2014/main" id="{2F8BF9A5-68BD-4718-97B7-FB496D36B39B}"/>
            </a:ext>
          </a:extLst>
        </xdr:cNvPr>
        <xdr:cNvSpPr/>
      </xdr:nvSpPr>
      <xdr:spPr>
        <a:xfrm rot="10800000">
          <a:off x="8869680" y="6301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</xdr:row>
      <xdr:rowOff>0</xdr:rowOff>
    </xdr:from>
    <xdr:to>
      <xdr:col>39</xdr:col>
      <xdr:colOff>83820</xdr:colOff>
      <xdr:row>35</xdr:row>
      <xdr:rowOff>114300</xdr:rowOff>
    </xdr:to>
    <xdr:sp macro="" textlink="">
      <xdr:nvSpPr>
        <xdr:cNvPr id="223" name="Arrow: Down 222">
          <a:extLst>
            <a:ext uri="{FF2B5EF4-FFF2-40B4-BE49-F238E27FC236}">
              <a16:creationId xmlns:a16="http://schemas.microsoft.com/office/drawing/2014/main" id="{16A76103-0320-4F6C-A314-EB10AF500308}"/>
            </a:ext>
          </a:extLst>
        </xdr:cNvPr>
        <xdr:cNvSpPr/>
      </xdr:nvSpPr>
      <xdr:spPr>
        <a:xfrm rot="10800000">
          <a:off x="7444740" y="6301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</xdr:row>
      <xdr:rowOff>0</xdr:rowOff>
    </xdr:from>
    <xdr:to>
      <xdr:col>5</xdr:col>
      <xdr:colOff>83820</xdr:colOff>
      <xdr:row>35</xdr:row>
      <xdr:rowOff>114300</xdr:rowOff>
    </xdr:to>
    <xdr:sp macro="" textlink="">
      <xdr:nvSpPr>
        <xdr:cNvPr id="228" name="Arrow: Down 227">
          <a:extLst>
            <a:ext uri="{FF2B5EF4-FFF2-40B4-BE49-F238E27FC236}">
              <a16:creationId xmlns:a16="http://schemas.microsoft.com/office/drawing/2014/main" id="{C4FAD18E-240C-430D-971E-1F93A0625D84}"/>
            </a:ext>
          </a:extLst>
        </xdr:cNvPr>
        <xdr:cNvSpPr/>
      </xdr:nvSpPr>
      <xdr:spPr>
        <a:xfrm rot="10800000">
          <a:off x="2186940" y="6301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</xdr:row>
      <xdr:rowOff>0</xdr:rowOff>
    </xdr:from>
    <xdr:to>
      <xdr:col>11</xdr:col>
      <xdr:colOff>83820</xdr:colOff>
      <xdr:row>35</xdr:row>
      <xdr:rowOff>114300</xdr:rowOff>
    </xdr:to>
    <xdr:sp macro="" textlink="">
      <xdr:nvSpPr>
        <xdr:cNvPr id="235" name="Arrow: Down 234">
          <a:extLst>
            <a:ext uri="{FF2B5EF4-FFF2-40B4-BE49-F238E27FC236}">
              <a16:creationId xmlns:a16="http://schemas.microsoft.com/office/drawing/2014/main" id="{341B6C2C-0994-4F91-A172-2BD088FEBBB6}"/>
            </a:ext>
          </a:extLst>
        </xdr:cNvPr>
        <xdr:cNvSpPr/>
      </xdr:nvSpPr>
      <xdr:spPr>
        <a:xfrm rot="10800000">
          <a:off x="3848100" y="6301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</xdr:row>
      <xdr:rowOff>0</xdr:rowOff>
    </xdr:from>
    <xdr:to>
      <xdr:col>24</xdr:col>
      <xdr:colOff>83820</xdr:colOff>
      <xdr:row>35</xdr:row>
      <xdr:rowOff>114300</xdr:rowOff>
    </xdr:to>
    <xdr:sp macro="" textlink="">
      <xdr:nvSpPr>
        <xdr:cNvPr id="237" name="Arrow: Down 236">
          <a:extLst>
            <a:ext uri="{FF2B5EF4-FFF2-40B4-BE49-F238E27FC236}">
              <a16:creationId xmlns:a16="http://schemas.microsoft.com/office/drawing/2014/main" id="{8C65FADD-9FA0-4E8C-B8A0-7913AB3C3007}"/>
            </a:ext>
          </a:extLst>
        </xdr:cNvPr>
        <xdr:cNvSpPr/>
      </xdr:nvSpPr>
      <xdr:spPr>
        <a:xfrm rot="10800000">
          <a:off x="4838700" y="6301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</xdr:row>
      <xdr:rowOff>0</xdr:rowOff>
    </xdr:from>
    <xdr:to>
      <xdr:col>71</xdr:col>
      <xdr:colOff>160020</xdr:colOff>
      <xdr:row>36</xdr:row>
      <xdr:rowOff>167640</xdr:rowOff>
    </xdr:to>
    <xdr:sp macro="" textlink="">
      <xdr:nvSpPr>
        <xdr:cNvPr id="240" name="Minus Sign 239">
          <a:extLst>
            <a:ext uri="{FF2B5EF4-FFF2-40B4-BE49-F238E27FC236}">
              <a16:creationId xmlns:a16="http://schemas.microsoft.com/office/drawing/2014/main" id="{417DDB4D-8DC2-428F-AF27-303088DFAAC2}"/>
            </a:ext>
          </a:extLst>
        </xdr:cNvPr>
        <xdr:cNvSpPr/>
      </xdr:nvSpPr>
      <xdr:spPr>
        <a:xfrm>
          <a:off x="13335000" y="63017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36</xdr:row>
      <xdr:rowOff>0</xdr:rowOff>
    </xdr:from>
    <xdr:to>
      <xdr:col>45</xdr:col>
      <xdr:colOff>83820</xdr:colOff>
      <xdr:row>36</xdr:row>
      <xdr:rowOff>114300</xdr:rowOff>
    </xdr:to>
    <xdr:sp macro="" textlink="">
      <xdr:nvSpPr>
        <xdr:cNvPr id="241" name="Arrow: Down 240">
          <a:extLst>
            <a:ext uri="{FF2B5EF4-FFF2-40B4-BE49-F238E27FC236}">
              <a16:creationId xmlns:a16="http://schemas.microsoft.com/office/drawing/2014/main" id="{DEE90412-35CE-4E23-B05F-4D66A6CC24EF}"/>
            </a:ext>
          </a:extLst>
        </xdr:cNvPr>
        <xdr:cNvSpPr/>
      </xdr:nvSpPr>
      <xdr:spPr>
        <a:xfrm rot="10800000">
          <a:off x="8869680" y="6301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</xdr:row>
      <xdr:rowOff>0</xdr:rowOff>
    </xdr:from>
    <xdr:to>
      <xdr:col>5</xdr:col>
      <xdr:colOff>83820</xdr:colOff>
      <xdr:row>36</xdr:row>
      <xdr:rowOff>114300</xdr:rowOff>
    </xdr:to>
    <xdr:sp macro="" textlink="">
      <xdr:nvSpPr>
        <xdr:cNvPr id="175" name="Arrow: Down 174">
          <a:extLst>
            <a:ext uri="{FF2B5EF4-FFF2-40B4-BE49-F238E27FC236}">
              <a16:creationId xmlns:a16="http://schemas.microsoft.com/office/drawing/2014/main" id="{18EBDCD8-5856-497F-A90E-F925A0217F86}"/>
            </a:ext>
          </a:extLst>
        </xdr:cNvPr>
        <xdr:cNvSpPr/>
      </xdr:nvSpPr>
      <xdr:spPr>
        <a:xfrm>
          <a:off x="2186940" y="6484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</xdr:row>
      <xdr:rowOff>0</xdr:rowOff>
    </xdr:from>
    <xdr:to>
      <xdr:col>11</xdr:col>
      <xdr:colOff>83820</xdr:colOff>
      <xdr:row>36</xdr:row>
      <xdr:rowOff>114300</xdr:rowOff>
    </xdr:to>
    <xdr:sp macro="" textlink="">
      <xdr:nvSpPr>
        <xdr:cNvPr id="179" name="Arrow: Down 178">
          <a:extLst>
            <a:ext uri="{FF2B5EF4-FFF2-40B4-BE49-F238E27FC236}">
              <a16:creationId xmlns:a16="http://schemas.microsoft.com/office/drawing/2014/main" id="{B19046F8-9BBF-41CC-A9B1-4C1F13505643}"/>
            </a:ext>
          </a:extLst>
        </xdr:cNvPr>
        <xdr:cNvSpPr/>
      </xdr:nvSpPr>
      <xdr:spPr>
        <a:xfrm>
          <a:off x="3848100" y="6484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</xdr:row>
      <xdr:rowOff>0</xdr:rowOff>
    </xdr:from>
    <xdr:to>
      <xdr:col>24</xdr:col>
      <xdr:colOff>83820</xdr:colOff>
      <xdr:row>36</xdr:row>
      <xdr:rowOff>114300</xdr:rowOff>
    </xdr:to>
    <xdr:sp macro="" textlink="">
      <xdr:nvSpPr>
        <xdr:cNvPr id="182" name="Arrow: Down 181">
          <a:extLst>
            <a:ext uri="{FF2B5EF4-FFF2-40B4-BE49-F238E27FC236}">
              <a16:creationId xmlns:a16="http://schemas.microsoft.com/office/drawing/2014/main" id="{A072564E-D2B6-4BD7-8994-175B951F2C83}"/>
            </a:ext>
          </a:extLst>
        </xdr:cNvPr>
        <xdr:cNvSpPr/>
      </xdr:nvSpPr>
      <xdr:spPr>
        <a:xfrm>
          <a:off x="4838700" y="6484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</xdr:row>
      <xdr:rowOff>0</xdr:rowOff>
    </xdr:from>
    <xdr:to>
      <xdr:col>39</xdr:col>
      <xdr:colOff>83820</xdr:colOff>
      <xdr:row>36</xdr:row>
      <xdr:rowOff>114300</xdr:rowOff>
    </xdr:to>
    <xdr:sp macro="" textlink="">
      <xdr:nvSpPr>
        <xdr:cNvPr id="206" name="Arrow: Down 205">
          <a:extLst>
            <a:ext uri="{FF2B5EF4-FFF2-40B4-BE49-F238E27FC236}">
              <a16:creationId xmlns:a16="http://schemas.microsoft.com/office/drawing/2014/main" id="{79AD4D23-EEEF-4C35-B42C-EF7E846720F0}"/>
            </a:ext>
          </a:extLst>
        </xdr:cNvPr>
        <xdr:cNvSpPr/>
      </xdr:nvSpPr>
      <xdr:spPr>
        <a:xfrm>
          <a:off x="7444740" y="6484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</xdr:row>
      <xdr:rowOff>0</xdr:rowOff>
    </xdr:from>
    <xdr:to>
      <xdr:col>11</xdr:col>
      <xdr:colOff>160020</xdr:colOff>
      <xdr:row>34</xdr:row>
      <xdr:rowOff>167640</xdr:rowOff>
    </xdr:to>
    <xdr:sp macro="" textlink="">
      <xdr:nvSpPr>
        <xdr:cNvPr id="208" name="Minus Sign 207">
          <a:extLst>
            <a:ext uri="{FF2B5EF4-FFF2-40B4-BE49-F238E27FC236}">
              <a16:creationId xmlns:a16="http://schemas.microsoft.com/office/drawing/2014/main" id="{975D6041-5E0C-4913-A9E8-7CC7B341E1F0}"/>
            </a:ext>
          </a:extLst>
        </xdr:cNvPr>
        <xdr:cNvSpPr/>
      </xdr:nvSpPr>
      <xdr:spPr>
        <a:xfrm>
          <a:off x="3848100" y="61188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34</xdr:row>
      <xdr:rowOff>0</xdr:rowOff>
    </xdr:from>
    <xdr:to>
      <xdr:col>6</xdr:col>
      <xdr:colOff>7620</xdr:colOff>
      <xdr:row>34</xdr:row>
      <xdr:rowOff>167640</xdr:rowOff>
    </xdr:to>
    <xdr:sp macro="" textlink="">
      <xdr:nvSpPr>
        <xdr:cNvPr id="211" name="Minus Sign 210">
          <a:extLst>
            <a:ext uri="{FF2B5EF4-FFF2-40B4-BE49-F238E27FC236}">
              <a16:creationId xmlns:a16="http://schemas.microsoft.com/office/drawing/2014/main" id="{B9A0BF3B-9692-4FCD-BAD4-7E8864136B1A}"/>
            </a:ext>
          </a:extLst>
        </xdr:cNvPr>
        <xdr:cNvSpPr/>
      </xdr:nvSpPr>
      <xdr:spPr>
        <a:xfrm>
          <a:off x="2186940" y="61188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71</xdr:col>
      <xdr:colOff>0</xdr:colOff>
      <xdr:row>37</xdr:row>
      <xdr:rowOff>0</xdr:rowOff>
    </xdr:from>
    <xdr:to>
      <xdr:col>71</xdr:col>
      <xdr:colOff>160020</xdr:colOff>
      <xdr:row>37</xdr:row>
      <xdr:rowOff>167640</xdr:rowOff>
    </xdr:to>
    <xdr:sp macro="" textlink="">
      <xdr:nvSpPr>
        <xdr:cNvPr id="171" name="Minus Sign 170">
          <a:extLst>
            <a:ext uri="{FF2B5EF4-FFF2-40B4-BE49-F238E27FC236}">
              <a16:creationId xmlns:a16="http://schemas.microsoft.com/office/drawing/2014/main" id="{BAD6A5B0-E279-4DDB-8F24-773D5565E9E0}"/>
            </a:ext>
          </a:extLst>
        </xdr:cNvPr>
        <xdr:cNvSpPr/>
      </xdr:nvSpPr>
      <xdr:spPr>
        <a:xfrm>
          <a:off x="13335000" y="64846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37</xdr:row>
      <xdr:rowOff>0</xdr:rowOff>
    </xdr:from>
    <xdr:to>
      <xdr:col>24</xdr:col>
      <xdr:colOff>83820</xdr:colOff>
      <xdr:row>37</xdr:row>
      <xdr:rowOff>114300</xdr:rowOff>
    </xdr:to>
    <xdr:sp macro="" textlink="">
      <xdr:nvSpPr>
        <xdr:cNvPr id="214" name="Arrow: Down 213">
          <a:extLst>
            <a:ext uri="{FF2B5EF4-FFF2-40B4-BE49-F238E27FC236}">
              <a16:creationId xmlns:a16="http://schemas.microsoft.com/office/drawing/2014/main" id="{8FCA606F-A1C7-41A0-B16A-F1772AEF1565}"/>
            </a:ext>
          </a:extLst>
        </xdr:cNvPr>
        <xdr:cNvSpPr/>
      </xdr:nvSpPr>
      <xdr:spPr>
        <a:xfrm rot="10800000">
          <a:off x="489966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</xdr:row>
      <xdr:rowOff>0</xdr:rowOff>
    </xdr:from>
    <xdr:to>
      <xdr:col>5</xdr:col>
      <xdr:colOff>83820</xdr:colOff>
      <xdr:row>37</xdr:row>
      <xdr:rowOff>114300</xdr:rowOff>
    </xdr:to>
    <xdr:sp macro="" textlink="">
      <xdr:nvSpPr>
        <xdr:cNvPr id="227" name="Arrow: Down 226">
          <a:extLst>
            <a:ext uri="{FF2B5EF4-FFF2-40B4-BE49-F238E27FC236}">
              <a16:creationId xmlns:a16="http://schemas.microsoft.com/office/drawing/2014/main" id="{8419937E-9849-4684-B6C6-013759D4E94C}"/>
            </a:ext>
          </a:extLst>
        </xdr:cNvPr>
        <xdr:cNvSpPr/>
      </xdr:nvSpPr>
      <xdr:spPr>
        <a:xfrm rot="10800000">
          <a:off x="224790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83820</xdr:colOff>
      <xdr:row>37</xdr:row>
      <xdr:rowOff>114300</xdr:rowOff>
    </xdr:to>
    <xdr:sp macro="" textlink="">
      <xdr:nvSpPr>
        <xdr:cNvPr id="193" name="Arrow: Down 192">
          <a:extLst>
            <a:ext uri="{FF2B5EF4-FFF2-40B4-BE49-F238E27FC236}">
              <a16:creationId xmlns:a16="http://schemas.microsoft.com/office/drawing/2014/main" id="{0D15C824-7193-46CB-82CF-0C2F0C896DAE}"/>
            </a:ext>
          </a:extLst>
        </xdr:cNvPr>
        <xdr:cNvSpPr/>
      </xdr:nvSpPr>
      <xdr:spPr>
        <a:xfrm rot="10800000">
          <a:off x="390906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</xdr:row>
      <xdr:rowOff>0</xdr:rowOff>
    </xdr:from>
    <xdr:to>
      <xdr:col>39</xdr:col>
      <xdr:colOff>83820</xdr:colOff>
      <xdr:row>37</xdr:row>
      <xdr:rowOff>114300</xdr:rowOff>
    </xdr:to>
    <xdr:sp macro="" textlink="">
      <xdr:nvSpPr>
        <xdr:cNvPr id="212" name="Arrow: Down 211">
          <a:extLst>
            <a:ext uri="{FF2B5EF4-FFF2-40B4-BE49-F238E27FC236}">
              <a16:creationId xmlns:a16="http://schemas.microsoft.com/office/drawing/2014/main" id="{D6F8FBEE-FDA7-4DBF-A180-C1BDB505841D}"/>
            </a:ext>
          </a:extLst>
        </xdr:cNvPr>
        <xdr:cNvSpPr/>
      </xdr:nvSpPr>
      <xdr:spPr>
        <a:xfrm>
          <a:off x="750570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</xdr:row>
      <xdr:rowOff>0</xdr:rowOff>
    </xdr:from>
    <xdr:to>
      <xdr:col>45</xdr:col>
      <xdr:colOff>83820</xdr:colOff>
      <xdr:row>37</xdr:row>
      <xdr:rowOff>114300</xdr:rowOff>
    </xdr:to>
    <xdr:sp macro="" textlink="">
      <xdr:nvSpPr>
        <xdr:cNvPr id="221" name="Arrow: Down 220">
          <a:extLst>
            <a:ext uri="{FF2B5EF4-FFF2-40B4-BE49-F238E27FC236}">
              <a16:creationId xmlns:a16="http://schemas.microsoft.com/office/drawing/2014/main" id="{7D1DCC3F-28B3-473B-8C84-CA8C297DA5E9}"/>
            </a:ext>
          </a:extLst>
        </xdr:cNvPr>
        <xdr:cNvSpPr/>
      </xdr:nvSpPr>
      <xdr:spPr>
        <a:xfrm>
          <a:off x="893064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</xdr:row>
      <xdr:rowOff>0</xdr:rowOff>
    </xdr:from>
    <xdr:to>
      <xdr:col>71</xdr:col>
      <xdr:colOff>160020</xdr:colOff>
      <xdr:row>38</xdr:row>
      <xdr:rowOff>167640</xdr:rowOff>
    </xdr:to>
    <xdr:sp macro="" textlink="">
      <xdr:nvSpPr>
        <xdr:cNvPr id="236" name="Minus Sign 235">
          <a:extLst>
            <a:ext uri="{FF2B5EF4-FFF2-40B4-BE49-F238E27FC236}">
              <a16:creationId xmlns:a16="http://schemas.microsoft.com/office/drawing/2014/main" id="{54D22347-1E67-45C4-93F6-E63DC10E2A69}"/>
            </a:ext>
          </a:extLst>
        </xdr:cNvPr>
        <xdr:cNvSpPr/>
      </xdr:nvSpPr>
      <xdr:spPr>
        <a:xfrm>
          <a:off x="13395960" y="66675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38</xdr:row>
      <xdr:rowOff>0</xdr:rowOff>
    </xdr:from>
    <xdr:to>
      <xdr:col>39</xdr:col>
      <xdr:colOff>83820</xdr:colOff>
      <xdr:row>38</xdr:row>
      <xdr:rowOff>114300</xdr:rowOff>
    </xdr:to>
    <xdr:sp macro="" textlink="">
      <xdr:nvSpPr>
        <xdr:cNvPr id="247" name="Arrow: Down 246">
          <a:extLst>
            <a:ext uri="{FF2B5EF4-FFF2-40B4-BE49-F238E27FC236}">
              <a16:creationId xmlns:a16="http://schemas.microsoft.com/office/drawing/2014/main" id="{B6EFC34A-6360-4591-841D-FD7E2E69D763}"/>
            </a:ext>
          </a:extLst>
        </xdr:cNvPr>
        <xdr:cNvSpPr/>
      </xdr:nvSpPr>
      <xdr:spPr>
        <a:xfrm rot="10800000">
          <a:off x="750570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</xdr:row>
      <xdr:rowOff>0</xdr:rowOff>
    </xdr:from>
    <xdr:to>
      <xdr:col>45</xdr:col>
      <xdr:colOff>83820</xdr:colOff>
      <xdr:row>38</xdr:row>
      <xdr:rowOff>114300</xdr:rowOff>
    </xdr:to>
    <xdr:sp macro="" textlink="">
      <xdr:nvSpPr>
        <xdr:cNvPr id="249" name="Arrow: Down 248">
          <a:extLst>
            <a:ext uri="{FF2B5EF4-FFF2-40B4-BE49-F238E27FC236}">
              <a16:creationId xmlns:a16="http://schemas.microsoft.com/office/drawing/2014/main" id="{5059BA3C-A970-4E9B-8B2A-2F72AFA74108}"/>
            </a:ext>
          </a:extLst>
        </xdr:cNvPr>
        <xdr:cNvSpPr/>
      </xdr:nvSpPr>
      <xdr:spPr>
        <a:xfrm rot="10800000">
          <a:off x="893064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</xdr:row>
      <xdr:rowOff>0</xdr:rowOff>
    </xdr:from>
    <xdr:to>
      <xdr:col>5</xdr:col>
      <xdr:colOff>83820</xdr:colOff>
      <xdr:row>38</xdr:row>
      <xdr:rowOff>114300</xdr:rowOff>
    </xdr:to>
    <xdr:sp macro="" textlink="">
      <xdr:nvSpPr>
        <xdr:cNvPr id="250" name="Arrow: Down 249">
          <a:extLst>
            <a:ext uri="{FF2B5EF4-FFF2-40B4-BE49-F238E27FC236}">
              <a16:creationId xmlns:a16="http://schemas.microsoft.com/office/drawing/2014/main" id="{9AFFADA0-F31E-4B87-8FEE-1213B7C3596B}"/>
            </a:ext>
          </a:extLst>
        </xdr:cNvPr>
        <xdr:cNvSpPr/>
      </xdr:nvSpPr>
      <xdr:spPr>
        <a:xfrm>
          <a:off x="224790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</xdr:row>
      <xdr:rowOff>0</xdr:rowOff>
    </xdr:from>
    <xdr:to>
      <xdr:col>11</xdr:col>
      <xdr:colOff>83820</xdr:colOff>
      <xdr:row>38</xdr:row>
      <xdr:rowOff>114300</xdr:rowOff>
    </xdr:to>
    <xdr:sp macro="" textlink="">
      <xdr:nvSpPr>
        <xdr:cNvPr id="251" name="Arrow: Down 250">
          <a:extLst>
            <a:ext uri="{FF2B5EF4-FFF2-40B4-BE49-F238E27FC236}">
              <a16:creationId xmlns:a16="http://schemas.microsoft.com/office/drawing/2014/main" id="{4FB7A3D6-585F-4B22-B813-3F4D6D7461D4}"/>
            </a:ext>
          </a:extLst>
        </xdr:cNvPr>
        <xdr:cNvSpPr/>
      </xdr:nvSpPr>
      <xdr:spPr>
        <a:xfrm>
          <a:off x="3619500" y="704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</xdr:row>
      <xdr:rowOff>0</xdr:rowOff>
    </xdr:from>
    <xdr:to>
      <xdr:col>24</xdr:col>
      <xdr:colOff>83820</xdr:colOff>
      <xdr:row>38</xdr:row>
      <xdr:rowOff>114300</xdr:rowOff>
    </xdr:to>
    <xdr:sp macro="" textlink="">
      <xdr:nvSpPr>
        <xdr:cNvPr id="253" name="Arrow: Down 252">
          <a:extLst>
            <a:ext uri="{FF2B5EF4-FFF2-40B4-BE49-F238E27FC236}">
              <a16:creationId xmlns:a16="http://schemas.microsoft.com/office/drawing/2014/main" id="{FF365FAA-15FE-4E0E-BC12-425C6EBBDA8A}"/>
            </a:ext>
          </a:extLst>
        </xdr:cNvPr>
        <xdr:cNvSpPr/>
      </xdr:nvSpPr>
      <xdr:spPr>
        <a:xfrm>
          <a:off x="489966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</xdr:row>
      <xdr:rowOff>0</xdr:rowOff>
    </xdr:from>
    <xdr:to>
      <xdr:col>5</xdr:col>
      <xdr:colOff>83820</xdr:colOff>
      <xdr:row>39</xdr:row>
      <xdr:rowOff>114300</xdr:rowOff>
    </xdr:to>
    <xdr:sp macro="" textlink="">
      <xdr:nvSpPr>
        <xdr:cNvPr id="210" name="Arrow: Down 209">
          <a:extLst>
            <a:ext uri="{FF2B5EF4-FFF2-40B4-BE49-F238E27FC236}">
              <a16:creationId xmlns:a16="http://schemas.microsoft.com/office/drawing/2014/main" id="{8EEC9054-7789-440E-9B21-F5AB8441284A}"/>
            </a:ext>
          </a:extLst>
        </xdr:cNvPr>
        <xdr:cNvSpPr/>
      </xdr:nvSpPr>
      <xdr:spPr>
        <a:xfrm>
          <a:off x="224790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</xdr:row>
      <xdr:rowOff>0</xdr:rowOff>
    </xdr:from>
    <xdr:to>
      <xdr:col>11</xdr:col>
      <xdr:colOff>83820</xdr:colOff>
      <xdr:row>39</xdr:row>
      <xdr:rowOff>114300</xdr:rowOff>
    </xdr:to>
    <xdr:sp macro="" textlink="">
      <xdr:nvSpPr>
        <xdr:cNvPr id="238" name="Arrow: Down 237">
          <a:extLst>
            <a:ext uri="{FF2B5EF4-FFF2-40B4-BE49-F238E27FC236}">
              <a16:creationId xmlns:a16="http://schemas.microsoft.com/office/drawing/2014/main" id="{4E2BBBFA-48DD-40D9-B14F-224D8E4EF2A8}"/>
            </a:ext>
          </a:extLst>
        </xdr:cNvPr>
        <xdr:cNvSpPr/>
      </xdr:nvSpPr>
      <xdr:spPr>
        <a:xfrm>
          <a:off x="390906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</xdr:row>
      <xdr:rowOff>0</xdr:rowOff>
    </xdr:from>
    <xdr:to>
      <xdr:col>24</xdr:col>
      <xdr:colOff>83820</xdr:colOff>
      <xdr:row>39</xdr:row>
      <xdr:rowOff>114300</xdr:rowOff>
    </xdr:to>
    <xdr:sp macro="" textlink="">
      <xdr:nvSpPr>
        <xdr:cNvPr id="243" name="Arrow: Down 242">
          <a:extLst>
            <a:ext uri="{FF2B5EF4-FFF2-40B4-BE49-F238E27FC236}">
              <a16:creationId xmlns:a16="http://schemas.microsoft.com/office/drawing/2014/main" id="{0E2217D3-2F36-4FD4-A089-E62E2C172F77}"/>
            </a:ext>
          </a:extLst>
        </xdr:cNvPr>
        <xdr:cNvSpPr/>
      </xdr:nvSpPr>
      <xdr:spPr>
        <a:xfrm>
          <a:off x="489966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</xdr:row>
      <xdr:rowOff>0</xdr:rowOff>
    </xdr:from>
    <xdr:to>
      <xdr:col>45</xdr:col>
      <xdr:colOff>83820</xdr:colOff>
      <xdr:row>39</xdr:row>
      <xdr:rowOff>114300</xdr:rowOff>
    </xdr:to>
    <xdr:sp macro="" textlink="">
      <xdr:nvSpPr>
        <xdr:cNvPr id="244" name="Arrow: Down 243">
          <a:extLst>
            <a:ext uri="{FF2B5EF4-FFF2-40B4-BE49-F238E27FC236}">
              <a16:creationId xmlns:a16="http://schemas.microsoft.com/office/drawing/2014/main" id="{5F79ED48-C4D2-4906-ADC3-E193122EEE1F}"/>
            </a:ext>
          </a:extLst>
        </xdr:cNvPr>
        <xdr:cNvSpPr/>
      </xdr:nvSpPr>
      <xdr:spPr>
        <a:xfrm rot="10800000">
          <a:off x="882396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</xdr:row>
      <xdr:rowOff>0</xdr:rowOff>
    </xdr:from>
    <xdr:to>
      <xdr:col>39</xdr:col>
      <xdr:colOff>83820</xdr:colOff>
      <xdr:row>39</xdr:row>
      <xdr:rowOff>114300</xdr:rowOff>
    </xdr:to>
    <xdr:sp macro="" textlink="">
      <xdr:nvSpPr>
        <xdr:cNvPr id="245" name="Arrow: Down 244">
          <a:extLst>
            <a:ext uri="{FF2B5EF4-FFF2-40B4-BE49-F238E27FC236}">
              <a16:creationId xmlns:a16="http://schemas.microsoft.com/office/drawing/2014/main" id="{8EB9F22F-AABF-4E4D-9CAB-79DAD388DCE1}"/>
            </a:ext>
          </a:extLst>
        </xdr:cNvPr>
        <xdr:cNvSpPr/>
      </xdr:nvSpPr>
      <xdr:spPr>
        <a:xfrm>
          <a:off x="7399020" y="7033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</xdr:row>
      <xdr:rowOff>0</xdr:rowOff>
    </xdr:from>
    <xdr:to>
      <xdr:col>39</xdr:col>
      <xdr:colOff>83820</xdr:colOff>
      <xdr:row>40</xdr:row>
      <xdr:rowOff>114300</xdr:rowOff>
    </xdr:to>
    <xdr:sp macro="" textlink="">
      <xdr:nvSpPr>
        <xdr:cNvPr id="265" name="Arrow: Down 264">
          <a:extLst>
            <a:ext uri="{FF2B5EF4-FFF2-40B4-BE49-F238E27FC236}">
              <a16:creationId xmlns:a16="http://schemas.microsoft.com/office/drawing/2014/main" id="{959F0B12-2301-4F77-BB75-1B1CBDEF1C1F}"/>
            </a:ext>
          </a:extLst>
        </xdr:cNvPr>
        <xdr:cNvSpPr/>
      </xdr:nvSpPr>
      <xdr:spPr>
        <a:xfrm>
          <a:off x="7399020" y="7033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</xdr:row>
      <xdr:rowOff>0</xdr:rowOff>
    </xdr:from>
    <xdr:to>
      <xdr:col>5</xdr:col>
      <xdr:colOff>83820</xdr:colOff>
      <xdr:row>40</xdr:row>
      <xdr:rowOff>114300</xdr:rowOff>
    </xdr:to>
    <xdr:sp macro="" textlink="">
      <xdr:nvSpPr>
        <xdr:cNvPr id="242" name="Arrow: Down 241">
          <a:extLst>
            <a:ext uri="{FF2B5EF4-FFF2-40B4-BE49-F238E27FC236}">
              <a16:creationId xmlns:a16="http://schemas.microsoft.com/office/drawing/2014/main" id="{15D4A620-C589-4385-97C9-8A411A1AE32C}"/>
            </a:ext>
          </a:extLst>
        </xdr:cNvPr>
        <xdr:cNvSpPr/>
      </xdr:nvSpPr>
      <xdr:spPr>
        <a:xfrm rot="10800000">
          <a:off x="224790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</xdr:row>
      <xdr:rowOff>0</xdr:rowOff>
    </xdr:from>
    <xdr:to>
      <xdr:col>11</xdr:col>
      <xdr:colOff>83820</xdr:colOff>
      <xdr:row>40</xdr:row>
      <xdr:rowOff>114300</xdr:rowOff>
    </xdr:to>
    <xdr:sp macro="" textlink="">
      <xdr:nvSpPr>
        <xdr:cNvPr id="255" name="Arrow: Down 254">
          <a:extLst>
            <a:ext uri="{FF2B5EF4-FFF2-40B4-BE49-F238E27FC236}">
              <a16:creationId xmlns:a16="http://schemas.microsoft.com/office/drawing/2014/main" id="{6B370548-AEEE-402E-9200-9003972EC58B}"/>
            </a:ext>
          </a:extLst>
        </xdr:cNvPr>
        <xdr:cNvSpPr/>
      </xdr:nvSpPr>
      <xdr:spPr>
        <a:xfrm rot="10800000">
          <a:off x="39090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</xdr:row>
      <xdr:rowOff>0</xdr:rowOff>
    </xdr:from>
    <xdr:to>
      <xdr:col>24</xdr:col>
      <xdr:colOff>83820</xdr:colOff>
      <xdr:row>40</xdr:row>
      <xdr:rowOff>114300</xdr:rowOff>
    </xdr:to>
    <xdr:sp macro="" textlink="">
      <xdr:nvSpPr>
        <xdr:cNvPr id="256" name="Arrow: Down 255">
          <a:extLst>
            <a:ext uri="{FF2B5EF4-FFF2-40B4-BE49-F238E27FC236}">
              <a16:creationId xmlns:a16="http://schemas.microsoft.com/office/drawing/2014/main" id="{D731DD5A-23FD-4AF6-B64C-C00883B27DB2}"/>
            </a:ext>
          </a:extLst>
        </xdr:cNvPr>
        <xdr:cNvSpPr/>
      </xdr:nvSpPr>
      <xdr:spPr>
        <a:xfrm rot="10800000">
          <a:off x="48996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</xdr:row>
      <xdr:rowOff>0</xdr:rowOff>
    </xdr:from>
    <xdr:to>
      <xdr:col>45</xdr:col>
      <xdr:colOff>83820</xdr:colOff>
      <xdr:row>40</xdr:row>
      <xdr:rowOff>114300</xdr:rowOff>
    </xdr:to>
    <xdr:sp macro="" textlink="">
      <xdr:nvSpPr>
        <xdr:cNvPr id="258" name="Arrow: Down 257">
          <a:extLst>
            <a:ext uri="{FF2B5EF4-FFF2-40B4-BE49-F238E27FC236}">
              <a16:creationId xmlns:a16="http://schemas.microsoft.com/office/drawing/2014/main" id="{A8C1CA61-644A-44CE-93E0-9E9651BAE85B}"/>
            </a:ext>
          </a:extLst>
        </xdr:cNvPr>
        <xdr:cNvSpPr/>
      </xdr:nvSpPr>
      <xdr:spPr>
        <a:xfrm rot="10800000">
          <a:off x="88239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</xdr:row>
      <xdr:rowOff>0</xdr:rowOff>
    </xdr:from>
    <xdr:to>
      <xdr:col>24</xdr:col>
      <xdr:colOff>83820</xdr:colOff>
      <xdr:row>41</xdr:row>
      <xdr:rowOff>114300</xdr:rowOff>
    </xdr:to>
    <xdr:sp macro="" textlink="">
      <xdr:nvSpPr>
        <xdr:cNvPr id="263" name="Arrow: Down 262">
          <a:extLst>
            <a:ext uri="{FF2B5EF4-FFF2-40B4-BE49-F238E27FC236}">
              <a16:creationId xmlns:a16="http://schemas.microsoft.com/office/drawing/2014/main" id="{ADA9FDEA-D046-4093-B2BC-E7BF51A61F7B}"/>
            </a:ext>
          </a:extLst>
        </xdr:cNvPr>
        <xdr:cNvSpPr/>
      </xdr:nvSpPr>
      <xdr:spPr>
        <a:xfrm rot="10800000">
          <a:off x="48996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</xdr:row>
      <xdr:rowOff>0</xdr:rowOff>
    </xdr:from>
    <xdr:to>
      <xdr:col>39</xdr:col>
      <xdr:colOff>83820</xdr:colOff>
      <xdr:row>41</xdr:row>
      <xdr:rowOff>114300</xdr:rowOff>
    </xdr:to>
    <xdr:sp macro="" textlink="">
      <xdr:nvSpPr>
        <xdr:cNvPr id="267" name="Arrow: Down 266">
          <a:extLst>
            <a:ext uri="{FF2B5EF4-FFF2-40B4-BE49-F238E27FC236}">
              <a16:creationId xmlns:a16="http://schemas.microsoft.com/office/drawing/2014/main" id="{D63F1CDC-98CB-4BBA-8FDF-98531E74E7EE}"/>
            </a:ext>
          </a:extLst>
        </xdr:cNvPr>
        <xdr:cNvSpPr/>
      </xdr:nvSpPr>
      <xdr:spPr>
        <a:xfrm rot="10800000">
          <a:off x="746760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</xdr:row>
      <xdr:rowOff>0</xdr:rowOff>
    </xdr:from>
    <xdr:to>
      <xdr:col>45</xdr:col>
      <xdr:colOff>83820</xdr:colOff>
      <xdr:row>41</xdr:row>
      <xdr:rowOff>114300</xdr:rowOff>
    </xdr:to>
    <xdr:sp macro="" textlink="">
      <xdr:nvSpPr>
        <xdr:cNvPr id="269" name="Arrow: Down 268">
          <a:extLst>
            <a:ext uri="{FF2B5EF4-FFF2-40B4-BE49-F238E27FC236}">
              <a16:creationId xmlns:a16="http://schemas.microsoft.com/office/drawing/2014/main" id="{03572722-8AD9-45BF-8B67-9221264B2981}"/>
            </a:ext>
          </a:extLst>
        </xdr:cNvPr>
        <xdr:cNvSpPr/>
      </xdr:nvSpPr>
      <xdr:spPr>
        <a:xfrm rot="10800000">
          <a:off x="889254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</xdr:row>
      <xdr:rowOff>0</xdr:rowOff>
    </xdr:from>
    <xdr:to>
      <xdr:col>5</xdr:col>
      <xdr:colOff>83820</xdr:colOff>
      <xdr:row>41</xdr:row>
      <xdr:rowOff>114300</xdr:rowOff>
    </xdr:to>
    <xdr:sp macro="" textlink="">
      <xdr:nvSpPr>
        <xdr:cNvPr id="270" name="Arrow: Down 269">
          <a:extLst>
            <a:ext uri="{FF2B5EF4-FFF2-40B4-BE49-F238E27FC236}">
              <a16:creationId xmlns:a16="http://schemas.microsoft.com/office/drawing/2014/main" id="{57BE51C7-9DF1-45A6-9E96-0E995EA7A760}"/>
            </a:ext>
          </a:extLst>
        </xdr:cNvPr>
        <xdr:cNvSpPr/>
      </xdr:nvSpPr>
      <xdr:spPr>
        <a:xfrm>
          <a:off x="224790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</xdr:row>
      <xdr:rowOff>0</xdr:rowOff>
    </xdr:from>
    <xdr:to>
      <xdr:col>11</xdr:col>
      <xdr:colOff>83820</xdr:colOff>
      <xdr:row>41</xdr:row>
      <xdr:rowOff>114300</xdr:rowOff>
    </xdr:to>
    <xdr:sp macro="" textlink="">
      <xdr:nvSpPr>
        <xdr:cNvPr id="271" name="Arrow: Down 270">
          <a:extLst>
            <a:ext uri="{FF2B5EF4-FFF2-40B4-BE49-F238E27FC236}">
              <a16:creationId xmlns:a16="http://schemas.microsoft.com/office/drawing/2014/main" id="{2120DDFD-5FDD-4B62-8E54-6D5D6E28BE7D}"/>
            </a:ext>
          </a:extLst>
        </xdr:cNvPr>
        <xdr:cNvSpPr/>
      </xdr:nvSpPr>
      <xdr:spPr>
        <a:xfrm>
          <a:off x="390906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42</xdr:row>
      <xdr:rowOff>0</xdr:rowOff>
    </xdr:from>
    <xdr:to>
      <xdr:col>24</xdr:col>
      <xdr:colOff>83820</xdr:colOff>
      <xdr:row>42</xdr:row>
      <xdr:rowOff>114300</xdr:rowOff>
    </xdr:to>
    <xdr:sp macro="" textlink="">
      <xdr:nvSpPr>
        <xdr:cNvPr id="261" name="Arrow: Down 260">
          <a:extLst>
            <a:ext uri="{FF2B5EF4-FFF2-40B4-BE49-F238E27FC236}">
              <a16:creationId xmlns:a16="http://schemas.microsoft.com/office/drawing/2014/main" id="{6DCCEC5F-17F0-4824-8392-B0B811C8193B}"/>
            </a:ext>
          </a:extLst>
        </xdr:cNvPr>
        <xdr:cNvSpPr/>
      </xdr:nvSpPr>
      <xdr:spPr>
        <a:xfrm rot="10800000">
          <a:off x="4899660" y="7399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</xdr:row>
      <xdr:rowOff>0</xdr:rowOff>
    </xdr:from>
    <xdr:to>
      <xdr:col>11</xdr:col>
      <xdr:colOff>83820</xdr:colOff>
      <xdr:row>42</xdr:row>
      <xdr:rowOff>114300</xdr:rowOff>
    </xdr:to>
    <xdr:sp macro="" textlink="">
      <xdr:nvSpPr>
        <xdr:cNvPr id="276" name="Arrow: Down 275">
          <a:extLst>
            <a:ext uri="{FF2B5EF4-FFF2-40B4-BE49-F238E27FC236}">
              <a16:creationId xmlns:a16="http://schemas.microsoft.com/office/drawing/2014/main" id="{BCABF7D0-CC48-4CAB-BF40-B41AC200359D}"/>
            </a:ext>
          </a:extLst>
        </xdr:cNvPr>
        <xdr:cNvSpPr/>
      </xdr:nvSpPr>
      <xdr:spPr>
        <a:xfrm rot="10800000">
          <a:off x="390906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</xdr:row>
      <xdr:rowOff>0</xdr:rowOff>
    </xdr:from>
    <xdr:to>
      <xdr:col>5</xdr:col>
      <xdr:colOff>83820</xdr:colOff>
      <xdr:row>42</xdr:row>
      <xdr:rowOff>114300</xdr:rowOff>
    </xdr:to>
    <xdr:sp macro="" textlink="">
      <xdr:nvSpPr>
        <xdr:cNvPr id="277" name="Arrow: Down 276">
          <a:extLst>
            <a:ext uri="{FF2B5EF4-FFF2-40B4-BE49-F238E27FC236}">
              <a16:creationId xmlns:a16="http://schemas.microsoft.com/office/drawing/2014/main" id="{91E96F01-A6C2-422A-9E68-015383DA280C}"/>
            </a:ext>
          </a:extLst>
        </xdr:cNvPr>
        <xdr:cNvSpPr/>
      </xdr:nvSpPr>
      <xdr:spPr>
        <a:xfrm rot="10800000">
          <a:off x="224790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</xdr:row>
      <xdr:rowOff>0</xdr:rowOff>
    </xdr:from>
    <xdr:to>
      <xdr:col>39</xdr:col>
      <xdr:colOff>83820</xdr:colOff>
      <xdr:row>42</xdr:row>
      <xdr:rowOff>114300</xdr:rowOff>
    </xdr:to>
    <xdr:sp macro="" textlink="">
      <xdr:nvSpPr>
        <xdr:cNvPr id="279" name="Arrow: Down 278">
          <a:extLst>
            <a:ext uri="{FF2B5EF4-FFF2-40B4-BE49-F238E27FC236}">
              <a16:creationId xmlns:a16="http://schemas.microsoft.com/office/drawing/2014/main" id="{0714F045-CCF6-4708-9AB8-8383ABAE5F49}"/>
            </a:ext>
          </a:extLst>
        </xdr:cNvPr>
        <xdr:cNvSpPr/>
      </xdr:nvSpPr>
      <xdr:spPr>
        <a:xfrm>
          <a:off x="746760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</xdr:row>
      <xdr:rowOff>0</xdr:rowOff>
    </xdr:from>
    <xdr:to>
      <xdr:col>45</xdr:col>
      <xdr:colOff>83820</xdr:colOff>
      <xdr:row>42</xdr:row>
      <xdr:rowOff>114300</xdr:rowOff>
    </xdr:to>
    <xdr:sp macro="" textlink="">
      <xdr:nvSpPr>
        <xdr:cNvPr id="281" name="Arrow: Down 280">
          <a:extLst>
            <a:ext uri="{FF2B5EF4-FFF2-40B4-BE49-F238E27FC236}">
              <a16:creationId xmlns:a16="http://schemas.microsoft.com/office/drawing/2014/main" id="{4304F15F-CF76-4FE0-B7E8-884A2AD18A23}"/>
            </a:ext>
          </a:extLst>
        </xdr:cNvPr>
        <xdr:cNvSpPr/>
      </xdr:nvSpPr>
      <xdr:spPr>
        <a:xfrm>
          <a:off x="889254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</xdr:row>
      <xdr:rowOff>0</xdr:rowOff>
    </xdr:from>
    <xdr:to>
      <xdr:col>5</xdr:col>
      <xdr:colOff>83820</xdr:colOff>
      <xdr:row>43</xdr:row>
      <xdr:rowOff>114300</xdr:rowOff>
    </xdr:to>
    <xdr:sp macro="" textlink="">
      <xdr:nvSpPr>
        <xdr:cNvPr id="264" name="Arrow: Down 263">
          <a:extLst>
            <a:ext uri="{FF2B5EF4-FFF2-40B4-BE49-F238E27FC236}">
              <a16:creationId xmlns:a16="http://schemas.microsoft.com/office/drawing/2014/main" id="{734B12D3-8A87-4DA8-9E11-A067D12B7405}"/>
            </a:ext>
          </a:extLst>
        </xdr:cNvPr>
        <xdr:cNvSpPr/>
      </xdr:nvSpPr>
      <xdr:spPr>
        <a:xfrm rot="10800000">
          <a:off x="2247900" y="7764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</xdr:row>
      <xdr:rowOff>0</xdr:rowOff>
    </xdr:from>
    <xdr:to>
      <xdr:col>24</xdr:col>
      <xdr:colOff>83820</xdr:colOff>
      <xdr:row>43</xdr:row>
      <xdr:rowOff>114300</xdr:rowOff>
    </xdr:to>
    <xdr:sp macro="" textlink="">
      <xdr:nvSpPr>
        <xdr:cNvPr id="266" name="Arrow: Down 265">
          <a:extLst>
            <a:ext uri="{FF2B5EF4-FFF2-40B4-BE49-F238E27FC236}">
              <a16:creationId xmlns:a16="http://schemas.microsoft.com/office/drawing/2014/main" id="{185113B1-A2D5-470A-B646-D498B0C08442}"/>
            </a:ext>
          </a:extLst>
        </xdr:cNvPr>
        <xdr:cNvSpPr/>
      </xdr:nvSpPr>
      <xdr:spPr>
        <a:xfrm>
          <a:off x="489966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</xdr:row>
      <xdr:rowOff>0</xdr:rowOff>
    </xdr:from>
    <xdr:to>
      <xdr:col>39</xdr:col>
      <xdr:colOff>83820</xdr:colOff>
      <xdr:row>43</xdr:row>
      <xdr:rowOff>114300</xdr:rowOff>
    </xdr:to>
    <xdr:sp macro="" textlink="">
      <xdr:nvSpPr>
        <xdr:cNvPr id="268" name="Arrow: Down 267">
          <a:extLst>
            <a:ext uri="{FF2B5EF4-FFF2-40B4-BE49-F238E27FC236}">
              <a16:creationId xmlns:a16="http://schemas.microsoft.com/office/drawing/2014/main" id="{AE97CC91-2047-4D6E-BF59-07A27C43D0B8}"/>
            </a:ext>
          </a:extLst>
        </xdr:cNvPr>
        <xdr:cNvSpPr/>
      </xdr:nvSpPr>
      <xdr:spPr>
        <a:xfrm rot="10800000">
          <a:off x="746760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</xdr:row>
      <xdr:rowOff>0</xdr:rowOff>
    </xdr:from>
    <xdr:to>
      <xdr:col>71</xdr:col>
      <xdr:colOff>83820</xdr:colOff>
      <xdr:row>43</xdr:row>
      <xdr:rowOff>114300</xdr:rowOff>
    </xdr:to>
    <xdr:sp macro="" textlink="">
      <xdr:nvSpPr>
        <xdr:cNvPr id="278" name="Arrow: Down 277">
          <a:extLst>
            <a:ext uri="{FF2B5EF4-FFF2-40B4-BE49-F238E27FC236}">
              <a16:creationId xmlns:a16="http://schemas.microsoft.com/office/drawing/2014/main" id="{6D4D6C09-BE41-48A7-B625-9731DA3A1934}"/>
            </a:ext>
          </a:extLst>
        </xdr:cNvPr>
        <xdr:cNvSpPr/>
      </xdr:nvSpPr>
      <xdr:spPr>
        <a:xfrm>
          <a:off x="1335786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</xdr:row>
      <xdr:rowOff>0</xdr:rowOff>
    </xdr:from>
    <xdr:to>
      <xdr:col>71</xdr:col>
      <xdr:colOff>83820</xdr:colOff>
      <xdr:row>39</xdr:row>
      <xdr:rowOff>114300</xdr:rowOff>
    </xdr:to>
    <xdr:sp macro="" textlink="">
      <xdr:nvSpPr>
        <xdr:cNvPr id="280" name="Arrow: Down 279">
          <a:extLst>
            <a:ext uri="{FF2B5EF4-FFF2-40B4-BE49-F238E27FC236}">
              <a16:creationId xmlns:a16="http://schemas.microsoft.com/office/drawing/2014/main" id="{4CDE07F3-F7E4-4425-9587-E103457792DA}"/>
            </a:ext>
          </a:extLst>
        </xdr:cNvPr>
        <xdr:cNvSpPr/>
      </xdr:nvSpPr>
      <xdr:spPr>
        <a:xfrm>
          <a:off x="13357860" y="7033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</xdr:row>
      <xdr:rowOff>0</xdr:rowOff>
    </xdr:from>
    <xdr:to>
      <xdr:col>71</xdr:col>
      <xdr:colOff>83820</xdr:colOff>
      <xdr:row>40</xdr:row>
      <xdr:rowOff>114300</xdr:rowOff>
    </xdr:to>
    <xdr:sp macro="" textlink="">
      <xdr:nvSpPr>
        <xdr:cNvPr id="282" name="Arrow: Down 281">
          <a:extLst>
            <a:ext uri="{FF2B5EF4-FFF2-40B4-BE49-F238E27FC236}">
              <a16:creationId xmlns:a16="http://schemas.microsoft.com/office/drawing/2014/main" id="{0DEC6F9F-C499-47AD-8146-FB48C304C7AA}"/>
            </a:ext>
          </a:extLst>
        </xdr:cNvPr>
        <xdr:cNvSpPr/>
      </xdr:nvSpPr>
      <xdr:spPr>
        <a:xfrm>
          <a:off x="133578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</xdr:row>
      <xdr:rowOff>0</xdr:rowOff>
    </xdr:from>
    <xdr:to>
      <xdr:col>71</xdr:col>
      <xdr:colOff>83820</xdr:colOff>
      <xdr:row>41</xdr:row>
      <xdr:rowOff>114300</xdr:rowOff>
    </xdr:to>
    <xdr:sp macro="" textlink="">
      <xdr:nvSpPr>
        <xdr:cNvPr id="283" name="Arrow: Down 282">
          <a:extLst>
            <a:ext uri="{FF2B5EF4-FFF2-40B4-BE49-F238E27FC236}">
              <a16:creationId xmlns:a16="http://schemas.microsoft.com/office/drawing/2014/main" id="{9A9FBD0B-9AD6-49FA-B442-520EA440A109}"/>
            </a:ext>
          </a:extLst>
        </xdr:cNvPr>
        <xdr:cNvSpPr/>
      </xdr:nvSpPr>
      <xdr:spPr>
        <a:xfrm>
          <a:off x="13357860" y="7399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</xdr:row>
      <xdr:rowOff>0</xdr:rowOff>
    </xdr:from>
    <xdr:to>
      <xdr:col>71</xdr:col>
      <xdr:colOff>83820</xdr:colOff>
      <xdr:row>42</xdr:row>
      <xdr:rowOff>114300</xdr:rowOff>
    </xdr:to>
    <xdr:sp macro="" textlink="">
      <xdr:nvSpPr>
        <xdr:cNvPr id="284" name="Arrow: Down 283">
          <a:extLst>
            <a:ext uri="{FF2B5EF4-FFF2-40B4-BE49-F238E27FC236}">
              <a16:creationId xmlns:a16="http://schemas.microsoft.com/office/drawing/2014/main" id="{ED98011F-4A16-4092-9664-C117F3B8CF0B}"/>
            </a:ext>
          </a:extLst>
        </xdr:cNvPr>
        <xdr:cNvSpPr/>
      </xdr:nvSpPr>
      <xdr:spPr>
        <a:xfrm>
          <a:off x="1335786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</xdr:row>
      <xdr:rowOff>0</xdr:rowOff>
    </xdr:from>
    <xdr:to>
      <xdr:col>45</xdr:col>
      <xdr:colOff>83820</xdr:colOff>
      <xdr:row>43</xdr:row>
      <xdr:rowOff>114300</xdr:rowOff>
    </xdr:to>
    <xdr:sp macro="" textlink="">
      <xdr:nvSpPr>
        <xdr:cNvPr id="285" name="Arrow: Down 284">
          <a:extLst>
            <a:ext uri="{FF2B5EF4-FFF2-40B4-BE49-F238E27FC236}">
              <a16:creationId xmlns:a16="http://schemas.microsoft.com/office/drawing/2014/main" id="{5FA50DA8-8CEE-4CE9-BD0A-EB6429C0EB9B}"/>
            </a:ext>
          </a:extLst>
        </xdr:cNvPr>
        <xdr:cNvSpPr/>
      </xdr:nvSpPr>
      <xdr:spPr>
        <a:xfrm>
          <a:off x="8892540" y="7764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</xdr:row>
      <xdr:rowOff>0</xdr:rowOff>
    </xdr:from>
    <xdr:to>
      <xdr:col>60</xdr:col>
      <xdr:colOff>83820</xdr:colOff>
      <xdr:row>40</xdr:row>
      <xdr:rowOff>114300</xdr:rowOff>
    </xdr:to>
    <xdr:sp macro="" textlink="">
      <xdr:nvSpPr>
        <xdr:cNvPr id="288" name="Arrow: Down 287">
          <a:extLst>
            <a:ext uri="{FF2B5EF4-FFF2-40B4-BE49-F238E27FC236}">
              <a16:creationId xmlns:a16="http://schemas.microsoft.com/office/drawing/2014/main" id="{47F9EC10-9D97-438A-97A8-9CD052E2F789}"/>
            </a:ext>
          </a:extLst>
        </xdr:cNvPr>
        <xdr:cNvSpPr/>
      </xdr:nvSpPr>
      <xdr:spPr>
        <a:xfrm>
          <a:off x="12694920" y="7216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</xdr:row>
      <xdr:rowOff>0</xdr:rowOff>
    </xdr:from>
    <xdr:to>
      <xdr:col>60</xdr:col>
      <xdr:colOff>83820</xdr:colOff>
      <xdr:row>41</xdr:row>
      <xdr:rowOff>114300</xdr:rowOff>
    </xdr:to>
    <xdr:sp macro="" textlink="">
      <xdr:nvSpPr>
        <xdr:cNvPr id="297" name="Arrow: Down 296">
          <a:extLst>
            <a:ext uri="{FF2B5EF4-FFF2-40B4-BE49-F238E27FC236}">
              <a16:creationId xmlns:a16="http://schemas.microsoft.com/office/drawing/2014/main" id="{6C63FE0D-EAE6-4C11-B3FD-B95321411FDB}"/>
            </a:ext>
          </a:extLst>
        </xdr:cNvPr>
        <xdr:cNvSpPr/>
      </xdr:nvSpPr>
      <xdr:spPr>
        <a:xfrm>
          <a:off x="1269492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</xdr:row>
      <xdr:rowOff>0</xdr:rowOff>
    </xdr:from>
    <xdr:to>
      <xdr:col>60</xdr:col>
      <xdr:colOff>83820</xdr:colOff>
      <xdr:row>42</xdr:row>
      <xdr:rowOff>114300</xdr:rowOff>
    </xdr:to>
    <xdr:sp macro="" textlink="">
      <xdr:nvSpPr>
        <xdr:cNvPr id="298" name="Arrow: Down 297">
          <a:extLst>
            <a:ext uri="{FF2B5EF4-FFF2-40B4-BE49-F238E27FC236}">
              <a16:creationId xmlns:a16="http://schemas.microsoft.com/office/drawing/2014/main" id="{09D6C758-D482-4E27-B83B-7B96AF71768B}"/>
            </a:ext>
          </a:extLst>
        </xdr:cNvPr>
        <xdr:cNvSpPr/>
      </xdr:nvSpPr>
      <xdr:spPr>
        <a:xfrm rot="10800000">
          <a:off x="1269492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</xdr:row>
      <xdr:rowOff>0</xdr:rowOff>
    </xdr:from>
    <xdr:to>
      <xdr:col>60</xdr:col>
      <xdr:colOff>83820</xdr:colOff>
      <xdr:row>43</xdr:row>
      <xdr:rowOff>114300</xdr:rowOff>
    </xdr:to>
    <xdr:sp macro="" textlink="">
      <xdr:nvSpPr>
        <xdr:cNvPr id="300" name="Arrow: Down 299">
          <a:extLst>
            <a:ext uri="{FF2B5EF4-FFF2-40B4-BE49-F238E27FC236}">
              <a16:creationId xmlns:a16="http://schemas.microsoft.com/office/drawing/2014/main" id="{4A02B7DF-D483-4D66-A637-227BCE294FD3}"/>
            </a:ext>
          </a:extLst>
        </xdr:cNvPr>
        <xdr:cNvSpPr/>
      </xdr:nvSpPr>
      <xdr:spPr>
        <a:xfrm>
          <a:off x="1269492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</xdr:row>
      <xdr:rowOff>0</xdr:rowOff>
    </xdr:from>
    <xdr:to>
      <xdr:col>60</xdr:col>
      <xdr:colOff>160020</xdr:colOff>
      <xdr:row>39</xdr:row>
      <xdr:rowOff>167640</xdr:rowOff>
    </xdr:to>
    <xdr:sp macro="" textlink="">
      <xdr:nvSpPr>
        <xdr:cNvPr id="301" name="Minus Sign 300">
          <a:extLst>
            <a:ext uri="{FF2B5EF4-FFF2-40B4-BE49-F238E27FC236}">
              <a16:creationId xmlns:a16="http://schemas.microsoft.com/office/drawing/2014/main" id="{476BED49-1EBA-4470-9B71-C935536651B0}"/>
            </a:ext>
          </a:extLst>
        </xdr:cNvPr>
        <xdr:cNvSpPr/>
      </xdr:nvSpPr>
      <xdr:spPr>
        <a:xfrm>
          <a:off x="12694920" y="70332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0</xdr:colOff>
      <xdr:row>43</xdr:row>
      <xdr:rowOff>0</xdr:rowOff>
    </xdr:from>
    <xdr:to>
      <xdr:col>11</xdr:col>
      <xdr:colOff>160020</xdr:colOff>
      <xdr:row>43</xdr:row>
      <xdr:rowOff>167640</xdr:rowOff>
    </xdr:to>
    <xdr:sp macro="" textlink="">
      <xdr:nvSpPr>
        <xdr:cNvPr id="303" name="Minus Sign 302">
          <a:extLst>
            <a:ext uri="{FF2B5EF4-FFF2-40B4-BE49-F238E27FC236}">
              <a16:creationId xmlns:a16="http://schemas.microsoft.com/office/drawing/2014/main" id="{52AA7AA5-835C-4EB2-9068-6AC79010151B}"/>
            </a:ext>
          </a:extLst>
        </xdr:cNvPr>
        <xdr:cNvSpPr/>
      </xdr:nvSpPr>
      <xdr:spPr>
        <a:xfrm>
          <a:off x="3909060" y="77647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44</xdr:row>
      <xdr:rowOff>0</xdr:rowOff>
    </xdr:from>
    <xdr:to>
      <xdr:col>39</xdr:col>
      <xdr:colOff>83820</xdr:colOff>
      <xdr:row>44</xdr:row>
      <xdr:rowOff>114300</xdr:rowOff>
    </xdr:to>
    <xdr:sp macro="" textlink="">
      <xdr:nvSpPr>
        <xdr:cNvPr id="315" name="Arrow: Down 314">
          <a:extLst>
            <a:ext uri="{FF2B5EF4-FFF2-40B4-BE49-F238E27FC236}">
              <a16:creationId xmlns:a16="http://schemas.microsoft.com/office/drawing/2014/main" id="{9A123AF8-29C1-4102-9480-D26D2F63CA1B}"/>
            </a:ext>
          </a:extLst>
        </xdr:cNvPr>
        <xdr:cNvSpPr/>
      </xdr:nvSpPr>
      <xdr:spPr>
        <a:xfrm rot="10800000">
          <a:off x="746760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</xdr:row>
      <xdr:rowOff>0</xdr:rowOff>
    </xdr:from>
    <xdr:to>
      <xdr:col>45</xdr:col>
      <xdr:colOff>83820</xdr:colOff>
      <xdr:row>44</xdr:row>
      <xdr:rowOff>114300</xdr:rowOff>
    </xdr:to>
    <xdr:sp macro="" textlink="">
      <xdr:nvSpPr>
        <xdr:cNvPr id="321" name="Arrow: Down 320">
          <a:extLst>
            <a:ext uri="{FF2B5EF4-FFF2-40B4-BE49-F238E27FC236}">
              <a16:creationId xmlns:a16="http://schemas.microsoft.com/office/drawing/2014/main" id="{31161BCB-25CD-4D64-B6B5-1DCC83DD28F2}"/>
            </a:ext>
          </a:extLst>
        </xdr:cNvPr>
        <xdr:cNvSpPr/>
      </xdr:nvSpPr>
      <xdr:spPr>
        <a:xfrm rot="10800000">
          <a:off x="889254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</xdr:row>
      <xdr:rowOff>0</xdr:rowOff>
    </xdr:from>
    <xdr:to>
      <xdr:col>60</xdr:col>
      <xdr:colOff>83820</xdr:colOff>
      <xdr:row>44</xdr:row>
      <xdr:rowOff>114300</xdr:rowOff>
    </xdr:to>
    <xdr:sp macro="" textlink="">
      <xdr:nvSpPr>
        <xdr:cNvPr id="324" name="Arrow: Down 323">
          <a:extLst>
            <a:ext uri="{FF2B5EF4-FFF2-40B4-BE49-F238E27FC236}">
              <a16:creationId xmlns:a16="http://schemas.microsoft.com/office/drawing/2014/main" id="{44D8E979-E51F-48DC-ABC2-F8BB2B4AD455}"/>
            </a:ext>
          </a:extLst>
        </xdr:cNvPr>
        <xdr:cNvSpPr/>
      </xdr:nvSpPr>
      <xdr:spPr>
        <a:xfrm rot="10800000">
          <a:off x="12694920" y="7947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</xdr:row>
      <xdr:rowOff>0</xdr:rowOff>
    </xdr:from>
    <xdr:to>
      <xdr:col>71</xdr:col>
      <xdr:colOff>83820</xdr:colOff>
      <xdr:row>44</xdr:row>
      <xdr:rowOff>114300</xdr:rowOff>
    </xdr:to>
    <xdr:sp macro="" textlink="">
      <xdr:nvSpPr>
        <xdr:cNvPr id="325" name="Arrow: Down 324">
          <a:extLst>
            <a:ext uri="{FF2B5EF4-FFF2-40B4-BE49-F238E27FC236}">
              <a16:creationId xmlns:a16="http://schemas.microsoft.com/office/drawing/2014/main" id="{52AD9449-08EF-48E2-9D6F-4DDEFE7A4AFF}"/>
            </a:ext>
          </a:extLst>
        </xdr:cNvPr>
        <xdr:cNvSpPr/>
      </xdr:nvSpPr>
      <xdr:spPr>
        <a:xfrm>
          <a:off x="1429512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</xdr:row>
      <xdr:rowOff>0</xdr:rowOff>
    </xdr:from>
    <xdr:to>
      <xdr:col>5</xdr:col>
      <xdr:colOff>83820</xdr:colOff>
      <xdr:row>44</xdr:row>
      <xdr:rowOff>114300</xdr:rowOff>
    </xdr:to>
    <xdr:sp macro="" textlink="">
      <xdr:nvSpPr>
        <xdr:cNvPr id="327" name="Arrow: Down 326">
          <a:extLst>
            <a:ext uri="{FF2B5EF4-FFF2-40B4-BE49-F238E27FC236}">
              <a16:creationId xmlns:a16="http://schemas.microsoft.com/office/drawing/2014/main" id="{90157CB6-17A1-4C7E-BE97-B2AAEA9A88CA}"/>
            </a:ext>
          </a:extLst>
        </xdr:cNvPr>
        <xdr:cNvSpPr/>
      </xdr:nvSpPr>
      <xdr:spPr>
        <a:xfrm rot="10800000">
          <a:off x="2247900" y="7947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</xdr:row>
      <xdr:rowOff>0</xdr:rowOff>
    </xdr:from>
    <xdr:to>
      <xdr:col>11</xdr:col>
      <xdr:colOff>83820</xdr:colOff>
      <xdr:row>44</xdr:row>
      <xdr:rowOff>114300</xdr:rowOff>
    </xdr:to>
    <xdr:sp macro="" textlink="">
      <xdr:nvSpPr>
        <xdr:cNvPr id="328" name="Arrow: Down 327">
          <a:extLst>
            <a:ext uri="{FF2B5EF4-FFF2-40B4-BE49-F238E27FC236}">
              <a16:creationId xmlns:a16="http://schemas.microsoft.com/office/drawing/2014/main" id="{94BC1936-50CF-4B04-BB6F-53CDE90A1913}"/>
            </a:ext>
          </a:extLst>
        </xdr:cNvPr>
        <xdr:cNvSpPr/>
      </xdr:nvSpPr>
      <xdr:spPr>
        <a:xfrm rot="10800000">
          <a:off x="3909060" y="7947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</xdr:row>
      <xdr:rowOff>0</xdr:rowOff>
    </xdr:from>
    <xdr:to>
      <xdr:col>24</xdr:col>
      <xdr:colOff>83820</xdr:colOff>
      <xdr:row>44</xdr:row>
      <xdr:rowOff>114300</xdr:rowOff>
    </xdr:to>
    <xdr:sp macro="" textlink="">
      <xdr:nvSpPr>
        <xdr:cNvPr id="329" name="Arrow: Down 328">
          <a:extLst>
            <a:ext uri="{FF2B5EF4-FFF2-40B4-BE49-F238E27FC236}">
              <a16:creationId xmlns:a16="http://schemas.microsoft.com/office/drawing/2014/main" id="{CB536BAD-0275-482B-A25D-B1AE0714FAD2}"/>
            </a:ext>
          </a:extLst>
        </xdr:cNvPr>
        <xdr:cNvSpPr/>
      </xdr:nvSpPr>
      <xdr:spPr>
        <a:xfrm>
          <a:off x="489966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</xdr:row>
      <xdr:rowOff>0</xdr:rowOff>
    </xdr:from>
    <xdr:to>
      <xdr:col>45</xdr:col>
      <xdr:colOff>83820</xdr:colOff>
      <xdr:row>45</xdr:row>
      <xdr:rowOff>114300</xdr:rowOff>
    </xdr:to>
    <xdr:sp macro="" textlink="">
      <xdr:nvSpPr>
        <xdr:cNvPr id="332" name="Arrow: Down 331">
          <a:extLst>
            <a:ext uri="{FF2B5EF4-FFF2-40B4-BE49-F238E27FC236}">
              <a16:creationId xmlns:a16="http://schemas.microsoft.com/office/drawing/2014/main" id="{5ACDB84E-659B-4B0B-AB95-1E4FC804F4DE}"/>
            </a:ext>
          </a:extLst>
        </xdr:cNvPr>
        <xdr:cNvSpPr/>
      </xdr:nvSpPr>
      <xdr:spPr>
        <a:xfrm rot="10800000">
          <a:off x="897636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</xdr:row>
      <xdr:rowOff>0</xdr:rowOff>
    </xdr:from>
    <xdr:to>
      <xdr:col>11</xdr:col>
      <xdr:colOff>83820</xdr:colOff>
      <xdr:row>45</xdr:row>
      <xdr:rowOff>114300</xdr:rowOff>
    </xdr:to>
    <xdr:sp macro="" textlink="">
      <xdr:nvSpPr>
        <xdr:cNvPr id="339" name="Arrow: Down 338">
          <a:extLst>
            <a:ext uri="{FF2B5EF4-FFF2-40B4-BE49-F238E27FC236}">
              <a16:creationId xmlns:a16="http://schemas.microsoft.com/office/drawing/2014/main" id="{C659AA08-88FC-493C-9C6E-A680076F9155}"/>
            </a:ext>
          </a:extLst>
        </xdr:cNvPr>
        <xdr:cNvSpPr/>
      </xdr:nvSpPr>
      <xdr:spPr>
        <a:xfrm>
          <a:off x="390906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45</xdr:row>
      <xdr:rowOff>0</xdr:rowOff>
    </xdr:from>
    <xdr:to>
      <xdr:col>5</xdr:col>
      <xdr:colOff>83820</xdr:colOff>
      <xdr:row>45</xdr:row>
      <xdr:rowOff>114300</xdr:rowOff>
    </xdr:to>
    <xdr:sp macro="" textlink="">
      <xdr:nvSpPr>
        <xdr:cNvPr id="340" name="Arrow: Down 339">
          <a:extLst>
            <a:ext uri="{FF2B5EF4-FFF2-40B4-BE49-F238E27FC236}">
              <a16:creationId xmlns:a16="http://schemas.microsoft.com/office/drawing/2014/main" id="{8CB5A35C-3B24-40E0-A58F-43AECCB5FD51}"/>
            </a:ext>
          </a:extLst>
        </xdr:cNvPr>
        <xdr:cNvSpPr/>
      </xdr:nvSpPr>
      <xdr:spPr>
        <a:xfrm>
          <a:off x="224790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45</xdr:row>
      <xdr:rowOff>0</xdr:rowOff>
    </xdr:from>
    <xdr:to>
      <xdr:col>24</xdr:col>
      <xdr:colOff>83820</xdr:colOff>
      <xdr:row>45</xdr:row>
      <xdr:rowOff>114300</xdr:rowOff>
    </xdr:to>
    <xdr:sp macro="" textlink="">
      <xdr:nvSpPr>
        <xdr:cNvPr id="341" name="Arrow: Down 340">
          <a:extLst>
            <a:ext uri="{FF2B5EF4-FFF2-40B4-BE49-F238E27FC236}">
              <a16:creationId xmlns:a16="http://schemas.microsoft.com/office/drawing/2014/main" id="{7E0256CF-3537-4CE5-93E5-69F9F3ABF3F5}"/>
            </a:ext>
          </a:extLst>
        </xdr:cNvPr>
        <xdr:cNvSpPr/>
      </xdr:nvSpPr>
      <xdr:spPr>
        <a:xfrm rot="10800000">
          <a:off x="489966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</xdr:row>
      <xdr:rowOff>0</xdr:rowOff>
    </xdr:from>
    <xdr:to>
      <xdr:col>60</xdr:col>
      <xdr:colOff>83820</xdr:colOff>
      <xdr:row>45</xdr:row>
      <xdr:rowOff>114300</xdr:rowOff>
    </xdr:to>
    <xdr:sp macro="" textlink="">
      <xdr:nvSpPr>
        <xdr:cNvPr id="343" name="Arrow: Down 342">
          <a:extLst>
            <a:ext uri="{FF2B5EF4-FFF2-40B4-BE49-F238E27FC236}">
              <a16:creationId xmlns:a16="http://schemas.microsoft.com/office/drawing/2014/main" id="{C9DC1E07-5809-4FB1-B5FB-E0BFBF927407}"/>
            </a:ext>
          </a:extLst>
        </xdr:cNvPr>
        <xdr:cNvSpPr/>
      </xdr:nvSpPr>
      <xdr:spPr>
        <a:xfrm rot="10800000">
          <a:off x="1277874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</xdr:row>
      <xdr:rowOff>0</xdr:rowOff>
    </xdr:from>
    <xdr:to>
      <xdr:col>71</xdr:col>
      <xdr:colOff>160020</xdr:colOff>
      <xdr:row>45</xdr:row>
      <xdr:rowOff>167640</xdr:rowOff>
    </xdr:to>
    <xdr:sp macro="" textlink="">
      <xdr:nvSpPr>
        <xdr:cNvPr id="344" name="Minus Sign 343">
          <a:extLst>
            <a:ext uri="{FF2B5EF4-FFF2-40B4-BE49-F238E27FC236}">
              <a16:creationId xmlns:a16="http://schemas.microsoft.com/office/drawing/2014/main" id="{F71A9B29-DF98-4A0D-B8DF-0B25736B0081}"/>
            </a:ext>
          </a:extLst>
        </xdr:cNvPr>
        <xdr:cNvSpPr/>
      </xdr:nvSpPr>
      <xdr:spPr>
        <a:xfrm>
          <a:off x="14378940" y="81305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45</xdr:row>
      <xdr:rowOff>0</xdr:rowOff>
    </xdr:from>
    <xdr:to>
      <xdr:col>39</xdr:col>
      <xdr:colOff>83820</xdr:colOff>
      <xdr:row>45</xdr:row>
      <xdr:rowOff>114300</xdr:rowOff>
    </xdr:to>
    <xdr:sp macro="" textlink="">
      <xdr:nvSpPr>
        <xdr:cNvPr id="346" name="Arrow: Down 345">
          <a:extLst>
            <a:ext uri="{FF2B5EF4-FFF2-40B4-BE49-F238E27FC236}">
              <a16:creationId xmlns:a16="http://schemas.microsoft.com/office/drawing/2014/main" id="{936775B8-BF7B-4F4E-BB6B-BCDDCFF51721}"/>
            </a:ext>
          </a:extLst>
        </xdr:cNvPr>
        <xdr:cNvSpPr/>
      </xdr:nvSpPr>
      <xdr:spPr>
        <a:xfrm>
          <a:off x="746760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</xdr:row>
      <xdr:rowOff>0</xdr:rowOff>
    </xdr:from>
    <xdr:to>
      <xdr:col>11</xdr:col>
      <xdr:colOff>83820</xdr:colOff>
      <xdr:row>46</xdr:row>
      <xdr:rowOff>114300</xdr:rowOff>
    </xdr:to>
    <xdr:sp macro="" textlink="">
      <xdr:nvSpPr>
        <xdr:cNvPr id="357" name="Arrow: Down 356">
          <a:extLst>
            <a:ext uri="{FF2B5EF4-FFF2-40B4-BE49-F238E27FC236}">
              <a16:creationId xmlns:a16="http://schemas.microsoft.com/office/drawing/2014/main" id="{1F7AC640-42EA-4049-802D-EE01D3930EA7}"/>
            </a:ext>
          </a:extLst>
        </xdr:cNvPr>
        <xdr:cNvSpPr/>
      </xdr:nvSpPr>
      <xdr:spPr>
        <a:xfrm>
          <a:off x="364236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46</xdr:row>
      <xdr:rowOff>0</xdr:rowOff>
    </xdr:from>
    <xdr:to>
      <xdr:col>5</xdr:col>
      <xdr:colOff>83820</xdr:colOff>
      <xdr:row>46</xdr:row>
      <xdr:rowOff>114300</xdr:rowOff>
    </xdr:to>
    <xdr:sp macro="" textlink="">
      <xdr:nvSpPr>
        <xdr:cNvPr id="358" name="Arrow: Down 357">
          <a:extLst>
            <a:ext uri="{FF2B5EF4-FFF2-40B4-BE49-F238E27FC236}">
              <a16:creationId xmlns:a16="http://schemas.microsoft.com/office/drawing/2014/main" id="{F4042769-6FFE-41D2-8E13-D1A7B73F3AC9}"/>
            </a:ext>
          </a:extLst>
        </xdr:cNvPr>
        <xdr:cNvSpPr/>
      </xdr:nvSpPr>
      <xdr:spPr>
        <a:xfrm>
          <a:off x="201168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46</xdr:row>
      <xdr:rowOff>0</xdr:rowOff>
    </xdr:from>
    <xdr:to>
      <xdr:col>71</xdr:col>
      <xdr:colOff>160020</xdr:colOff>
      <xdr:row>46</xdr:row>
      <xdr:rowOff>167640</xdr:rowOff>
    </xdr:to>
    <xdr:sp macro="" textlink="">
      <xdr:nvSpPr>
        <xdr:cNvPr id="361" name="Minus Sign 360">
          <a:extLst>
            <a:ext uri="{FF2B5EF4-FFF2-40B4-BE49-F238E27FC236}">
              <a16:creationId xmlns:a16="http://schemas.microsoft.com/office/drawing/2014/main" id="{236439A6-4726-444C-A663-CA5D8F68475A}"/>
            </a:ext>
          </a:extLst>
        </xdr:cNvPr>
        <xdr:cNvSpPr/>
      </xdr:nvSpPr>
      <xdr:spPr>
        <a:xfrm>
          <a:off x="13426440" y="81305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46</xdr:row>
      <xdr:rowOff>0</xdr:rowOff>
    </xdr:from>
    <xdr:to>
      <xdr:col>24</xdr:col>
      <xdr:colOff>83820</xdr:colOff>
      <xdr:row>46</xdr:row>
      <xdr:rowOff>114300</xdr:rowOff>
    </xdr:to>
    <xdr:sp macro="" textlink="">
      <xdr:nvSpPr>
        <xdr:cNvPr id="248" name="Arrow: Down 247">
          <a:extLst>
            <a:ext uri="{FF2B5EF4-FFF2-40B4-BE49-F238E27FC236}">
              <a16:creationId xmlns:a16="http://schemas.microsoft.com/office/drawing/2014/main" id="{0F096A08-A479-4A49-ADAC-A96DD83AC478}"/>
            </a:ext>
          </a:extLst>
        </xdr:cNvPr>
        <xdr:cNvSpPr/>
      </xdr:nvSpPr>
      <xdr:spPr>
        <a:xfrm>
          <a:off x="470916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</xdr:row>
      <xdr:rowOff>0</xdr:rowOff>
    </xdr:from>
    <xdr:to>
      <xdr:col>60</xdr:col>
      <xdr:colOff>83820</xdr:colOff>
      <xdr:row>46</xdr:row>
      <xdr:rowOff>114300</xdr:rowOff>
    </xdr:to>
    <xdr:sp macro="" textlink="">
      <xdr:nvSpPr>
        <xdr:cNvPr id="254" name="Arrow: Down 253">
          <a:extLst>
            <a:ext uri="{FF2B5EF4-FFF2-40B4-BE49-F238E27FC236}">
              <a16:creationId xmlns:a16="http://schemas.microsoft.com/office/drawing/2014/main" id="{3110B73A-5328-4BFB-8923-81038505B7A7}"/>
            </a:ext>
          </a:extLst>
        </xdr:cNvPr>
        <xdr:cNvSpPr/>
      </xdr:nvSpPr>
      <xdr:spPr>
        <a:xfrm rot="10800000">
          <a:off x="12039600" y="8313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</xdr:row>
      <xdr:rowOff>0</xdr:rowOff>
    </xdr:from>
    <xdr:to>
      <xdr:col>45</xdr:col>
      <xdr:colOff>83820</xdr:colOff>
      <xdr:row>46</xdr:row>
      <xdr:rowOff>114300</xdr:rowOff>
    </xdr:to>
    <xdr:sp macro="" textlink="">
      <xdr:nvSpPr>
        <xdr:cNvPr id="274" name="Arrow: Down 273">
          <a:extLst>
            <a:ext uri="{FF2B5EF4-FFF2-40B4-BE49-F238E27FC236}">
              <a16:creationId xmlns:a16="http://schemas.microsoft.com/office/drawing/2014/main" id="{7591F24B-49B2-4FE7-8BD3-3E646FCF5BBB}"/>
            </a:ext>
          </a:extLst>
        </xdr:cNvPr>
        <xdr:cNvSpPr/>
      </xdr:nvSpPr>
      <xdr:spPr>
        <a:xfrm>
          <a:off x="8481060" y="8313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</xdr:row>
      <xdr:rowOff>0</xdr:rowOff>
    </xdr:from>
    <xdr:to>
      <xdr:col>39</xdr:col>
      <xdr:colOff>83820</xdr:colOff>
      <xdr:row>46</xdr:row>
      <xdr:rowOff>114300</xdr:rowOff>
    </xdr:to>
    <xdr:sp macro="" textlink="">
      <xdr:nvSpPr>
        <xdr:cNvPr id="286" name="Arrow: Down 285">
          <a:extLst>
            <a:ext uri="{FF2B5EF4-FFF2-40B4-BE49-F238E27FC236}">
              <a16:creationId xmlns:a16="http://schemas.microsoft.com/office/drawing/2014/main" id="{F8E81272-BA20-44C0-A531-6521773633E5}"/>
            </a:ext>
          </a:extLst>
        </xdr:cNvPr>
        <xdr:cNvSpPr/>
      </xdr:nvSpPr>
      <xdr:spPr>
        <a:xfrm>
          <a:off x="6972300" y="8313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</xdr:row>
      <xdr:rowOff>0</xdr:rowOff>
    </xdr:from>
    <xdr:to>
      <xdr:col>11</xdr:col>
      <xdr:colOff>83820</xdr:colOff>
      <xdr:row>47</xdr:row>
      <xdr:rowOff>114300</xdr:rowOff>
    </xdr:to>
    <xdr:sp macro="" textlink="">
      <xdr:nvSpPr>
        <xdr:cNvPr id="287" name="Arrow: Down 286">
          <a:extLst>
            <a:ext uri="{FF2B5EF4-FFF2-40B4-BE49-F238E27FC236}">
              <a16:creationId xmlns:a16="http://schemas.microsoft.com/office/drawing/2014/main" id="{4BA760F7-643A-487B-B0B9-237AF1FB7B52}"/>
            </a:ext>
          </a:extLst>
        </xdr:cNvPr>
        <xdr:cNvSpPr/>
      </xdr:nvSpPr>
      <xdr:spPr>
        <a:xfrm>
          <a:off x="375666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47</xdr:row>
      <xdr:rowOff>0</xdr:rowOff>
    </xdr:from>
    <xdr:to>
      <xdr:col>5</xdr:col>
      <xdr:colOff>83820</xdr:colOff>
      <xdr:row>47</xdr:row>
      <xdr:rowOff>114300</xdr:rowOff>
    </xdr:to>
    <xdr:sp macro="" textlink="">
      <xdr:nvSpPr>
        <xdr:cNvPr id="289" name="Arrow: Down 288">
          <a:extLst>
            <a:ext uri="{FF2B5EF4-FFF2-40B4-BE49-F238E27FC236}">
              <a16:creationId xmlns:a16="http://schemas.microsoft.com/office/drawing/2014/main" id="{F5F199CC-EDE0-4B4D-91C2-A6CE1CE13B1D}"/>
            </a:ext>
          </a:extLst>
        </xdr:cNvPr>
        <xdr:cNvSpPr/>
      </xdr:nvSpPr>
      <xdr:spPr>
        <a:xfrm>
          <a:off x="204978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47</xdr:row>
      <xdr:rowOff>0</xdr:rowOff>
    </xdr:from>
    <xdr:to>
      <xdr:col>39</xdr:col>
      <xdr:colOff>83820</xdr:colOff>
      <xdr:row>47</xdr:row>
      <xdr:rowOff>114300</xdr:rowOff>
    </xdr:to>
    <xdr:sp macro="" textlink="">
      <xdr:nvSpPr>
        <xdr:cNvPr id="299" name="Arrow: Down 298">
          <a:extLst>
            <a:ext uri="{FF2B5EF4-FFF2-40B4-BE49-F238E27FC236}">
              <a16:creationId xmlns:a16="http://schemas.microsoft.com/office/drawing/2014/main" id="{85C6E46C-D3A9-41D5-8D84-EE1CEAD0100D}"/>
            </a:ext>
          </a:extLst>
        </xdr:cNvPr>
        <xdr:cNvSpPr/>
      </xdr:nvSpPr>
      <xdr:spPr>
        <a:xfrm rot="10800000">
          <a:off x="706374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</xdr:row>
      <xdr:rowOff>0</xdr:rowOff>
    </xdr:from>
    <xdr:to>
      <xdr:col>45</xdr:col>
      <xdr:colOff>83820</xdr:colOff>
      <xdr:row>47</xdr:row>
      <xdr:rowOff>114300</xdr:rowOff>
    </xdr:to>
    <xdr:sp macro="" textlink="">
      <xdr:nvSpPr>
        <xdr:cNvPr id="304" name="Arrow: Down 303">
          <a:extLst>
            <a:ext uri="{FF2B5EF4-FFF2-40B4-BE49-F238E27FC236}">
              <a16:creationId xmlns:a16="http://schemas.microsoft.com/office/drawing/2014/main" id="{8E032D83-1051-4750-9672-8DC24E5E05E6}"/>
            </a:ext>
          </a:extLst>
        </xdr:cNvPr>
        <xdr:cNvSpPr/>
      </xdr:nvSpPr>
      <xdr:spPr>
        <a:xfrm rot="10800000">
          <a:off x="857250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</xdr:row>
      <xdr:rowOff>0</xdr:rowOff>
    </xdr:from>
    <xdr:to>
      <xdr:col>60</xdr:col>
      <xdr:colOff>83820</xdr:colOff>
      <xdr:row>47</xdr:row>
      <xdr:rowOff>114300</xdr:rowOff>
    </xdr:to>
    <xdr:sp macro="" textlink="">
      <xdr:nvSpPr>
        <xdr:cNvPr id="305" name="Arrow: Down 304">
          <a:extLst>
            <a:ext uri="{FF2B5EF4-FFF2-40B4-BE49-F238E27FC236}">
              <a16:creationId xmlns:a16="http://schemas.microsoft.com/office/drawing/2014/main" id="{73FC4566-12F4-4B05-8139-DF7FD9EC760B}"/>
            </a:ext>
          </a:extLst>
        </xdr:cNvPr>
        <xdr:cNvSpPr/>
      </xdr:nvSpPr>
      <xdr:spPr>
        <a:xfrm>
          <a:off x="1213104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</xdr:row>
      <xdr:rowOff>0</xdr:rowOff>
    </xdr:from>
    <xdr:to>
      <xdr:col>71</xdr:col>
      <xdr:colOff>83820</xdr:colOff>
      <xdr:row>47</xdr:row>
      <xdr:rowOff>114300</xdr:rowOff>
    </xdr:to>
    <xdr:sp macro="" textlink="">
      <xdr:nvSpPr>
        <xdr:cNvPr id="306" name="Arrow: Down 305">
          <a:extLst>
            <a:ext uri="{FF2B5EF4-FFF2-40B4-BE49-F238E27FC236}">
              <a16:creationId xmlns:a16="http://schemas.microsoft.com/office/drawing/2014/main" id="{742BBEA0-0760-4439-A41A-B278951225AA}"/>
            </a:ext>
          </a:extLst>
        </xdr:cNvPr>
        <xdr:cNvSpPr/>
      </xdr:nvSpPr>
      <xdr:spPr>
        <a:xfrm>
          <a:off x="1359408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</xdr:row>
      <xdr:rowOff>0</xdr:rowOff>
    </xdr:from>
    <xdr:to>
      <xdr:col>24</xdr:col>
      <xdr:colOff>83820</xdr:colOff>
      <xdr:row>47</xdr:row>
      <xdr:rowOff>114300</xdr:rowOff>
    </xdr:to>
    <xdr:sp macro="" textlink="">
      <xdr:nvSpPr>
        <xdr:cNvPr id="308" name="Arrow: Down 307">
          <a:extLst>
            <a:ext uri="{FF2B5EF4-FFF2-40B4-BE49-F238E27FC236}">
              <a16:creationId xmlns:a16="http://schemas.microsoft.com/office/drawing/2014/main" id="{B4779F71-B992-4F0F-99FB-5458E4E72460}"/>
            </a:ext>
          </a:extLst>
        </xdr:cNvPr>
        <xdr:cNvSpPr/>
      </xdr:nvSpPr>
      <xdr:spPr>
        <a:xfrm rot="10800000">
          <a:off x="4800600" y="8496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</xdr:row>
      <xdr:rowOff>0</xdr:rowOff>
    </xdr:from>
    <xdr:to>
      <xdr:col>24</xdr:col>
      <xdr:colOff>83820</xdr:colOff>
      <xdr:row>48</xdr:row>
      <xdr:rowOff>114300</xdr:rowOff>
    </xdr:to>
    <xdr:sp macro="" textlink="">
      <xdr:nvSpPr>
        <xdr:cNvPr id="317" name="Arrow: Down 316">
          <a:extLst>
            <a:ext uri="{FF2B5EF4-FFF2-40B4-BE49-F238E27FC236}">
              <a16:creationId xmlns:a16="http://schemas.microsoft.com/office/drawing/2014/main" id="{D3E96B45-25BA-40E4-8583-D220D57171B3}"/>
            </a:ext>
          </a:extLst>
        </xdr:cNvPr>
        <xdr:cNvSpPr/>
      </xdr:nvSpPr>
      <xdr:spPr>
        <a:xfrm rot="10800000">
          <a:off x="4800600" y="8496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</xdr:row>
      <xdr:rowOff>0</xdr:rowOff>
    </xdr:from>
    <xdr:to>
      <xdr:col>5</xdr:col>
      <xdr:colOff>83820</xdr:colOff>
      <xdr:row>48</xdr:row>
      <xdr:rowOff>114300</xdr:rowOff>
    </xdr:to>
    <xdr:sp macro="" textlink="">
      <xdr:nvSpPr>
        <xdr:cNvPr id="292" name="Arrow: Down 291">
          <a:extLst>
            <a:ext uri="{FF2B5EF4-FFF2-40B4-BE49-F238E27FC236}">
              <a16:creationId xmlns:a16="http://schemas.microsoft.com/office/drawing/2014/main" id="{5F441EC3-E193-4089-AB14-933F714F6ADB}"/>
            </a:ext>
          </a:extLst>
        </xdr:cNvPr>
        <xdr:cNvSpPr/>
      </xdr:nvSpPr>
      <xdr:spPr>
        <a:xfrm rot="10800000">
          <a:off x="2103120" y="8679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</xdr:row>
      <xdr:rowOff>0</xdr:rowOff>
    </xdr:from>
    <xdr:to>
      <xdr:col>11</xdr:col>
      <xdr:colOff>83820</xdr:colOff>
      <xdr:row>48</xdr:row>
      <xdr:rowOff>114300</xdr:rowOff>
    </xdr:to>
    <xdr:sp macro="" textlink="">
      <xdr:nvSpPr>
        <xdr:cNvPr id="293" name="Arrow: Down 292">
          <a:extLst>
            <a:ext uri="{FF2B5EF4-FFF2-40B4-BE49-F238E27FC236}">
              <a16:creationId xmlns:a16="http://schemas.microsoft.com/office/drawing/2014/main" id="{74E774A1-D356-4698-B273-FD6FB054A9B9}"/>
            </a:ext>
          </a:extLst>
        </xdr:cNvPr>
        <xdr:cNvSpPr/>
      </xdr:nvSpPr>
      <xdr:spPr>
        <a:xfrm rot="10800000">
          <a:off x="3810000" y="8679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</xdr:row>
      <xdr:rowOff>0</xdr:rowOff>
    </xdr:from>
    <xdr:to>
      <xdr:col>39</xdr:col>
      <xdr:colOff>83820</xdr:colOff>
      <xdr:row>48</xdr:row>
      <xdr:rowOff>114300</xdr:rowOff>
    </xdr:to>
    <xdr:sp macro="" textlink="">
      <xdr:nvSpPr>
        <xdr:cNvPr id="302" name="Arrow: Down 301">
          <a:extLst>
            <a:ext uri="{FF2B5EF4-FFF2-40B4-BE49-F238E27FC236}">
              <a16:creationId xmlns:a16="http://schemas.microsoft.com/office/drawing/2014/main" id="{1057E32F-1D30-494C-BB20-C07D885A8F2E}"/>
            </a:ext>
          </a:extLst>
        </xdr:cNvPr>
        <xdr:cNvSpPr/>
      </xdr:nvSpPr>
      <xdr:spPr>
        <a:xfrm>
          <a:off x="7063740" y="8679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</xdr:row>
      <xdr:rowOff>0</xdr:rowOff>
    </xdr:from>
    <xdr:to>
      <xdr:col>71</xdr:col>
      <xdr:colOff>160020</xdr:colOff>
      <xdr:row>48</xdr:row>
      <xdr:rowOff>167640</xdr:rowOff>
    </xdr:to>
    <xdr:sp macro="" textlink="">
      <xdr:nvSpPr>
        <xdr:cNvPr id="320" name="Minus Sign 319">
          <a:extLst>
            <a:ext uri="{FF2B5EF4-FFF2-40B4-BE49-F238E27FC236}">
              <a16:creationId xmlns:a16="http://schemas.microsoft.com/office/drawing/2014/main" id="{814DCEC0-AB76-40D0-8E92-777B96FAC0A4}"/>
            </a:ext>
          </a:extLst>
        </xdr:cNvPr>
        <xdr:cNvSpPr/>
      </xdr:nvSpPr>
      <xdr:spPr>
        <a:xfrm>
          <a:off x="13609320" y="86791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60</xdr:col>
      <xdr:colOff>0</xdr:colOff>
      <xdr:row>49</xdr:row>
      <xdr:rowOff>0</xdr:rowOff>
    </xdr:from>
    <xdr:to>
      <xdr:col>60</xdr:col>
      <xdr:colOff>83820</xdr:colOff>
      <xdr:row>49</xdr:row>
      <xdr:rowOff>114300</xdr:rowOff>
    </xdr:to>
    <xdr:sp macro="" textlink="">
      <xdr:nvSpPr>
        <xdr:cNvPr id="290" name="Arrow: Down 289">
          <a:extLst>
            <a:ext uri="{FF2B5EF4-FFF2-40B4-BE49-F238E27FC236}">
              <a16:creationId xmlns:a16="http://schemas.microsoft.com/office/drawing/2014/main" id="{FD9EC191-EA86-4DDA-AAD5-F090BCFF1C2A}"/>
            </a:ext>
          </a:extLst>
        </xdr:cNvPr>
        <xdr:cNvSpPr/>
      </xdr:nvSpPr>
      <xdr:spPr>
        <a:xfrm>
          <a:off x="1213104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</xdr:row>
      <xdr:rowOff>0</xdr:rowOff>
    </xdr:from>
    <xdr:to>
      <xdr:col>24</xdr:col>
      <xdr:colOff>83820</xdr:colOff>
      <xdr:row>49</xdr:row>
      <xdr:rowOff>114300</xdr:rowOff>
    </xdr:to>
    <xdr:sp macro="" textlink="">
      <xdr:nvSpPr>
        <xdr:cNvPr id="313" name="Arrow: Down 312">
          <a:extLst>
            <a:ext uri="{FF2B5EF4-FFF2-40B4-BE49-F238E27FC236}">
              <a16:creationId xmlns:a16="http://schemas.microsoft.com/office/drawing/2014/main" id="{72E5B2E6-A77B-408E-AA1E-E6C946C3B7D7}"/>
            </a:ext>
          </a:extLst>
        </xdr:cNvPr>
        <xdr:cNvSpPr/>
      </xdr:nvSpPr>
      <xdr:spPr>
        <a:xfrm>
          <a:off x="4853940" y="906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</xdr:row>
      <xdr:rowOff>0</xdr:rowOff>
    </xdr:from>
    <xdr:to>
      <xdr:col>71</xdr:col>
      <xdr:colOff>83820</xdr:colOff>
      <xdr:row>49</xdr:row>
      <xdr:rowOff>114300</xdr:rowOff>
    </xdr:to>
    <xdr:sp macro="" textlink="">
      <xdr:nvSpPr>
        <xdr:cNvPr id="336" name="Arrow: Down 335">
          <a:extLst>
            <a:ext uri="{FF2B5EF4-FFF2-40B4-BE49-F238E27FC236}">
              <a16:creationId xmlns:a16="http://schemas.microsoft.com/office/drawing/2014/main" id="{1F29F4C9-0910-4C26-8D10-601837B2AEAB}"/>
            </a:ext>
          </a:extLst>
        </xdr:cNvPr>
        <xdr:cNvSpPr/>
      </xdr:nvSpPr>
      <xdr:spPr>
        <a:xfrm>
          <a:off x="1360932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</xdr:row>
      <xdr:rowOff>0</xdr:rowOff>
    </xdr:from>
    <xdr:to>
      <xdr:col>45</xdr:col>
      <xdr:colOff>83820</xdr:colOff>
      <xdr:row>49</xdr:row>
      <xdr:rowOff>114300</xdr:rowOff>
    </xdr:to>
    <xdr:sp macro="" textlink="">
      <xdr:nvSpPr>
        <xdr:cNvPr id="338" name="Arrow: Down 337">
          <a:extLst>
            <a:ext uri="{FF2B5EF4-FFF2-40B4-BE49-F238E27FC236}">
              <a16:creationId xmlns:a16="http://schemas.microsoft.com/office/drawing/2014/main" id="{4147F885-F49C-4A43-B5CD-CDD14000A59E}"/>
            </a:ext>
          </a:extLst>
        </xdr:cNvPr>
        <xdr:cNvSpPr/>
      </xdr:nvSpPr>
      <xdr:spPr>
        <a:xfrm rot="10800000">
          <a:off x="857250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</xdr:row>
      <xdr:rowOff>0</xdr:rowOff>
    </xdr:from>
    <xdr:to>
      <xdr:col>39</xdr:col>
      <xdr:colOff>83820</xdr:colOff>
      <xdr:row>49</xdr:row>
      <xdr:rowOff>114300</xdr:rowOff>
    </xdr:to>
    <xdr:sp macro="" textlink="">
      <xdr:nvSpPr>
        <xdr:cNvPr id="342" name="Arrow: Down 341">
          <a:extLst>
            <a:ext uri="{FF2B5EF4-FFF2-40B4-BE49-F238E27FC236}">
              <a16:creationId xmlns:a16="http://schemas.microsoft.com/office/drawing/2014/main" id="{F7B2184A-A29F-4436-817C-CA16395F2028}"/>
            </a:ext>
          </a:extLst>
        </xdr:cNvPr>
        <xdr:cNvSpPr/>
      </xdr:nvSpPr>
      <xdr:spPr>
        <a:xfrm rot="10800000">
          <a:off x="706374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</xdr:row>
      <xdr:rowOff>0</xdr:rowOff>
    </xdr:from>
    <xdr:to>
      <xdr:col>11</xdr:col>
      <xdr:colOff>83820</xdr:colOff>
      <xdr:row>49</xdr:row>
      <xdr:rowOff>114300</xdr:rowOff>
    </xdr:to>
    <xdr:sp macro="" textlink="">
      <xdr:nvSpPr>
        <xdr:cNvPr id="345" name="Arrow: Down 344">
          <a:extLst>
            <a:ext uri="{FF2B5EF4-FFF2-40B4-BE49-F238E27FC236}">
              <a16:creationId xmlns:a16="http://schemas.microsoft.com/office/drawing/2014/main" id="{9ED3D758-438F-4AA0-B18C-B313C4EDD3E4}"/>
            </a:ext>
          </a:extLst>
        </xdr:cNvPr>
        <xdr:cNvSpPr/>
      </xdr:nvSpPr>
      <xdr:spPr>
        <a:xfrm rot="10800000">
          <a:off x="3810000" y="8862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</xdr:row>
      <xdr:rowOff>0</xdr:rowOff>
    </xdr:from>
    <xdr:to>
      <xdr:col>5</xdr:col>
      <xdr:colOff>83820</xdr:colOff>
      <xdr:row>49</xdr:row>
      <xdr:rowOff>114300</xdr:rowOff>
    </xdr:to>
    <xdr:sp macro="" textlink="">
      <xdr:nvSpPr>
        <xdr:cNvPr id="349" name="Arrow: Down 348">
          <a:extLst>
            <a:ext uri="{FF2B5EF4-FFF2-40B4-BE49-F238E27FC236}">
              <a16:creationId xmlns:a16="http://schemas.microsoft.com/office/drawing/2014/main" id="{8D7D5AE1-4DE2-41CE-8EB6-94ED96D07B1D}"/>
            </a:ext>
          </a:extLst>
        </xdr:cNvPr>
        <xdr:cNvSpPr/>
      </xdr:nvSpPr>
      <xdr:spPr>
        <a:xfrm rot="10800000">
          <a:off x="2103120" y="8862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</xdr:row>
      <xdr:rowOff>0</xdr:rowOff>
    </xdr:from>
    <xdr:to>
      <xdr:col>24</xdr:col>
      <xdr:colOff>83820</xdr:colOff>
      <xdr:row>50</xdr:row>
      <xdr:rowOff>114300</xdr:rowOff>
    </xdr:to>
    <xdr:sp macro="" textlink="">
      <xdr:nvSpPr>
        <xdr:cNvPr id="363" name="Arrow: Down 362">
          <a:extLst>
            <a:ext uri="{FF2B5EF4-FFF2-40B4-BE49-F238E27FC236}">
              <a16:creationId xmlns:a16="http://schemas.microsoft.com/office/drawing/2014/main" id="{B473B101-1DB4-48D1-9038-3EDC5F353A83}"/>
            </a:ext>
          </a:extLst>
        </xdr:cNvPr>
        <xdr:cNvSpPr/>
      </xdr:nvSpPr>
      <xdr:spPr>
        <a:xfrm>
          <a:off x="480060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</xdr:row>
      <xdr:rowOff>0</xdr:rowOff>
    </xdr:from>
    <xdr:to>
      <xdr:col>45</xdr:col>
      <xdr:colOff>83820</xdr:colOff>
      <xdr:row>50</xdr:row>
      <xdr:rowOff>114300</xdr:rowOff>
    </xdr:to>
    <xdr:sp macro="" textlink="">
      <xdr:nvSpPr>
        <xdr:cNvPr id="252" name="Arrow: Down 251">
          <a:extLst>
            <a:ext uri="{FF2B5EF4-FFF2-40B4-BE49-F238E27FC236}">
              <a16:creationId xmlns:a16="http://schemas.microsoft.com/office/drawing/2014/main" id="{7487761B-24A8-4946-9CEF-03B7E85B8F5D}"/>
            </a:ext>
          </a:extLst>
        </xdr:cNvPr>
        <xdr:cNvSpPr/>
      </xdr:nvSpPr>
      <xdr:spPr>
        <a:xfrm rot="10800000">
          <a:off x="8923020" y="92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</xdr:row>
      <xdr:rowOff>0</xdr:rowOff>
    </xdr:from>
    <xdr:to>
      <xdr:col>71</xdr:col>
      <xdr:colOff>160020</xdr:colOff>
      <xdr:row>50</xdr:row>
      <xdr:rowOff>167640</xdr:rowOff>
    </xdr:to>
    <xdr:sp macro="" textlink="">
      <xdr:nvSpPr>
        <xdr:cNvPr id="257" name="Minus Sign 256">
          <a:extLst>
            <a:ext uri="{FF2B5EF4-FFF2-40B4-BE49-F238E27FC236}">
              <a16:creationId xmlns:a16="http://schemas.microsoft.com/office/drawing/2014/main" id="{5AF389FD-F401-4D9C-B995-BC5054D9355F}"/>
            </a:ext>
          </a:extLst>
        </xdr:cNvPr>
        <xdr:cNvSpPr/>
      </xdr:nvSpPr>
      <xdr:spPr>
        <a:xfrm>
          <a:off x="14104620" y="92430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60</xdr:col>
      <xdr:colOff>0</xdr:colOff>
      <xdr:row>50</xdr:row>
      <xdr:rowOff>0</xdr:rowOff>
    </xdr:from>
    <xdr:to>
      <xdr:col>60</xdr:col>
      <xdr:colOff>83820</xdr:colOff>
      <xdr:row>50</xdr:row>
      <xdr:rowOff>114300</xdr:rowOff>
    </xdr:to>
    <xdr:sp macro="" textlink="">
      <xdr:nvSpPr>
        <xdr:cNvPr id="259" name="Arrow: Down 258">
          <a:extLst>
            <a:ext uri="{FF2B5EF4-FFF2-40B4-BE49-F238E27FC236}">
              <a16:creationId xmlns:a16="http://schemas.microsoft.com/office/drawing/2014/main" id="{C421F5FD-6C7C-40A6-99E8-A2AC4FF96786}"/>
            </a:ext>
          </a:extLst>
        </xdr:cNvPr>
        <xdr:cNvSpPr/>
      </xdr:nvSpPr>
      <xdr:spPr>
        <a:xfrm rot="10800000">
          <a:off x="1262634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</xdr:row>
      <xdr:rowOff>0</xdr:rowOff>
    </xdr:from>
    <xdr:to>
      <xdr:col>60</xdr:col>
      <xdr:colOff>83820</xdr:colOff>
      <xdr:row>48</xdr:row>
      <xdr:rowOff>114300</xdr:rowOff>
    </xdr:to>
    <xdr:sp macro="" textlink="">
      <xdr:nvSpPr>
        <xdr:cNvPr id="262" name="Arrow: Down 261">
          <a:extLst>
            <a:ext uri="{FF2B5EF4-FFF2-40B4-BE49-F238E27FC236}">
              <a16:creationId xmlns:a16="http://schemas.microsoft.com/office/drawing/2014/main" id="{61BA7A90-9B82-4A74-8A82-E6D1FC6552D1}"/>
            </a:ext>
          </a:extLst>
        </xdr:cNvPr>
        <xdr:cNvSpPr/>
      </xdr:nvSpPr>
      <xdr:spPr>
        <a:xfrm rot="10800000">
          <a:off x="12626340" y="88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</xdr:row>
      <xdr:rowOff>0</xdr:rowOff>
    </xdr:from>
    <xdr:to>
      <xdr:col>5</xdr:col>
      <xdr:colOff>83820</xdr:colOff>
      <xdr:row>50</xdr:row>
      <xdr:rowOff>114300</xdr:rowOff>
    </xdr:to>
    <xdr:sp macro="" textlink="">
      <xdr:nvSpPr>
        <xdr:cNvPr id="272" name="Arrow: Down 271">
          <a:extLst>
            <a:ext uri="{FF2B5EF4-FFF2-40B4-BE49-F238E27FC236}">
              <a16:creationId xmlns:a16="http://schemas.microsoft.com/office/drawing/2014/main" id="{440F694C-0BA2-4C3E-9831-2E02A14B499E}"/>
            </a:ext>
          </a:extLst>
        </xdr:cNvPr>
        <xdr:cNvSpPr/>
      </xdr:nvSpPr>
      <xdr:spPr>
        <a:xfrm rot="10800000">
          <a:off x="203454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</xdr:row>
      <xdr:rowOff>0</xdr:rowOff>
    </xdr:from>
    <xdr:to>
      <xdr:col>11</xdr:col>
      <xdr:colOff>83820</xdr:colOff>
      <xdr:row>50</xdr:row>
      <xdr:rowOff>114300</xdr:rowOff>
    </xdr:to>
    <xdr:sp macro="" textlink="">
      <xdr:nvSpPr>
        <xdr:cNvPr id="273" name="Arrow: Down 272">
          <a:extLst>
            <a:ext uri="{FF2B5EF4-FFF2-40B4-BE49-F238E27FC236}">
              <a16:creationId xmlns:a16="http://schemas.microsoft.com/office/drawing/2014/main" id="{C3B79326-2A1D-49DC-B129-CE38B882A4AA}"/>
            </a:ext>
          </a:extLst>
        </xdr:cNvPr>
        <xdr:cNvSpPr/>
      </xdr:nvSpPr>
      <xdr:spPr>
        <a:xfrm rot="10800000">
          <a:off x="374142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</xdr:row>
      <xdr:rowOff>0</xdr:rowOff>
    </xdr:from>
    <xdr:to>
      <xdr:col>39</xdr:col>
      <xdr:colOff>83820</xdr:colOff>
      <xdr:row>50</xdr:row>
      <xdr:rowOff>114300</xdr:rowOff>
    </xdr:to>
    <xdr:sp macro="" textlink="">
      <xdr:nvSpPr>
        <xdr:cNvPr id="291" name="Arrow: Down 290">
          <a:extLst>
            <a:ext uri="{FF2B5EF4-FFF2-40B4-BE49-F238E27FC236}">
              <a16:creationId xmlns:a16="http://schemas.microsoft.com/office/drawing/2014/main" id="{7679ED42-492D-4951-9DD0-634BA8C9EA30}"/>
            </a:ext>
          </a:extLst>
        </xdr:cNvPr>
        <xdr:cNvSpPr/>
      </xdr:nvSpPr>
      <xdr:spPr>
        <a:xfrm>
          <a:off x="741426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</xdr:row>
      <xdr:rowOff>0</xdr:rowOff>
    </xdr:from>
    <xdr:to>
      <xdr:col>24</xdr:col>
      <xdr:colOff>83820</xdr:colOff>
      <xdr:row>51</xdr:row>
      <xdr:rowOff>114300</xdr:rowOff>
    </xdr:to>
    <xdr:sp macro="" textlink="">
      <xdr:nvSpPr>
        <xdr:cNvPr id="260" name="Arrow: Down 259">
          <a:extLst>
            <a:ext uri="{FF2B5EF4-FFF2-40B4-BE49-F238E27FC236}">
              <a16:creationId xmlns:a16="http://schemas.microsoft.com/office/drawing/2014/main" id="{D97FFBAD-3E5D-4B21-8156-2558F53FA37E}"/>
            </a:ext>
          </a:extLst>
        </xdr:cNvPr>
        <xdr:cNvSpPr/>
      </xdr:nvSpPr>
      <xdr:spPr>
        <a:xfrm>
          <a:off x="4853940" y="92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</xdr:row>
      <xdr:rowOff>0</xdr:rowOff>
    </xdr:from>
    <xdr:to>
      <xdr:col>45</xdr:col>
      <xdr:colOff>83820</xdr:colOff>
      <xdr:row>51</xdr:row>
      <xdr:rowOff>114300</xdr:rowOff>
    </xdr:to>
    <xdr:sp macro="" textlink="">
      <xdr:nvSpPr>
        <xdr:cNvPr id="275" name="Arrow: Down 274">
          <a:extLst>
            <a:ext uri="{FF2B5EF4-FFF2-40B4-BE49-F238E27FC236}">
              <a16:creationId xmlns:a16="http://schemas.microsoft.com/office/drawing/2014/main" id="{BE22226D-0E93-4684-8DBE-FC4E942762CE}"/>
            </a:ext>
          </a:extLst>
        </xdr:cNvPr>
        <xdr:cNvSpPr/>
      </xdr:nvSpPr>
      <xdr:spPr>
        <a:xfrm rot="10800000">
          <a:off x="8923020" y="92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</xdr:row>
      <xdr:rowOff>0</xdr:rowOff>
    </xdr:from>
    <xdr:to>
      <xdr:col>5</xdr:col>
      <xdr:colOff>83820</xdr:colOff>
      <xdr:row>51</xdr:row>
      <xdr:rowOff>114300</xdr:rowOff>
    </xdr:to>
    <xdr:sp macro="" textlink="">
      <xdr:nvSpPr>
        <xdr:cNvPr id="296" name="Arrow: Down 295">
          <a:extLst>
            <a:ext uri="{FF2B5EF4-FFF2-40B4-BE49-F238E27FC236}">
              <a16:creationId xmlns:a16="http://schemas.microsoft.com/office/drawing/2014/main" id="{E97942B2-0722-4D45-9109-1D786A4109CA}"/>
            </a:ext>
          </a:extLst>
        </xdr:cNvPr>
        <xdr:cNvSpPr/>
      </xdr:nvSpPr>
      <xdr:spPr>
        <a:xfrm rot="10800000">
          <a:off x="203454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</xdr:row>
      <xdr:rowOff>0</xdr:rowOff>
    </xdr:from>
    <xdr:to>
      <xdr:col>11</xdr:col>
      <xdr:colOff>83820</xdr:colOff>
      <xdr:row>51</xdr:row>
      <xdr:rowOff>114300</xdr:rowOff>
    </xdr:to>
    <xdr:sp macro="" textlink="">
      <xdr:nvSpPr>
        <xdr:cNvPr id="311" name="Arrow: Down 310">
          <a:extLst>
            <a:ext uri="{FF2B5EF4-FFF2-40B4-BE49-F238E27FC236}">
              <a16:creationId xmlns:a16="http://schemas.microsoft.com/office/drawing/2014/main" id="{B8D305B8-345C-4F7A-98CC-764B2CC50C01}"/>
            </a:ext>
          </a:extLst>
        </xdr:cNvPr>
        <xdr:cNvSpPr/>
      </xdr:nvSpPr>
      <xdr:spPr>
        <a:xfrm rot="10800000">
          <a:off x="3741420" y="942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</xdr:row>
      <xdr:rowOff>0</xdr:rowOff>
    </xdr:from>
    <xdr:to>
      <xdr:col>39</xdr:col>
      <xdr:colOff>83820</xdr:colOff>
      <xdr:row>51</xdr:row>
      <xdr:rowOff>114300</xdr:rowOff>
    </xdr:to>
    <xdr:sp macro="" textlink="">
      <xdr:nvSpPr>
        <xdr:cNvPr id="312" name="Arrow: Down 311">
          <a:extLst>
            <a:ext uri="{FF2B5EF4-FFF2-40B4-BE49-F238E27FC236}">
              <a16:creationId xmlns:a16="http://schemas.microsoft.com/office/drawing/2014/main" id="{6C8DA6BE-8777-4B2B-AF61-9A1FA15518F6}"/>
            </a:ext>
          </a:extLst>
        </xdr:cNvPr>
        <xdr:cNvSpPr/>
      </xdr:nvSpPr>
      <xdr:spPr>
        <a:xfrm rot="10800000">
          <a:off x="741426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</xdr:row>
      <xdr:rowOff>0</xdr:rowOff>
    </xdr:from>
    <xdr:to>
      <xdr:col>60</xdr:col>
      <xdr:colOff>83820</xdr:colOff>
      <xdr:row>51</xdr:row>
      <xdr:rowOff>114300</xdr:rowOff>
    </xdr:to>
    <xdr:sp macro="" textlink="">
      <xdr:nvSpPr>
        <xdr:cNvPr id="314" name="Arrow: Down 313">
          <a:extLst>
            <a:ext uri="{FF2B5EF4-FFF2-40B4-BE49-F238E27FC236}">
              <a16:creationId xmlns:a16="http://schemas.microsoft.com/office/drawing/2014/main" id="{269A9F03-39E4-46A6-8402-BA0D498EB4FF}"/>
            </a:ext>
          </a:extLst>
        </xdr:cNvPr>
        <xdr:cNvSpPr/>
      </xdr:nvSpPr>
      <xdr:spPr>
        <a:xfrm>
          <a:off x="1262634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</xdr:row>
      <xdr:rowOff>0</xdr:rowOff>
    </xdr:from>
    <xdr:to>
      <xdr:col>71</xdr:col>
      <xdr:colOff>83820</xdr:colOff>
      <xdr:row>51</xdr:row>
      <xdr:rowOff>114300</xdr:rowOff>
    </xdr:to>
    <xdr:sp macro="" textlink="">
      <xdr:nvSpPr>
        <xdr:cNvPr id="319" name="Arrow: Down 318">
          <a:extLst>
            <a:ext uri="{FF2B5EF4-FFF2-40B4-BE49-F238E27FC236}">
              <a16:creationId xmlns:a16="http://schemas.microsoft.com/office/drawing/2014/main" id="{5A33CCB2-ACB4-4B47-9C09-332F18034F23}"/>
            </a:ext>
          </a:extLst>
        </xdr:cNvPr>
        <xdr:cNvSpPr/>
      </xdr:nvSpPr>
      <xdr:spPr>
        <a:xfrm>
          <a:off x="1410462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</xdr:row>
      <xdr:rowOff>0</xdr:rowOff>
    </xdr:from>
    <xdr:to>
      <xdr:col>45</xdr:col>
      <xdr:colOff>83820</xdr:colOff>
      <xdr:row>52</xdr:row>
      <xdr:rowOff>114300</xdr:rowOff>
    </xdr:to>
    <xdr:sp macro="" textlink="">
      <xdr:nvSpPr>
        <xdr:cNvPr id="337" name="Arrow: Down 336">
          <a:extLst>
            <a:ext uri="{FF2B5EF4-FFF2-40B4-BE49-F238E27FC236}">
              <a16:creationId xmlns:a16="http://schemas.microsoft.com/office/drawing/2014/main" id="{EDBA6A94-1971-46EE-821D-5E0F40808E5F}"/>
            </a:ext>
          </a:extLst>
        </xdr:cNvPr>
        <xdr:cNvSpPr/>
      </xdr:nvSpPr>
      <xdr:spPr>
        <a:xfrm rot="10800000">
          <a:off x="892302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</xdr:row>
      <xdr:rowOff>0</xdr:rowOff>
    </xdr:from>
    <xdr:to>
      <xdr:col>39</xdr:col>
      <xdr:colOff>83820</xdr:colOff>
      <xdr:row>52</xdr:row>
      <xdr:rowOff>114300</xdr:rowOff>
    </xdr:to>
    <xdr:sp macro="" textlink="">
      <xdr:nvSpPr>
        <xdr:cNvPr id="350" name="Arrow: Down 349">
          <a:extLst>
            <a:ext uri="{FF2B5EF4-FFF2-40B4-BE49-F238E27FC236}">
              <a16:creationId xmlns:a16="http://schemas.microsoft.com/office/drawing/2014/main" id="{79C65977-0BD4-4F80-8EB6-90554D26EE17}"/>
            </a:ext>
          </a:extLst>
        </xdr:cNvPr>
        <xdr:cNvSpPr/>
      </xdr:nvSpPr>
      <xdr:spPr>
        <a:xfrm rot="10800000">
          <a:off x="741426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</xdr:row>
      <xdr:rowOff>0</xdr:rowOff>
    </xdr:from>
    <xdr:to>
      <xdr:col>60</xdr:col>
      <xdr:colOff>83820</xdr:colOff>
      <xdr:row>52</xdr:row>
      <xdr:rowOff>114300</xdr:rowOff>
    </xdr:to>
    <xdr:sp macro="" textlink="">
      <xdr:nvSpPr>
        <xdr:cNvPr id="294" name="Arrow: Down 293">
          <a:extLst>
            <a:ext uri="{FF2B5EF4-FFF2-40B4-BE49-F238E27FC236}">
              <a16:creationId xmlns:a16="http://schemas.microsoft.com/office/drawing/2014/main" id="{ED9035A6-5B66-461C-9FB2-F131FF2667F7}"/>
            </a:ext>
          </a:extLst>
        </xdr:cNvPr>
        <xdr:cNvSpPr/>
      </xdr:nvSpPr>
      <xdr:spPr>
        <a:xfrm rot="10800000">
          <a:off x="12626340" y="96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</xdr:row>
      <xdr:rowOff>0</xdr:rowOff>
    </xdr:from>
    <xdr:to>
      <xdr:col>71</xdr:col>
      <xdr:colOff>160020</xdr:colOff>
      <xdr:row>52</xdr:row>
      <xdr:rowOff>167640</xdr:rowOff>
    </xdr:to>
    <xdr:sp macro="" textlink="">
      <xdr:nvSpPr>
        <xdr:cNvPr id="295" name="Minus Sign 294">
          <a:extLst>
            <a:ext uri="{FF2B5EF4-FFF2-40B4-BE49-F238E27FC236}">
              <a16:creationId xmlns:a16="http://schemas.microsoft.com/office/drawing/2014/main" id="{0D44D1D3-E808-4981-8513-3FDFE68F4A56}"/>
            </a:ext>
          </a:extLst>
        </xdr:cNvPr>
        <xdr:cNvSpPr/>
      </xdr:nvSpPr>
      <xdr:spPr>
        <a:xfrm>
          <a:off x="14104620" y="96088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52</xdr:row>
      <xdr:rowOff>0</xdr:rowOff>
    </xdr:from>
    <xdr:to>
      <xdr:col>5</xdr:col>
      <xdr:colOff>83820</xdr:colOff>
      <xdr:row>52</xdr:row>
      <xdr:rowOff>114300</xdr:rowOff>
    </xdr:to>
    <xdr:sp macro="" textlink="">
      <xdr:nvSpPr>
        <xdr:cNvPr id="307" name="Arrow: Down 306">
          <a:extLst>
            <a:ext uri="{FF2B5EF4-FFF2-40B4-BE49-F238E27FC236}">
              <a16:creationId xmlns:a16="http://schemas.microsoft.com/office/drawing/2014/main" id="{7520098F-DF10-437E-8FCC-C6F149100C54}"/>
            </a:ext>
          </a:extLst>
        </xdr:cNvPr>
        <xdr:cNvSpPr/>
      </xdr:nvSpPr>
      <xdr:spPr>
        <a:xfrm>
          <a:off x="20345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52</xdr:row>
      <xdr:rowOff>0</xdr:rowOff>
    </xdr:from>
    <xdr:to>
      <xdr:col>11</xdr:col>
      <xdr:colOff>83820</xdr:colOff>
      <xdr:row>52</xdr:row>
      <xdr:rowOff>114300</xdr:rowOff>
    </xdr:to>
    <xdr:sp macro="" textlink="">
      <xdr:nvSpPr>
        <xdr:cNvPr id="309" name="Arrow: Down 308">
          <a:extLst>
            <a:ext uri="{FF2B5EF4-FFF2-40B4-BE49-F238E27FC236}">
              <a16:creationId xmlns:a16="http://schemas.microsoft.com/office/drawing/2014/main" id="{3D15275E-AEE2-4D58-B130-065B008628CF}"/>
            </a:ext>
          </a:extLst>
        </xdr:cNvPr>
        <xdr:cNvSpPr/>
      </xdr:nvSpPr>
      <xdr:spPr>
        <a:xfrm>
          <a:off x="374142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52</xdr:row>
      <xdr:rowOff>0</xdr:rowOff>
    </xdr:from>
    <xdr:to>
      <xdr:col>24</xdr:col>
      <xdr:colOff>83820</xdr:colOff>
      <xdr:row>52</xdr:row>
      <xdr:rowOff>114300</xdr:rowOff>
    </xdr:to>
    <xdr:sp macro="" textlink="">
      <xdr:nvSpPr>
        <xdr:cNvPr id="316" name="Arrow: Down 315">
          <a:extLst>
            <a:ext uri="{FF2B5EF4-FFF2-40B4-BE49-F238E27FC236}">
              <a16:creationId xmlns:a16="http://schemas.microsoft.com/office/drawing/2014/main" id="{F0B8CB9F-2016-4B30-9E6F-9508EBCB6F0A}"/>
            </a:ext>
          </a:extLst>
        </xdr:cNvPr>
        <xdr:cNvSpPr/>
      </xdr:nvSpPr>
      <xdr:spPr>
        <a:xfrm>
          <a:off x="48539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53</xdr:row>
      <xdr:rowOff>0</xdr:rowOff>
    </xdr:from>
    <xdr:to>
      <xdr:col>45</xdr:col>
      <xdr:colOff>83820</xdr:colOff>
      <xdr:row>53</xdr:row>
      <xdr:rowOff>114300</xdr:rowOff>
    </xdr:to>
    <xdr:sp macro="" textlink="">
      <xdr:nvSpPr>
        <xdr:cNvPr id="334" name="Arrow: Down 333">
          <a:extLst>
            <a:ext uri="{FF2B5EF4-FFF2-40B4-BE49-F238E27FC236}">
              <a16:creationId xmlns:a16="http://schemas.microsoft.com/office/drawing/2014/main" id="{118848F3-4F7A-42DB-AFB7-4D3C75C0347B}"/>
            </a:ext>
          </a:extLst>
        </xdr:cNvPr>
        <xdr:cNvSpPr/>
      </xdr:nvSpPr>
      <xdr:spPr>
        <a:xfrm rot="10800000">
          <a:off x="892302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</xdr:row>
      <xdr:rowOff>0</xdr:rowOff>
    </xdr:from>
    <xdr:to>
      <xdr:col>5</xdr:col>
      <xdr:colOff>83820</xdr:colOff>
      <xdr:row>53</xdr:row>
      <xdr:rowOff>114300</xdr:rowOff>
    </xdr:to>
    <xdr:sp macro="" textlink="">
      <xdr:nvSpPr>
        <xdr:cNvPr id="351" name="Arrow: Down 350">
          <a:extLst>
            <a:ext uri="{FF2B5EF4-FFF2-40B4-BE49-F238E27FC236}">
              <a16:creationId xmlns:a16="http://schemas.microsoft.com/office/drawing/2014/main" id="{28D462C8-CA5F-4B70-80DC-E2B249302CBA}"/>
            </a:ext>
          </a:extLst>
        </xdr:cNvPr>
        <xdr:cNvSpPr/>
      </xdr:nvSpPr>
      <xdr:spPr>
        <a:xfrm>
          <a:off x="20345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53</xdr:row>
      <xdr:rowOff>0</xdr:rowOff>
    </xdr:from>
    <xdr:to>
      <xdr:col>11</xdr:col>
      <xdr:colOff>83820</xdr:colOff>
      <xdr:row>53</xdr:row>
      <xdr:rowOff>114300</xdr:rowOff>
    </xdr:to>
    <xdr:sp macro="" textlink="">
      <xdr:nvSpPr>
        <xdr:cNvPr id="352" name="Arrow: Down 351">
          <a:extLst>
            <a:ext uri="{FF2B5EF4-FFF2-40B4-BE49-F238E27FC236}">
              <a16:creationId xmlns:a16="http://schemas.microsoft.com/office/drawing/2014/main" id="{F176E008-51CF-4057-8E3A-93146771EE31}"/>
            </a:ext>
          </a:extLst>
        </xdr:cNvPr>
        <xdr:cNvSpPr/>
      </xdr:nvSpPr>
      <xdr:spPr>
        <a:xfrm>
          <a:off x="374142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53</xdr:row>
      <xdr:rowOff>0</xdr:rowOff>
    </xdr:from>
    <xdr:to>
      <xdr:col>24</xdr:col>
      <xdr:colOff>83820</xdr:colOff>
      <xdr:row>53</xdr:row>
      <xdr:rowOff>114300</xdr:rowOff>
    </xdr:to>
    <xdr:sp macro="" textlink="">
      <xdr:nvSpPr>
        <xdr:cNvPr id="353" name="Arrow: Down 352">
          <a:extLst>
            <a:ext uri="{FF2B5EF4-FFF2-40B4-BE49-F238E27FC236}">
              <a16:creationId xmlns:a16="http://schemas.microsoft.com/office/drawing/2014/main" id="{CE82A98D-11D7-4130-A4C9-AECA06FD6879}"/>
            </a:ext>
          </a:extLst>
        </xdr:cNvPr>
        <xdr:cNvSpPr/>
      </xdr:nvSpPr>
      <xdr:spPr>
        <a:xfrm>
          <a:off x="48539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53</xdr:row>
      <xdr:rowOff>0</xdr:rowOff>
    </xdr:from>
    <xdr:to>
      <xdr:col>71</xdr:col>
      <xdr:colOff>83820</xdr:colOff>
      <xdr:row>53</xdr:row>
      <xdr:rowOff>114300</xdr:rowOff>
    </xdr:to>
    <xdr:sp macro="" textlink="">
      <xdr:nvSpPr>
        <xdr:cNvPr id="355" name="Arrow: Down 354">
          <a:extLst>
            <a:ext uri="{FF2B5EF4-FFF2-40B4-BE49-F238E27FC236}">
              <a16:creationId xmlns:a16="http://schemas.microsoft.com/office/drawing/2014/main" id="{6980FC15-F70D-45CF-8BA7-176336650B1A}"/>
            </a:ext>
          </a:extLst>
        </xdr:cNvPr>
        <xdr:cNvSpPr/>
      </xdr:nvSpPr>
      <xdr:spPr>
        <a:xfrm>
          <a:off x="141046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</xdr:row>
      <xdr:rowOff>0</xdr:rowOff>
    </xdr:from>
    <xdr:to>
      <xdr:col>60</xdr:col>
      <xdr:colOff>83820</xdr:colOff>
      <xdr:row>53</xdr:row>
      <xdr:rowOff>114300</xdr:rowOff>
    </xdr:to>
    <xdr:sp macro="" textlink="">
      <xdr:nvSpPr>
        <xdr:cNvPr id="356" name="Arrow: Down 355">
          <a:extLst>
            <a:ext uri="{FF2B5EF4-FFF2-40B4-BE49-F238E27FC236}">
              <a16:creationId xmlns:a16="http://schemas.microsoft.com/office/drawing/2014/main" id="{ABE3F65C-DC89-4571-A836-BADC4ED8190E}"/>
            </a:ext>
          </a:extLst>
        </xdr:cNvPr>
        <xdr:cNvSpPr/>
      </xdr:nvSpPr>
      <xdr:spPr>
        <a:xfrm>
          <a:off x="1262634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</xdr:row>
      <xdr:rowOff>0</xdr:rowOff>
    </xdr:from>
    <xdr:to>
      <xdr:col>39</xdr:col>
      <xdr:colOff>83820</xdr:colOff>
      <xdr:row>53</xdr:row>
      <xdr:rowOff>114300</xdr:rowOff>
    </xdr:to>
    <xdr:sp macro="" textlink="">
      <xdr:nvSpPr>
        <xdr:cNvPr id="360" name="Arrow: Down 359">
          <a:extLst>
            <a:ext uri="{FF2B5EF4-FFF2-40B4-BE49-F238E27FC236}">
              <a16:creationId xmlns:a16="http://schemas.microsoft.com/office/drawing/2014/main" id="{0114E16E-DD6A-46AA-93D8-93F193D6EE21}"/>
            </a:ext>
          </a:extLst>
        </xdr:cNvPr>
        <xdr:cNvSpPr/>
      </xdr:nvSpPr>
      <xdr:spPr>
        <a:xfrm>
          <a:off x="7414260" y="97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</xdr:row>
      <xdr:rowOff>0</xdr:rowOff>
    </xdr:from>
    <xdr:to>
      <xdr:col>45</xdr:col>
      <xdr:colOff>83820</xdr:colOff>
      <xdr:row>54</xdr:row>
      <xdr:rowOff>114300</xdr:rowOff>
    </xdr:to>
    <xdr:sp macro="" textlink="">
      <xdr:nvSpPr>
        <xdr:cNvPr id="310" name="Arrow: Down 309">
          <a:extLst>
            <a:ext uri="{FF2B5EF4-FFF2-40B4-BE49-F238E27FC236}">
              <a16:creationId xmlns:a16="http://schemas.microsoft.com/office/drawing/2014/main" id="{3F43903D-DB05-498D-8847-D17668BF51CA}"/>
            </a:ext>
          </a:extLst>
        </xdr:cNvPr>
        <xdr:cNvSpPr/>
      </xdr:nvSpPr>
      <xdr:spPr>
        <a:xfrm rot="10800000">
          <a:off x="89230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</xdr:row>
      <xdr:rowOff>0</xdr:rowOff>
    </xdr:from>
    <xdr:to>
      <xdr:col>5</xdr:col>
      <xdr:colOff>83820</xdr:colOff>
      <xdr:row>54</xdr:row>
      <xdr:rowOff>114300</xdr:rowOff>
    </xdr:to>
    <xdr:sp macro="" textlink="">
      <xdr:nvSpPr>
        <xdr:cNvPr id="322" name="Arrow: Down 321">
          <a:extLst>
            <a:ext uri="{FF2B5EF4-FFF2-40B4-BE49-F238E27FC236}">
              <a16:creationId xmlns:a16="http://schemas.microsoft.com/office/drawing/2014/main" id="{748DD1EE-F905-4AF5-BBF7-E15847AAB9E0}"/>
            </a:ext>
          </a:extLst>
        </xdr:cNvPr>
        <xdr:cNvSpPr/>
      </xdr:nvSpPr>
      <xdr:spPr>
        <a:xfrm>
          <a:off x="203454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54</xdr:row>
      <xdr:rowOff>0</xdr:rowOff>
    </xdr:from>
    <xdr:to>
      <xdr:col>11</xdr:col>
      <xdr:colOff>83820</xdr:colOff>
      <xdr:row>54</xdr:row>
      <xdr:rowOff>114300</xdr:rowOff>
    </xdr:to>
    <xdr:sp macro="" textlink="">
      <xdr:nvSpPr>
        <xdr:cNvPr id="323" name="Arrow: Down 322">
          <a:extLst>
            <a:ext uri="{FF2B5EF4-FFF2-40B4-BE49-F238E27FC236}">
              <a16:creationId xmlns:a16="http://schemas.microsoft.com/office/drawing/2014/main" id="{2DEA4A6B-EA14-4386-93EB-9720545A6FDB}"/>
            </a:ext>
          </a:extLst>
        </xdr:cNvPr>
        <xdr:cNvSpPr/>
      </xdr:nvSpPr>
      <xdr:spPr>
        <a:xfrm>
          <a:off x="37414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54</xdr:row>
      <xdr:rowOff>0</xdr:rowOff>
    </xdr:from>
    <xdr:to>
      <xdr:col>71</xdr:col>
      <xdr:colOff>83820</xdr:colOff>
      <xdr:row>54</xdr:row>
      <xdr:rowOff>114300</xdr:rowOff>
    </xdr:to>
    <xdr:sp macro="" textlink="">
      <xdr:nvSpPr>
        <xdr:cNvPr id="330" name="Arrow: Down 329">
          <a:extLst>
            <a:ext uri="{FF2B5EF4-FFF2-40B4-BE49-F238E27FC236}">
              <a16:creationId xmlns:a16="http://schemas.microsoft.com/office/drawing/2014/main" id="{15AFFB14-0B28-4307-B0F5-0492E42B0206}"/>
            </a:ext>
          </a:extLst>
        </xdr:cNvPr>
        <xdr:cNvSpPr/>
      </xdr:nvSpPr>
      <xdr:spPr>
        <a:xfrm>
          <a:off x="141046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</xdr:row>
      <xdr:rowOff>0</xdr:rowOff>
    </xdr:from>
    <xdr:to>
      <xdr:col>60</xdr:col>
      <xdr:colOff>83820</xdr:colOff>
      <xdr:row>54</xdr:row>
      <xdr:rowOff>114300</xdr:rowOff>
    </xdr:to>
    <xdr:sp macro="" textlink="">
      <xdr:nvSpPr>
        <xdr:cNvPr id="331" name="Arrow: Down 330">
          <a:extLst>
            <a:ext uri="{FF2B5EF4-FFF2-40B4-BE49-F238E27FC236}">
              <a16:creationId xmlns:a16="http://schemas.microsoft.com/office/drawing/2014/main" id="{8E8574D3-FF8A-4F6C-84A8-40BA0AEEF2EE}"/>
            </a:ext>
          </a:extLst>
        </xdr:cNvPr>
        <xdr:cNvSpPr/>
      </xdr:nvSpPr>
      <xdr:spPr>
        <a:xfrm>
          <a:off x="1262634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</xdr:row>
      <xdr:rowOff>0</xdr:rowOff>
    </xdr:from>
    <xdr:to>
      <xdr:col>39</xdr:col>
      <xdr:colOff>83820</xdr:colOff>
      <xdr:row>54</xdr:row>
      <xdr:rowOff>114300</xdr:rowOff>
    </xdr:to>
    <xdr:sp macro="" textlink="">
      <xdr:nvSpPr>
        <xdr:cNvPr id="335" name="Arrow: Down 334">
          <a:extLst>
            <a:ext uri="{FF2B5EF4-FFF2-40B4-BE49-F238E27FC236}">
              <a16:creationId xmlns:a16="http://schemas.microsoft.com/office/drawing/2014/main" id="{31352CCA-8B6D-440F-8843-D687625F1376}"/>
            </a:ext>
          </a:extLst>
        </xdr:cNvPr>
        <xdr:cNvSpPr/>
      </xdr:nvSpPr>
      <xdr:spPr>
        <a:xfrm rot="10800000">
          <a:off x="741426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</xdr:row>
      <xdr:rowOff>0</xdr:rowOff>
    </xdr:from>
    <xdr:to>
      <xdr:col>24</xdr:col>
      <xdr:colOff>83820</xdr:colOff>
      <xdr:row>54</xdr:row>
      <xdr:rowOff>114300</xdr:rowOff>
    </xdr:to>
    <xdr:sp macro="" textlink="">
      <xdr:nvSpPr>
        <xdr:cNvPr id="348" name="Arrow: Down 347">
          <a:extLst>
            <a:ext uri="{FF2B5EF4-FFF2-40B4-BE49-F238E27FC236}">
              <a16:creationId xmlns:a16="http://schemas.microsoft.com/office/drawing/2014/main" id="{A172A973-3EF5-473E-A26D-D6D70FA93FA4}"/>
            </a:ext>
          </a:extLst>
        </xdr:cNvPr>
        <xdr:cNvSpPr/>
      </xdr:nvSpPr>
      <xdr:spPr>
        <a:xfrm rot="10800000">
          <a:off x="4853940" y="99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</xdr:row>
      <xdr:rowOff>0</xdr:rowOff>
    </xdr:from>
    <xdr:to>
      <xdr:col>45</xdr:col>
      <xdr:colOff>83820</xdr:colOff>
      <xdr:row>55</xdr:row>
      <xdr:rowOff>114300</xdr:rowOff>
    </xdr:to>
    <xdr:sp macro="" textlink="">
      <xdr:nvSpPr>
        <xdr:cNvPr id="326" name="Arrow: Down 325">
          <a:extLst>
            <a:ext uri="{FF2B5EF4-FFF2-40B4-BE49-F238E27FC236}">
              <a16:creationId xmlns:a16="http://schemas.microsoft.com/office/drawing/2014/main" id="{5B792E30-F108-441E-A1C3-17A6966E880A}"/>
            </a:ext>
          </a:extLst>
        </xdr:cNvPr>
        <xdr:cNvSpPr/>
      </xdr:nvSpPr>
      <xdr:spPr>
        <a:xfrm rot="10800000">
          <a:off x="892302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</xdr:row>
      <xdr:rowOff>0</xdr:rowOff>
    </xdr:from>
    <xdr:to>
      <xdr:col>11</xdr:col>
      <xdr:colOff>83820</xdr:colOff>
      <xdr:row>55</xdr:row>
      <xdr:rowOff>114300</xdr:rowOff>
    </xdr:to>
    <xdr:sp macro="" textlink="">
      <xdr:nvSpPr>
        <xdr:cNvPr id="347" name="Arrow: Down 346">
          <a:extLst>
            <a:ext uri="{FF2B5EF4-FFF2-40B4-BE49-F238E27FC236}">
              <a16:creationId xmlns:a16="http://schemas.microsoft.com/office/drawing/2014/main" id="{0236E858-D3F9-42E7-BF7B-7667E9C95647}"/>
            </a:ext>
          </a:extLst>
        </xdr:cNvPr>
        <xdr:cNvSpPr/>
      </xdr:nvSpPr>
      <xdr:spPr>
        <a:xfrm>
          <a:off x="374142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55</xdr:row>
      <xdr:rowOff>0</xdr:rowOff>
    </xdr:from>
    <xdr:to>
      <xdr:col>71</xdr:col>
      <xdr:colOff>83820</xdr:colOff>
      <xdr:row>55</xdr:row>
      <xdr:rowOff>114300</xdr:rowOff>
    </xdr:to>
    <xdr:sp macro="" textlink="">
      <xdr:nvSpPr>
        <xdr:cNvPr id="354" name="Arrow: Down 353">
          <a:extLst>
            <a:ext uri="{FF2B5EF4-FFF2-40B4-BE49-F238E27FC236}">
              <a16:creationId xmlns:a16="http://schemas.microsoft.com/office/drawing/2014/main" id="{43296518-C441-4B4B-80EA-F6018B3E57DF}"/>
            </a:ext>
          </a:extLst>
        </xdr:cNvPr>
        <xdr:cNvSpPr/>
      </xdr:nvSpPr>
      <xdr:spPr>
        <a:xfrm>
          <a:off x="1410462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</xdr:row>
      <xdr:rowOff>0</xdr:rowOff>
    </xdr:from>
    <xdr:to>
      <xdr:col>39</xdr:col>
      <xdr:colOff>83820</xdr:colOff>
      <xdr:row>55</xdr:row>
      <xdr:rowOff>114300</xdr:rowOff>
    </xdr:to>
    <xdr:sp macro="" textlink="">
      <xdr:nvSpPr>
        <xdr:cNvPr id="362" name="Arrow: Down 361">
          <a:extLst>
            <a:ext uri="{FF2B5EF4-FFF2-40B4-BE49-F238E27FC236}">
              <a16:creationId xmlns:a16="http://schemas.microsoft.com/office/drawing/2014/main" id="{359DAB18-7A9A-421B-AC8B-446C6BE54013}"/>
            </a:ext>
          </a:extLst>
        </xdr:cNvPr>
        <xdr:cNvSpPr/>
      </xdr:nvSpPr>
      <xdr:spPr>
        <a:xfrm rot="10800000">
          <a:off x="741426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</xdr:row>
      <xdr:rowOff>0</xdr:rowOff>
    </xdr:from>
    <xdr:to>
      <xdr:col>24</xdr:col>
      <xdr:colOff>83820</xdr:colOff>
      <xdr:row>55</xdr:row>
      <xdr:rowOff>114300</xdr:rowOff>
    </xdr:to>
    <xdr:sp macro="" textlink="">
      <xdr:nvSpPr>
        <xdr:cNvPr id="364" name="Arrow: Down 363">
          <a:extLst>
            <a:ext uri="{FF2B5EF4-FFF2-40B4-BE49-F238E27FC236}">
              <a16:creationId xmlns:a16="http://schemas.microsoft.com/office/drawing/2014/main" id="{2BBACA9C-B0F9-4BCC-96E5-E048994CF613}"/>
            </a:ext>
          </a:extLst>
        </xdr:cNvPr>
        <xdr:cNvSpPr/>
      </xdr:nvSpPr>
      <xdr:spPr>
        <a:xfrm rot="10800000">
          <a:off x="4853940" y="99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</xdr:row>
      <xdr:rowOff>0</xdr:rowOff>
    </xdr:from>
    <xdr:to>
      <xdr:col>5</xdr:col>
      <xdr:colOff>83820</xdr:colOff>
      <xdr:row>55</xdr:row>
      <xdr:rowOff>114300</xdr:rowOff>
    </xdr:to>
    <xdr:sp macro="" textlink="">
      <xdr:nvSpPr>
        <xdr:cNvPr id="365" name="Arrow: Down 364">
          <a:extLst>
            <a:ext uri="{FF2B5EF4-FFF2-40B4-BE49-F238E27FC236}">
              <a16:creationId xmlns:a16="http://schemas.microsoft.com/office/drawing/2014/main" id="{053BBB14-5E93-4343-8A30-EC1464960D55}"/>
            </a:ext>
          </a:extLst>
        </xdr:cNvPr>
        <xdr:cNvSpPr/>
      </xdr:nvSpPr>
      <xdr:spPr>
        <a:xfrm rot="10800000">
          <a:off x="2034540" y="101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</xdr:row>
      <xdr:rowOff>0</xdr:rowOff>
    </xdr:from>
    <xdr:to>
      <xdr:col>60</xdr:col>
      <xdr:colOff>160020</xdr:colOff>
      <xdr:row>55</xdr:row>
      <xdr:rowOff>167640</xdr:rowOff>
    </xdr:to>
    <xdr:sp macro="" textlink="">
      <xdr:nvSpPr>
        <xdr:cNvPr id="367" name="Minus Sign 366">
          <a:extLst>
            <a:ext uri="{FF2B5EF4-FFF2-40B4-BE49-F238E27FC236}">
              <a16:creationId xmlns:a16="http://schemas.microsoft.com/office/drawing/2014/main" id="{24D6A296-E3EA-429F-9DC2-6E7B7DB1DD5C}"/>
            </a:ext>
          </a:extLst>
        </xdr:cNvPr>
        <xdr:cNvSpPr/>
      </xdr:nvSpPr>
      <xdr:spPr>
        <a:xfrm>
          <a:off x="12626340" y="101574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56</xdr:row>
      <xdr:rowOff>0</xdr:rowOff>
    </xdr:from>
    <xdr:to>
      <xdr:col>45</xdr:col>
      <xdr:colOff>83820</xdr:colOff>
      <xdr:row>56</xdr:row>
      <xdr:rowOff>114300</xdr:rowOff>
    </xdr:to>
    <xdr:sp macro="" textlink="">
      <xdr:nvSpPr>
        <xdr:cNvPr id="372" name="Arrow: Down 371">
          <a:extLst>
            <a:ext uri="{FF2B5EF4-FFF2-40B4-BE49-F238E27FC236}">
              <a16:creationId xmlns:a16="http://schemas.microsoft.com/office/drawing/2014/main" id="{BF606084-80CC-488A-B4A5-E10EF77C51C9}"/>
            </a:ext>
          </a:extLst>
        </xdr:cNvPr>
        <xdr:cNvSpPr/>
      </xdr:nvSpPr>
      <xdr:spPr>
        <a:xfrm rot="10800000">
          <a:off x="8923020" y="101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</xdr:row>
      <xdr:rowOff>0</xdr:rowOff>
    </xdr:from>
    <xdr:to>
      <xdr:col>71</xdr:col>
      <xdr:colOff>83820</xdr:colOff>
      <xdr:row>56</xdr:row>
      <xdr:rowOff>114300</xdr:rowOff>
    </xdr:to>
    <xdr:sp macro="" textlink="">
      <xdr:nvSpPr>
        <xdr:cNvPr id="374" name="Arrow: Down 373">
          <a:extLst>
            <a:ext uri="{FF2B5EF4-FFF2-40B4-BE49-F238E27FC236}">
              <a16:creationId xmlns:a16="http://schemas.microsoft.com/office/drawing/2014/main" id="{A3B1F3D8-FDB0-43B2-91E7-A182F8320AB3}"/>
            </a:ext>
          </a:extLst>
        </xdr:cNvPr>
        <xdr:cNvSpPr/>
      </xdr:nvSpPr>
      <xdr:spPr>
        <a:xfrm>
          <a:off x="14104620" y="101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</xdr:row>
      <xdr:rowOff>0</xdr:rowOff>
    </xdr:from>
    <xdr:to>
      <xdr:col>24</xdr:col>
      <xdr:colOff>83820</xdr:colOff>
      <xdr:row>56</xdr:row>
      <xdr:rowOff>114300</xdr:rowOff>
    </xdr:to>
    <xdr:sp macro="" textlink="">
      <xdr:nvSpPr>
        <xdr:cNvPr id="376" name="Arrow: Down 375">
          <a:extLst>
            <a:ext uri="{FF2B5EF4-FFF2-40B4-BE49-F238E27FC236}">
              <a16:creationId xmlns:a16="http://schemas.microsoft.com/office/drawing/2014/main" id="{9247D44C-6902-49EE-98A1-BFD5F71FD4F5}"/>
            </a:ext>
          </a:extLst>
        </xdr:cNvPr>
        <xdr:cNvSpPr/>
      </xdr:nvSpPr>
      <xdr:spPr>
        <a:xfrm rot="10800000">
          <a:off x="4853940" y="101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</xdr:row>
      <xdr:rowOff>0</xdr:rowOff>
    </xdr:from>
    <xdr:to>
      <xdr:col>5</xdr:col>
      <xdr:colOff>83820</xdr:colOff>
      <xdr:row>56</xdr:row>
      <xdr:rowOff>114300</xdr:rowOff>
    </xdr:to>
    <xdr:sp macro="" textlink="">
      <xdr:nvSpPr>
        <xdr:cNvPr id="377" name="Arrow: Down 376">
          <a:extLst>
            <a:ext uri="{FF2B5EF4-FFF2-40B4-BE49-F238E27FC236}">
              <a16:creationId xmlns:a16="http://schemas.microsoft.com/office/drawing/2014/main" id="{634768F7-A531-420F-ADA6-830EA3C7535A}"/>
            </a:ext>
          </a:extLst>
        </xdr:cNvPr>
        <xdr:cNvSpPr/>
      </xdr:nvSpPr>
      <xdr:spPr>
        <a:xfrm rot="10800000">
          <a:off x="2034540" y="101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</xdr:row>
      <xdr:rowOff>0</xdr:rowOff>
    </xdr:from>
    <xdr:to>
      <xdr:col>11</xdr:col>
      <xdr:colOff>160020</xdr:colOff>
      <xdr:row>56</xdr:row>
      <xdr:rowOff>167640</xdr:rowOff>
    </xdr:to>
    <xdr:sp macro="" textlink="">
      <xdr:nvSpPr>
        <xdr:cNvPr id="380" name="Minus Sign 379">
          <a:extLst>
            <a:ext uri="{FF2B5EF4-FFF2-40B4-BE49-F238E27FC236}">
              <a16:creationId xmlns:a16="http://schemas.microsoft.com/office/drawing/2014/main" id="{925A276B-86B5-491F-84EF-49D331AB5E94}"/>
            </a:ext>
          </a:extLst>
        </xdr:cNvPr>
        <xdr:cNvSpPr/>
      </xdr:nvSpPr>
      <xdr:spPr>
        <a:xfrm>
          <a:off x="3741420" y="103403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56</xdr:row>
      <xdr:rowOff>0</xdr:rowOff>
    </xdr:from>
    <xdr:to>
      <xdr:col>39</xdr:col>
      <xdr:colOff>83820</xdr:colOff>
      <xdr:row>56</xdr:row>
      <xdr:rowOff>114300</xdr:rowOff>
    </xdr:to>
    <xdr:sp macro="" textlink="">
      <xdr:nvSpPr>
        <xdr:cNvPr id="382" name="Arrow: Down 381">
          <a:extLst>
            <a:ext uri="{FF2B5EF4-FFF2-40B4-BE49-F238E27FC236}">
              <a16:creationId xmlns:a16="http://schemas.microsoft.com/office/drawing/2014/main" id="{429ED05C-FC1F-4B70-9C78-A3D529262B98}"/>
            </a:ext>
          </a:extLst>
        </xdr:cNvPr>
        <xdr:cNvSpPr/>
      </xdr:nvSpPr>
      <xdr:spPr>
        <a:xfrm>
          <a:off x="7414260" y="103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</xdr:row>
      <xdr:rowOff>0</xdr:rowOff>
    </xdr:from>
    <xdr:to>
      <xdr:col>60</xdr:col>
      <xdr:colOff>83820</xdr:colOff>
      <xdr:row>56</xdr:row>
      <xdr:rowOff>114300</xdr:rowOff>
    </xdr:to>
    <xdr:sp macro="" textlink="">
      <xdr:nvSpPr>
        <xdr:cNvPr id="383" name="Arrow: Down 382">
          <a:extLst>
            <a:ext uri="{FF2B5EF4-FFF2-40B4-BE49-F238E27FC236}">
              <a16:creationId xmlns:a16="http://schemas.microsoft.com/office/drawing/2014/main" id="{3F563D7E-343D-43B9-8FF5-FBF551F6A6EE}"/>
            </a:ext>
          </a:extLst>
        </xdr:cNvPr>
        <xdr:cNvSpPr/>
      </xdr:nvSpPr>
      <xdr:spPr>
        <a:xfrm rot="10800000">
          <a:off x="12626340" y="103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</xdr:row>
      <xdr:rowOff>0</xdr:rowOff>
    </xdr:from>
    <xdr:to>
      <xdr:col>45</xdr:col>
      <xdr:colOff>83820</xdr:colOff>
      <xdr:row>57</xdr:row>
      <xdr:rowOff>114300</xdr:rowOff>
    </xdr:to>
    <xdr:sp macro="" textlink="">
      <xdr:nvSpPr>
        <xdr:cNvPr id="333" name="Arrow: Down 332">
          <a:extLst>
            <a:ext uri="{FF2B5EF4-FFF2-40B4-BE49-F238E27FC236}">
              <a16:creationId xmlns:a16="http://schemas.microsoft.com/office/drawing/2014/main" id="{F6CBFDFB-4DFF-4167-9BFB-D58D913A087B}"/>
            </a:ext>
          </a:extLst>
        </xdr:cNvPr>
        <xdr:cNvSpPr/>
      </xdr:nvSpPr>
      <xdr:spPr>
        <a:xfrm rot="10800000">
          <a:off x="8923020" y="1034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</xdr:row>
      <xdr:rowOff>0</xdr:rowOff>
    </xdr:from>
    <xdr:to>
      <xdr:col>39</xdr:col>
      <xdr:colOff>83820</xdr:colOff>
      <xdr:row>57</xdr:row>
      <xdr:rowOff>114300</xdr:rowOff>
    </xdr:to>
    <xdr:sp macro="" textlink="">
      <xdr:nvSpPr>
        <xdr:cNvPr id="373" name="Arrow: Down 372">
          <a:extLst>
            <a:ext uri="{FF2B5EF4-FFF2-40B4-BE49-F238E27FC236}">
              <a16:creationId xmlns:a16="http://schemas.microsoft.com/office/drawing/2014/main" id="{B17F6F77-1EDE-46C5-9211-4E1C60A3D177}"/>
            </a:ext>
          </a:extLst>
        </xdr:cNvPr>
        <xdr:cNvSpPr/>
      </xdr:nvSpPr>
      <xdr:spPr>
        <a:xfrm rot="10800000">
          <a:off x="741426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</xdr:row>
      <xdr:rowOff>0</xdr:rowOff>
    </xdr:from>
    <xdr:to>
      <xdr:col>5</xdr:col>
      <xdr:colOff>83820</xdr:colOff>
      <xdr:row>57</xdr:row>
      <xdr:rowOff>114300</xdr:rowOff>
    </xdr:to>
    <xdr:sp macro="" textlink="">
      <xdr:nvSpPr>
        <xdr:cNvPr id="378" name="Arrow: Down 377">
          <a:extLst>
            <a:ext uri="{FF2B5EF4-FFF2-40B4-BE49-F238E27FC236}">
              <a16:creationId xmlns:a16="http://schemas.microsoft.com/office/drawing/2014/main" id="{BC606FE8-6336-4CCF-9992-1783602F186E}"/>
            </a:ext>
          </a:extLst>
        </xdr:cNvPr>
        <xdr:cNvSpPr/>
      </xdr:nvSpPr>
      <xdr:spPr>
        <a:xfrm rot="10800000">
          <a:off x="2034540" y="105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</xdr:row>
      <xdr:rowOff>0</xdr:rowOff>
    </xdr:from>
    <xdr:to>
      <xdr:col>11</xdr:col>
      <xdr:colOff>83820</xdr:colOff>
      <xdr:row>57</xdr:row>
      <xdr:rowOff>114300</xdr:rowOff>
    </xdr:to>
    <xdr:sp macro="" textlink="">
      <xdr:nvSpPr>
        <xdr:cNvPr id="379" name="Arrow: Down 378">
          <a:extLst>
            <a:ext uri="{FF2B5EF4-FFF2-40B4-BE49-F238E27FC236}">
              <a16:creationId xmlns:a16="http://schemas.microsoft.com/office/drawing/2014/main" id="{C092651E-0B9A-4CBD-ADFA-0532AC1EEA4C}"/>
            </a:ext>
          </a:extLst>
        </xdr:cNvPr>
        <xdr:cNvSpPr/>
      </xdr:nvSpPr>
      <xdr:spPr>
        <a:xfrm rot="10800000">
          <a:off x="3741420" y="105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</xdr:row>
      <xdr:rowOff>0</xdr:rowOff>
    </xdr:from>
    <xdr:to>
      <xdr:col>60</xdr:col>
      <xdr:colOff>83820</xdr:colOff>
      <xdr:row>57</xdr:row>
      <xdr:rowOff>114300</xdr:rowOff>
    </xdr:to>
    <xdr:sp macro="" textlink="">
      <xdr:nvSpPr>
        <xdr:cNvPr id="381" name="Arrow: Down 380">
          <a:extLst>
            <a:ext uri="{FF2B5EF4-FFF2-40B4-BE49-F238E27FC236}">
              <a16:creationId xmlns:a16="http://schemas.microsoft.com/office/drawing/2014/main" id="{983B24BB-8128-414A-854E-E968CC18AA6C}"/>
            </a:ext>
          </a:extLst>
        </xdr:cNvPr>
        <xdr:cNvSpPr/>
      </xdr:nvSpPr>
      <xdr:spPr>
        <a:xfrm>
          <a:off x="126263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</xdr:row>
      <xdr:rowOff>0</xdr:rowOff>
    </xdr:from>
    <xdr:to>
      <xdr:col>71</xdr:col>
      <xdr:colOff>83820</xdr:colOff>
      <xdr:row>57</xdr:row>
      <xdr:rowOff>114300</xdr:rowOff>
    </xdr:to>
    <xdr:sp macro="" textlink="">
      <xdr:nvSpPr>
        <xdr:cNvPr id="384" name="Arrow: Down 383">
          <a:extLst>
            <a:ext uri="{FF2B5EF4-FFF2-40B4-BE49-F238E27FC236}">
              <a16:creationId xmlns:a16="http://schemas.microsoft.com/office/drawing/2014/main" id="{5D5C4029-27D6-4B9E-B635-2C8330B0DC20}"/>
            </a:ext>
          </a:extLst>
        </xdr:cNvPr>
        <xdr:cNvSpPr/>
      </xdr:nvSpPr>
      <xdr:spPr>
        <a:xfrm>
          <a:off x="1424940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</xdr:row>
      <xdr:rowOff>0</xdr:rowOff>
    </xdr:from>
    <xdr:to>
      <xdr:col>24</xdr:col>
      <xdr:colOff>83820</xdr:colOff>
      <xdr:row>57</xdr:row>
      <xdr:rowOff>114300</xdr:rowOff>
    </xdr:to>
    <xdr:sp macro="" textlink="">
      <xdr:nvSpPr>
        <xdr:cNvPr id="385" name="Arrow: Down 384">
          <a:extLst>
            <a:ext uri="{FF2B5EF4-FFF2-40B4-BE49-F238E27FC236}">
              <a16:creationId xmlns:a16="http://schemas.microsoft.com/office/drawing/2014/main" id="{C7ED2F1B-FE8D-4B04-8574-EEEC85D1A059}"/>
            </a:ext>
          </a:extLst>
        </xdr:cNvPr>
        <xdr:cNvSpPr/>
      </xdr:nvSpPr>
      <xdr:spPr>
        <a:xfrm>
          <a:off x="48539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58</xdr:row>
      <xdr:rowOff>0</xdr:rowOff>
    </xdr:from>
    <xdr:to>
      <xdr:col>45</xdr:col>
      <xdr:colOff>83820</xdr:colOff>
      <xdr:row>58</xdr:row>
      <xdr:rowOff>114300</xdr:rowOff>
    </xdr:to>
    <xdr:sp macro="" textlink="">
      <xdr:nvSpPr>
        <xdr:cNvPr id="386" name="Arrow: Down 385">
          <a:extLst>
            <a:ext uri="{FF2B5EF4-FFF2-40B4-BE49-F238E27FC236}">
              <a16:creationId xmlns:a16="http://schemas.microsoft.com/office/drawing/2014/main" id="{7537B987-A28E-499B-BA8C-49C0C18BE9FF}"/>
            </a:ext>
          </a:extLst>
        </xdr:cNvPr>
        <xdr:cNvSpPr/>
      </xdr:nvSpPr>
      <xdr:spPr>
        <a:xfrm rot="10800000">
          <a:off x="892302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</xdr:row>
      <xdr:rowOff>0</xdr:rowOff>
    </xdr:from>
    <xdr:to>
      <xdr:col>39</xdr:col>
      <xdr:colOff>83820</xdr:colOff>
      <xdr:row>58</xdr:row>
      <xdr:rowOff>114300</xdr:rowOff>
    </xdr:to>
    <xdr:sp macro="" textlink="">
      <xdr:nvSpPr>
        <xdr:cNvPr id="387" name="Arrow: Down 386">
          <a:extLst>
            <a:ext uri="{FF2B5EF4-FFF2-40B4-BE49-F238E27FC236}">
              <a16:creationId xmlns:a16="http://schemas.microsoft.com/office/drawing/2014/main" id="{8A1A0829-76FF-48B5-82B7-9BCCAF523571}"/>
            </a:ext>
          </a:extLst>
        </xdr:cNvPr>
        <xdr:cNvSpPr/>
      </xdr:nvSpPr>
      <xdr:spPr>
        <a:xfrm rot="10800000">
          <a:off x="741426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</xdr:row>
      <xdr:rowOff>0</xdr:rowOff>
    </xdr:from>
    <xdr:to>
      <xdr:col>60</xdr:col>
      <xdr:colOff>83820</xdr:colOff>
      <xdr:row>58</xdr:row>
      <xdr:rowOff>114300</xdr:rowOff>
    </xdr:to>
    <xdr:sp macro="" textlink="">
      <xdr:nvSpPr>
        <xdr:cNvPr id="390" name="Arrow: Down 389">
          <a:extLst>
            <a:ext uri="{FF2B5EF4-FFF2-40B4-BE49-F238E27FC236}">
              <a16:creationId xmlns:a16="http://schemas.microsoft.com/office/drawing/2014/main" id="{1BE0B955-7DB0-4403-8FBE-13B259EEA239}"/>
            </a:ext>
          </a:extLst>
        </xdr:cNvPr>
        <xdr:cNvSpPr/>
      </xdr:nvSpPr>
      <xdr:spPr>
        <a:xfrm>
          <a:off x="126263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</xdr:row>
      <xdr:rowOff>0</xdr:rowOff>
    </xdr:from>
    <xdr:to>
      <xdr:col>71</xdr:col>
      <xdr:colOff>83820</xdr:colOff>
      <xdr:row>58</xdr:row>
      <xdr:rowOff>114300</xdr:rowOff>
    </xdr:to>
    <xdr:sp macro="" textlink="">
      <xdr:nvSpPr>
        <xdr:cNvPr id="391" name="Arrow: Down 390">
          <a:extLst>
            <a:ext uri="{FF2B5EF4-FFF2-40B4-BE49-F238E27FC236}">
              <a16:creationId xmlns:a16="http://schemas.microsoft.com/office/drawing/2014/main" id="{4846467D-C00F-4C81-BBD1-783D592FBE2A}"/>
            </a:ext>
          </a:extLst>
        </xdr:cNvPr>
        <xdr:cNvSpPr/>
      </xdr:nvSpPr>
      <xdr:spPr>
        <a:xfrm>
          <a:off x="1424940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</xdr:row>
      <xdr:rowOff>0</xdr:rowOff>
    </xdr:from>
    <xdr:to>
      <xdr:col>24</xdr:col>
      <xdr:colOff>83820</xdr:colOff>
      <xdr:row>58</xdr:row>
      <xdr:rowOff>114300</xdr:rowOff>
    </xdr:to>
    <xdr:sp macro="" textlink="">
      <xdr:nvSpPr>
        <xdr:cNvPr id="392" name="Arrow: Down 391">
          <a:extLst>
            <a:ext uri="{FF2B5EF4-FFF2-40B4-BE49-F238E27FC236}">
              <a16:creationId xmlns:a16="http://schemas.microsoft.com/office/drawing/2014/main" id="{1180566F-D6A9-480F-9657-9ACBF971AF31}"/>
            </a:ext>
          </a:extLst>
        </xdr:cNvPr>
        <xdr:cNvSpPr/>
      </xdr:nvSpPr>
      <xdr:spPr>
        <a:xfrm>
          <a:off x="48539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58</xdr:row>
      <xdr:rowOff>0</xdr:rowOff>
    </xdr:from>
    <xdr:to>
      <xdr:col>11</xdr:col>
      <xdr:colOff>160020</xdr:colOff>
      <xdr:row>58</xdr:row>
      <xdr:rowOff>167640</xdr:rowOff>
    </xdr:to>
    <xdr:sp macro="" textlink="">
      <xdr:nvSpPr>
        <xdr:cNvPr id="394" name="Minus Sign 393">
          <a:extLst>
            <a:ext uri="{FF2B5EF4-FFF2-40B4-BE49-F238E27FC236}">
              <a16:creationId xmlns:a16="http://schemas.microsoft.com/office/drawing/2014/main" id="{5EF20D31-AEDB-48B6-9F97-D8DA3C22ECCE}"/>
            </a:ext>
          </a:extLst>
        </xdr:cNvPr>
        <xdr:cNvSpPr/>
      </xdr:nvSpPr>
      <xdr:spPr>
        <a:xfrm>
          <a:off x="3619500" y="107061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58</xdr:row>
      <xdr:rowOff>0</xdr:rowOff>
    </xdr:from>
    <xdr:to>
      <xdr:col>5</xdr:col>
      <xdr:colOff>83820</xdr:colOff>
      <xdr:row>58</xdr:row>
      <xdr:rowOff>114300</xdr:rowOff>
    </xdr:to>
    <xdr:sp macro="" textlink="">
      <xdr:nvSpPr>
        <xdr:cNvPr id="396" name="Arrow: Down 395">
          <a:extLst>
            <a:ext uri="{FF2B5EF4-FFF2-40B4-BE49-F238E27FC236}">
              <a16:creationId xmlns:a16="http://schemas.microsoft.com/office/drawing/2014/main" id="{8D43967E-E6DC-417F-B698-FA8906C8BC55}"/>
            </a:ext>
          </a:extLst>
        </xdr:cNvPr>
        <xdr:cNvSpPr/>
      </xdr:nvSpPr>
      <xdr:spPr>
        <a:xfrm>
          <a:off x="192786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59</xdr:row>
      <xdr:rowOff>0</xdr:rowOff>
    </xdr:from>
    <xdr:to>
      <xdr:col>45</xdr:col>
      <xdr:colOff>83820</xdr:colOff>
      <xdr:row>59</xdr:row>
      <xdr:rowOff>114300</xdr:rowOff>
    </xdr:to>
    <xdr:sp macro="" textlink="">
      <xdr:nvSpPr>
        <xdr:cNvPr id="388" name="Arrow: Down 387">
          <a:extLst>
            <a:ext uri="{FF2B5EF4-FFF2-40B4-BE49-F238E27FC236}">
              <a16:creationId xmlns:a16="http://schemas.microsoft.com/office/drawing/2014/main" id="{48BCCC3C-EF24-49CF-94DC-56BCF575245C}"/>
            </a:ext>
          </a:extLst>
        </xdr:cNvPr>
        <xdr:cNvSpPr/>
      </xdr:nvSpPr>
      <xdr:spPr>
        <a:xfrm rot="10800000">
          <a:off x="992886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</xdr:row>
      <xdr:rowOff>0</xdr:rowOff>
    </xdr:from>
    <xdr:to>
      <xdr:col>39</xdr:col>
      <xdr:colOff>83820</xdr:colOff>
      <xdr:row>59</xdr:row>
      <xdr:rowOff>114300</xdr:rowOff>
    </xdr:to>
    <xdr:sp macro="" textlink="">
      <xdr:nvSpPr>
        <xdr:cNvPr id="389" name="Arrow: Down 388">
          <a:extLst>
            <a:ext uri="{FF2B5EF4-FFF2-40B4-BE49-F238E27FC236}">
              <a16:creationId xmlns:a16="http://schemas.microsoft.com/office/drawing/2014/main" id="{BBF0E7A5-5D94-4A4A-B23A-4A867A3E89B1}"/>
            </a:ext>
          </a:extLst>
        </xdr:cNvPr>
        <xdr:cNvSpPr/>
      </xdr:nvSpPr>
      <xdr:spPr>
        <a:xfrm rot="10800000">
          <a:off x="842010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</xdr:row>
      <xdr:rowOff>0</xdr:rowOff>
    </xdr:from>
    <xdr:to>
      <xdr:col>71</xdr:col>
      <xdr:colOff>83820</xdr:colOff>
      <xdr:row>59</xdr:row>
      <xdr:rowOff>114300</xdr:rowOff>
    </xdr:to>
    <xdr:sp macro="" textlink="">
      <xdr:nvSpPr>
        <xdr:cNvPr id="395" name="Arrow: Down 394">
          <a:extLst>
            <a:ext uri="{FF2B5EF4-FFF2-40B4-BE49-F238E27FC236}">
              <a16:creationId xmlns:a16="http://schemas.microsoft.com/office/drawing/2014/main" id="{9FFA7615-8A9D-4012-A1B7-8DDB675792AF}"/>
            </a:ext>
          </a:extLst>
        </xdr:cNvPr>
        <xdr:cNvSpPr/>
      </xdr:nvSpPr>
      <xdr:spPr>
        <a:xfrm>
          <a:off x="1670304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</xdr:row>
      <xdr:rowOff>0</xdr:rowOff>
    </xdr:from>
    <xdr:to>
      <xdr:col>24</xdr:col>
      <xdr:colOff>83820</xdr:colOff>
      <xdr:row>59</xdr:row>
      <xdr:rowOff>114300</xdr:rowOff>
    </xdr:to>
    <xdr:sp macro="" textlink="">
      <xdr:nvSpPr>
        <xdr:cNvPr id="398" name="Arrow: Down 397">
          <a:extLst>
            <a:ext uri="{FF2B5EF4-FFF2-40B4-BE49-F238E27FC236}">
              <a16:creationId xmlns:a16="http://schemas.microsoft.com/office/drawing/2014/main" id="{22596198-0291-4436-9C0E-293E37CC45C4}"/>
            </a:ext>
          </a:extLst>
        </xdr:cNvPr>
        <xdr:cNvSpPr/>
      </xdr:nvSpPr>
      <xdr:spPr>
        <a:xfrm>
          <a:off x="544068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59</xdr:row>
      <xdr:rowOff>0</xdr:rowOff>
    </xdr:from>
    <xdr:to>
      <xdr:col>5</xdr:col>
      <xdr:colOff>83820</xdr:colOff>
      <xdr:row>59</xdr:row>
      <xdr:rowOff>114300</xdr:rowOff>
    </xdr:to>
    <xdr:sp macro="" textlink="">
      <xdr:nvSpPr>
        <xdr:cNvPr id="400" name="Arrow: Down 399">
          <a:extLst>
            <a:ext uri="{FF2B5EF4-FFF2-40B4-BE49-F238E27FC236}">
              <a16:creationId xmlns:a16="http://schemas.microsoft.com/office/drawing/2014/main" id="{A08F09C9-40F6-498B-A54A-2B9AAFAE87B6}"/>
            </a:ext>
          </a:extLst>
        </xdr:cNvPr>
        <xdr:cNvSpPr/>
      </xdr:nvSpPr>
      <xdr:spPr>
        <a:xfrm>
          <a:off x="192786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59</xdr:row>
      <xdr:rowOff>0</xdr:rowOff>
    </xdr:from>
    <xdr:to>
      <xdr:col>11</xdr:col>
      <xdr:colOff>83820</xdr:colOff>
      <xdr:row>59</xdr:row>
      <xdr:rowOff>114300</xdr:rowOff>
    </xdr:to>
    <xdr:sp macro="" textlink="">
      <xdr:nvSpPr>
        <xdr:cNvPr id="402" name="Arrow: Down 401">
          <a:extLst>
            <a:ext uri="{FF2B5EF4-FFF2-40B4-BE49-F238E27FC236}">
              <a16:creationId xmlns:a16="http://schemas.microsoft.com/office/drawing/2014/main" id="{D22BA61A-C4D3-4122-B3FE-A833C2BA5AC4}"/>
            </a:ext>
          </a:extLst>
        </xdr:cNvPr>
        <xdr:cNvSpPr/>
      </xdr:nvSpPr>
      <xdr:spPr>
        <a:xfrm>
          <a:off x="361950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59</xdr:row>
      <xdr:rowOff>0</xdr:rowOff>
    </xdr:from>
    <xdr:to>
      <xdr:col>60</xdr:col>
      <xdr:colOff>83820</xdr:colOff>
      <xdr:row>59</xdr:row>
      <xdr:rowOff>114300</xdr:rowOff>
    </xdr:to>
    <xdr:sp macro="" textlink="">
      <xdr:nvSpPr>
        <xdr:cNvPr id="404" name="Arrow: Down 403">
          <a:extLst>
            <a:ext uri="{FF2B5EF4-FFF2-40B4-BE49-F238E27FC236}">
              <a16:creationId xmlns:a16="http://schemas.microsoft.com/office/drawing/2014/main" id="{C794D813-9617-4981-AD6E-18DCADB707A5}"/>
            </a:ext>
          </a:extLst>
        </xdr:cNvPr>
        <xdr:cNvSpPr/>
      </xdr:nvSpPr>
      <xdr:spPr>
        <a:xfrm rot="10800000">
          <a:off x="14394180" y="108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</xdr:row>
      <xdr:rowOff>0</xdr:rowOff>
    </xdr:from>
    <xdr:to>
      <xdr:col>45</xdr:col>
      <xdr:colOff>83820</xdr:colOff>
      <xdr:row>60</xdr:row>
      <xdr:rowOff>114300</xdr:rowOff>
    </xdr:to>
    <xdr:sp macro="" textlink="">
      <xdr:nvSpPr>
        <xdr:cNvPr id="359" name="Arrow: Down 358">
          <a:extLst>
            <a:ext uri="{FF2B5EF4-FFF2-40B4-BE49-F238E27FC236}">
              <a16:creationId xmlns:a16="http://schemas.microsoft.com/office/drawing/2014/main" id="{AC9B5B4E-DE4C-4B7F-9C66-1FE287E64CE6}"/>
            </a:ext>
          </a:extLst>
        </xdr:cNvPr>
        <xdr:cNvSpPr/>
      </xdr:nvSpPr>
      <xdr:spPr>
        <a:xfrm rot="10800000">
          <a:off x="992886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</xdr:row>
      <xdr:rowOff>0</xdr:rowOff>
    </xdr:from>
    <xdr:to>
      <xdr:col>39</xdr:col>
      <xdr:colOff>83820</xdr:colOff>
      <xdr:row>60</xdr:row>
      <xdr:rowOff>114300</xdr:rowOff>
    </xdr:to>
    <xdr:sp macro="" textlink="">
      <xdr:nvSpPr>
        <xdr:cNvPr id="366" name="Arrow: Down 365">
          <a:extLst>
            <a:ext uri="{FF2B5EF4-FFF2-40B4-BE49-F238E27FC236}">
              <a16:creationId xmlns:a16="http://schemas.microsoft.com/office/drawing/2014/main" id="{90AE8182-C6EC-4902-9567-A6BC80A136B6}"/>
            </a:ext>
          </a:extLst>
        </xdr:cNvPr>
        <xdr:cNvSpPr/>
      </xdr:nvSpPr>
      <xdr:spPr>
        <a:xfrm rot="10800000">
          <a:off x="842010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</xdr:row>
      <xdr:rowOff>0</xdr:rowOff>
    </xdr:from>
    <xdr:to>
      <xdr:col>71</xdr:col>
      <xdr:colOff>83820</xdr:colOff>
      <xdr:row>60</xdr:row>
      <xdr:rowOff>114300</xdr:rowOff>
    </xdr:to>
    <xdr:sp macro="" textlink="">
      <xdr:nvSpPr>
        <xdr:cNvPr id="368" name="Arrow: Down 367">
          <a:extLst>
            <a:ext uri="{FF2B5EF4-FFF2-40B4-BE49-F238E27FC236}">
              <a16:creationId xmlns:a16="http://schemas.microsoft.com/office/drawing/2014/main" id="{D8018A0A-E5A1-4437-A26D-3FB07B70CC9F}"/>
            </a:ext>
          </a:extLst>
        </xdr:cNvPr>
        <xdr:cNvSpPr/>
      </xdr:nvSpPr>
      <xdr:spPr>
        <a:xfrm>
          <a:off x="1670304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</xdr:row>
      <xdr:rowOff>0</xdr:rowOff>
    </xdr:from>
    <xdr:to>
      <xdr:col>24</xdr:col>
      <xdr:colOff>83820</xdr:colOff>
      <xdr:row>60</xdr:row>
      <xdr:rowOff>114300</xdr:rowOff>
    </xdr:to>
    <xdr:sp macro="" textlink="">
      <xdr:nvSpPr>
        <xdr:cNvPr id="369" name="Arrow: Down 368">
          <a:extLst>
            <a:ext uri="{FF2B5EF4-FFF2-40B4-BE49-F238E27FC236}">
              <a16:creationId xmlns:a16="http://schemas.microsoft.com/office/drawing/2014/main" id="{5E68B7AE-B033-4103-8AE4-8E135C4CCD13}"/>
            </a:ext>
          </a:extLst>
        </xdr:cNvPr>
        <xdr:cNvSpPr/>
      </xdr:nvSpPr>
      <xdr:spPr>
        <a:xfrm>
          <a:off x="544068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60</xdr:row>
      <xdr:rowOff>0</xdr:rowOff>
    </xdr:from>
    <xdr:to>
      <xdr:col>5</xdr:col>
      <xdr:colOff>83820</xdr:colOff>
      <xdr:row>60</xdr:row>
      <xdr:rowOff>114300</xdr:rowOff>
    </xdr:to>
    <xdr:sp macro="" textlink="">
      <xdr:nvSpPr>
        <xdr:cNvPr id="370" name="Arrow: Down 369">
          <a:extLst>
            <a:ext uri="{FF2B5EF4-FFF2-40B4-BE49-F238E27FC236}">
              <a16:creationId xmlns:a16="http://schemas.microsoft.com/office/drawing/2014/main" id="{CF8546DA-2AD4-4C21-894C-457372489B77}"/>
            </a:ext>
          </a:extLst>
        </xdr:cNvPr>
        <xdr:cNvSpPr/>
      </xdr:nvSpPr>
      <xdr:spPr>
        <a:xfrm>
          <a:off x="192786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60</xdr:row>
      <xdr:rowOff>0</xdr:rowOff>
    </xdr:from>
    <xdr:to>
      <xdr:col>11</xdr:col>
      <xdr:colOff>83820</xdr:colOff>
      <xdr:row>60</xdr:row>
      <xdr:rowOff>114300</xdr:rowOff>
    </xdr:to>
    <xdr:sp macro="" textlink="">
      <xdr:nvSpPr>
        <xdr:cNvPr id="371" name="Arrow: Down 370">
          <a:extLst>
            <a:ext uri="{FF2B5EF4-FFF2-40B4-BE49-F238E27FC236}">
              <a16:creationId xmlns:a16="http://schemas.microsoft.com/office/drawing/2014/main" id="{16842F35-C300-44A7-9C6B-C2BD4E92309D}"/>
            </a:ext>
          </a:extLst>
        </xdr:cNvPr>
        <xdr:cNvSpPr/>
      </xdr:nvSpPr>
      <xdr:spPr>
        <a:xfrm>
          <a:off x="361950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60</xdr:row>
      <xdr:rowOff>0</xdr:rowOff>
    </xdr:from>
    <xdr:to>
      <xdr:col>60</xdr:col>
      <xdr:colOff>83820</xdr:colOff>
      <xdr:row>60</xdr:row>
      <xdr:rowOff>114300</xdr:rowOff>
    </xdr:to>
    <xdr:sp macro="" textlink="">
      <xdr:nvSpPr>
        <xdr:cNvPr id="401" name="Arrow: Down 400">
          <a:extLst>
            <a:ext uri="{FF2B5EF4-FFF2-40B4-BE49-F238E27FC236}">
              <a16:creationId xmlns:a16="http://schemas.microsoft.com/office/drawing/2014/main" id="{2414584A-E560-4E44-9794-0B68850B7AFB}"/>
            </a:ext>
          </a:extLst>
        </xdr:cNvPr>
        <xdr:cNvSpPr/>
      </xdr:nvSpPr>
      <xdr:spPr>
        <a:xfrm>
          <a:off x="1439418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</xdr:row>
      <xdr:rowOff>0</xdr:rowOff>
    </xdr:from>
    <xdr:to>
      <xdr:col>45</xdr:col>
      <xdr:colOff>83820</xdr:colOff>
      <xdr:row>61</xdr:row>
      <xdr:rowOff>114300</xdr:rowOff>
    </xdr:to>
    <xdr:sp macro="" textlink="">
      <xdr:nvSpPr>
        <xdr:cNvPr id="409" name="Arrow: Down 408">
          <a:extLst>
            <a:ext uri="{FF2B5EF4-FFF2-40B4-BE49-F238E27FC236}">
              <a16:creationId xmlns:a16="http://schemas.microsoft.com/office/drawing/2014/main" id="{27C76277-7A2F-406F-877A-AB8CF6B6F479}"/>
            </a:ext>
          </a:extLst>
        </xdr:cNvPr>
        <xdr:cNvSpPr/>
      </xdr:nvSpPr>
      <xdr:spPr>
        <a:xfrm rot="10800000">
          <a:off x="992886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</xdr:row>
      <xdr:rowOff>0</xdr:rowOff>
    </xdr:from>
    <xdr:to>
      <xdr:col>5</xdr:col>
      <xdr:colOff>83820</xdr:colOff>
      <xdr:row>61</xdr:row>
      <xdr:rowOff>114300</xdr:rowOff>
    </xdr:to>
    <xdr:sp macro="" textlink="">
      <xdr:nvSpPr>
        <xdr:cNvPr id="413" name="Arrow: Down 412">
          <a:extLst>
            <a:ext uri="{FF2B5EF4-FFF2-40B4-BE49-F238E27FC236}">
              <a16:creationId xmlns:a16="http://schemas.microsoft.com/office/drawing/2014/main" id="{25377DDE-A5A3-400B-9849-275399C9A029}"/>
            </a:ext>
          </a:extLst>
        </xdr:cNvPr>
        <xdr:cNvSpPr/>
      </xdr:nvSpPr>
      <xdr:spPr>
        <a:xfrm>
          <a:off x="192786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61</xdr:row>
      <xdr:rowOff>0</xdr:rowOff>
    </xdr:from>
    <xdr:to>
      <xdr:col>11</xdr:col>
      <xdr:colOff>83820</xdr:colOff>
      <xdr:row>61</xdr:row>
      <xdr:rowOff>114300</xdr:rowOff>
    </xdr:to>
    <xdr:sp macro="" textlink="">
      <xdr:nvSpPr>
        <xdr:cNvPr id="414" name="Arrow: Down 413">
          <a:extLst>
            <a:ext uri="{FF2B5EF4-FFF2-40B4-BE49-F238E27FC236}">
              <a16:creationId xmlns:a16="http://schemas.microsoft.com/office/drawing/2014/main" id="{FB214F67-2F63-477B-8081-86639B996CDC}"/>
            </a:ext>
          </a:extLst>
        </xdr:cNvPr>
        <xdr:cNvSpPr/>
      </xdr:nvSpPr>
      <xdr:spPr>
        <a:xfrm>
          <a:off x="361950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61</xdr:row>
      <xdr:rowOff>0</xdr:rowOff>
    </xdr:from>
    <xdr:to>
      <xdr:col>24</xdr:col>
      <xdr:colOff>83820</xdr:colOff>
      <xdr:row>61</xdr:row>
      <xdr:rowOff>114300</xdr:rowOff>
    </xdr:to>
    <xdr:sp macro="" textlink="">
      <xdr:nvSpPr>
        <xdr:cNvPr id="417" name="Arrow: Down 416">
          <a:extLst>
            <a:ext uri="{FF2B5EF4-FFF2-40B4-BE49-F238E27FC236}">
              <a16:creationId xmlns:a16="http://schemas.microsoft.com/office/drawing/2014/main" id="{66E3221D-E8C3-4301-B78A-B312F3FC4272}"/>
            </a:ext>
          </a:extLst>
        </xdr:cNvPr>
        <xdr:cNvSpPr/>
      </xdr:nvSpPr>
      <xdr:spPr>
        <a:xfrm rot="10800000">
          <a:off x="544068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</xdr:row>
      <xdr:rowOff>0</xdr:rowOff>
    </xdr:from>
    <xdr:to>
      <xdr:col>39</xdr:col>
      <xdr:colOff>83820</xdr:colOff>
      <xdr:row>61</xdr:row>
      <xdr:rowOff>114300</xdr:rowOff>
    </xdr:to>
    <xdr:sp macro="" textlink="">
      <xdr:nvSpPr>
        <xdr:cNvPr id="418" name="Arrow: Down 417">
          <a:extLst>
            <a:ext uri="{FF2B5EF4-FFF2-40B4-BE49-F238E27FC236}">
              <a16:creationId xmlns:a16="http://schemas.microsoft.com/office/drawing/2014/main" id="{B0E6774C-D0D2-4AEC-BBFF-D1B3B34FCB8C}"/>
            </a:ext>
          </a:extLst>
        </xdr:cNvPr>
        <xdr:cNvSpPr/>
      </xdr:nvSpPr>
      <xdr:spPr>
        <a:xfrm>
          <a:off x="842010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</xdr:row>
      <xdr:rowOff>0</xdr:rowOff>
    </xdr:from>
    <xdr:to>
      <xdr:col>60</xdr:col>
      <xdr:colOff>83820</xdr:colOff>
      <xdr:row>61</xdr:row>
      <xdr:rowOff>114300</xdr:rowOff>
    </xdr:to>
    <xdr:sp macro="" textlink="">
      <xdr:nvSpPr>
        <xdr:cNvPr id="420" name="Arrow: Down 419">
          <a:extLst>
            <a:ext uri="{FF2B5EF4-FFF2-40B4-BE49-F238E27FC236}">
              <a16:creationId xmlns:a16="http://schemas.microsoft.com/office/drawing/2014/main" id="{F988266C-7467-42A0-B937-2576DA5D7DB3}"/>
            </a:ext>
          </a:extLst>
        </xdr:cNvPr>
        <xdr:cNvSpPr/>
      </xdr:nvSpPr>
      <xdr:spPr>
        <a:xfrm rot="10800000">
          <a:off x="1439418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</xdr:row>
      <xdr:rowOff>0</xdr:rowOff>
    </xdr:from>
    <xdr:to>
      <xdr:col>71</xdr:col>
      <xdr:colOff>160020</xdr:colOff>
      <xdr:row>61</xdr:row>
      <xdr:rowOff>167640</xdr:rowOff>
    </xdr:to>
    <xdr:sp macro="" textlink="">
      <xdr:nvSpPr>
        <xdr:cNvPr id="421" name="Minus Sign 420">
          <a:extLst>
            <a:ext uri="{FF2B5EF4-FFF2-40B4-BE49-F238E27FC236}">
              <a16:creationId xmlns:a16="http://schemas.microsoft.com/office/drawing/2014/main" id="{CC640DCC-5B33-4F48-A752-765FEDF25D20}"/>
            </a:ext>
          </a:extLst>
        </xdr:cNvPr>
        <xdr:cNvSpPr/>
      </xdr:nvSpPr>
      <xdr:spPr>
        <a:xfrm>
          <a:off x="16703040" y="112547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62</xdr:row>
      <xdr:rowOff>0</xdr:rowOff>
    </xdr:from>
    <xdr:to>
      <xdr:col>45</xdr:col>
      <xdr:colOff>83820</xdr:colOff>
      <xdr:row>62</xdr:row>
      <xdr:rowOff>114300</xdr:rowOff>
    </xdr:to>
    <xdr:sp macro="" textlink="">
      <xdr:nvSpPr>
        <xdr:cNvPr id="429" name="Arrow: Down 428">
          <a:extLst>
            <a:ext uri="{FF2B5EF4-FFF2-40B4-BE49-F238E27FC236}">
              <a16:creationId xmlns:a16="http://schemas.microsoft.com/office/drawing/2014/main" id="{4D91D87F-BB45-48E1-8F25-4C1262075F3F}"/>
            </a:ext>
          </a:extLst>
        </xdr:cNvPr>
        <xdr:cNvSpPr/>
      </xdr:nvSpPr>
      <xdr:spPr>
        <a:xfrm rot="10800000">
          <a:off x="9928860" y="1125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</xdr:row>
      <xdr:rowOff>0</xdr:rowOff>
    </xdr:from>
    <xdr:to>
      <xdr:col>24</xdr:col>
      <xdr:colOff>83820</xdr:colOff>
      <xdr:row>62</xdr:row>
      <xdr:rowOff>114300</xdr:rowOff>
    </xdr:to>
    <xdr:sp macro="" textlink="">
      <xdr:nvSpPr>
        <xdr:cNvPr id="432" name="Arrow: Down 431">
          <a:extLst>
            <a:ext uri="{FF2B5EF4-FFF2-40B4-BE49-F238E27FC236}">
              <a16:creationId xmlns:a16="http://schemas.microsoft.com/office/drawing/2014/main" id="{BC2F5906-2C3B-45D7-8FEB-BBE7AD67172A}"/>
            </a:ext>
          </a:extLst>
        </xdr:cNvPr>
        <xdr:cNvSpPr/>
      </xdr:nvSpPr>
      <xdr:spPr>
        <a:xfrm rot="10800000">
          <a:off x="544068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</xdr:row>
      <xdr:rowOff>0</xdr:rowOff>
    </xdr:from>
    <xdr:to>
      <xdr:col>5</xdr:col>
      <xdr:colOff>83820</xdr:colOff>
      <xdr:row>62</xdr:row>
      <xdr:rowOff>114300</xdr:rowOff>
    </xdr:to>
    <xdr:sp macro="" textlink="">
      <xdr:nvSpPr>
        <xdr:cNvPr id="436" name="Arrow: Down 435">
          <a:extLst>
            <a:ext uri="{FF2B5EF4-FFF2-40B4-BE49-F238E27FC236}">
              <a16:creationId xmlns:a16="http://schemas.microsoft.com/office/drawing/2014/main" id="{3116B247-0D17-4935-B672-02A003C80ED5}"/>
            </a:ext>
          </a:extLst>
        </xdr:cNvPr>
        <xdr:cNvSpPr/>
      </xdr:nvSpPr>
      <xdr:spPr>
        <a:xfrm rot="10800000">
          <a:off x="1927860" y="114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</xdr:row>
      <xdr:rowOff>0</xdr:rowOff>
    </xdr:from>
    <xdr:to>
      <xdr:col>39</xdr:col>
      <xdr:colOff>83820</xdr:colOff>
      <xdr:row>62</xdr:row>
      <xdr:rowOff>114300</xdr:rowOff>
    </xdr:to>
    <xdr:sp macro="" textlink="">
      <xdr:nvSpPr>
        <xdr:cNvPr id="438" name="Arrow: Down 437">
          <a:extLst>
            <a:ext uri="{FF2B5EF4-FFF2-40B4-BE49-F238E27FC236}">
              <a16:creationId xmlns:a16="http://schemas.microsoft.com/office/drawing/2014/main" id="{D0752E8A-00C6-46E7-86A3-F618F7ECA980}"/>
            </a:ext>
          </a:extLst>
        </xdr:cNvPr>
        <xdr:cNvSpPr/>
      </xdr:nvSpPr>
      <xdr:spPr>
        <a:xfrm rot="10800000">
          <a:off x="842010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</xdr:row>
      <xdr:rowOff>0</xdr:rowOff>
    </xdr:from>
    <xdr:to>
      <xdr:col>60</xdr:col>
      <xdr:colOff>83820</xdr:colOff>
      <xdr:row>62</xdr:row>
      <xdr:rowOff>114300</xdr:rowOff>
    </xdr:to>
    <xdr:sp macro="" textlink="">
      <xdr:nvSpPr>
        <xdr:cNvPr id="439" name="Arrow: Down 438">
          <a:extLst>
            <a:ext uri="{FF2B5EF4-FFF2-40B4-BE49-F238E27FC236}">
              <a16:creationId xmlns:a16="http://schemas.microsoft.com/office/drawing/2014/main" id="{E165C68F-2A63-4050-B7A2-05AF197643C1}"/>
            </a:ext>
          </a:extLst>
        </xdr:cNvPr>
        <xdr:cNvSpPr/>
      </xdr:nvSpPr>
      <xdr:spPr>
        <a:xfrm>
          <a:off x="1439418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</xdr:row>
      <xdr:rowOff>0</xdr:rowOff>
    </xdr:from>
    <xdr:to>
      <xdr:col>71</xdr:col>
      <xdr:colOff>83820</xdr:colOff>
      <xdr:row>62</xdr:row>
      <xdr:rowOff>114300</xdr:rowOff>
    </xdr:to>
    <xdr:sp macro="" textlink="">
      <xdr:nvSpPr>
        <xdr:cNvPr id="441" name="Arrow: Down 440">
          <a:extLst>
            <a:ext uri="{FF2B5EF4-FFF2-40B4-BE49-F238E27FC236}">
              <a16:creationId xmlns:a16="http://schemas.microsoft.com/office/drawing/2014/main" id="{6D9F9256-074B-4A2A-90E5-68FC60E3260C}"/>
            </a:ext>
          </a:extLst>
        </xdr:cNvPr>
        <xdr:cNvSpPr/>
      </xdr:nvSpPr>
      <xdr:spPr>
        <a:xfrm>
          <a:off x="1670304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</xdr:row>
      <xdr:rowOff>0</xdr:rowOff>
    </xdr:from>
    <xdr:to>
      <xdr:col>11</xdr:col>
      <xdr:colOff>83820</xdr:colOff>
      <xdr:row>62</xdr:row>
      <xdr:rowOff>114300</xdr:rowOff>
    </xdr:to>
    <xdr:sp macro="" textlink="">
      <xdr:nvSpPr>
        <xdr:cNvPr id="442" name="Arrow: Down 441">
          <a:extLst>
            <a:ext uri="{FF2B5EF4-FFF2-40B4-BE49-F238E27FC236}">
              <a16:creationId xmlns:a16="http://schemas.microsoft.com/office/drawing/2014/main" id="{7AE79E1D-4508-47FF-B9DF-50C0894BEBE8}"/>
            </a:ext>
          </a:extLst>
        </xdr:cNvPr>
        <xdr:cNvSpPr/>
      </xdr:nvSpPr>
      <xdr:spPr>
        <a:xfrm rot="10800000">
          <a:off x="3619500" y="114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</xdr:row>
      <xdr:rowOff>0</xdr:rowOff>
    </xdr:from>
    <xdr:to>
      <xdr:col>45</xdr:col>
      <xdr:colOff>83820</xdr:colOff>
      <xdr:row>63</xdr:row>
      <xdr:rowOff>114300</xdr:rowOff>
    </xdr:to>
    <xdr:sp macro="" textlink="">
      <xdr:nvSpPr>
        <xdr:cNvPr id="410" name="Arrow: Down 409">
          <a:extLst>
            <a:ext uri="{FF2B5EF4-FFF2-40B4-BE49-F238E27FC236}">
              <a16:creationId xmlns:a16="http://schemas.microsoft.com/office/drawing/2014/main" id="{C3B04E1A-B4BA-4F90-AC80-0F8A1A08F268}"/>
            </a:ext>
          </a:extLst>
        </xdr:cNvPr>
        <xdr:cNvSpPr/>
      </xdr:nvSpPr>
      <xdr:spPr>
        <a:xfrm rot="10800000">
          <a:off x="992886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</xdr:row>
      <xdr:rowOff>0</xdr:rowOff>
    </xdr:from>
    <xdr:to>
      <xdr:col>24</xdr:col>
      <xdr:colOff>83820</xdr:colOff>
      <xdr:row>63</xdr:row>
      <xdr:rowOff>114300</xdr:rowOff>
    </xdr:to>
    <xdr:sp macro="" textlink="">
      <xdr:nvSpPr>
        <xdr:cNvPr id="411" name="Arrow: Down 410">
          <a:extLst>
            <a:ext uri="{FF2B5EF4-FFF2-40B4-BE49-F238E27FC236}">
              <a16:creationId xmlns:a16="http://schemas.microsoft.com/office/drawing/2014/main" id="{86728861-3880-48AB-9F3F-9DFAFEF92A70}"/>
            </a:ext>
          </a:extLst>
        </xdr:cNvPr>
        <xdr:cNvSpPr/>
      </xdr:nvSpPr>
      <xdr:spPr>
        <a:xfrm rot="10800000">
          <a:off x="5440680" y="114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</xdr:row>
      <xdr:rowOff>0</xdr:rowOff>
    </xdr:from>
    <xdr:to>
      <xdr:col>39</xdr:col>
      <xdr:colOff>83820</xdr:colOff>
      <xdr:row>63</xdr:row>
      <xdr:rowOff>114300</xdr:rowOff>
    </xdr:to>
    <xdr:sp macro="" textlink="">
      <xdr:nvSpPr>
        <xdr:cNvPr id="415" name="Arrow: Down 414">
          <a:extLst>
            <a:ext uri="{FF2B5EF4-FFF2-40B4-BE49-F238E27FC236}">
              <a16:creationId xmlns:a16="http://schemas.microsoft.com/office/drawing/2014/main" id="{FB263A0F-AB98-491C-9A29-0072A44328BB}"/>
            </a:ext>
          </a:extLst>
        </xdr:cNvPr>
        <xdr:cNvSpPr/>
      </xdr:nvSpPr>
      <xdr:spPr>
        <a:xfrm rot="10800000">
          <a:off x="842010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</xdr:row>
      <xdr:rowOff>0</xdr:rowOff>
    </xdr:from>
    <xdr:to>
      <xdr:col>60</xdr:col>
      <xdr:colOff>83820</xdr:colOff>
      <xdr:row>63</xdr:row>
      <xdr:rowOff>114300</xdr:rowOff>
    </xdr:to>
    <xdr:sp macro="" textlink="">
      <xdr:nvSpPr>
        <xdr:cNvPr id="416" name="Arrow: Down 415">
          <a:extLst>
            <a:ext uri="{FF2B5EF4-FFF2-40B4-BE49-F238E27FC236}">
              <a16:creationId xmlns:a16="http://schemas.microsoft.com/office/drawing/2014/main" id="{D345B100-1A84-4259-B544-C7EF89E2AED2}"/>
            </a:ext>
          </a:extLst>
        </xdr:cNvPr>
        <xdr:cNvSpPr/>
      </xdr:nvSpPr>
      <xdr:spPr>
        <a:xfrm>
          <a:off x="1439418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</xdr:row>
      <xdr:rowOff>0</xdr:rowOff>
    </xdr:from>
    <xdr:to>
      <xdr:col>71</xdr:col>
      <xdr:colOff>83820</xdr:colOff>
      <xdr:row>63</xdr:row>
      <xdr:rowOff>114300</xdr:rowOff>
    </xdr:to>
    <xdr:sp macro="" textlink="">
      <xdr:nvSpPr>
        <xdr:cNvPr id="419" name="Arrow: Down 418">
          <a:extLst>
            <a:ext uri="{FF2B5EF4-FFF2-40B4-BE49-F238E27FC236}">
              <a16:creationId xmlns:a16="http://schemas.microsoft.com/office/drawing/2014/main" id="{9C2BBEA6-A697-4C58-98E2-DEA9AB01806B}"/>
            </a:ext>
          </a:extLst>
        </xdr:cNvPr>
        <xdr:cNvSpPr/>
      </xdr:nvSpPr>
      <xdr:spPr>
        <a:xfrm>
          <a:off x="1670304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</xdr:row>
      <xdr:rowOff>0</xdr:rowOff>
    </xdr:from>
    <xdr:to>
      <xdr:col>11</xdr:col>
      <xdr:colOff>83820</xdr:colOff>
      <xdr:row>63</xdr:row>
      <xdr:rowOff>114300</xdr:rowOff>
    </xdr:to>
    <xdr:sp macro="" textlink="">
      <xdr:nvSpPr>
        <xdr:cNvPr id="424" name="Arrow: Down 423">
          <a:extLst>
            <a:ext uri="{FF2B5EF4-FFF2-40B4-BE49-F238E27FC236}">
              <a16:creationId xmlns:a16="http://schemas.microsoft.com/office/drawing/2014/main" id="{579FDC89-D0F0-487B-911B-83C316D7063F}"/>
            </a:ext>
          </a:extLst>
        </xdr:cNvPr>
        <xdr:cNvSpPr/>
      </xdr:nvSpPr>
      <xdr:spPr>
        <a:xfrm>
          <a:off x="361950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63</xdr:row>
      <xdr:rowOff>0</xdr:rowOff>
    </xdr:from>
    <xdr:to>
      <xdr:col>5</xdr:col>
      <xdr:colOff>83820</xdr:colOff>
      <xdr:row>63</xdr:row>
      <xdr:rowOff>114300</xdr:rowOff>
    </xdr:to>
    <xdr:sp macro="" textlink="">
      <xdr:nvSpPr>
        <xdr:cNvPr id="425" name="Arrow: Down 424">
          <a:extLst>
            <a:ext uri="{FF2B5EF4-FFF2-40B4-BE49-F238E27FC236}">
              <a16:creationId xmlns:a16="http://schemas.microsoft.com/office/drawing/2014/main" id="{799D4CDB-9825-499E-A290-0656BA60943C}"/>
            </a:ext>
          </a:extLst>
        </xdr:cNvPr>
        <xdr:cNvSpPr/>
      </xdr:nvSpPr>
      <xdr:spPr>
        <a:xfrm>
          <a:off x="192786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64</xdr:row>
      <xdr:rowOff>0</xdr:rowOff>
    </xdr:from>
    <xdr:to>
      <xdr:col>45</xdr:col>
      <xdr:colOff>83820</xdr:colOff>
      <xdr:row>64</xdr:row>
      <xdr:rowOff>114300</xdr:rowOff>
    </xdr:to>
    <xdr:sp macro="" textlink="">
      <xdr:nvSpPr>
        <xdr:cNvPr id="375" name="Arrow: Down 374">
          <a:extLst>
            <a:ext uri="{FF2B5EF4-FFF2-40B4-BE49-F238E27FC236}">
              <a16:creationId xmlns:a16="http://schemas.microsoft.com/office/drawing/2014/main" id="{A0964958-5D8C-4106-AA3F-F8F2F6885436}"/>
            </a:ext>
          </a:extLst>
        </xdr:cNvPr>
        <xdr:cNvSpPr/>
      </xdr:nvSpPr>
      <xdr:spPr>
        <a:xfrm rot="10800000">
          <a:off x="992886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</xdr:row>
      <xdr:rowOff>0</xdr:rowOff>
    </xdr:from>
    <xdr:to>
      <xdr:col>71</xdr:col>
      <xdr:colOff>83820</xdr:colOff>
      <xdr:row>64</xdr:row>
      <xdr:rowOff>114300</xdr:rowOff>
    </xdr:to>
    <xdr:sp macro="" textlink="">
      <xdr:nvSpPr>
        <xdr:cNvPr id="406" name="Arrow: Down 405">
          <a:extLst>
            <a:ext uri="{FF2B5EF4-FFF2-40B4-BE49-F238E27FC236}">
              <a16:creationId xmlns:a16="http://schemas.microsoft.com/office/drawing/2014/main" id="{1D664384-611B-4C76-A031-CAC671022CF9}"/>
            </a:ext>
          </a:extLst>
        </xdr:cNvPr>
        <xdr:cNvSpPr/>
      </xdr:nvSpPr>
      <xdr:spPr>
        <a:xfrm>
          <a:off x="1677162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</xdr:row>
      <xdr:rowOff>0</xdr:rowOff>
    </xdr:from>
    <xdr:to>
      <xdr:col>5</xdr:col>
      <xdr:colOff>83820</xdr:colOff>
      <xdr:row>64</xdr:row>
      <xdr:rowOff>114300</xdr:rowOff>
    </xdr:to>
    <xdr:sp macro="" textlink="">
      <xdr:nvSpPr>
        <xdr:cNvPr id="422" name="Arrow: Down 421">
          <a:extLst>
            <a:ext uri="{FF2B5EF4-FFF2-40B4-BE49-F238E27FC236}">
              <a16:creationId xmlns:a16="http://schemas.microsoft.com/office/drawing/2014/main" id="{B39A873E-99DD-40E3-BA6F-C1BC9C2DCBC0}"/>
            </a:ext>
          </a:extLst>
        </xdr:cNvPr>
        <xdr:cNvSpPr/>
      </xdr:nvSpPr>
      <xdr:spPr>
        <a:xfrm rot="10800000">
          <a:off x="192786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</xdr:row>
      <xdr:rowOff>0</xdr:rowOff>
    </xdr:from>
    <xdr:to>
      <xdr:col>11</xdr:col>
      <xdr:colOff>83820</xdr:colOff>
      <xdr:row>64</xdr:row>
      <xdr:rowOff>114300</xdr:rowOff>
    </xdr:to>
    <xdr:sp macro="" textlink="">
      <xdr:nvSpPr>
        <xdr:cNvPr id="427" name="Arrow: Down 426">
          <a:extLst>
            <a:ext uri="{FF2B5EF4-FFF2-40B4-BE49-F238E27FC236}">
              <a16:creationId xmlns:a16="http://schemas.microsoft.com/office/drawing/2014/main" id="{FA3437EA-1BE3-4A3C-AA59-1BD516E738B9}"/>
            </a:ext>
          </a:extLst>
        </xdr:cNvPr>
        <xdr:cNvSpPr/>
      </xdr:nvSpPr>
      <xdr:spPr>
        <a:xfrm rot="10800000">
          <a:off x="361950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</xdr:row>
      <xdr:rowOff>0</xdr:rowOff>
    </xdr:from>
    <xdr:to>
      <xdr:col>60</xdr:col>
      <xdr:colOff>83820</xdr:colOff>
      <xdr:row>64</xdr:row>
      <xdr:rowOff>114300</xdr:rowOff>
    </xdr:to>
    <xdr:sp macro="" textlink="">
      <xdr:nvSpPr>
        <xdr:cNvPr id="430" name="Arrow: Down 429">
          <a:extLst>
            <a:ext uri="{FF2B5EF4-FFF2-40B4-BE49-F238E27FC236}">
              <a16:creationId xmlns:a16="http://schemas.microsoft.com/office/drawing/2014/main" id="{66D4DE9E-A3F8-465E-A861-723DCFF01B4A}"/>
            </a:ext>
          </a:extLst>
        </xdr:cNvPr>
        <xdr:cNvSpPr/>
      </xdr:nvSpPr>
      <xdr:spPr>
        <a:xfrm rot="10800000">
          <a:off x="1454658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</xdr:row>
      <xdr:rowOff>0</xdr:rowOff>
    </xdr:from>
    <xdr:to>
      <xdr:col>24</xdr:col>
      <xdr:colOff>83820</xdr:colOff>
      <xdr:row>64</xdr:row>
      <xdr:rowOff>114300</xdr:rowOff>
    </xdr:to>
    <xdr:sp macro="" textlink="">
      <xdr:nvSpPr>
        <xdr:cNvPr id="433" name="Arrow: Down 432">
          <a:extLst>
            <a:ext uri="{FF2B5EF4-FFF2-40B4-BE49-F238E27FC236}">
              <a16:creationId xmlns:a16="http://schemas.microsoft.com/office/drawing/2014/main" id="{4B2A4AFE-AE46-463E-98CB-DBC1A3D3B5B6}"/>
            </a:ext>
          </a:extLst>
        </xdr:cNvPr>
        <xdr:cNvSpPr/>
      </xdr:nvSpPr>
      <xdr:spPr>
        <a:xfrm>
          <a:off x="544068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64</xdr:row>
      <xdr:rowOff>0</xdr:rowOff>
    </xdr:from>
    <xdr:to>
      <xdr:col>39</xdr:col>
      <xdr:colOff>83820</xdr:colOff>
      <xdr:row>64</xdr:row>
      <xdr:rowOff>114300</xdr:rowOff>
    </xdr:to>
    <xdr:sp macro="" textlink="">
      <xdr:nvSpPr>
        <xdr:cNvPr id="435" name="Arrow: Down 434">
          <a:extLst>
            <a:ext uri="{FF2B5EF4-FFF2-40B4-BE49-F238E27FC236}">
              <a16:creationId xmlns:a16="http://schemas.microsoft.com/office/drawing/2014/main" id="{5CD6D5F5-83B4-4353-8C0D-1D36378BD2BE}"/>
            </a:ext>
          </a:extLst>
        </xdr:cNvPr>
        <xdr:cNvSpPr/>
      </xdr:nvSpPr>
      <xdr:spPr>
        <a:xfrm>
          <a:off x="842010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</xdr:row>
      <xdr:rowOff>0</xdr:rowOff>
    </xdr:from>
    <xdr:to>
      <xdr:col>45</xdr:col>
      <xdr:colOff>83820</xdr:colOff>
      <xdr:row>65</xdr:row>
      <xdr:rowOff>114300</xdr:rowOff>
    </xdr:to>
    <xdr:sp macro="" textlink="">
      <xdr:nvSpPr>
        <xdr:cNvPr id="426" name="Arrow: Down 425">
          <a:extLst>
            <a:ext uri="{FF2B5EF4-FFF2-40B4-BE49-F238E27FC236}">
              <a16:creationId xmlns:a16="http://schemas.microsoft.com/office/drawing/2014/main" id="{BFAF6ABC-8C04-4A81-96E3-4EA94B8B6C77}"/>
            </a:ext>
          </a:extLst>
        </xdr:cNvPr>
        <xdr:cNvSpPr/>
      </xdr:nvSpPr>
      <xdr:spPr>
        <a:xfrm rot="10800000">
          <a:off x="992886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</xdr:row>
      <xdr:rowOff>0</xdr:rowOff>
    </xdr:from>
    <xdr:to>
      <xdr:col>71</xdr:col>
      <xdr:colOff>83820</xdr:colOff>
      <xdr:row>65</xdr:row>
      <xdr:rowOff>114300</xdr:rowOff>
    </xdr:to>
    <xdr:sp macro="" textlink="">
      <xdr:nvSpPr>
        <xdr:cNvPr id="428" name="Arrow: Down 427">
          <a:extLst>
            <a:ext uri="{FF2B5EF4-FFF2-40B4-BE49-F238E27FC236}">
              <a16:creationId xmlns:a16="http://schemas.microsoft.com/office/drawing/2014/main" id="{01808273-0ADA-4298-AA67-AD9270E9E0CF}"/>
            </a:ext>
          </a:extLst>
        </xdr:cNvPr>
        <xdr:cNvSpPr/>
      </xdr:nvSpPr>
      <xdr:spPr>
        <a:xfrm>
          <a:off x="1685544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</xdr:row>
      <xdr:rowOff>0</xdr:rowOff>
    </xdr:from>
    <xdr:to>
      <xdr:col>24</xdr:col>
      <xdr:colOff>83820</xdr:colOff>
      <xdr:row>65</xdr:row>
      <xdr:rowOff>114300</xdr:rowOff>
    </xdr:to>
    <xdr:sp macro="" textlink="">
      <xdr:nvSpPr>
        <xdr:cNvPr id="440" name="Arrow: Down 439">
          <a:extLst>
            <a:ext uri="{FF2B5EF4-FFF2-40B4-BE49-F238E27FC236}">
              <a16:creationId xmlns:a16="http://schemas.microsoft.com/office/drawing/2014/main" id="{24559531-B8F2-4B39-BF30-68EAD01160C3}"/>
            </a:ext>
          </a:extLst>
        </xdr:cNvPr>
        <xdr:cNvSpPr/>
      </xdr:nvSpPr>
      <xdr:spPr>
        <a:xfrm>
          <a:off x="544068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65</xdr:row>
      <xdr:rowOff>0</xdr:rowOff>
    </xdr:from>
    <xdr:to>
      <xdr:col>5</xdr:col>
      <xdr:colOff>83820</xdr:colOff>
      <xdr:row>65</xdr:row>
      <xdr:rowOff>114300</xdr:rowOff>
    </xdr:to>
    <xdr:sp macro="" textlink="">
      <xdr:nvSpPr>
        <xdr:cNvPr id="397" name="Arrow: Down 396">
          <a:extLst>
            <a:ext uri="{FF2B5EF4-FFF2-40B4-BE49-F238E27FC236}">
              <a16:creationId xmlns:a16="http://schemas.microsoft.com/office/drawing/2014/main" id="{F7EA6CC7-731B-4C04-9C01-2B4E474ACCE1}"/>
            </a:ext>
          </a:extLst>
        </xdr:cNvPr>
        <xdr:cNvSpPr/>
      </xdr:nvSpPr>
      <xdr:spPr>
        <a:xfrm>
          <a:off x="192786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65</xdr:row>
      <xdr:rowOff>0</xdr:rowOff>
    </xdr:from>
    <xdr:to>
      <xdr:col>11</xdr:col>
      <xdr:colOff>83820</xdr:colOff>
      <xdr:row>65</xdr:row>
      <xdr:rowOff>114300</xdr:rowOff>
    </xdr:to>
    <xdr:sp macro="" textlink="">
      <xdr:nvSpPr>
        <xdr:cNvPr id="403" name="Arrow: Down 402">
          <a:extLst>
            <a:ext uri="{FF2B5EF4-FFF2-40B4-BE49-F238E27FC236}">
              <a16:creationId xmlns:a16="http://schemas.microsoft.com/office/drawing/2014/main" id="{EE5C4D25-D825-4F8E-B0B2-A74692B5C53E}"/>
            </a:ext>
          </a:extLst>
        </xdr:cNvPr>
        <xdr:cNvSpPr/>
      </xdr:nvSpPr>
      <xdr:spPr>
        <a:xfrm>
          <a:off x="36195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65</xdr:row>
      <xdr:rowOff>0</xdr:rowOff>
    </xdr:from>
    <xdr:to>
      <xdr:col>39</xdr:col>
      <xdr:colOff>83820</xdr:colOff>
      <xdr:row>65</xdr:row>
      <xdr:rowOff>114300</xdr:rowOff>
    </xdr:to>
    <xdr:sp macro="" textlink="">
      <xdr:nvSpPr>
        <xdr:cNvPr id="405" name="Arrow: Down 404">
          <a:extLst>
            <a:ext uri="{FF2B5EF4-FFF2-40B4-BE49-F238E27FC236}">
              <a16:creationId xmlns:a16="http://schemas.microsoft.com/office/drawing/2014/main" id="{1D7FAA44-25F9-48F3-915C-3826EE7908F6}"/>
            </a:ext>
          </a:extLst>
        </xdr:cNvPr>
        <xdr:cNvSpPr/>
      </xdr:nvSpPr>
      <xdr:spPr>
        <a:xfrm rot="10800000">
          <a:off x="84201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</xdr:row>
      <xdr:rowOff>0</xdr:rowOff>
    </xdr:from>
    <xdr:to>
      <xdr:col>60</xdr:col>
      <xdr:colOff>83820</xdr:colOff>
      <xdr:row>65</xdr:row>
      <xdr:rowOff>114300</xdr:rowOff>
    </xdr:to>
    <xdr:sp macro="" textlink="">
      <xdr:nvSpPr>
        <xdr:cNvPr id="408" name="Arrow: Down 407">
          <a:extLst>
            <a:ext uri="{FF2B5EF4-FFF2-40B4-BE49-F238E27FC236}">
              <a16:creationId xmlns:a16="http://schemas.microsoft.com/office/drawing/2014/main" id="{BC99D760-4E8A-45F0-B771-ED5ED1C85365}"/>
            </a:ext>
          </a:extLst>
        </xdr:cNvPr>
        <xdr:cNvSpPr/>
      </xdr:nvSpPr>
      <xdr:spPr>
        <a:xfrm>
          <a:off x="1454658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</xdr:row>
      <xdr:rowOff>0</xdr:rowOff>
    </xdr:from>
    <xdr:to>
      <xdr:col>45</xdr:col>
      <xdr:colOff>83820</xdr:colOff>
      <xdr:row>66</xdr:row>
      <xdr:rowOff>114300</xdr:rowOff>
    </xdr:to>
    <xdr:sp macro="" textlink="">
      <xdr:nvSpPr>
        <xdr:cNvPr id="444" name="Arrow: Down 443">
          <a:extLst>
            <a:ext uri="{FF2B5EF4-FFF2-40B4-BE49-F238E27FC236}">
              <a16:creationId xmlns:a16="http://schemas.microsoft.com/office/drawing/2014/main" id="{CFB165E1-87D0-48D3-A2B5-83BAA338E02C}"/>
            </a:ext>
          </a:extLst>
        </xdr:cNvPr>
        <xdr:cNvSpPr/>
      </xdr:nvSpPr>
      <xdr:spPr>
        <a:xfrm rot="10800000">
          <a:off x="992886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</xdr:row>
      <xdr:rowOff>0</xdr:rowOff>
    </xdr:from>
    <xdr:to>
      <xdr:col>71</xdr:col>
      <xdr:colOff>83820</xdr:colOff>
      <xdr:row>66</xdr:row>
      <xdr:rowOff>114300</xdr:rowOff>
    </xdr:to>
    <xdr:sp macro="" textlink="">
      <xdr:nvSpPr>
        <xdr:cNvPr id="445" name="Arrow: Down 444">
          <a:extLst>
            <a:ext uri="{FF2B5EF4-FFF2-40B4-BE49-F238E27FC236}">
              <a16:creationId xmlns:a16="http://schemas.microsoft.com/office/drawing/2014/main" id="{E7E6FBDB-9419-4C4B-8116-C4EAEA967E5B}"/>
            </a:ext>
          </a:extLst>
        </xdr:cNvPr>
        <xdr:cNvSpPr/>
      </xdr:nvSpPr>
      <xdr:spPr>
        <a:xfrm>
          <a:off x="1685544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</xdr:row>
      <xdr:rowOff>0</xdr:rowOff>
    </xdr:from>
    <xdr:to>
      <xdr:col>24</xdr:col>
      <xdr:colOff>83820</xdr:colOff>
      <xdr:row>66</xdr:row>
      <xdr:rowOff>114300</xdr:rowOff>
    </xdr:to>
    <xdr:sp macro="" textlink="">
      <xdr:nvSpPr>
        <xdr:cNvPr id="446" name="Arrow: Down 445">
          <a:extLst>
            <a:ext uri="{FF2B5EF4-FFF2-40B4-BE49-F238E27FC236}">
              <a16:creationId xmlns:a16="http://schemas.microsoft.com/office/drawing/2014/main" id="{E40ABCBA-DAE0-4F7C-945B-ADEFD0D3353D}"/>
            </a:ext>
          </a:extLst>
        </xdr:cNvPr>
        <xdr:cNvSpPr/>
      </xdr:nvSpPr>
      <xdr:spPr>
        <a:xfrm>
          <a:off x="544068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66</xdr:row>
      <xdr:rowOff>0</xdr:rowOff>
    </xdr:from>
    <xdr:to>
      <xdr:col>5</xdr:col>
      <xdr:colOff>83820</xdr:colOff>
      <xdr:row>66</xdr:row>
      <xdr:rowOff>114300</xdr:rowOff>
    </xdr:to>
    <xdr:sp macro="" textlink="">
      <xdr:nvSpPr>
        <xdr:cNvPr id="447" name="Arrow: Down 446">
          <a:extLst>
            <a:ext uri="{FF2B5EF4-FFF2-40B4-BE49-F238E27FC236}">
              <a16:creationId xmlns:a16="http://schemas.microsoft.com/office/drawing/2014/main" id="{64DA770E-A0AC-4E9B-B67F-EE145C82AD02}"/>
            </a:ext>
          </a:extLst>
        </xdr:cNvPr>
        <xdr:cNvSpPr/>
      </xdr:nvSpPr>
      <xdr:spPr>
        <a:xfrm>
          <a:off x="192786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66</xdr:row>
      <xdr:rowOff>0</xdr:rowOff>
    </xdr:from>
    <xdr:to>
      <xdr:col>11</xdr:col>
      <xdr:colOff>83820</xdr:colOff>
      <xdr:row>66</xdr:row>
      <xdr:rowOff>114300</xdr:rowOff>
    </xdr:to>
    <xdr:sp macro="" textlink="">
      <xdr:nvSpPr>
        <xdr:cNvPr id="448" name="Arrow: Down 447">
          <a:extLst>
            <a:ext uri="{FF2B5EF4-FFF2-40B4-BE49-F238E27FC236}">
              <a16:creationId xmlns:a16="http://schemas.microsoft.com/office/drawing/2014/main" id="{BF2CA509-9D5A-49A1-B4B9-DC4592CF677A}"/>
            </a:ext>
          </a:extLst>
        </xdr:cNvPr>
        <xdr:cNvSpPr/>
      </xdr:nvSpPr>
      <xdr:spPr>
        <a:xfrm>
          <a:off x="36195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66</xdr:row>
      <xdr:rowOff>0</xdr:rowOff>
    </xdr:from>
    <xdr:to>
      <xdr:col>39</xdr:col>
      <xdr:colOff>83820</xdr:colOff>
      <xdr:row>66</xdr:row>
      <xdr:rowOff>114300</xdr:rowOff>
    </xdr:to>
    <xdr:sp macro="" textlink="">
      <xdr:nvSpPr>
        <xdr:cNvPr id="449" name="Arrow: Down 448">
          <a:extLst>
            <a:ext uri="{FF2B5EF4-FFF2-40B4-BE49-F238E27FC236}">
              <a16:creationId xmlns:a16="http://schemas.microsoft.com/office/drawing/2014/main" id="{5D7CF2AF-A8A8-4732-8F1C-D85E7243C395}"/>
            </a:ext>
          </a:extLst>
        </xdr:cNvPr>
        <xdr:cNvSpPr/>
      </xdr:nvSpPr>
      <xdr:spPr>
        <a:xfrm rot="10800000">
          <a:off x="84201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</xdr:row>
      <xdr:rowOff>0</xdr:rowOff>
    </xdr:from>
    <xdr:to>
      <xdr:col>60</xdr:col>
      <xdr:colOff>83820</xdr:colOff>
      <xdr:row>66</xdr:row>
      <xdr:rowOff>114300</xdr:rowOff>
    </xdr:to>
    <xdr:sp macro="" textlink="">
      <xdr:nvSpPr>
        <xdr:cNvPr id="450" name="Arrow: Down 449">
          <a:extLst>
            <a:ext uri="{FF2B5EF4-FFF2-40B4-BE49-F238E27FC236}">
              <a16:creationId xmlns:a16="http://schemas.microsoft.com/office/drawing/2014/main" id="{9871A177-BDD8-4096-9729-CDC63BFC20AB}"/>
            </a:ext>
          </a:extLst>
        </xdr:cNvPr>
        <xdr:cNvSpPr/>
      </xdr:nvSpPr>
      <xdr:spPr>
        <a:xfrm>
          <a:off x="1454658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</xdr:row>
      <xdr:rowOff>0</xdr:rowOff>
    </xdr:from>
    <xdr:to>
      <xdr:col>45</xdr:col>
      <xdr:colOff>83820</xdr:colOff>
      <xdr:row>48</xdr:row>
      <xdr:rowOff>114300</xdr:rowOff>
    </xdr:to>
    <xdr:sp macro="" textlink="">
      <xdr:nvSpPr>
        <xdr:cNvPr id="451" name="Arrow: Down 450">
          <a:extLst>
            <a:ext uri="{FF2B5EF4-FFF2-40B4-BE49-F238E27FC236}">
              <a16:creationId xmlns:a16="http://schemas.microsoft.com/office/drawing/2014/main" id="{CE34968F-B27F-4D25-A5DF-59EC9CB2BC80}"/>
            </a:ext>
          </a:extLst>
        </xdr:cNvPr>
        <xdr:cNvSpPr/>
      </xdr:nvSpPr>
      <xdr:spPr>
        <a:xfrm rot="10800000">
          <a:off x="9928860" y="88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</xdr:row>
      <xdr:rowOff>0</xdr:rowOff>
    </xdr:from>
    <xdr:to>
      <xdr:col>45</xdr:col>
      <xdr:colOff>83820</xdr:colOff>
      <xdr:row>67</xdr:row>
      <xdr:rowOff>114300</xdr:rowOff>
    </xdr:to>
    <xdr:sp macro="" textlink="">
      <xdr:nvSpPr>
        <xdr:cNvPr id="407" name="Arrow: Down 406">
          <a:extLst>
            <a:ext uri="{FF2B5EF4-FFF2-40B4-BE49-F238E27FC236}">
              <a16:creationId xmlns:a16="http://schemas.microsoft.com/office/drawing/2014/main" id="{D8372406-ACCD-432A-A21F-02F9114707F9}"/>
            </a:ext>
          </a:extLst>
        </xdr:cNvPr>
        <xdr:cNvSpPr/>
      </xdr:nvSpPr>
      <xdr:spPr>
        <a:xfrm rot="10800000">
          <a:off x="992886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</xdr:row>
      <xdr:rowOff>0</xdr:rowOff>
    </xdr:from>
    <xdr:to>
      <xdr:col>71</xdr:col>
      <xdr:colOff>83820</xdr:colOff>
      <xdr:row>67</xdr:row>
      <xdr:rowOff>114300</xdr:rowOff>
    </xdr:to>
    <xdr:sp macro="" textlink="">
      <xdr:nvSpPr>
        <xdr:cNvPr id="412" name="Arrow: Down 411">
          <a:extLst>
            <a:ext uri="{FF2B5EF4-FFF2-40B4-BE49-F238E27FC236}">
              <a16:creationId xmlns:a16="http://schemas.microsoft.com/office/drawing/2014/main" id="{57F33BFB-3F63-421B-B9A9-4D1EAE71C037}"/>
            </a:ext>
          </a:extLst>
        </xdr:cNvPr>
        <xdr:cNvSpPr/>
      </xdr:nvSpPr>
      <xdr:spPr>
        <a:xfrm>
          <a:off x="1685544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</xdr:row>
      <xdr:rowOff>0</xdr:rowOff>
    </xdr:from>
    <xdr:to>
      <xdr:col>24</xdr:col>
      <xdr:colOff>83820</xdr:colOff>
      <xdr:row>67</xdr:row>
      <xdr:rowOff>114300</xdr:rowOff>
    </xdr:to>
    <xdr:sp macro="" textlink="">
      <xdr:nvSpPr>
        <xdr:cNvPr id="423" name="Arrow: Down 422">
          <a:extLst>
            <a:ext uri="{FF2B5EF4-FFF2-40B4-BE49-F238E27FC236}">
              <a16:creationId xmlns:a16="http://schemas.microsoft.com/office/drawing/2014/main" id="{14F01D08-7409-4781-AF2E-5E2A68A6146C}"/>
            </a:ext>
          </a:extLst>
        </xdr:cNvPr>
        <xdr:cNvSpPr/>
      </xdr:nvSpPr>
      <xdr:spPr>
        <a:xfrm>
          <a:off x="544068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67</xdr:row>
      <xdr:rowOff>0</xdr:rowOff>
    </xdr:from>
    <xdr:to>
      <xdr:col>5</xdr:col>
      <xdr:colOff>83820</xdr:colOff>
      <xdr:row>67</xdr:row>
      <xdr:rowOff>114300</xdr:rowOff>
    </xdr:to>
    <xdr:sp macro="" textlink="">
      <xdr:nvSpPr>
        <xdr:cNvPr id="431" name="Arrow: Down 430">
          <a:extLst>
            <a:ext uri="{FF2B5EF4-FFF2-40B4-BE49-F238E27FC236}">
              <a16:creationId xmlns:a16="http://schemas.microsoft.com/office/drawing/2014/main" id="{DBDEF530-E683-40B0-8ACC-374DD9D6302B}"/>
            </a:ext>
          </a:extLst>
        </xdr:cNvPr>
        <xdr:cNvSpPr/>
      </xdr:nvSpPr>
      <xdr:spPr>
        <a:xfrm>
          <a:off x="192786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67</xdr:row>
      <xdr:rowOff>0</xdr:rowOff>
    </xdr:from>
    <xdr:to>
      <xdr:col>11</xdr:col>
      <xdr:colOff>83820</xdr:colOff>
      <xdr:row>67</xdr:row>
      <xdr:rowOff>114300</xdr:rowOff>
    </xdr:to>
    <xdr:sp macro="" textlink="">
      <xdr:nvSpPr>
        <xdr:cNvPr id="434" name="Arrow: Down 433">
          <a:extLst>
            <a:ext uri="{FF2B5EF4-FFF2-40B4-BE49-F238E27FC236}">
              <a16:creationId xmlns:a16="http://schemas.microsoft.com/office/drawing/2014/main" id="{FF47FC7A-D813-47A4-AFFC-42C0BF34893A}"/>
            </a:ext>
          </a:extLst>
        </xdr:cNvPr>
        <xdr:cNvSpPr/>
      </xdr:nvSpPr>
      <xdr:spPr>
        <a:xfrm>
          <a:off x="361950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22</xdr:col>
      <xdr:colOff>137160</xdr:colOff>
      <xdr:row>780</xdr:row>
      <xdr:rowOff>99060</xdr:rowOff>
    </xdr:from>
    <xdr:to>
      <xdr:col>22</xdr:col>
      <xdr:colOff>312420</xdr:colOff>
      <xdr:row>781</xdr:row>
      <xdr:rowOff>83820</xdr:rowOff>
    </xdr:to>
    <xdr:sp macro="" textlink="">
      <xdr:nvSpPr>
        <xdr:cNvPr id="2" name="Star: 5 Points 1">
          <a:extLst>
            <a:ext uri="{FF2B5EF4-FFF2-40B4-BE49-F238E27FC236}">
              <a16:creationId xmlns:a16="http://schemas.microsoft.com/office/drawing/2014/main" id="{E6FADA76-17CD-4636-B2C8-AA7C109F8021}"/>
            </a:ext>
          </a:extLst>
        </xdr:cNvPr>
        <xdr:cNvSpPr/>
      </xdr:nvSpPr>
      <xdr:spPr>
        <a:xfrm>
          <a:off x="4846320" y="26906220"/>
          <a:ext cx="175260" cy="182880"/>
        </a:xfrm>
        <a:prstGeom prst="star5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22</xdr:col>
      <xdr:colOff>525780</xdr:colOff>
      <xdr:row>780</xdr:row>
      <xdr:rowOff>129540</xdr:rowOff>
    </xdr:from>
    <xdr:to>
      <xdr:col>23</xdr:col>
      <xdr:colOff>68580</xdr:colOff>
      <xdr:row>781</xdr:row>
      <xdr:rowOff>114300</xdr:rowOff>
    </xdr:to>
    <xdr:sp macro="" textlink="">
      <xdr:nvSpPr>
        <xdr:cNvPr id="452" name="Star: 5 Points 451">
          <a:extLst>
            <a:ext uri="{FF2B5EF4-FFF2-40B4-BE49-F238E27FC236}">
              <a16:creationId xmlns:a16="http://schemas.microsoft.com/office/drawing/2014/main" id="{E79CDA7A-CAFB-42DE-A34F-5430EACA3314}"/>
            </a:ext>
          </a:extLst>
        </xdr:cNvPr>
        <xdr:cNvSpPr/>
      </xdr:nvSpPr>
      <xdr:spPr>
        <a:xfrm>
          <a:off x="5234940" y="26936700"/>
          <a:ext cx="152400" cy="182880"/>
        </a:xfrm>
        <a:prstGeom prst="star5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67</xdr:row>
      <xdr:rowOff>0</xdr:rowOff>
    </xdr:from>
    <xdr:to>
      <xdr:col>39</xdr:col>
      <xdr:colOff>83820</xdr:colOff>
      <xdr:row>67</xdr:row>
      <xdr:rowOff>114300</xdr:rowOff>
    </xdr:to>
    <xdr:sp macro="" textlink="">
      <xdr:nvSpPr>
        <xdr:cNvPr id="453" name="Arrow: Down 452">
          <a:extLst>
            <a:ext uri="{FF2B5EF4-FFF2-40B4-BE49-F238E27FC236}">
              <a16:creationId xmlns:a16="http://schemas.microsoft.com/office/drawing/2014/main" id="{847E0ECD-63B5-4630-9CC6-AFFEEC1CF4F3}"/>
            </a:ext>
          </a:extLst>
        </xdr:cNvPr>
        <xdr:cNvSpPr/>
      </xdr:nvSpPr>
      <xdr:spPr>
        <a:xfrm>
          <a:off x="11414760" y="1235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</xdr:row>
      <xdr:rowOff>0</xdr:rowOff>
    </xdr:from>
    <xdr:to>
      <xdr:col>60</xdr:col>
      <xdr:colOff>83820</xdr:colOff>
      <xdr:row>67</xdr:row>
      <xdr:rowOff>114300</xdr:rowOff>
    </xdr:to>
    <xdr:sp macro="" textlink="">
      <xdr:nvSpPr>
        <xdr:cNvPr id="454" name="Arrow: Down 453">
          <a:extLst>
            <a:ext uri="{FF2B5EF4-FFF2-40B4-BE49-F238E27FC236}">
              <a16:creationId xmlns:a16="http://schemas.microsoft.com/office/drawing/2014/main" id="{897F8818-AF94-401F-8BBD-6FF05C6E1E1B}"/>
            </a:ext>
          </a:extLst>
        </xdr:cNvPr>
        <xdr:cNvSpPr/>
      </xdr:nvSpPr>
      <xdr:spPr>
        <a:xfrm rot="10800000">
          <a:off x="17541240" y="1235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</xdr:row>
      <xdr:rowOff>0</xdr:rowOff>
    </xdr:from>
    <xdr:to>
      <xdr:col>45</xdr:col>
      <xdr:colOff>83820</xdr:colOff>
      <xdr:row>68</xdr:row>
      <xdr:rowOff>114300</xdr:rowOff>
    </xdr:to>
    <xdr:sp macro="" textlink="">
      <xdr:nvSpPr>
        <xdr:cNvPr id="460" name="Arrow: Down 459">
          <a:extLst>
            <a:ext uri="{FF2B5EF4-FFF2-40B4-BE49-F238E27FC236}">
              <a16:creationId xmlns:a16="http://schemas.microsoft.com/office/drawing/2014/main" id="{C5D511FF-1160-4DA4-B37F-9A5F4487B1A2}"/>
            </a:ext>
          </a:extLst>
        </xdr:cNvPr>
        <xdr:cNvSpPr/>
      </xdr:nvSpPr>
      <xdr:spPr>
        <a:xfrm rot="10800000">
          <a:off x="9951720" y="1235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</xdr:row>
      <xdr:rowOff>0</xdr:rowOff>
    </xdr:from>
    <xdr:to>
      <xdr:col>71</xdr:col>
      <xdr:colOff>83820</xdr:colOff>
      <xdr:row>68</xdr:row>
      <xdr:rowOff>114300</xdr:rowOff>
    </xdr:to>
    <xdr:sp macro="" textlink="">
      <xdr:nvSpPr>
        <xdr:cNvPr id="461" name="Arrow: Down 460">
          <a:extLst>
            <a:ext uri="{FF2B5EF4-FFF2-40B4-BE49-F238E27FC236}">
              <a16:creationId xmlns:a16="http://schemas.microsoft.com/office/drawing/2014/main" id="{AE945740-62A1-40CB-A695-4C5BD3AD30C9}"/>
            </a:ext>
          </a:extLst>
        </xdr:cNvPr>
        <xdr:cNvSpPr/>
      </xdr:nvSpPr>
      <xdr:spPr>
        <a:xfrm>
          <a:off x="16885920" y="1235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</xdr:row>
      <xdr:rowOff>0</xdr:rowOff>
    </xdr:from>
    <xdr:to>
      <xdr:col>5</xdr:col>
      <xdr:colOff>83820</xdr:colOff>
      <xdr:row>68</xdr:row>
      <xdr:rowOff>114300</xdr:rowOff>
    </xdr:to>
    <xdr:sp macro="" textlink="">
      <xdr:nvSpPr>
        <xdr:cNvPr id="437" name="Arrow: Down 436">
          <a:extLst>
            <a:ext uri="{FF2B5EF4-FFF2-40B4-BE49-F238E27FC236}">
              <a16:creationId xmlns:a16="http://schemas.microsoft.com/office/drawing/2014/main" id="{FAD3CA58-240C-48F7-B97D-F3B2BAC98B39}"/>
            </a:ext>
          </a:extLst>
        </xdr:cNvPr>
        <xdr:cNvSpPr/>
      </xdr:nvSpPr>
      <xdr:spPr>
        <a:xfrm rot="10800000">
          <a:off x="192786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</xdr:row>
      <xdr:rowOff>0</xdr:rowOff>
    </xdr:from>
    <xdr:to>
      <xdr:col>11</xdr:col>
      <xdr:colOff>83820</xdr:colOff>
      <xdr:row>68</xdr:row>
      <xdr:rowOff>114300</xdr:rowOff>
    </xdr:to>
    <xdr:sp macro="" textlink="">
      <xdr:nvSpPr>
        <xdr:cNvPr id="443" name="Arrow: Down 442">
          <a:extLst>
            <a:ext uri="{FF2B5EF4-FFF2-40B4-BE49-F238E27FC236}">
              <a16:creationId xmlns:a16="http://schemas.microsoft.com/office/drawing/2014/main" id="{53874F88-2FA5-4247-BA97-9A4B358AB796}"/>
            </a:ext>
          </a:extLst>
        </xdr:cNvPr>
        <xdr:cNvSpPr/>
      </xdr:nvSpPr>
      <xdr:spPr>
        <a:xfrm rot="10800000">
          <a:off x="361950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</xdr:row>
      <xdr:rowOff>0</xdr:rowOff>
    </xdr:from>
    <xdr:to>
      <xdr:col>24</xdr:col>
      <xdr:colOff>83820</xdr:colOff>
      <xdr:row>68</xdr:row>
      <xdr:rowOff>114300</xdr:rowOff>
    </xdr:to>
    <xdr:sp macro="" textlink="">
      <xdr:nvSpPr>
        <xdr:cNvPr id="456" name="Arrow: Down 455">
          <a:extLst>
            <a:ext uri="{FF2B5EF4-FFF2-40B4-BE49-F238E27FC236}">
              <a16:creationId xmlns:a16="http://schemas.microsoft.com/office/drawing/2014/main" id="{3F0E4451-BFFA-4702-87F9-E39937E77DAC}"/>
            </a:ext>
          </a:extLst>
        </xdr:cNvPr>
        <xdr:cNvSpPr/>
      </xdr:nvSpPr>
      <xdr:spPr>
        <a:xfrm rot="10800000">
          <a:off x="544068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</xdr:row>
      <xdr:rowOff>0</xdr:rowOff>
    </xdr:from>
    <xdr:to>
      <xdr:col>39</xdr:col>
      <xdr:colOff>83820</xdr:colOff>
      <xdr:row>68</xdr:row>
      <xdr:rowOff>114300</xdr:rowOff>
    </xdr:to>
    <xdr:sp macro="" textlink="">
      <xdr:nvSpPr>
        <xdr:cNvPr id="458" name="Arrow: Down 457">
          <a:extLst>
            <a:ext uri="{FF2B5EF4-FFF2-40B4-BE49-F238E27FC236}">
              <a16:creationId xmlns:a16="http://schemas.microsoft.com/office/drawing/2014/main" id="{5946D140-C1C1-4C2F-A135-8C75690BC5E4}"/>
            </a:ext>
          </a:extLst>
        </xdr:cNvPr>
        <xdr:cNvSpPr/>
      </xdr:nvSpPr>
      <xdr:spPr>
        <a:xfrm rot="10800000">
          <a:off x="8442960" y="125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</xdr:row>
      <xdr:rowOff>0</xdr:rowOff>
    </xdr:from>
    <xdr:to>
      <xdr:col>60</xdr:col>
      <xdr:colOff>83820</xdr:colOff>
      <xdr:row>68</xdr:row>
      <xdr:rowOff>114300</xdr:rowOff>
    </xdr:to>
    <xdr:sp macro="" textlink="">
      <xdr:nvSpPr>
        <xdr:cNvPr id="467" name="Arrow: Down 466">
          <a:extLst>
            <a:ext uri="{FF2B5EF4-FFF2-40B4-BE49-F238E27FC236}">
              <a16:creationId xmlns:a16="http://schemas.microsoft.com/office/drawing/2014/main" id="{0B38FE68-9267-4E10-8D43-FF5962F40EA0}"/>
            </a:ext>
          </a:extLst>
        </xdr:cNvPr>
        <xdr:cNvSpPr/>
      </xdr:nvSpPr>
      <xdr:spPr>
        <a:xfrm>
          <a:off x="14569440" y="125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</xdr:row>
      <xdr:rowOff>0</xdr:rowOff>
    </xdr:from>
    <xdr:to>
      <xdr:col>71</xdr:col>
      <xdr:colOff>83820</xdr:colOff>
      <xdr:row>69</xdr:row>
      <xdr:rowOff>114300</xdr:rowOff>
    </xdr:to>
    <xdr:sp macro="" textlink="">
      <xdr:nvSpPr>
        <xdr:cNvPr id="469" name="Arrow: Down 468">
          <a:extLst>
            <a:ext uri="{FF2B5EF4-FFF2-40B4-BE49-F238E27FC236}">
              <a16:creationId xmlns:a16="http://schemas.microsoft.com/office/drawing/2014/main" id="{A24F7339-190D-40D2-B2BB-B7E80F078BE8}"/>
            </a:ext>
          </a:extLst>
        </xdr:cNvPr>
        <xdr:cNvSpPr/>
      </xdr:nvSpPr>
      <xdr:spPr>
        <a:xfrm>
          <a:off x="16885920" y="125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</xdr:row>
      <xdr:rowOff>0</xdr:rowOff>
    </xdr:from>
    <xdr:to>
      <xdr:col>24</xdr:col>
      <xdr:colOff>83820</xdr:colOff>
      <xdr:row>69</xdr:row>
      <xdr:rowOff>114300</xdr:rowOff>
    </xdr:to>
    <xdr:sp macro="" textlink="">
      <xdr:nvSpPr>
        <xdr:cNvPr id="472" name="Arrow: Down 471">
          <a:extLst>
            <a:ext uri="{FF2B5EF4-FFF2-40B4-BE49-F238E27FC236}">
              <a16:creationId xmlns:a16="http://schemas.microsoft.com/office/drawing/2014/main" id="{5A1DA09E-336A-4C91-A63B-DBE8BD1D0D97}"/>
            </a:ext>
          </a:extLst>
        </xdr:cNvPr>
        <xdr:cNvSpPr/>
      </xdr:nvSpPr>
      <xdr:spPr>
        <a:xfrm rot="10800000">
          <a:off x="544068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</xdr:row>
      <xdr:rowOff>0</xdr:rowOff>
    </xdr:from>
    <xdr:to>
      <xdr:col>11</xdr:col>
      <xdr:colOff>83820</xdr:colOff>
      <xdr:row>69</xdr:row>
      <xdr:rowOff>114300</xdr:rowOff>
    </xdr:to>
    <xdr:sp macro="" textlink="">
      <xdr:nvSpPr>
        <xdr:cNvPr id="476" name="Arrow: Down 475">
          <a:extLst>
            <a:ext uri="{FF2B5EF4-FFF2-40B4-BE49-F238E27FC236}">
              <a16:creationId xmlns:a16="http://schemas.microsoft.com/office/drawing/2014/main" id="{8D839C22-3629-44C1-8D33-A82F9C86A3E0}"/>
            </a:ext>
          </a:extLst>
        </xdr:cNvPr>
        <xdr:cNvSpPr/>
      </xdr:nvSpPr>
      <xdr:spPr>
        <a:xfrm>
          <a:off x="3619500" y="127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69</xdr:row>
      <xdr:rowOff>0</xdr:rowOff>
    </xdr:from>
    <xdr:to>
      <xdr:col>5</xdr:col>
      <xdr:colOff>83820</xdr:colOff>
      <xdr:row>69</xdr:row>
      <xdr:rowOff>114300</xdr:rowOff>
    </xdr:to>
    <xdr:sp macro="" textlink="">
      <xdr:nvSpPr>
        <xdr:cNvPr id="479" name="Arrow: Down 478">
          <a:extLst>
            <a:ext uri="{FF2B5EF4-FFF2-40B4-BE49-F238E27FC236}">
              <a16:creationId xmlns:a16="http://schemas.microsoft.com/office/drawing/2014/main" id="{76C1AE71-8918-4540-A534-E56788E5D3F9}"/>
            </a:ext>
          </a:extLst>
        </xdr:cNvPr>
        <xdr:cNvSpPr/>
      </xdr:nvSpPr>
      <xdr:spPr>
        <a:xfrm>
          <a:off x="1927860" y="127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69</xdr:row>
      <xdr:rowOff>0</xdr:rowOff>
    </xdr:from>
    <xdr:to>
      <xdr:col>39</xdr:col>
      <xdr:colOff>83820</xdr:colOff>
      <xdr:row>69</xdr:row>
      <xdr:rowOff>114300</xdr:rowOff>
    </xdr:to>
    <xdr:sp macro="" textlink="">
      <xdr:nvSpPr>
        <xdr:cNvPr id="481" name="Arrow: Down 480">
          <a:extLst>
            <a:ext uri="{FF2B5EF4-FFF2-40B4-BE49-F238E27FC236}">
              <a16:creationId xmlns:a16="http://schemas.microsoft.com/office/drawing/2014/main" id="{7DED5F41-50FA-4EA4-811E-5D6AA508AAC9}"/>
            </a:ext>
          </a:extLst>
        </xdr:cNvPr>
        <xdr:cNvSpPr/>
      </xdr:nvSpPr>
      <xdr:spPr>
        <a:xfrm>
          <a:off x="8442960" y="127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</xdr:row>
      <xdr:rowOff>0</xdr:rowOff>
    </xdr:from>
    <xdr:to>
      <xdr:col>60</xdr:col>
      <xdr:colOff>83820</xdr:colOff>
      <xdr:row>69</xdr:row>
      <xdr:rowOff>114300</xdr:rowOff>
    </xdr:to>
    <xdr:sp macro="" textlink="">
      <xdr:nvSpPr>
        <xdr:cNvPr id="483" name="Arrow: Down 482">
          <a:extLst>
            <a:ext uri="{FF2B5EF4-FFF2-40B4-BE49-F238E27FC236}">
              <a16:creationId xmlns:a16="http://schemas.microsoft.com/office/drawing/2014/main" id="{58878D9A-0B5D-4B3F-BDDF-9871B84A7F10}"/>
            </a:ext>
          </a:extLst>
        </xdr:cNvPr>
        <xdr:cNvSpPr/>
      </xdr:nvSpPr>
      <xdr:spPr>
        <a:xfrm rot="10800000">
          <a:off x="14569440" y="127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</xdr:row>
      <xdr:rowOff>0</xdr:rowOff>
    </xdr:from>
    <xdr:to>
      <xdr:col>46</xdr:col>
      <xdr:colOff>7620</xdr:colOff>
      <xdr:row>69</xdr:row>
      <xdr:rowOff>99060</xdr:rowOff>
    </xdr:to>
    <xdr:sp macro="" textlink="">
      <xdr:nvSpPr>
        <xdr:cNvPr id="485" name="Minus Sign 484">
          <a:extLst>
            <a:ext uri="{FF2B5EF4-FFF2-40B4-BE49-F238E27FC236}">
              <a16:creationId xmlns:a16="http://schemas.microsoft.com/office/drawing/2014/main" id="{A0B1D3C7-CC0E-4DB3-9E57-0C4458B77627}"/>
            </a:ext>
          </a:extLst>
        </xdr:cNvPr>
        <xdr:cNvSpPr/>
      </xdr:nvSpPr>
      <xdr:spPr>
        <a:xfrm>
          <a:off x="9951720" y="1271778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71</xdr:col>
      <xdr:colOff>0</xdr:colOff>
      <xdr:row>70</xdr:row>
      <xdr:rowOff>0</xdr:rowOff>
    </xdr:from>
    <xdr:to>
      <xdr:col>71</xdr:col>
      <xdr:colOff>83820</xdr:colOff>
      <xdr:row>70</xdr:row>
      <xdr:rowOff>114300</xdr:rowOff>
    </xdr:to>
    <xdr:sp macro="" textlink="">
      <xdr:nvSpPr>
        <xdr:cNvPr id="466" name="Arrow: Down 465">
          <a:extLst>
            <a:ext uri="{FF2B5EF4-FFF2-40B4-BE49-F238E27FC236}">
              <a16:creationId xmlns:a16="http://schemas.microsoft.com/office/drawing/2014/main" id="{01F856B5-8C5B-4787-A67A-A5D4857D7F20}"/>
            </a:ext>
          </a:extLst>
        </xdr:cNvPr>
        <xdr:cNvSpPr/>
      </xdr:nvSpPr>
      <xdr:spPr>
        <a:xfrm>
          <a:off x="16885920" y="127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</xdr:row>
      <xdr:rowOff>0</xdr:rowOff>
    </xdr:from>
    <xdr:to>
      <xdr:col>24</xdr:col>
      <xdr:colOff>83820</xdr:colOff>
      <xdr:row>70</xdr:row>
      <xdr:rowOff>114300</xdr:rowOff>
    </xdr:to>
    <xdr:sp macro="" textlink="">
      <xdr:nvSpPr>
        <xdr:cNvPr id="457" name="Arrow: Down 456">
          <a:extLst>
            <a:ext uri="{FF2B5EF4-FFF2-40B4-BE49-F238E27FC236}">
              <a16:creationId xmlns:a16="http://schemas.microsoft.com/office/drawing/2014/main" id="{22A68F4F-EB67-4276-B7A0-36931587CDE3}"/>
            </a:ext>
          </a:extLst>
        </xdr:cNvPr>
        <xdr:cNvSpPr/>
      </xdr:nvSpPr>
      <xdr:spPr>
        <a:xfrm>
          <a:off x="544068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70</xdr:row>
      <xdr:rowOff>0</xdr:rowOff>
    </xdr:from>
    <xdr:to>
      <xdr:col>39</xdr:col>
      <xdr:colOff>83820</xdr:colOff>
      <xdr:row>70</xdr:row>
      <xdr:rowOff>114300</xdr:rowOff>
    </xdr:to>
    <xdr:sp macro="" textlink="">
      <xdr:nvSpPr>
        <xdr:cNvPr id="462" name="Arrow: Down 461">
          <a:extLst>
            <a:ext uri="{FF2B5EF4-FFF2-40B4-BE49-F238E27FC236}">
              <a16:creationId xmlns:a16="http://schemas.microsoft.com/office/drawing/2014/main" id="{AFD0079F-1889-4350-B1A1-7C8E6475FDAA}"/>
            </a:ext>
          </a:extLst>
        </xdr:cNvPr>
        <xdr:cNvSpPr/>
      </xdr:nvSpPr>
      <xdr:spPr>
        <a:xfrm rot="10800000">
          <a:off x="844296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</xdr:row>
      <xdr:rowOff>0</xdr:rowOff>
    </xdr:from>
    <xdr:to>
      <xdr:col>45</xdr:col>
      <xdr:colOff>83820</xdr:colOff>
      <xdr:row>70</xdr:row>
      <xdr:rowOff>114300</xdr:rowOff>
    </xdr:to>
    <xdr:sp macro="" textlink="">
      <xdr:nvSpPr>
        <xdr:cNvPr id="463" name="Arrow: Down 462">
          <a:extLst>
            <a:ext uri="{FF2B5EF4-FFF2-40B4-BE49-F238E27FC236}">
              <a16:creationId xmlns:a16="http://schemas.microsoft.com/office/drawing/2014/main" id="{7B69D279-7D67-4697-9A93-DFC833F1A01C}"/>
            </a:ext>
          </a:extLst>
        </xdr:cNvPr>
        <xdr:cNvSpPr/>
      </xdr:nvSpPr>
      <xdr:spPr>
        <a:xfrm rot="10800000">
          <a:off x="995172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</xdr:row>
      <xdr:rowOff>0</xdr:rowOff>
    </xdr:from>
    <xdr:to>
      <xdr:col>60</xdr:col>
      <xdr:colOff>83820</xdr:colOff>
      <xdr:row>70</xdr:row>
      <xdr:rowOff>114300</xdr:rowOff>
    </xdr:to>
    <xdr:sp macro="" textlink="">
      <xdr:nvSpPr>
        <xdr:cNvPr id="465" name="Arrow: Down 464">
          <a:extLst>
            <a:ext uri="{FF2B5EF4-FFF2-40B4-BE49-F238E27FC236}">
              <a16:creationId xmlns:a16="http://schemas.microsoft.com/office/drawing/2014/main" id="{16A387A1-43E2-4C6C-97BD-87CDC195F3AC}"/>
            </a:ext>
          </a:extLst>
        </xdr:cNvPr>
        <xdr:cNvSpPr/>
      </xdr:nvSpPr>
      <xdr:spPr>
        <a:xfrm>
          <a:off x="1456944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</xdr:row>
      <xdr:rowOff>0</xdr:rowOff>
    </xdr:from>
    <xdr:to>
      <xdr:col>5</xdr:col>
      <xdr:colOff>83820</xdr:colOff>
      <xdr:row>70</xdr:row>
      <xdr:rowOff>114300</xdr:rowOff>
    </xdr:to>
    <xdr:sp macro="" textlink="">
      <xdr:nvSpPr>
        <xdr:cNvPr id="475" name="Arrow: Down 474">
          <a:extLst>
            <a:ext uri="{FF2B5EF4-FFF2-40B4-BE49-F238E27FC236}">
              <a16:creationId xmlns:a16="http://schemas.microsoft.com/office/drawing/2014/main" id="{E2F1BF9C-1499-41A4-9721-721AF4A1C093}"/>
            </a:ext>
          </a:extLst>
        </xdr:cNvPr>
        <xdr:cNvSpPr/>
      </xdr:nvSpPr>
      <xdr:spPr>
        <a:xfrm rot="10800000">
          <a:off x="192786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</xdr:row>
      <xdr:rowOff>0</xdr:rowOff>
    </xdr:from>
    <xdr:to>
      <xdr:col>11</xdr:col>
      <xdr:colOff>83820</xdr:colOff>
      <xdr:row>70</xdr:row>
      <xdr:rowOff>114300</xdr:rowOff>
    </xdr:to>
    <xdr:sp macro="" textlink="">
      <xdr:nvSpPr>
        <xdr:cNvPr id="478" name="Arrow: Down 477">
          <a:extLst>
            <a:ext uri="{FF2B5EF4-FFF2-40B4-BE49-F238E27FC236}">
              <a16:creationId xmlns:a16="http://schemas.microsoft.com/office/drawing/2014/main" id="{BB4E0999-8A20-4CA5-A729-F0F0AD3AA488}"/>
            </a:ext>
          </a:extLst>
        </xdr:cNvPr>
        <xdr:cNvSpPr/>
      </xdr:nvSpPr>
      <xdr:spPr>
        <a:xfrm rot="10800000">
          <a:off x="361950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71</xdr:row>
      <xdr:rowOff>0</xdr:rowOff>
    </xdr:from>
    <xdr:to>
      <xdr:col>71</xdr:col>
      <xdr:colOff>83820</xdr:colOff>
      <xdr:row>71</xdr:row>
      <xdr:rowOff>114300</xdr:rowOff>
    </xdr:to>
    <xdr:sp macro="" textlink="">
      <xdr:nvSpPr>
        <xdr:cNvPr id="490" name="Arrow: Down 489">
          <a:extLst>
            <a:ext uri="{FF2B5EF4-FFF2-40B4-BE49-F238E27FC236}">
              <a16:creationId xmlns:a16="http://schemas.microsoft.com/office/drawing/2014/main" id="{93473CC1-E656-4B5D-B172-52C69BF8B1FF}"/>
            </a:ext>
          </a:extLst>
        </xdr:cNvPr>
        <xdr:cNvSpPr/>
      </xdr:nvSpPr>
      <xdr:spPr>
        <a:xfrm>
          <a:off x="1688592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</xdr:row>
      <xdr:rowOff>0</xdr:rowOff>
    </xdr:from>
    <xdr:to>
      <xdr:col>39</xdr:col>
      <xdr:colOff>83820</xdr:colOff>
      <xdr:row>71</xdr:row>
      <xdr:rowOff>114300</xdr:rowOff>
    </xdr:to>
    <xdr:sp macro="" textlink="">
      <xdr:nvSpPr>
        <xdr:cNvPr id="492" name="Arrow: Down 491">
          <a:extLst>
            <a:ext uri="{FF2B5EF4-FFF2-40B4-BE49-F238E27FC236}">
              <a16:creationId xmlns:a16="http://schemas.microsoft.com/office/drawing/2014/main" id="{22DC44A3-6785-431A-9FBD-A59CD71AF410}"/>
            </a:ext>
          </a:extLst>
        </xdr:cNvPr>
        <xdr:cNvSpPr/>
      </xdr:nvSpPr>
      <xdr:spPr>
        <a:xfrm rot="10800000">
          <a:off x="844296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</xdr:row>
      <xdr:rowOff>0</xdr:rowOff>
    </xdr:from>
    <xdr:to>
      <xdr:col>45</xdr:col>
      <xdr:colOff>83820</xdr:colOff>
      <xdr:row>71</xdr:row>
      <xdr:rowOff>114300</xdr:rowOff>
    </xdr:to>
    <xdr:sp macro="" textlink="">
      <xdr:nvSpPr>
        <xdr:cNvPr id="493" name="Arrow: Down 492">
          <a:extLst>
            <a:ext uri="{FF2B5EF4-FFF2-40B4-BE49-F238E27FC236}">
              <a16:creationId xmlns:a16="http://schemas.microsoft.com/office/drawing/2014/main" id="{CEED763D-4988-45DB-A51F-166A8F176CFC}"/>
            </a:ext>
          </a:extLst>
        </xdr:cNvPr>
        <xdr:cNvSpPr/>
      </xdr:nvSpPr>
      <xdr:spPr>
        <a:xfrm rot="10800000">
          <a:off x="995172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</xdr:row>
      <xdr:rowOff>0</xdr:rowOff>
    </xdr:from>
    <xdr:to>
      <xdr:col>60</xdr:col>
      <xdr:colOff>83820</xdr:colOff>
      <xdr:row>71</xdr:row>
      <xdr:rowOff>114300</xdr:rowOff>
    </xdr:to>
    <xdr:sp macro="" textlink="">
      <xdr:nvSpPr>
        <xdr:cNvPr id="494" name="Arrow: Down 493">
          <a:extLst>
            <a:ext uri="{FF2B5EF4-FFF2-40B4-BE49-F238E27FC236}">
              <a16:creationId xmlns:a16="http://schemas.microsoft.com/office/drawing/2014/main" id="{6055176D-6257-44AE-BC97-985D5EF96C1D}"/>
            </a:ext>
          </a:extLst>
        </xdr:cNvPr>
        <xdr:cNvSpPr/>
      </xdr:nvSpPr>
      <xdr:spPr>
        <a:xfrm>
          <a:off x="1456944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</xdr:row>
      <xdr:rowOff>0</xdr:rowOff>
    </xdr:from>
    <xdr:to>
      <xdr:col>5</xdr:col>
      <xdr:colOff>83820</xdr:colOff>
      <xdr:row>71</xdr:row>
      <xdr:rowOff>114300</xdr:rowOff>
    </xdr:to>
    <xdr:sp macro="" textlink="">
      <xdr:nvSpPr>
        <xdr:cNvPr id="495" name="Arrow: Down 494">
          <a:extLst>
            <a:ext uri="{FF2B5EF4-FFF2-40B4-BE49-F238E27FC236}">
              <a16:creationId xmlns:a16="http://schemas.microsoft.com/office/drawing/2014/main" id="{A4F607D9-966E-4CA8-9A3E-0C45F961326A}"/>
            </a:ext>
          </a:extLst>
        </xdr:cNvPr>
        <xdr:cNvSpPr/>
      </xdr:nvSpPr>
      <xdr:spPr>
        <a:xfrm rot="10800000">
          <a:off x="192786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</xdr:row>
      <xdr:rowOff>0</xdr:rowOff>
    </xdr:from>
    <xdr:to>
      <xdr:col>11</xdr:col>
      <xdr:colOff>83820</xdr:colOff>
      <xdr:row>71</xdr:row>
      <xdr:rowOff>114300</xdr:rowOff>
    </xdr:to>
    <xdr:sp macro="" textlink="">
      <xdr:nvSpPr>
        <xdr:cNvPr id="496" name="Arrow: Down 495">
          <a:extLst>
            <a:ext uri="{FF2B5EF4-FFF2-40B4-BE49-F238E27FC236}">
              <a16:creationId xmlns:a16="http://schemas.microsoft.com/office/drawing/2014/main" id="{DACE3D76-B45E-4DF3-B11C-7D64FC9EB3CF}"/>
            </a:ext>
          </a:extLst>
        </xdr:cNvPr>
        <xdr:cNvSpPr/>
      </xdr:nvSpPr>
      <xdr:spPr>
        <a:xfrm rot="10800000">
          <a:off x="361950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</xdr:row>
      <xdr:rowOff>0</xdr:rowOff>
    </xdr:from>
    <xdr:to>
      <xdr:col>24</xdr:col>
      <xdr:colOff>83820</xdr:colOff>
      <xdr:row>71</xdr:row>
      <xdr:rowOff>114300</xdr:rowOff>
    </xdr:to>
    <xdr:sp macro="" textlink="">
      <xdr:nvSpPr>
        <xdr:cNvPr id="498" name="Arrow: Down 497">
          <a:extLst>
            <a:ext uri="{FF2B5EF4-FFF2-40B4-BE49-F238E27FC236}">
              <a16:creationId xmlns:a16="http://schemas.microsoft.com/office/drawing/2014/main" id="{1BF5EF02-395D-4781-9834-2CDC67FA65D6}"/>
            </a:ext>
          </a:extLst>
        </xdr:cNvPr>
        <xdr:cNvSpPr/>
      </xdr:nvSpPr>
      <xdr:spPr>
        <a:xfrm rot="10800000">
          <a:off x="5440680" y="130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72</xdr:row>
      <xdr:rowOff>0</xdr:rowOff>
    </xdr:from>
    <xdr:to>
      <xdr:col>71</xdr:col>
      <xdr:colOff>83820</xdr:colOff>
      <xdr:row>72</xdr:row>
      <xdr:rowOff>114300</xdr:rowOff>
    </xdr:to>
    <xdr:sp macro="" textlink="">
      <xdr:nvSpPr>
        <xdr:cNvPr id="474" name="Arrow: Down 473">
          <a:extLst>
            <a:ext uri="{FF2B5EF4-FFF2-40B4-BE49-F238E27FC236}">
              <a16:creationId xmlns:a16="http://schemas.microsoft.com/office/drawing/2014/main" id="{6B189826-EB1D-42CE-AB44-3A925F8A3C1A}"/>
            </a:ext>
          </a:extLst>
        </xdr:cNvPr>
        <xdr:cNvSpPr/>
      </xdr:nvSpPr>
      <xdr:spPr>
        <a:xfrm>
          <a:off x="1688592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</xdr:row>
      <xdr:rowOff>0</xdr:rowOff>
    </xdr:from>
    <xdr:to>
      <xdr:col>39</xdr:col>
      <xdr:colOff>83820</xdr:colOff>
      <xdr:row>72</xdr:row>
      <xdr:rowOff>114300</xdr:rowOff>
    </xdr:to>
    <xdr:sp macro="" textlink="">
      <xdr:nvSpPr>
        <xdr:cNvPr id="477" name="Arrow: Down 476">
          <a:extLst>
            <a:ext uri="{FF2B5EF4-FFF2-40B4-BE49-F238E27FC236}">
              <a16:creationId xmlns:a16="http://schemas.microsoft.com/office/drawing/2014/main" id="{9E5B158C-3814-4386-BA21-2DE8F21CBB67}"/>
            </a:ext>
          </a:extLst>
        </xdr:cNvPr>
        <xdr:cNvSpPr/>
      </xdr:nvSpPr>
      <xdr:spPr>
        <a:xfrm rot="10800000">
          <a:off x="844296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</xdr:row>
      <xdr:rowOff>0</xdr:rowOff>
    </xdr:from>
    <xdr:to>
      <xdr:col>45</xdr:col>
      <xdr:colOff>83820</xdr:colOff>
      <xdr:row>72</xdr:row>
      <xdr:rowOff>114300</xdr:rowOff>
    </xdr:to>
    <xdr:sp macro="" textlink="">
      <xdr:nvSpPr>
        <xdr:cNvPr id="480" name="Arrow: Down 479">
          <a:extLst>
            <a:ext uri="{FF2B5EF4-FFF2-40B4-BE49-F238E27FC236}">
              <a16:creationId xmlns:a16="http://schemas.microsoft.com/office/drawing/2014/main" id="{4EF32D32-86B1-4F9A-BAF3-3FF3ED5ECFE5}"/>
            </a:ext>
          </a:extLst>
        </xdr:cNvPr>
        <xdr:cNvSpPr/>
      </xdr:nvSpPr>
      <xdr:spPr>
        <a:xfrm rot="10800000">
          <a:off x="995172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</xdr:row>
      <xdr:rowOff>0</xdr:rowOff>
    </xdr:from>
    <xdr:to>
      <xdr:col>60</xdr:col>
      <xdr:colOff>83820</xdr:colOff>
      <xdr:row>72</xdr:row>
      <xdr:rowOff>114300</xdr:rowOff>
    </xdr:to>
    <xdr:sp macro="" textlink="">
      <xdr:nvSpPr>
        <xdr:cNvPr id="482" name="Arrow: Down 481">
          <a:extLst>
            <a:ext uri="{FF2B5EF4-FFF2-40B4-BE49-F238E27FC236}">
              <a16:creationId xmlns:a16="http://schemas.microsoft.com/office/drawing/2014/main" id="{58DDC545-59B2-4343-BBBF-918D236481F9}"/>
            </a:ext>
          </a:extLst>
        </xdr:cNvPr>
        <xdr:cNvSpPr/>
      </xdr:nvSpPr>
      <xdr:spPr>
        <a:xfrm>
          <a:off x="1456944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</xdr:row>
      <xdr:rowOff>0</xdr:rowOff>
    </xdr:from>
    <xdr:to>
      <xdr:col>24</xdr:col>
      <xdr:colOff>83820</xdr:colOff>
      <xdr:row>72</xdr:row>
      <xdr:rowOff>114300</xdr:rowOff>
    </xdr:to>
    <xdr:sp macro="" textlink="">
      <xdr:nvSpPr>
        <xdr:cNvPr id="491" name="Arrow: Down 490">
          <a:extLst>
            <a:ext uri="{FF2B5EF4-FFF2-40B4-BE49-F238E27FC236}">
              <a16:creationId xmlns:a16="http://schemas.microsoft.com/office/drawing/2014/main" id="{E48DDD60-D186-4E53-9E9F-B1E4504A3531}"/>
            </a:ext>
          </a:extLst>
        </xdr:cNvPr>
        <xdr:cNvSpPr/>
      </xdr:nvSpPr>
      <xdr:spPr>
        <a:xfrm>
          <a:off x="544068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72</xdr:row>
      <xdr:rowOff>0</xdr:rowOff>
    </xdr:from>
    <xdr:to>
      <xdr:col>5</xdr:col>
      <xdr:colOff>83820</xdr:colOff>
      <xdr:row>72</xdr:row>
      <xdr:rowOff>114300</xdr:rowOff>
    </xdr:to>
    <xdr:sp macro="" textlink="">
      <xdr:nvSpPr>
        <xdr:cNvPr id="497" name="Arrow: Down 496">
          <a:extLst>
            <a:ext uri="{FF2B5EF4-FFF2-40B4-BE49-F238E27FC236}">
              <a16:creationId xmlns:a16="http://schemas.microsoft.com/office/drawing/2014/main" id="{0DFDE999-B868-4AAF-A578-2911E192D0C9}"/>
            </a:ext>
          </a:extLst>
        </xdr:cNvPr>
        <xdr:cNvSpPr/>
      </xdr:nvSpPr>
      <xdr:spPr>
        <a:xfrm>
          <a:off x="192786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72</xdr:row>
      <xdr:rowOff>0</xdr:rowOff>
    </xdr:from>
    <xdr:to>
      <xdr:col>11</xdr:col>
      <xdr:colOff>83820</xdr:colOff>
      <xdr:row>72</xdr:row>
      <xdr:rowOff>114300</xdr:rowOff>
    </xdr:to>
    <xdr:sp macro="" textlink="">
      <xdr:nvSpPr>
        <xdr:cNvPr id="500" name="Arrow: Down 499">
          <a:extLst>
            <a:ext uri="{FF2B5EF4-FFF2-40B4-BE49-F238E27FC236}">
              <a16:creationId xmlns:a16="http://schemas.microsoft.com/office/drawing/2014/main" id="{2ABA6FFC-9934-475F-BCC0-DF48A4338BB6}"/>
            </a:ext>
          </a:extLst>
        </xdr:cNvPr>
        <xdr:cNvSpPr/>
      </xdr:nvSpPr>
      <xdr:spPr>
        <a:xfrm>
          <a:off x="3619500" y="1326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73</xdr:row>
      <xdr:rowOff>0</xdr:rowOff>
    </xdr:from>
    <xdr:to>
      <xdr:col>71</xdr:col>
      <xdr:colOff>83820</xdr:colOff>
      <xdr:row>73</xdr:row>
      <xdr:rowOff>114300</xdr:rowOff>
    </xdr:to>
    <xdr:sp macro="" textlink="">
      <xdr:nvSpPr>
        <xdr:cNvPr id="484" name="Arrow: Down 483">
          <a:extLst>
            <a:ext uri="{FF2B5EF4-FFF2-40B4-BE49-F238E27FC236}">
              <a16:creationId xmlns:a16="http://schemas.microsoft.com/office/drawing/2014/main" id="{32E638A4-B3EB-4627-ACE1-F25AED5D7411}"/>
            </a:ext>
          </a:extLst>
        </xdr:cNvPr>
        <xdr:cNvSpPr/>
      </xdr:nvSpPr>
      <xdr:spPr>
        <a:xfrm>
          <a:off x="1688592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</xdr:row>
      <xdr:rowOff>0</xdr:rowOff>
    </xdr:from>
    <xdr:to>
      <xdr:col>45</xdr:col>
      <xdr:colOff>83820</xdr:colOff>
      <xdr:row>73</xdr:row>
      <xdr:rowOff>114300</xdr:rowOff>
    </xdr:to>
    <xdr:sp macro="" textlink="">
      <xdr:nvSpPr>
        <xdr:cNvPr id="487" name="Arrow: Down 486">
          <a:extLst>
            <a:ext uri="{FF2B5EF4-FFF2-40B4-BE49-F238E27FC236}">
              <a16:creationId xmlns:a16="http://schemas.microsoft.com/office/drawing/2014/main" id="{7AD0A002-AC1A-4895-A739-2D6731C71C76}"/>
            </a:ext>
          </a:extLst>
        </xdr:cNvPr>
        <xdr:cNvSpPr/>
      </xdr:nvSpPr>
      <xdr:spPr>
        <a:xfrm rot="10800000">
          <a:off x="995172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</xdr:row>
      <xdr:rowOff>0</xdr:rowOff>
    </xdr:from>
    <xdr:to>
      <xdr:col>60</xdr:col>
      <xdr:colOff>83820</xdr:colOff>
      <xdr:row>73</xdr:row>
      <xdr:rowOff>114300</xdr:rowOff>
    </xdr:to>
    <xdr:sp macro="" textlink="">
      <xdr:nvSpPr>
        <xdr:cNvPr id="488" name="Arrow: Down 487">
          <a:extLst>
            <a:ext uri="{FF2B5EF4-FFF2-40B4-BE49-F238E27FC236}">
              <a16:creationId xmlns:a16="http://schemas.microsoft.com/office/drawing/2014/main" id="{1CB59807-C487-4296-B1C1-A80944CBE0D7}"/>
            </a:ext>
          </a:extLst>
        </xdr:cNvPr>
        <xdr:cNvSpPr/>
      </xdr:nvSpPr>
      <xdr:spPr>
        <a:xfrm>
          <a:off x="1456944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</xdr:row>
      <xdr:rowOff>0</xdr:rowOff>
    </xdr:from>
    <xdr:to>
      <xdr:col>24</xdr:col>
      <xdr:colOff>83820</xdr:colOff>
      <xdr:row>73</xdr:row>
      <xdr:rowOff>114300</xdr:rowOff>
    </xdr:to>
    <xdr:sp macro="" textlink="">
      <xdr:nvSpPr>
        <xdr:cNvPr id="489" name="Arrow: Down 488">
          <a:extLst>
            <a:ext uri="{FF2B5EF4-FFF2-40B4-BE49-F238E27FC236}">
              <a16:creationId xmlns:a16="http://schemas.microsoft.com/office/drawing/2014/main" id="{4F84B8D5-0440-4DBE-A7D5-93D973BFF9D2}"/>
            </a:ext>
          </a:extLst>
        </xdr:cNvPr>
        <xdr:cNvSpPr/>
      </xdr:nvSpPr>
      <xdr:spPr>
        <a:xfrm>
          <a:off x="544068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73</xdr:row>
      <xdr:rowOff>0</xdr:rowOff>
    </xdr:from>
    <xdr:to>
      <xdr:col>5</xdr:col>
      <xdr:colOff>83820</xdr:colOff>
      <xdr:row>73</xdr:row>
      <xdr:rowOff>114300</xdr:rowOff>
    </xdr:to>
    <xdr:sp macro="" textlink="">
      <xdr:nvSpPr>
        <xdr:cNvPr id="499" name="Arrow: Down 498">
          <a:extLst>
            <a:ext uri="{FF2B5EF4-FFF2-40B4-BE49-F238E27FC236}">
              <a16:creationId xmlns:a16="http://schemas.microsoft.com/office/drawing/2014/main" id="{6B533E18-1604-4EBC-9B1A-A1DF4C23ACD3}"/>
            </a:ext>
          </a:extLst>
        </xdr:cNvPr>
        <xdr:cNvSpPr/>
      </xdr:nvSpPr>
      <xdr:spPr>
        <a:xfrm>
          <a:off x="192786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73</xdr:row>
      <xdr:rowOff>0</xdr:rowOff>
    </xdr:from>
    <xdr:to>
      <xdr:col>11</xdr:col>
      <xdr:colOff>83820</xdr:colOff>
      <xdr:row>73</xdr:row>
      <xdr:rowOff>114300</xdr:rowOff>
    </xdr:to>
    <xdr:sp macro="" textlink="">
      <xdr:nvSpPr>
        <xdr:cNvPr id="501" name="Arrow: Down 500">
          <a:extLst>
            <a:ext uri="{FF2B5EF4-FFF2-40B4-BE49-F238E27FC236}">
              <a16:creationId xmlns:a16="http://schemas.microsoft.com/office/drawing/2014/main" id="{A17543A9-3EC4-4638-9070-87884605E9F9}"/>
            </a:ext>
          </a:extLst>
        </xdr:cNvPr>
        <xdr:cNvSpPr/>
      </xdr:nvSpPr>
      <xdr:spPr>
        <a:xfrm>
          <a:off x="3619500" y="1326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73</xdr:row>
      <xdr:rowOff>0</xdr:rowOff>
    </xdr:from>
    <xdr:to>
      <xdr:col>39</xdr:col>
      <xdr:colOff>83820</xdr:colOff>
      <xdr:row>73</xdr:row>
      <xdr:rowOff>114300</xdr:rowOff>
    </xdr:to>
    <xdr:sp macro="" textlink="">
      <xdr:nvSpPr>
        <xdr:cNvPr id="503" name="Arrow: Down 502">
          <a:extLst>
            <a:ext uri="{FF2B5EF4-FFF2-40B4-BE49-F238E27FC236}">
              <a16:creationId xmlns:a16="http://schemas.microsoft.com/office/drawing/2014/main" id="{C5B73AE7-4517-460F-8946-2D59249A4870}"/>
            </a:ext>
          </a:extLst>
        </xdr:cNvPr>
        <xdr:cNvSpPr/>
      </xdr:nvSpPr>
      <xdr:spPr>
        <a:xfrm>
          <a:off x="8442960" y="134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74</xdr:row>
      <xdr:rowOff>0</xdr:rowOff>
    </xdr:from>
    <xdr:to>
      <xdr:col>71</xdr:col>
      <xdr:colOff>83820</xdr:colOff>
      <xdr:row>74</xdr:row>
      <xdr:rowOff>114300</xdr:rowOff>
    </xdr:to>
    <xdr:sp macro="" textlink="">
      <xdr:nvSpPr>
        <xdr:cNvPr id="455" name="Arrow: Down 454">
          <a:extLst>
            <a:ext uri="{FF2B5EF4-FFF2-40B4-BE49-F238E27FC236}">
              <a16:creationId xmlns:a16="http://schemas.microsoft.com/office/drawing/2014/main" id="{C137B2F5-63C8-474B-B7DE-ECA69C2A2B40}"/>
            </a:ext>
          </a:extLst>
        </xdr:cNvPr>
        <xdr:cNvSpPr/>
      </xdr:nvSpPr>
      <xdr:spPr>
        <a:xfrm>
          <a:off x="18547080" y="134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</xdr:row>
      <xdr:rowOff>0</xdr:rowOff>
    </xdr:from>
    <xdr:to>
      <xdr:col>24</xdr:col>
      <xdr:colOff>83820</xdr:colOff>
      <xdr:row>74</xdr:row>
      <xdr:rowOff>114300</xdr:rowOff>
    </xdr:to>
    <xdr:sp macro="" textlink="">
      <xdr:nvSpPr>
        <xdr:cNvPr id="468" name="Arrow: Down 467">
          <a:extLst>
            <a:ext uri="{FF2B5EF4-FFF2-40B4-BE49-F238E27FC236}">
              <a16:creationId xmlns:a16="http://schemas.microsoft.com/office/drawing/2014/main" id="{39772F6C-8A3B-49FA-8C3A-91103C9A7A8F}"/>
            </a:ext>
          </a:extLst>
        </xdr:cNvPr>
        <xdr:cNvSpPr/>
      </xdr:nvSpPr>
      <xdr:spPr>
        <a:xfrm>
          <a:off x="7101840" y="134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74</xdr:row>
      <xdr:rowOff>0</xdr:rowOff>
    </xdr:from>
    <xdr:to>
      <xdr:col>5</xdr:col>
      <xdr:colOff>83820</xdr:colOff>
      <xdr:row>74</xdr:row>
      <xdr:rowOff>114300</xdr:rowOff>
    </xdr:to>
    <xdr:sp macro="" textlink="">
      <xdr:nvSpPr>
        <xdr:cNvPr id="470" name="Arrow: Down 469">
          <a:extLst>
            <a:ext uri="{FF2B5EF4-FFF2-40B4-BE49-F238E27FC236}">
              <a16:creationId xmlns:a16="http://schemas.microsoft.com/office/drawing/2014/main" id="{893DEECC-9481-4F80-BB3C-B2A9950D43B5}"/>
            </a:ext>
          </a:extLst>
        </xdr:cNvPr>
        <xdr:cNvSpPr/>
      </xdr:nvSpPr>
      <xdr:spPr>
        <a:xfrm>
          <a:off x="1927860" y="134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74</xdr:row>
      <xdr:rowOff>0</xdr:rowOff>
    </xdr:from>
    <xdr:to>
      <xdr:col>11</xdr:col>
      <xdr:colOff>83820</xdr:colOff>
      <xdr:row>74</xdr:row>
      <xdr:rowOff>114300</xdr:rowOff>
    </xdr:to>
    <xdr:sp macro="" textlink="">
      <xdr:nvSpPr>
        <xdr:cNvPr id="471" name="Arrow: Down 470">
          <a:extLst>
            <a:ext uri="{FF2B5EF4-FFF2-40B4-BE49-F238E27FC236}">
              <a16:creationId xmlns:a16="http://schemas.microsoft.com/office/drawing/2014/main" id="{919CBD04-F94A-4BD1-905E-97A401C04988}"/>
            </a:ext>
          </a:extLst>
        </xdr:cNvPr>
        <xdr:cNvSpPr/>
      </xdr:nvSpPr>
      <xdr:spPr>
        <a:xfrm>
          <a:off x="3619500" y="1344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74</xdr:row>
      <xdr:rowOff>0</xdr:rowOff>
    </xdr:from>
    <xdr:to>
      <xdr:col>39</xdr:col>
      <xdr:colOff>83820</xdr:colOff>
      <xdr:row>74</xdr:row>
      <xdr:rowOff>114300</xdr:rowOff>
    </xdr:to>
    <xdr:sp macro="" textlink="">
      <xdr:nvSpPr>
        <xdr:cNvPr id="473" name="Arrow: Down 472">
          <a:extLst>
            <a:ext uri="{FF2B5EF4-FFF2-40B4-BE49-F238E27FC236}">
              <a16:creationId xmlns:a16="http://schemas.microsoft.com/office/drawing/2014/main" id="{23F2599F-E7C5-4B25-AD7A-577EFC19E012}"/>
            </a:ext>
          </a:extLst>
        </xdr:cNvPr>
        <xdr:cNvSpPr/>
      </xdr:nvSpPr>
      <xdr:spPr>
        <a:xfrm>
          <a:off x="10104120" y="134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91</xdr:col>
      <xdr:colOff>350520</xdr:colOff>
      <xdr:row>8</xdr:row>
      <xdr:rowOff>0</xdr:rowOff>
    </xdr:from>
    <xdr:to>
      <xdr:col>97</xdr:col>
      <xdr:colOff>22860</xdr:colOff>
      <xdr:row>25</xdr:row>
      <xdr:rowOff>167640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94AEB37-4356-482D-8011-BAFDAAD9059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95</xdr:col>
      <xdr:colOff>586740</xdr:colOff>
      <xdr:row>2</xdr:row>
      <xdr:rowOff>22860</xdr:rowOff>
    </xdr:from>
    <xdr:to>
      <xdr:col>103</xdr:col>
      <xdr:colOff>182880</xdr:colOff>
      <xdr:row>23</xdr:row>
      <xdr:rowOff>60960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EE80E16-783A-47AF-8FC2-D755C3AD5A4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78</xdr:col>
      <xdr:colOff>175260</xdr:colOff>
      <xdr:row>8</xdr:row>
      <xdr:rowOff>76200</xdr:rowOff>
    </xdr:from>
    <xdr:to>
      <xdr:col>91</xdr:col>
      <xdr:colOff>381000</xdr:colOff>
      <xdr:row>26</xdr:row>
      <xdr:rowOff>38100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F9C9EA0-B665-4656-B9C2-9B038BCCD30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45</xdr:col>
      <xdr:colOff>0</xdr:colOff>
      <xdr:row>74</xdr:row>
      <xdr:rowOff>0</xdr:rowOff>
    </xdr:from>
    <xdr:to>
      <xdr:col>45</xdr:col>
      <xdr:colOff>83820</xdr:colOff>
      <xdr:row>74</xdr:row>
      <xdr:rowOff>114300</xdr:rowOff>
    </xdr:to>
    <xdr:sp macro="" textlink="">
      <xdr:nvSpPr>
        <xdr:cNvPr id="486" name="Arrow: Down 485">
          <a:extLst>
            <a:ext uri="{FF2B5EF4-FFF2-40B4-BE49-F238E27FC236}">
              <a16:creationId xmlns:a16="http://schemas.microsoft.com/office/drawing/2014/main" id="{9056D1D5-D10C-45DD-8E65-963C8E8ABAEE}"/>
            </a:ext>
          </a:extLst>
        </xdr:cNvPr>
        <xdr:cNvSpPr/>
      </xdr:nvSpPr>
      <xdr:spPr>
        <a:xfrm>
          <a:off x="12923520" y="136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</xdr:row>
      <xdr:rowOff>0</xdr:rowOff>
    </xdr:from>
    <xdr:to>
      <xdr:col>60</xdr:col>
      <xdr:colOff>83820</xdr:colOff>
      <xdr:row>74</xdr:row>
      <xdr:rowOff>114300</xdr:rowOff>
    </xdr:to>
    <xdr:sp macro="" textlink="">
      <xdr:nvSpPr>
        <xdr:cNvPr id="502" name="Arrow: Down 501">
          <a:extLst>
            <a:ext uri="{FF2B5EF4-FFF2-40B4-BE49-F238E27FC236}">
              <a16:creationId xmlns:a16="http://schemas.microsoft.com/office/drawing/2014/main" id="{411C7F3B-AE8B-4337-990B-B161DCF6E4B1}"/>
            </a:ext>
          </a:extLst>
        </xdr:cNvPr>
        <xdr:cNvSpPr/>
      </xdr:nvSpPr>
      <xdr:spPr>
        <a:xfrm rot="10800000">
          <a:off x="17541240" y="136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75</xdr:row>
      <xdr:rowOff>0</xdr:rowOff>
    </xdr:from>
    <xdr:to>
      <xdr:col>71</xdr:col>
      <xdr:colOff>83820</xdr:colOff>
      <xdr:row>75</xdr:row>
      <xdr:rowOff>114300</xdr:rowOff>
    </xdr:to>
    <xdr:sp macro="" textlink="">
      <xdr:nvSpPr>
        <xdr:cNvPr id="459" name="Arrow: Down 458">
          <a:extLst>
            <a:ext uri="{FF2B5EF4-FFF2-40B4-BE49-F238E27FC236}">
              <a16:creationId xmlns:a16="http://schemas.microsoft.com/office/drawing/2014/main" id="{E43C89D8-1001-481E-957F-CECA89FD3AD8}"/>
            </a:ext>
          </a:extLst>
        </xdr:cNvPr>
        <xdr:cNvSpPr/>
      </xdr:nvSpPr>
      <xdr:spPr>
        <a:xfrm>
          <a:off x="16885920" y="1363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</xdr:row>
      <xdr:rowOff>0</xdr:rowOff>
    </xdr:from>
    <xdr:to>
      <xdr:col>24</xdr:col>
      <xdr:colOff>83820</xdr:colOff>
      <xdr:row>75</xdr:row>
      <xdr:rowOff>114300</xdr:rowOff>
    </xdr:to>
    <xdr:sp macro="" textlink="">
      <xdr:nvSpPr>
        <xdr:cNvPr id="464" name="Arrow: Down 463">
          <a:extLst>
            <a:ext uri="{FF2B5EF4-FFF2-40B4-BE49-F238E27FC236}">
              <a16:creationId xmlns:a16="http://schemas.microsoft.com/office/drawing/2014/main" id="{2CB2A946-35F2-478F-91BA-7D10D5C051EE}"/>
            </a:ext>
          </a:extLst>
        </xdr:cNvPr>
        <xdr:cNvSpPr/>
      </xdr:nvSpPr>
      <xdr:spPr>
        <a:xfrm>
          <a:off x="5440680" y="1363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75</xdr:row>
      <xdr:rowOff>0</xdr:rowOff>
    </xdr:from>
    <xdr:to>
      <xdr:col>5</xdr:col>
      <xdr:colOff>83820</xdr:colOff>
      <xdr:row>75</xdr:row>
      <xdr:rowOff>114300</xdr:rowOff>
    </xdr:to>
    <xdr:sp macro="" textlink="">
      <xdr:nvSpPr>
        <xdr:cNvPr id="509" name="Arrow: Down 508">
          <a:extLst>
            <a:ext uri="{FF2B5EF4-FFF2-40B4-BE49-F238E27FC236}">
              <a16:creationId xmlns:a16="http://schemas.microsoft.com/office/drawing/2014/main" id="{599AD875-26BA-4493-80A4-B4B5AC3F9C23}"/>
            </a:ext>
          </a:extLst>
        </xdr:cNvPr>
        <xdr:cNvSpPr/>
      </xdr:nvSpPr>
      <xdr:spPr>
        <a:xfrm rot="10800000">
          <a:off x="1927860" y="1381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</xdr:row>
      <xdr:rowOff>0</xdr:rowOff>
    </xdr:from>
    <xdr:to>
      <xdr:col>39</xdr:col>
      <xdr:colOff>83820</xdr:colOff>
      <xdr:row>75</xdr:row>
      <xdr:rowOff>114300</xdr:rowOff>
    </xdr:to>
    <xdr:sp macro="" textlink="">
      <xdr:nvSpPr>
        <xdr:cNvPr id="510" name="Arrow: Down 509">
          <a:extLst>
            <a:ext uri="{FF2B5EF4-FFF2-40B4-BE49-F238E27FC236}">
              <a16:creationId xmlns:a16="http://schemas.microsoft.com/office/drawing/2014/main" id="{01B7A094-5976-48CD-A0A3-BA15895D1B00}"/>
            </a:ext>
          </a:extLst>
        </xdr:cNvPr>
        <xdr:cNvSpPr/>
      </xdr:nvSpPr>
      <xdr:spPr>
        <a:xfrm rot="10800000">
          <a:off x="844296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</xdr:row>
      <xdr:rowOff>0</xdr:rowOff>
    </xdr:from>
    <xdr:to>
      <xdr:col>45</xdr:col>
      <xdr:colOff>83820</xdr:colOff>
      <xdr:row>75</xdr:row>
      <xdr:rowOff>114300</xdr:rowOff>
    </xdr:to>
    <xdr:sp macro="" textlink="">
      <xdr:nvSpPr>
        <xdr:cNvPr id="512" name="Arrow: Down 511">
          <a:extLst>
            <a:ext uri="{FF2B5EF4-FFF2-40B4-BE49-F238E27FC236}">
              <a16:creationId xmlns:a16="http://schemas.microsoft.com/office/drawing/2014/main" id="{690D45F8-2438-4DD0-9C29-5098D1D7923B}"/>
            </a:ext>
          </a:extLst>
        </xdr:cNvPr>
        <xdr:cNvSpPr/>
      </xdr:nvSpPr>
      <xdr:spPr>
        <a:xfrm rot="10800000">
          <a:off x="995172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</xdr:row>
      <xdr:rowOff>0</xdr:rowOff>
    </xdr:from>
    <xdr:to>
      <xdr:col>11</xdr:col>
      <xdr:colOff>160020</xdr:colOff>
      <xdr:row>75</xdr:row>
      <xdr:rowOff>99060</xdr:rowOff>
    </xdr:to>
    <xdr:sp macro="" textlink="">
      <xdr:nvSpPr>
        <xdr:cNvPr id="515" name="Minus Sign 514">
          <a:extLst>
            <a:ext uri="{FF2B5EF4-FFF2-40B4-BE49-F238E27FC236}">
              <a16:creationId xmlns:a16="http://schemas.microsoft.com/office/drawing/2014/main" id="{148AAB89-5F8E-43F6-991A-11ACA16ABA0E}"/>
            </a:ext>
          </a:extLst>
        </xdr:cNvPr>
        <xdr:cNvSpPr/>
      </xdr:nvSpPr>
      <xdr:spPr>
        <a:xfrm>
          <a:off x="3619500" y="1381506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60</xdr:col>
      <xdr:colOff>0</xdr:colOff>
      <xdr:row>75</xdr:row>
      <xdr:rowOff>0</xdr:rowOff>
    </xdr:from>
    <xdr:to>
      <xdr:col>60</xdr:col>
      <xdr:colOff>83820</xdr:colOff>
      <xdr:row>75</xdr:row>
      <xdr:rowOff>114300</xdr:rowOff>
    </xdr:to>
    <xdr:sp macro="" textlink="">
      <xdr:nvSpPr>
        <xdr:cNvPr id="516" name="Arrow: Down 515">
          <a:extLst>
            <a:ext uri="{FF2B5EF4-FFF2-40B4-BE49-F238E27FC236}">
              <a16:creationId xmlns:a16="http://schemas.microsoft.com/office/drawing/2014/main" id="{9BEA6317-4A0A-4323-B84E-9C914E8DF7FB}"/>
            </a:ext>
          </a:extLst>
        </xdr:cNvPr>
        <xdr:cNvSpPr/>
      </xdr:nvSpPr>
      <xdr:spPr>
        <a:xfrm>
          <a:off x="1456944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76</xdr:row>
      <xdr:rowOff>0</xdr:rowOff>
    </xdr:from>
    <xdr:to>
      <xdr:col>71</xdr:col>
      <xdr:colOff>83820</xdr:colOff>
      <xdr:row>76</xdr:row>
      <xdr:rowOff>114300</xdr:rowOff>
    </xdr:to>
    <xdr:sp macro="" textlink="">
      <xdr:nvSpPr>
        <xdr:cNvPr id="504" name="Arrow: Down 503">
          <a:extLst>
            <a:ext uri="{FF2B5EF4-FFF2-40B4-BE49-F238E27FC236}">
              <a16:creationId xmlns:a16="http://schemas.microsoft.com/office/drawing/2014/main" id="{FB3BE2DB-67AB-4172-A5EC-28C5F3FF2852}"/>
            </a:ext>
          </a:extLst>
        </xdr:cNvPr>
        <xdr:cNvSpPr/>
      </xdr:nvSpPr>
      <xdr:spPr>
        <a:xfrm>
          <a:off x="1688592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</xdr:row>
      <xdr:rowOff>0</xdr:rowOff>
    </xdr:from>
    <xdr:to>
      <xdr:col>39</xdr:col>
      <xdr:colOff>83820</xdr:colOff>
      <xdr:row>76</xdr:row>
      <xdr:rowOff>114300</xdr:rowOff>
    </xdr:to>
    <xdr:sp macro="" textlink="">
      <xdr:nvSpPr>
        <xdr:cNvPr id="507" name="Arrow: Down 506">
          <a:extLst>
            <a:ext uri="{FF2B5EF4-FFF2-40B4-BE49-F238E27FC236}">
              <a16:creationId xmlns:a16="http://schemas.microsoft.com/office/drawing/2014/main" id="{20FD0B2A-AF9D-41A2-9D5F-0CBD05A377B0}"/>
            </a:ext>
          </a:extLst>
        </xdr:cNvPr>
        <xdr:cNvSpPr/>
      </xdr:nvSpPr>
      <xdr:spPr>
        <a:xfrm rot="10800000">
          <a:off x="844296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</xdr:row>
      <xdr:rowOff>0</xdr:rowOff>
    </xdr:from>
    <xdr:to>
      <xdr:col>45</xdr:col>
      <xdr:colOff>83820</xdr:colOff>
      <xdr:row>76</xdr:row>
      <xdr:rowOff>114300</xdr:rowOff>
    </xdr:to>
    <xdr:sp macro="" textlink="">
      <xdr:nvSpPr>
        <xdr:cNvPr id="508" name="Arrow: Down 507">
          <a:extLst>
            <a:ext uri="{FF2B5EF4-FFF2-40B4-BE49-F238E27FC236}">
              <a16:creationId xmlns:a16="http://schemas.microsoft.com/office/drawing/2014/main" id="{F9CEA7DB-4A52-4003-98F3-1954950D294C}"/>
            </a:ext>
          </a:extLst>
        </xdr:cNvPr>
        <xdr:cNvSpPr/>
      </xdr:nvSpPr>
      <xdr:spPr>
        <a:xfrm rot="10800000">
          <a:off x="995172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</xdr:row>
      <xdr:rowOff>0</xdr:rowOff>
    </xdr:from>
    <xdr:to>
      <xdr:col>11</xdr:col>
      <xdr:colOff>83820</xdr:colOff>
      <xdr:row>76</xdr:row>
      <xdr:rowOff>114300</xdr:rowOff>
    </xdr:to>
    <xdr:sp macro="" textlink="">
      <xdr:nvSpPr>
        <xdr:cNvPr id="514" name="Arrow: Down 513">
          <a:extLst>
            <a:ext uri="{FF2B5EF4-FFF2-40B4-BE49-F238E27FC236}">
              <a16:creationId xmlns:a16="http://schemas.microsoft.com/office/drawing/2014/main" id="{C093EE9C-5CA5-4C01-8351-989DB06175E5}"/>
            </a:ext>
          </a:extLst>
        </xdr:cNvPr>
        <xdr:cNvSpPr/>
      </xdr:nvSpPr>
      <xdr:spPr>
        <a:xfrm>
          <a:off x="3619500" y="13997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76</xdr:row>
      <xdr:rowOff>0</xdr:rowOff>
    </xdr:from>
    <xdr:to>
      <xdr:col>60</xdr:col>
      <xdr:colOff>83820</xdr:colOff>
      <xdr:row>76</xdr:row>
      <xdr:rowOff>114300</xdr:rowOff>
    </xdr:to>
    <xdr:sp macro="" textlink="">
      <xdr:nvSpPr>
        <xdr:cNvPr id="518" name="Arrow: Down 517">
          <a:extLst>
            <a:ext uri="{FF2B5EF4-FFF2-40B4-BE49-F238E27FC236}">
              <a16:creationId xmlns:a16="http://schemas.microsoft.com/office/drawing/2014/main" id="{AA8358FC-27C1-487B-8025-3683838C232E}"/>
            </a:ext>
          </a:extLst>
        </xdr:cNvPr>
        <xdr:cNvSpPr/>
      </xdr:nvSpPr>
      <xdr:spPr>
        <a:xfrm rot="10800000">
          <a:off x="1467612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</xdr:row>
      <xdr:rowOff>0</xdr:rowOff>
    </xdr:from>
    <xdr:to>
      <xdr:col>24</xdr:col>
      <xdr:colOff>83820</xdr:colOff>
      <xdr:row>76</xdr:row>
      <xdr:rowOff>114300</xdr:rowOff>
    </xdr:to>
    <xdr:sp macro="" textlink="">
      <xdr:nvSpPr>
        <xdr:cNvPr id="520" name="Arrow: Down 519">
          <a:extLst>
            <a:ext uri="{FF2B5EF4-FFF2-40B4-BE49-F238E27FC236}">
              <a16:creationId xmlns:a16="http://schemas.microsoft.com/office/drawing/2014/main" id="{94FE72DF-4F7F-411F-ACA7-067E6CD25521}"/>
            </a:ext>
          </a:extLst>
        </xdr:cNvPr>
        <xdr:cNvSpPr/>
      </xdr:nvSpPr>
      <xdr:spPr>
        <a:xfrm rot="10800000">
          <a:off x="544068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</xdr:row>
      <xdr:rowOff>0</xdr:rowOff>
    </xdr:from>
    <xdr:to>
      <xdr:col>5</xdr:col>
      <xdr:colOff>83820</xdr:colOff>
      <xdr:row>76</xdr:row>
      <xdr:rowOff>114300</xdr:rowOff>
    </xdr:to>
    <xdr:sp macro="" textlink="">
      <xdr:nvSpPr>
        <xdr:cNvPr id="522" name="Arrow: Down 521">
          <a:extLst>
            <a:ext uri="{FF2B5EF4-FFF2-40B4-BE49-F238E27FC236}">
              <a16:creationId xmlns:a16="http://schemas.microsoft.com/office/drawing/2014/main" id="{309BECF5-AA72-45C3-9E6B-328DC7E5329D}"/>
            </a:ext>
          </a:extLst>
        </xdr:cNvPr>
        <xdr:cNvSpPr/>
      </xdr:nvSpPr>
      <xdr:spPr>
        <a:xfrm>
          <a:off x="1927860" y="139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77</xdr:row>
      <xdr:rowOff>0</xdr:rowOff>
    </xdr:from>
    <xdr:to>
      <xdr:col>71</xdr:col>
      <xdr:colOff>83820</xdr:colOff>
      <xdr:row>77</xdr:row>
      <xdr:rowOff>114300</xdr:rowOff>
    </xdr:to>
    <xdr:sp macro="" textlink="">
      <xdr:nvSpPr>
        <xdr:cNvPr id="523" name="Arrow: Down 522">
          <a:extLst>
            <a:ext uri="{FF2B5EF4-FFF2-40B4-BE49-F238E27FC236}">
              <a16:creationId xmlns:a16="http://schemas.microsoft.com/office/drawing/2014/main" id="{8C9C98DD-E01A-4847-BBA0-7A23626626AE}"/>
            </a:ext>
          </a:extLst>
        </xdr:cNvPr>
        <xdr:cNvSpPr/>
      </xdr:nvSpPr>
      <xdr:spPr>
        <a:xfrm>
          <a:off x="16992600" y="139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</xdr:row>
      <xdr:rowOff>0</xdr:rowOff>
    </xdr:from>
    <xdr:to>
      <xdr:col>45</xdr:col>
      <xdr:colOff>83820</xdr:colOff>
      <xdr:row>77</xdr:row>
      <xdr:rowOff>114300</xdr:rowOff>
    </xdr:to>
    <xdr:sp macro="" textlink="">
      <xdr:nvSpPr>
        <xdr:cNvPr id="525" name="Arrow: Down 524">
          <a:extLst>
            <a:ext uri="{FF2B5EF4-FFF2-40B4-BE49-F238E27FC236}">
              <a16:creationId xmlns:a16="http://schemas.microsoft.com/office/drawing/2014/main" id="{7274B0A1-99C1-4326-8311-9FAA7A814DEF}"/>
            </a:ext>
          </a:extLst>
        </xdr:cNvPr>
        <xdr:cNvSpPr/>
      </xdr:nvSpPr>
      <xdr:spPr>
        <a:xfrm rot="10800000">
          <a:off x="10058400" y="139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</xdr:row>
      <xdr:rowOff>0</xdr:rowOff>
    </xdr:from>
    <xdr:to>
      <xdr:col>60</xdr:col>
      <xdr:colOff>83820</xdr:colOff>
      <xdr:row>77</xdr:row>
      <xdr:rowOff>114300</xdr:rowOff>
    </xdr:to>
    <xdr:sp macro="" textlink="">
      <xdr:nvSpPr>
        <xdr:cNvPr id="527" name="Arrow: Down 526">
          <a:extLst>
            <a:ext uri="{FF2B5EF4-FFF2-40B4-BE49-F238E27FC236}">
              <a16:creationId xmlns:a16="http://schemas.microsoft.com/office/drawing/2014/main" id="{02C309A5-A816-45E9-AFD4-15C3E1D0097B}"/>
            </a:ext>
          </a:extLst>
        </xdr:cNvPr>
        <xdr:cNvSpPr/>
      </xdr:nvSpPr>
      <xdr:spPr>
        <a:xfrm rot="10800000">
          <a:off x="1467612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</xdr:row>
      <xdr:rowOff>0</xdr:rowOff>
    </xdr:from>
    <xdr:to>
      <xdr:col>24</xdr:col>
      <xdr:colOff>83820</xdr:colOff>
      <xdr:row>77</xdr:row>
      <xdr:rowOff>114300</xdr:rowOff>
    </xdr:to>
    <xdr:sp macro="" textlink="">
      <xdr:nvSpPr>
        <xdr:cNvPr id="528" name="Arrow: Down 527">
          <a:extLst>
            <a:ext uri="{FF2B5EF4-FFF2-40B4-BE49-F238E27FC236}">
              <a16:creationId xmlns:a16="http://schemas.microsoft.com/office/drawing/2014/main" id="{18300DF0-485C-4430-853B-49349E6C560D}"/>
            </a:ext>
          </a:extLst>
        </xdr:cNvPr>
        <xdr:cNvSpPr/>
      </xdr:nvSpPr>
      <xdr:spPr>
        <a:xfrm rot="10800000">
          <a:off x="544068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</xdr:row>
      <xdr:rowOff>0</xdr:rowOff>
    </xdr:from>
    <xdr:to>
      <xdr:col>5</xdr:col>
      <xdr:colOff>83820</xdr:colOff>
      <xdr:row>77</xdr:row>
      <xdr:rowOff>114300</xdr:rowOff>
    </xdr:to>
    <xdr:sp macro="" textlink="">
      <xdr:nvSpPr>
        <xdr:cNvPr id="505" name="Arrow: Down 504">
          <a:extLst>
            <a:ext uri="{FF2B5EF4-FFF2-40B4-BE49-F238E27FC236}">
              <a16:creationId xmlns:a16="http://schemas.microsoft.com/office/drawing/2014/main" id="{F4C14CF4-2DA3-442B-B083-4ABD986CD981}"/>
            </a:ext>
          </a:extLst>
        </xdr:cNvPr>
        <xdr:cNvSpPr/>
      </xdr:nvSpPr>
      <xdr:spPr>
        <a:xfrm rot="10800000">
          <a:off x="192786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</xdr:row>
      <xdr:rowOff>0</xdr:rowOff>
    </xdr:from>
    <xdr:to>
      <xdr:col>11</xdr:col>
      <xdr:colOff>83820</xdr:colOff>
      <xdr:row>77</xdr:row>
      <xdr:rowOff>114300</xdr:rowOff>
    </xdr:to>
    <xdr:sp macro="" textlink="">
      <xdr:nvSpPr>
        <xdr:cNvPr id="511" name="Arrow: Down 510">
          <a:extLst>
            <a:ext uri="{FF2B5EF4-FFF2-40B4-BE49-F238E27FC236}">
              <a16:creationId xmlns:a16="http://schemas.microsoft.com/office/drawing/2014/main" id="{D16F3F1E-21FD-432B-8DA1-499E32DFF7AD}"/>
            </a:ext>
          </a:extLst>
        </xdr:cNvPr>
        <xdr:cNvSpPr/>
      </xdr:nvSpPr>
      <xdr:spPr>
        <a:xfrm rot="10800000">
          <a:off x="361950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</xdr:row>
      <xdr:rowOff>0</xdr:rowOff>
    </xdr:from>
    <xdr:to>
      <xdr:col>39</xdr:col>
      <xdr:colOff>83820</xdr:colOff>
      <xdr:row>77</xdr:row>
      <xdr:rowOff>114300</xdr:rowOff>
    </xdr:to>
    <xdr:sp macro="" textlink="">
      <xdr:nvSpPr>
        <xdr:cNvPr id="513" name="Arrow: Down 512">
          <a:extLst>
            <a:ext uri="{FF2B5EF4-FFF2-40B4-BE49-F238E27FC236}">
              <a16:creationId xmlns:a16="http://schemas.microsoft.com/office/drawing/2014/main" id="{D15A3710-28E4-4D6B-9AC1-EF75C4784E84}"/>
            </a:ext>
          </a:extLst>
        </xdr:cNvPr>
        <xdr:cNvSpPr/>
      </xdr:nvSpPr>
      <xdr:spPr>
        <a:xfrm>
          <a:off x="854964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</xdr:row>
      <xdr:rowOff>0</xdr:rowOff>
    </xdr:from>
    <xdr:to>
      <xdr:col>71</xdr:col>
      <xdr:colOff>83820</xdr:colOff>
      <xdr:row>78</xdr:row>
      <xdr:rowOff>114300</xdr:rowOff>
    </xdr:to>
    <xdr:sp macro="" textlink="">
      <xdr:nvSpPr>
        <xdr:cNvPr id="530" name="Arrow: Down 529">
          <a:extLst>
            <a:ext uri="{FF2B5EF4-FFF2-40B4-BE49-F238E27FC236}">
              <a16:creationId xmlns:a16="http://schemas.microsoft.com/office/drawing/2014/main" id="{72AD29C3-4465-49AB-A533-E5AA791F12CF}"/>
            </a:ext>
          </a:extLst>
        </xdr:cNvPr>
        <xdr:cNvSpPr/>
      </xdr:nvSpPr>
      <xdr:spPr>
        <a:xfrm>
          <a:off x="16992600" y="141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</xdr:row>
      <xdr:rowOff>0</xdr:rowOff>
    </xdr:from>
    <xdr:to>
      <xdr:col>45</xdr:col>
      <xdr:colOff>83820</xdr:colOff>
      <xdr:row>78</xdr:row>
      <xdr:rowOff>114300</xdr:rowOff>
    </xdr:to>
    <xdr:sp macro="" textlink="">
      <xdr:nvSpPr>
        <xdr:cNvPr id="531" name="Arrow: Down 530">
          <a:extLst>
            <a:ext uri="{FF2B5EF4-FFF2-40B4-BE49-F238E27FC236}">
              <a16:creationId xmlns:a16="http://schemas.microsoft.com/office/drawing/2014/main" id="{61AC81E7-9F1F-4630-98A4-ACC23F73ACB3}"/>
            </a:ext>
          </a:extLst>
        </xdr:cNvPr>
        <xdr:cNvSpPr/>
      </xdr:nvSpPr>
      <xdr:spPr>
        <a:xfrm rot="10800000">
          <a:off x="10058400" y="141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</xdr:row>
      <xdr:rowOff>0</xdr:rowOff>
    </xdr:from>
    <xdr:to>
      <xdr:col>5</xdr:col>
      <xdr:colOff>83820</xdr:colOff>
      <xdr:row>78</xdr:row>
      <xdr:rowOff>114300</xdr:rowOff>
    </xdr:to>
    <xdr:sp macro="" textlink="">
      <xdr:nvSpPr>
        <xdr:cNvPr id="534" name="Arrow: Down 533">
          <a:extLst>
            <a:ext uri="{FF2B5EF4-FFF2-40B4-BE49-F238E27FC236}">
              <a16:creationId xmlns:a16="http://schemas.microsoft.com/office/drawing/2014/main" id="{A8ECCF7D-F0EB-48F4-8520-2C0ED508B8BD}"/>
            </a:ext>
          </a:extLst>
        </xdr:cNvPr>
        <xdr:cNvSpPr/>
      </xdr:nvSpPr>
      <xdr:spPr>
        <a:xfrm rot="10800000">
          <a:off x="192786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</xdr:row>
      <xdr:rowOff>0</xdr:rowOff>
    </xdr:from>
    <xdr:to>
      <xdr:col>11</xdr:col>
      <xdr:colOff>83820</xdr:colOff>
      <xdr:row>78</xdr:row>
      <xdr:rowOff>114300</xdr:rowOff>
    </xdr:to>
    <xdr:sp macro="" textlink="">
      <xdr:nvSpPr>
        <xdr:cNvPr id="535" name="Arrow: Down 534">
          <a:extLst>
            <a:ext uri="{FF2B5EF4-FFF2-40B4-BE49-F238E27FC236}">
              <a16:creationId xmlns:a16="http://schemas.microsoft.com/office/drawing/2014/main" id="{56EC297F-C15B-4829-9C5C-75F695DDB2E0}"/>
            </a:ext>
          </a:extLst>
        </xdr:cNvPr>
        <xdr:cNvSpPr/>
      </xdr:nvSpPr>
      <xdr:spPr>
        <a:xfrm rot="10800000">
          <a:off x="361950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</xdr:row>
      <xdr:rowOff>0</xdr:rowOff>
    </xdr:from>
    <xdr:to>
      <xdr:col>39</xdr:col>
      <xdr:colOff>83820</xdr:colOff>
      <xdr:row>78</xdr:row>
      <xdr:rowOff>114300</xdr:rowOff>
    </xdr:to>
    <xdr:sp macro="" textlink="">
      <xdr:nvSpPr>
        <xdr:cNvPr id="536" name="Arrow: Down 535">
          <a:extLst>
            <a:ext uri="{FF2B5EF4-FFF2-40B4-BE49-F238E27FC236}">
              <a16:creationId xmlns:a16="http://schemas.microsoft.com/office/drawing/2014/main" id="{90597AE8-1EA3-43AC-9D8D-02002F3BE786}"/>
            </a:ext>
          </a:extLst>
        </xdr:cNvPr>
        <xdr:cNvSpPr/>
      </xdr:nvSpPr>
      <xdr:spPr>
        <a:xfrm>
          <a:off x="854964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</xdr:row>
      <xdr:rowOff>0</xdr:rowOff>
    </xdr:from>
    <xdr:to>
      <xdr:col>24</xdr:col>
      <xdr:colOff>83820</xdr:colOff>
      <xdr:row>78</xdr:row>
      <xdr:rowOff>114300</xdr:rowOff>
    </xdr:to>
    <xdr:sp macro="" textlink="">
      <xdr:nvSpPr>
        <xdr:cNvPr id="537" name="Arrow: Down 536">
          <a:extLst>
            <a:ext uri="{FF2B5EF4-FFF2-40B4-BE49-F238E27FC236}">
              <a16:creationId xmlns:a16="http://schemas.microsoft.com/office/drawing/2014/main" id="{82431E64-6447-4C49-8168-AD2309FA6D96}"/>
            </a:ext>
          </a:extLst>
        </xdr:cNvPr>
        <xdr:cNvSpPr/>
      </xdr:nvSpPr>
      <xdr:spPr>
        <a:xfrm>
          <a:off x="544068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78</xdr:row>
      <xdr:rowOff>0</xdr:rowOff>
    </xdr:from>
    <xdr:to>
      <xdr:col>60</xdr:col>
      <xdr:colOff>83820</xdr:colOff>
      <xdr:row>78</xdr:row>
      <xdr:rowOff>114300</xdr:rowOff>
    </xdr:to>
    <xdr:sp macro="" textlink="">
      <xdr:nvSpPr>
        <xdr:cNvPr id="539" name="Arrow: Down 538">
          <a:extLst>
            <a:ext uri="{FF2B5EF4-FFF2-40B4-BE49-F238E27FC236}">
              <a16:creationId xmlns:a16="http://schemas.microsoft.com/office/drawing/2014/main" id="{033D633D-30F5-44D7-B22A-F511D59C4120}"/>
            </a:ext>
          </a:extLst>
        </xdr:cNvPr>
        <xdr:cNvSpPr/>
      </xdr:nvSpPr>
      <xdr:spPr>
        <a:xfrm>
          <a:off x="1467612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</xdr:row>
      <xdr:rowOff>0</xdr:rowOff>
    </xdr:from>
    <xdr:to>
      <xdr:col>11</xdr:col>
      <xdr:colOff>83820</xdr:colOff>
      <xdr:row>79</xdr:row>
      <xdr:rowOff>114300</xdr:rowOff>
    </xdr:to>
    <xdr:sp macro="" textlink="">
      <xdr:nvSpPr>
        <xdr:cNvPr id="517" name="Arrow: Down 516">
          <a:extLst>
            <a:ext uri="{FF2B5EF4-FFF2-40B4-BE49-F238E27FC236}">
              <a16:creationId xmlns:a16="http://schemas.microsoft.com/office/drawing/2014/main" id="{A3BDB40C-4E67-4D1B-BFB0-513EA2FCB30F}"/>
            </a:ext>
          </a:extLst>
        </xdr:cNvPr>
        <xdr:cNvSpPr/>
      </xdr:nvSpPr>
      <xdr:spPr>
        <a:xfrm rot="10800000">
          <a:off x="3619500" y="1454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</xdr:row>
      <xdr:rowOff>0</xdr:rowOff>
    </xdr:from>
    <xdr:to>
      <xdr:col>5</xdr:col>
      <xdr:colOff>83820</xdr:colOff>
      <xdr:row>79</xdr:row>
      <xdr:rowOff>114300</xdr:rowOff>
    </xdr:to>
    <xdr:sp macro="" textlink="">
      <xdr:nvSpPr>
        <xdr:cNvPr id="521" name="Arrow: Down 520">
          <a:extLst>
            <a:ext uri="{FF2B5EF4-FFF2-40B4-BE49-F238E27FC236}">
              <a16:creationId xmlns:a16="http://schemas.microsoft.com/office/drawing/2014/main" id="{DDCD889B-E1FE-486A-80ED-EBE4FCE69ABF}"/>
            </a:ext>
          </a:extLst>
        </xdr:cNvPr>
        <xdr:cNvSpPr/>
      </xdr:nvSpPr>
      <xdr:spPr>
        <a:xfrm rot="10800000">
          <a:off x="1927860" y="1454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</xdr:row>
      <xdr:rowOff>0</xdr:rowOff>
    </xdr:from>
    <xdr:to>
      <xdr:col>24</xdr:col>
      <xdr:colOff>83820</xdr:colOff>
      <xdr:row>79</xdr:row>
      <xdr:rowOff>114300</xdr:rowOff>
    </xdr:to>
    <xdr:sp macro="" textlink="">
      <xdr:nvSpPr>
        <xdr:cNvPr id="526" name="Arrow: Down 525">
          <a:extLst>
            <a:ext uri="{FF2B5EF4-FFF2-40B4-BE49-F238E27FC236}">
              <a16:creationId xmlns:a16="http://schemas.microsoft.com/office/drawing/2014/main" id="{0D3DE6A0-C9D9-4843-A94B-3E09C8185F2C}"/>
            </a:ext>
          </a:extLst>
        </xdr:cNvPr>
        <xdr:cNvSpPr/>
      </xdr:nvSpPr>
      <xdr:spPr>
        <a:xfrm>
          <a:off x="544068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79</xdr:row>
      <xdr:rowOff>0</xdr:rowOff>
    </xdr:from>
    <xdr:to>
      <xdr:col>45</xdr:col>
      <xdr:colOff>83820</xdr:colOff>
      <xdr:row>79</xdr:row>
      <xdr:rowOff>114300</xdr:rowOff>
    </xdr:to>
    <xdr:sp macro="" textlink="">
      <xdr:nvSpPr>
        <xdr:cNvPr id="529" name="Arrow: Down 528">
          <a:extLst>
            <a:ext uri="{FF2B5EF4-FFF2-40B4-BE49-F238E27FC236}">
              <a16:creationId xmlns:a16="http://schemas.microsoft.com/office/drawing/2014/main" id="{BAD74FF0-FB37-4532-BC8F-FD0E2E2E8496}"/>
            </a:ext>
          </a:extLst>
        </xdr:cNvPr>
        <xdr:cNvSpPr/>
      </xdr:nvSpPr>
      <xdr:spPr>
        <a:xfrm rot="10800000">
          <a:off x="1005840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</xdr:row>
      <xdr:rowOff>0</xdr:rowOff>
    </xdr:from>
    <xdr:to>
      <xdr:col>39</xdr:col>
      <xdr:colOff>83820</xdr:colOff>
      <xdr:row>79</xdr:row>
      <xdr:rowOff>114300</xdr:rowOff>
    </xdr:to>
    <xdr:sp macro="" textlink="">
      <xdr:nvSpPr>
        <xdr:cNvPr id="506" name="Arrow: Down 505">
          <a:extLst>
            <a:ext uri="{FF2B5EF4-FFF2-40B4-BE49-F238E27FC236}">
              <a16:creationId xmlns:a16="http://schemas.microsoft.com/office/drawing/2014/main" id="{972903CA-97F5-4BD2-9628-499362007F77}"/>
            </a:ext>
          </a:extLst>
        </xdr:cNvPr>
        <xdr:cNvSpPr/>
      </xdr:nvSpPr>
      <xdr:spPr>
        <a:xfrm rot="10800000">
          <a:off x="854964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</xdr:row>
      <xdr:rowOff>0</xdr:rowOff>
    </xdr:from>
    <xdr:to>
      <xdr:col>60</xdr:col>
      <xdr:colOff>83820</xdr:colOff>
      <xdr:row>79</xdr:row>
      <xdr:rowOff>114300</xdr:rowOff>
    </xdr:to>
    <xdr:sp macro="" textlink="">
      <xdr:nvSpPr>
        <xdr:cNvPr id="524" name="Arrow: Down 523">
          <a:extLst>
            <a:ext uri="{FF2B5EF4-FFF2-40B4-BE49-F238E27FC236}">
              <a16:creationId xmlns:a16="http://schemas.microsoft.com/office/drawing/2014/main" id="{05656C59-30AD-464C-ACFD-01587CA308BC}"/>
            </a:ext>
          </a:extLst>
        </xdr:cNvPr>
        <xdr:cNvSpPr/>
      </xdr:nvSpPr>
      <xdr:spPr>
        <a:xfrm rot="10800000">
          <a:off x="14676120" y="1454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</xdr:row>
      <xdr:rowOff>0</xdr:rowOff>
    </xdr:from>
    <xdr:to>
      <xdr:col>71</xdr:col>
      <xdr:colOff>83820</xdr:colOff>
      <xdr:row>79</xdr:row>
      <xdr:rowOff>114300</xdr:rowOff>
    </xdr:to>
    <xdr:sp macro="" textlink="">
      <xdr:nvSpPr>
        <xdr:cNvPr id="533" name="Arrow: Down 532">
          <a:extLst>
            <a:ext uri="{FF2B5EF4-FFF2-40B4-BE49-F238E27FC236}">
              <a16:creationId xmlns:a16="http://schemas.microsoft.com/office/drawing/2014/main" id="{7ECEA41A-42D1-4026-B912-8A5B2622BF57}"/>
            </a:ext>
          </a:extLst>
        </xdr:cNvPr>
        <xdr:cNvSpPr/>
      </xdr:nvSpPr>
      <xdr:spPr>
        <a:xfrm>
          <a:off x="1699260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</xdr:row>
      <xdr:rowOff>0</xdr:rowOff>
    </xdr:from>
    <xdr:to>
      <xdr:col>24</xdr:col>
      <xdr:colOff>83820</xdr:colOff>
      <xdr:row>80</xdr:row>
      <xdr:rowOff>114300</xdr:rowOff>
    </xdr:to>
    <xdr:sp macro="" textlink="">
      <xdr:nvSpPr>
        <xdr:cNvPr id="548" name="Arrow: Down 547">
          <a:extLst>
            <a:ext uri="{FF2B5EF4-FFF2-40B4-BE49-F238E27FC236}">
              <a16:creationId xmlns:a16="http://schemas.microsoft.com/office/drawing/2014/main" id="{08BAF3EE-13CB-414E-9DAB-1D65EB62B536}"/>
            </a:ext>
          </a:extLst>
        </xdr:cNvPr>
        <xdr:cNvSpPr/>
      </xdr:nvSpPr>
      <xdr:spPr>
        <a:xfrm>
          <a:off x="544068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80</xdr:row>
      <xdr:rowOff>0</xdr:rowOff>
    </xdr:from>
    <xdr:to>
      <xdr:col>45</xdr:col>
      <xdr:colOff>83820</xdr:colOff>
      <xdr:row>80</xdr:row>
      <xdr:rowOff>114300</xdr:rowOff>
    </xdr:to>
    <xdr:sp macro="" textlink="">
      <xdr:nvSpPr>
        <xdr:cNvPr id="549" name="Arrow: Down 548">
          <a:extLst>
            <a:ext uri="{FF2B5EF4-FFF2-40B4-BE49-F238E27FC236}">
              <a16:creationId xmlns:a16="http://schemas.microsoft.com/office/drawing/2014/main" id="{CF182C77-43A6-4388-B993-EF93DDEC715E}"/>
            </a:ext>
          </a:extLst>
        </xdr:cNvPr>
        <xdr:cNvSpPr/>
      </xdr:nvSpPr>
      <xdr:spPr>
        <a:xfrm rot="10800000">
          <a:off x="1005840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</xdr:row>
      <xdr:rowOff>0</xdr:rowOff>
    </xdr:from>
    <xdr:to>
      <xdr:col>71</xdr:col>
      <xdr:colOff>83820</xdr:colOff>
      <xdr:row>80</xdr:row>
      <xdr:rowOff>114300</xdr:rowOff>
    </xdr:to>
    <xdr:sp macro="" textlink="">
      <xdr:nvSpPr>
        <xdr:cNvPr id="552" name="Arrow: Down 551">
          <a:extLst>
            <a:ext uri="{FF2B5EF4-FFF2-40B4-BE49-F238E27FC236}">
              <a16:creationId xmlns:a16="http://schemas.microsoft.com/office/drawing/2014/main" id="{D630AE99-C9EA-48EA-B5C6-E6920B24237F}"/>
            </a:ext>
          </a:extLst>
        </xdr:cNvPr>
        <xdr:cNvSpPr/>
      </xdr:nvSpPr>
      <xdr:spPr>
        <a:xfrm>
          <a:off x="1699260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</xdr:row>
      <xdr:rowOff>0</xdr:rowOff>
    </xdr:from>
    <xdr:to>
      <xdr:col>5</xdr:col>
      <xdr:colOff>83820</xdr:colOff>
      <xdr:row>80</xdr:row>
      <xdr:rowOff>114300</xdr:rowOff>
    </xdr:to>
    <xdr:sp macro="" textlink="">
      <xdr:nvSpPr>
        <xdr:cNvPr id="553" name="Arrow: Down 552">
          <a:extLst>
            <a:ext uri="{FF2B5EF4-FFF2-40B4-BE49-F238E27FC236}">
              <a16:creationId xmlns:a16="http://schemas.microsoft.com/office/drawing/2014/main" id="{E7F7CFEE-4AB0-4443-B738-779533BD250C}"/>
            </a:ext>
          </a:extLst>
        </xdr:cNvPr>
        <xdr:cNvSpPr/>
      </xdr:nvSpPr>
      <xdr:spPr>
        <a:xfrm>
          <a:off x="192786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80</xdr:row>
      <xdr:rowOff>0</xdr:rowOff>
    </xdr:from>
    <xdr:to>
      <xdr:col>11</xdr:col>
      <xdr:colOff>83820</xdr:colOff>
      <xdr:row>80</xdr:row>
      <xdr:rowOff>114300</xdr:rowOff>
    </xdr:to>
    <xdr:sp macro="" textlink="">
      <xdr:nvSpPr>
        <xdr:cNvPr id="554" name="Arrow: Down 553">
          <a:extLst>
            <a:ext uri="{FF2B5EF4-FFF2-40B4-BE49-F238E27FC236}">
              <a16:creationId xmlns:a16="http://schemas.microsoft.com/office/drawing/2014/main" id="{CA02D2E2-5CE8-4A68-BD2F-FAE326B6E566}"/>
            </a:ext>
          </a:extLst>
        </xdr:cNvPr>
        <xdr:cNvSpPr/>
      </xdr:nvSpPr>
      <xdr:spPr>
        <a:xfrm>
          <a:off x="361950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80</xdr:row>
      <xdr:rowOff>0</xdr:rowOff>
    </xdr:from>
    <xdr:to>
      <xdr:col>39</xdr:col>
      <xdr:colOff>83820</xdr:colOff>
      <xdr:row>80</xdr:row>
      <xdr:rowOff>114300</xdr:rowOff>
    </xdr:to>
    <xdr:sp macro="" textlink="">
      <xdr:nvSpPr>
        <xdr:cNvPr id="556" name="Arrow: Down 555">
          <a:extLst>
            <a:ext uri="{FF2B5EF4-FFF2-40B4-BE49-F238E27FC236}">
              <a16:creationId xmlns:a16="http://schemas.microsoft.com/office/drawing/2014/main" id="{370ED247-1DBA-46D9-9F17-BBFDBF7E1D21}"/>
            </a:ext>
          </a:extLst>
        </xdr:cNvPr>
        <xdr:cNvSpPr/>
      </xdr:nvSpPr>
      <xdr:spPr>
        <a:xfrm>
          <a:off x="8549640" y="147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</xdr:row>
      <xdr:rowOff>0</xdr:rowOff>
    </xdr:from>
    <xdr:to>
      <xdr:col>60</xdr:col>
      <xdr:colOff>83820</xdr:colOff>
      <xdr:row>80</xdr:row>
      <xdr:rowOff>114300</xdr:rowOff>
    </xdr:to>
    <xdr:sp macro="" textlink="">
      <xdr:nvSpPr>
        <xdr:cNvPr id="557" name="Arrow: Down 556">
          <a:extLst>
            <a:ext uri="{FF2B5EF4-FFF2-40B4-BE49-F238E27FC236}">
              <a16:creationId xmlns:a16="http://schemas.microsoft.com/office/drawing/2014/main" id="{4E12E4D0-0480-4C89-B431-C4CB643DABFB}"/>
            </a:ext>
          </a:extLst>
        </xdr:cNvPr>
        <xdr:cNvSpPr/>
      </xdr:nvSpPr>
      <xdr:spPr>
        <a:xfrm>
          <a:off x="14676120" y="147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</xdr:row>
      <xdr:rowOff>0</xdr:rowOff>
    </xdr:from>
    <xdr:to>
      <xdr:col>45</xdr:col>
      <xdr:colOff>83820</xdr:colOff>
      <xdr:row>81</xdr:row>
      <xdr:rowOff>114300</xdr:rowOff>
    </xdr:to>
    <xdr:sp macro="" textlink="">
      <xdr:nvSpPr>
        <xdr:cNvPr id="559" name="Arrow: Down 558">
          <a:extLst>
            <a:ext uri="{FF2B5EF4-FFF2-40B4-BE49-F238E27FC236}">
              <a16:creationId xmlns:a16="http://schemas.microsoft.com/office/drawing/2014/main" id="{8772D111-D967-40D7-B1CE-66441FABF4C4}"/>
            </a:ext>
          </a:extLst>
        </xdr:cNvPr>
        <xdr:cNvSpPr/>
      </xdr:nvSpPr>
      <xdr:spPr>
        <a:xfrm rot="10800000">
          <a:off x="10058400" y="147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</xdr:row>
      <xdr:rowOff>0</xdr:rowOff>
    </xdr:from>
    <xdr:to>
      <xdr:col>71</xdr:col>
      <xdr:colOff>83820</xdr:colOff>
      <xdr:row>81</xdr:row>
      <xdr:rowOff>114300</xdr:rowOff>
    </xdr:to>
    <xdr:sp macro="" textlink="">
      <xdr:nvSpPr>
        <xdr:cNvPr id="560" name="Arrow: Down 559">
          <a:extLst>
            <a:ext uri="{FF2B5EF4-FFF2-40B4-BE49-F238E27FC236}">
              <a16:creationId xmlns:a16="http://schemas.microsoft.com/office/drawing/2014/main" id="{9C557F52-664E-44C2-AE71-9649657AC684}"/>
            </a:ext>
          </a:extLst>
        </xdr:cNvPr>
        <xdr:cNvSpPr/>
      </xdr:nvSpPr>
      <xdr:spPr>
        <a:xfrm>
          <a:off x="16992600" y="147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</xdr:row>
      <xdr:rowOff>0</xdr:rowOff>
    </xdr:from>
    <xdr:to>
      <xdr:col>5</xdr:col>
      <xdr:colOff>83820</xdr:colOff>
      <xdr:row>81</xdr:row>
      <xdr:rowOff>114300</xdr:rowOff>
    </xdr:to>
    <xdr:sp macro="" textlink="">
      <xdr:nvSpPr>
        <xdr:cNvPr id="561" name="Arrow: Down 560">
          <a:extLst>
            <a:ext uri="{FF2B5EF4-FFF2-40B4-BE49-F238E27FC236}">
              <a16:creationId xmlns:a16="http://schemas.microsoft.com/office/drawing/2014/main" id="{29AC2AC1-F81D-4D21-94B2-848E0BEDE7D1}"/>
            </a:ext>
          </a:extLst>
        </xdr:cNvPr>
        <xdr:cNvSpPr/>
      </xdr:nvSpPr>
      <xdr:spPr>
        <a:xfrm>
          <a:off x="192786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81</xdr:row>
      <xdr:rowOff>0</xdr:rowOff>
    </xdr:from>
    <xdr:to>
      <xdr:col>11</xdr:col>
      <xdr:colOff>83820</xdr:colOff>
      <xdr:row>81</xdr:row>
      <xdr:rowOff>114300</xdr:rowOff>
    </xdr:to>
    <xdr:sp macro="" textlink="">
      <xdr:nvSpPr>
        <xdr:cNvPr id="562" name="Arrow: Down 561">
          <a:extLst>
            <a:ext uri="{FF2B5EF4-FFF2-40B4-BE49-F238E27FC236}">
              <a16:creationId xmlns:a16="http://schemas.microsoft.com/office/drawing/2014/main" id="{CE51FD7E-DCD0-49AC-8E51-9295102C1695}"/>
            </a:ext>
          </a:extLst>
        </xdr:cNvPr>
        <xdr:cNvSpPr/>
      </xdr:nvSpPr>
      <xdr:spPr>
        <a:xfrm>
          <a:off x="361950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81</xdr:row>
      <xdr:rowOff>0</xdr:rowOff>
    </xdr:from>
    <xdr:to>
      <xdr:col>24</xdr:col>
      <xdr:colOff>83820</xdr:colOff>
      <xdr:row>81</xdr:row>
      <xdr:rowOff>114300</xdr:rowOff>
    </xdr:to>
    <xdr:sp macro="" textlink="">
      <xdr:nvSpPr>
        <xdr:cNvPr id="568" name="Arrow: Down 567">
          <a:extLst>
            <a:ext uri="{FF2B5EF4-FFF2-40B4-BE49-F238E27FC236}">
              <a16:creationId xmlns:a16="http://schemas.microsoft.com/office/drawing/2014/main" id="{4C917A1C-CBDC-4CBC-9CAA-862449C209ED}"/>
            </a:ext>
          </a:extLst>
        </xdr:cNvPr>
        <xdr:cNvSpPr/>
      </xdr:nvSpPr>
      <xdr:spPr>
        <a:xfrm>
          <a:off x="710184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81</xdr:row>
      <xdr:rowOff>0</xdr:rowOff>
    </xdr:from>
    <xdr:to>
      <xdr:col>39</xdr:col>
      <xdr:colOff>83820</xdr:colOff>
      <xdr:row>81</xdr:row>
      <xdr:rowOff>114300</xdr:rowOff>
    </xdr:to>
    <xdr:sp macro="" textlink="">
      <xdr:nvSpPr>
        <xdr:cNvPr id="570" name="Arrow: Down 569">
          <a:extLst>
            <a:ext uri="{FF2B5EF4-FFF2-40B4-BE49-F238E27FC236}">
              <a16:creationId xmlns:a16="http://schemas.microsoft.com/office/drawing/2014/main" id="{3F22EAFA-B67B-4443-94D2-57C6C4209472}"/>
            </a:ext>
          </a:extLst>
        </xdr:cNvPr>
        <xdr:cNvSpPr/>
      </xdr:nvSpPr>
      <xdr:spPr>
        <a:xfrm rot="10800000">
          <a:off x="1152144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</xdr:row>
      <xdr:rowOff>0</xdr:rowOff>
    </xdr:from>
    <xdr:to>
      <xdr:col>60</xdr:col>
      <xdr:colOff>160020</xdr:colOff>
      <xdr:row>81</xdr:row>
      <xdr:rowOff>99060</xdr:rowOff>
    </xdr:to>
    <xdr:sp macro="" textlink="">
      <xdr:nvSpPr>
        <xdr:cNvPr id="571" name="Minus Sign 570">
          <a:extLst>
            <a:ext uri="{FF2B5EF4-FFF2-40B4-BE49-F238E27FC236}">
              <a16:creationId xmlns:a16="http://schemas.microsoft.com/office/drawing/2014/main" id="{34345CB4-DBF3-41CF-B81B-9D0D0A314C03}"/>
            </a:ext>
          </a:extLst>
        </xdr:cNvPr>
        <xdr:cNvSpPr/>
      </xdr:nvSpPr>
      <xdr:spPr>
        <a:xfrm>
          <a:off x="17724120" y="1491234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45</xdr:col>
      <xdr:colOff>0</xdr:colOff>
      <xdr:row>82</xdr:row>
      <xdr:rowOff>0</xdr:rowOff>
    </xdr:from>
    <xdr:to>
      <xdr:col>45</xdr:col>
      <xdr:colOff>83820</xdr:colOff>
      <xdr:row>82</xdr:row>
      <xdr:rowOff>114300</xdr:rowOff>
    </xdr:to>
    <xdr:sp macro="" textlink="">
      <xdr:nvSpPr>
        <xdr:cNvPr id="579" name="Arrow: Down 578">
          <a:extLst>
            <a:ext uri="{FF2B5EF4-FFF2-40B4-BE49-F238E27FC236}">
              <a16:creationId xmlns:a16="http://schemas.microsoft.com/office/drawing/2014/main" id="{C77F1D63-7AB3-4076-AECB-27FDFEEC800F}"/>
            </a:ext>
          </a:extLst>
        </xdr:cNvPr>
        <xdr:cNvSpPr/>
      </xdr:nvSpPr>
      <xdr:spPr>
        <a:xfrm rot="10800000">
          <a:off x="1013460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82</xdr:row>
      <xdr:rowOff>0</xdr:rowOff>
    </xdr:from>
    <xdr:to>
      <xdr:col>71</xdr:col>
      <xdr:colOff>83820</xdr:colOff>
      <xdr:row>82</xdr:row>
      <xdr:rowOff>114300</xdr:rowOff>
    </xdr:to>
    <xdr:sp macro="" textlink="">
      <xdr:nvSpPr>
        <xdr:cNvPr id="580" name="Arrow: Down 579">
          <a:extLst>
            <a:ext uri="{FF2B5EF4-FFF2-40B4-BE49-F238E27FC236}">
              <a16:creationId xmlns:a16="http://schemas.microsoft.com/office/drawing/2014/main" id="{A6C2D79F-19A9-4158-B46B-FB24B87D56CF}"/>
            </a:ext>
          </a:extLst>
        </xdr:cNvPr>
        <xdr:cNvSpPr/>
      </xdr:nvSpPr>
      <xdr:spPr>
        <a:xfrm>
          <a:off x="1706880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</xdr:row>
      <xdr:rowOff>0</xdr:rowOff>
    </xdr:from>
    <xdr:to>
      <xdr:col>60</xdr:col>
      <xdr:colOff>83820</xdr:colOff>
      <xdr:row>82</xdr:row>
      <xdr:rowOff>114300</xdr:rowOff>
    </xdr:to>
    <xdr:sp macro="" textlink="">
      <xdr:nvSpPr>
        <xdr:cNvPr id="587" name="Arrow: Down 586">
          <a:extLst>
            <a:ext uri="{FF2B5EF4-FFF2-40B4-BE49-F238E27FC236}">
              <a16:creationId xmlns:a16="http://schemas.microsoft.com/office/drawing/2014/main" id="{B5AAA2E3-973C-4DBE-9616-BA6E3F2B0E1E}"/>
            </a:ext>
          </a:extLst>
        </xdr:cNvPr>
        <xdr:cNvSpPr/>
      </xdr:nvSpPr>
      <xdr:spPr>
        <a:xfrm>
          <a:off x="14752320" y="1509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</xdr:row>
      <xdr:rowOff>0</xdr:rowOff>
    </xdr:from>
    <xdr:to>
      <xdr:col>24</xdr:col>
      <xdr:colOff>83820</xdr:colOff>
      <xdr:row>82</xdr:row>
      <xdr:rowOff>114300</xdr:rowOff>
    </xdr:to>
    <xdr:sp macro="" textlink="">
      <xdr:nvSpPr>
        <xdr:cNvPr id="589" name="Arrow: Down 588">
          <a:extLst>
            <a:ext uri="{FF2B5EF4-FFF2-40B4-BE49-F238E27FC236}">
              <a16:creationId xmlns:a16="http://schemas.microsoft.com/office/drawing/2014/main" id="{3F1F1C90-180A-4036-A181-4B5558F7F929}"/>
            </a:ext>
          </a:extLst>
        </xdr:cNvPr>
        <xdr:cNvSpPr/>
      </xdr:nvSpPr>
      <xdr:spPr>
        <a:xfrm rot="10800000">
          <a:off x="544068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</xdr:row>
      <xdr:rowOff>0</xdr:rowOff>
    </xdr:from>
    <xdr:to>
      <xdr:col>5</xdr:col>
      <xdr:colOff>83820</xdr:colOff>
      <xdr:row>82</xdr:row>
      <xdr:rowOff>114300</xdr:rowOff>
    </xdr:to>
    <xdr:sp macro="" textlink="">
      <xdr:nvSpPr>
        <xdr:cNvPr id="591" name="Arrow: Down 590">
          <a:extLst>
            <a:ext uri="{FF2B5EF4-FFF2-40B4-BE49-F238E27FC236}">
              <a16:creationId xmlns:a16="http://schemas.microsoft.com/office/drawing/2014/main" id="{F83B4B2E-FCB4-4725-B38C-840CADFDB8C4}"/>
            </a:ext>
          </a:extLst>
        </xdr:cNvPr>
        <xdr:cNvSpPr/>
      </xdr:nvSpPr>
      <xdr:spPr>
        <a:xfrm rot="10800000">
          <a:off x="192786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</xdr:row>
      <xdr:rowOff>0</xdr:rowOff>
    </xdr:from>
    <xdr:to>
      <xdr:col>11</xdr:col>
      <xdr:colOff>83820</xdr:colOff>
      <xdr:row>82</xdr:row>
      <xdr:rowOff>114300</xdr:rowOff>
    </xdr:to>
    <xdr:sp macro="" textlink="">
      <xdr:nvSpPr>
        <xdr:cNvPr id="593" name="Arrow: Down 592">
          <a:extLst>
            <a:ext uri="{FF2B5EF4-FFF2-40B4-BE49-F238E27FC236}">
              <a16:creationId xmlns:a16="http://schemas.microsoft.com/office/drawing/2014/main" id="{313154C2-793C-44D9-AB6C-A62AE6A83BB7}"/>
            </a:ext>
          </a:extLst>
        </xdr:cNvPr>
        <xdr:cNvSpPr/>
      </xdr:nvSpPr>
      <xdr:spPr>
        <a:xfrm rot="10800000">
          <a:off x="361950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</xdr:row>
      <xdr:rowOff>0</xdr:rowOff>
    </xdr:from>
    <xdr:to>
      <xdr:col>39</xdr:col>
      <xdr:colOff>83820</xdr:colOff>
      <xdr:row>82</xdr:row>
      <xdr:rowOff>114300</xdr:rowOff>
    </xdr:to>
    <xdr:sp macro="" textlink="">
      <xdr:nvSpPr>
        <xdr:cNvPr id="595" name="Arrow: Down 594">
          <a:extLst>
            <a:ext uri="{FF2B5EF4-FFF2-40B4-BE49-F238E27FC236}">
              <a16:creationId xmlns:a16="http://schemas.microsoft.com/office/drawing/2014/main" id="{9126C905-8063-427E-8FF4-54F186988EBD}"/>
            </a:ext>
          </a:extLst>
        </xdr:cNvPr>
        <xdr:cNvSpPr/>
      </xdr:nvSpPr>
      <xdr:spPr>
        <a:xfrm>
          <a:off x="854964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83</xdr:row>
      <xdr:rowOff>0</xdr:rowOff>
    </xdr:from>
    <xdr:to>
      <xdr:col>45</xdr:col>
      <xdr:colOff>83820</xdr:colOff>
      <xdr:row>83</xdr:row>
      <xdr:rowOff>114300</xdr:rowOff>
    </xdr:to>
    <xdr:sp macro="" textlink="">
      <xdr:nvSpPr>
        <xdr:cNvPr id="603" name="Arrow: Down 602">
          <a:extLst>
            <a:ext uri="{FF2B5EF4-FFF2-40B4-BE49-F238E27FC236}">
              <a16:creationId xmlns:a16="http://schemas.microsoft.com/office/drawing/2014/main" id="{0A8571AC-5283-4683-A5FD-2E6034BD1643}"/>
            </a:ext>
          </a:extLst>
        </xdr:cNvPr>
        <xdr:cNvSpPr/>
      </xdr:nvSpPr>
      <xdr:spPr>
        <a:xfrm rot="10800000">
          <a:off x="10134600" y="1509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83</xdr:row>
      <xdr:rowOff>0</xdr:rowOff>
    </xdr:from>
    <xdr:to>
      <xdr:col>71</xdr:col>
      <xdr:colOff>83820</xdr:colOff>
      <xdr:row>83</xdr:row>
      <xdr:rowOff>114300</xdr:rowOff>
    </xdr:to>
    <xdr:sp macro="" textlink="">
      <xdr:nvSpPr>
        <xdr:cNvPr id="604" name="Arrow: Down 603">
          <a:extLst>
            <a:ext uri="{FF2B5EF4-FFF2-40B4-BE49-F238E27FC236}">
              <a16:creationId xmlns:a16="http://schemas.microsoft.com/office/drawing/2014/main" id="{8E58F68D-5518-40B5-89D7-5CA853A1512D}"/>
            </a:ext>
          </a:extLst>
        </xdr:cNvPr>
        <xdr:cNvSpPr/>
      </xdr:nvSpPr>
      <xdr:spPr>
        <a:xfrm>
          <a:off x="17068800" y="1509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</xdr:row>
      <xdr:rowOff>0</xdr:rowOff>
    </xdr:from>
    <xdr:to>
      <xdr:col>24</xdr:col>
      <xdr:colOff>83820</xdr:colOff>
      <xdr:row>83</xdr:row>
      <xdr:rowOff>114300</xdr:rowOff>
    </xdr:to>
    <xdr:sp macro="" textlink="">
      <xdr:nvSpPr>
        <xdr:cNvPr id="606" name="Arrow: Down 605">
          <a:extLst>
            <a:ext uri="{FF2B5EF4-FFF2-40B4-BE49-F238E27FC236}">
              <a16:creationId xmlns:a16="http://schemas.microsoft.com/office/drawing/2014/main" id="{408A5E8C-13B0-4024-BEBE-BE5209F5601D}"/>
            </a:ext>
          </a:extLst>
        </xdr:cNvPr>
        <xdr:cNvSpPr/>
      </xdr:nvSpPr>
      <xdr:spPr>
        <a:xfrm rot="10800000">
          <a:off x="544068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</xdr:row>
      <xdr:rowOff>0</xdr:rowOff>
    </xdr:from>
    <xdr:to>
      <xdr:col>5</xdr:col>
      <xdr:colOff>83820</xdr:colOff>
      <xdr:row>83</xdr:row>
      <xdr:rowOff>114300</xdr:rowOff>
    </xdr:to>
    <xdr:sp macro="" textlink="">
      <xdr:nvSpPr>
        <xdr:cNvPr id="532" name="Arrow: Down 531">
          <a:extLst>
            <a:ext uri="{FF2B5EF4-FFF2-40B4-BE49-F238E27FC236}">
              <a16:creationId xmlns:a16="http://schemas.microsoft.com/office/drawing/2014/main" id="{A300051B-DAC0-4A9E-9AE4-8167220EA2B3}"/>
            </a:ext>
          </a:extLst>
        </xdr:cNvPr>
        <xdr:cNvSpPr/>
      </xdr:nvSpPr>
      <xdr:spPr>
        <a:xfrm>
          <a:off x="192786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83</xdr:row>
      <xdr:rowOff>0</xdr:rowOff>
    </xdr:from>
    <xdr:to>
      <xdr:col>11</xdr:col>
      <xdr:colOff>83820</xdr:colOff>
      <xdr:row>83</xdr:row>
      <xdr:rowOff>114300</xdr:rowOff>
    </xdr:to>
    <xdr:sp macro="" textlink="">
      <xdr:nvSpPr>
        <xdr:cNvPr id="538" name="Arrow: Down 537">
          <a:extLst>
            <a:ext uri="{FF2B5EF4-FFF2-40B4-BE49-F238E27FC236}">
              <a16:creationId xmlns:a16="http://schemas.microsoft.com/office/drawing/2014/main" id="{35B86C8E-C5F1-4326-866D-8854837D4892}"/>
            </a:ext>
          </a:extLst>
        </xdr:cNvPr>
        <xdr:cNvSpPr/>
      </xdr:nvSpPr>
      <xdr:spPr>
        <a:xfrm>
          <a:off x="361950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83</xdr:row>
      <xdr:rowOff>0</xdr:rowOff>
    </xdr:from>
    <xdr:to>
      <xdr:col>39</xdr:col>
      <xdr:colOff>83820</xdr:colOff>
      <xdr:row>83</xdr:row>
      <xdr:rowOff>114300</xdr:rowOff>
    </xdr:to>
    <xdr:sp macro="" textlink="">
      <xdr:nvSpPr>
        <xdr:cNvPr id="540" name="Arrow: Down 539">
          <a:extLst>
            <a:ext uri="{FF2B5EF4-FFF2-40B4-BE49-F238E27FC236}">
              <a16:creationId xmlns:a16="http://schemas.microsoft.com/office/drawing/2014/main" id="{59BAB580-6D9E-4338-9E9A-C9F9A77D85FF}"/>
            </a:ext>
          </a:extLst>
        </xdr:cNvPr>
        <xdr:cNvSpPr/>
      </xdr:nvSpPr>
      <xdr:spPr>
        <a:xfrm rot="10800000">
          <a:off x="854964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</xdr:row>
      <xdr:rowOff>0</xdr:rowOff>
    </xdr:from>
    <xdr:to>
      <xdr:col>60</xdr:col>
      <xdr:colOff>83820</xdr:colOff>
      <xdr:row>83</xdr:row>
      <xdr:rowOff>114300</xdr:rowOff>
    </xdr:to>
    <xdr:sp macro="" textlink="">
      <xdr:nvSpPr>
        <xdr:cNvPr id="541" name="Arrow: Down 540">
          <a:extLst>
            <a:ext uri="{FF2B5EF4-FFF2-40B4-BE49-F238E27FC236}">
              <a16:creationId xmlns:a16="http://schemas.microsoft.com/office/drawing/2014/main" id="{FBF9D9EB-566E-4DC2-B719-0F9FCAEDE2F9}"/>
            </a:ext>
          </a:extLst>
        </xdr:cNvPr>
        <xdr:cNvSpPr/>
      </xdr:nvSpPr>
      <xdr:spPr>
        <a:xfrm rot="10800000">
          <a:off x="14752320" y="1527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84</xdr:row>
      <xdr:rowOff>0</xdr:rowOff>
    </xdr:from>
    <xdr:to>
      <xdr:col>45</xdr:col>
      <xdr:colOff>83820</xdr:colOff>
      <xdr:row>84</xdr:row>
      <xdr:rowOff>114300</xdr:rowOff>
    </xdr:to>
    <xdr:sp macro="" textlink="">
      <xdr:nvSpPr>
        <xdr:cNvPr id="519" name="Arrow: Down 518">
          <a:extLst>
            <a:ext uri="{FF2B5EF4-FFF2-40B4-BE49-F238E27FC236}">
              <a16:creationId xmlns:a16="http://schemas.microsoft.com/office/drawing/2014/main" id="{6ED75CD3-220E-4CA6-9ECF-C7C964954BA4}"/>
            </a:ext>
          </a:extLst>
        </xdr:cNvPr>
        <xdr:cNvSpPr/>
      </xdr:nvSpPr>
      <xdr:spPr>
        <a:xfrm rot="10800000">
          <a:off x="1013460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84</xdr:row>
      <xdr:rowOff>0</xdr:rowOff>
    </xdr:from>
    <xdr:to>
      <xdr:col>71</xdr:col>
      <xdr:colOff>83820</xdr:colOff>
      <xdr:row>84</xdr:row>
      <xdr:rowOff>114300</xdr:rowOff>
    </xdr:to>
    <xdr:sp macro="" textlink="">
      <xdr:nvSpPr>
        <xdr:cNvPr id="542" name="Arrow: Down 541">
          <a:extLst>
            <a:ext uri="{FF2B5EF4-FFF2-40B4-BE49-F238E27FC236}">
              <a16:creationId xmlns:a16="http://schemas.microsoft.com/office/drawing/2014/main" id="{5F938BBC-D5DF-4414-83DE-CC56C127D1B0}"/>
            </a:ext>
          </a:extLst>
        </xdr:cNvPr>
        <xdr:cNvSpPr/>
      </xdr:nvSpPr>
      <xdr:spPr>
        <a:xfrm>
          <a:off x="1706880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</xdr:row>
      <xdr:rowOff>0</xdr:rowOff>
    </xdr:from>
    <xdr:to>
      <xdr:col>5</xdr:col>
      <xdr:colOff>83820</xdr:colOff>
      <xdr:row>84</xdr:row>
      <xdr:rowOff>114300</xdr:rowOff>
    </xdr:to>
    <xdr:sp macro="" textlink="">
      <xdr:nvSpPr>
        <xdr:cNvPr id="544" name="Arrow: Down 543">
          <a:extLst>
            <a:ext uri="{FF2B5EF4-FFF2-40B4-BE49-F238E27FC236}">
              <a16:creationId xmlns:a16="http://schemas.microsoft.com/office/drawing/2014/main" id="{C81421BA-8E67-4B13-BEA2-69CE25EDD5D7}"/>
            </a:ext>
          </a:extLst>
        </xdr:cNvPr>
        <xdr:cNvSpPr/>
      </xdr:nvSpPr>
      <xdr:spPr>
        <a:xfrm>
          <a:off x="192786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84</xdr:row>
      <xdr:rowOff>0</xdr:rowOff>
    </xdr:from>
    <xdr:to>
      <xdr:col>11</xdr:col>
      <xdr:colOff>83820</xdr:colOff>
      <xdr:row>84</xdr:row>
      <xdr:rowOff>114300</xdr:rowOff>
    </xdr:to>
    <xdr:sp macro="" textlink="">
      <xdr:nvSpPr>
        <xdr:cNvPr id="545" name="Arrow: Down 544">
          <a:extLst>
            <a:ext uri="{FF2B5EF4-FFF2-40B4-BE49-F238E27FC236}">
              <a16:creationId xmlns:a16="http://schemas.microsoft.com/office/drawing/2014/main" id="{635BB5C0-6BCA-461C-97C1-A80F5652CEFB}"/>
            </a:ext>
          </a:extLst>
        </xdr:cNvPr>
        <xdr:cNvSpPr/>
      </xdr:nvSpPr>
      <xdr:spPr>
        <a:xfrm>
          <a:off x="361950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84</xdr:row>
      <xdr:rowOff>0</xdr:rowOff>
    </xdr:from>
    <xdr:to>
      <xdr:col>39</xdr:col>
      <xdr:colOff>83820</xdr:colOff>
      <xdr:row>84</xdr:row>
      <xdr:rowOff>114300</xdr:rowOff>
    </xdr:to>
    <xdr:sp macro="" textlink="">
      <xdr:nvSpPr>
        <xdr:cNvPr id="546" name="Arrow: Down 545">
          <a:extLst>
            <a:ext uri="{FF2B5EF4-FFF2-40B4-BE49-F238E27FC236}">
              <a16:creationId xmlns:a16="http://schemas.microsoft.com/office/drawing/2014/main" id="{F54F7A5F-8614-4193-96A5-E8F041830295}"/>
            </a:ext>
          </a:extLst>
        </xdr:cNvPr>
        <xdr:cNvSpPr/>
      </xdr:nvSpPr>
      <xdr:spPr>
        <a:xfrm rot="10800000">
          <a:off x="854964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</xdr:row>
      <xdr:rowOff>0</xdr:rowOff>
    </xdr:from>
    <xdr:to>
      <xdr:col>60</xdr:col>
      <xdr:colOff>83820</xdr:colOff>
      <xdr:row>84</xdr:row>
      <xdr:rowOff>114300</xdr:rowOff>
    </xdr:to>
    <xdr:sp macro="" textlink="">
      <xdr:nvSpPr>
        <xdr:cNvPr id="551" name="Arrow: Down 550">
          <a:extLst>
            <a:ext uri="{FF2B5EF4-FFF2-40B4-BE49-F238E27FC236}">
              <a16:creationId xmlns:a16="http://schemas.microsoft.com/office/drawing/2014/main" id="{B227AAB4-9C5C-4515-A7E6-5299FECCBE9F}"/>
            </a:ext>
          </a:extLst>
        </xdr:cNvPr>
        <xdr:cNvSpPr/>
      </xdr:nvSpPr>
      <xdr:spPr>
        <a:xfrm>
          <a:off x="1475232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</xdr:row>
      <xdr:rowOff>0</xdr:rowOff>
    </xdr:from>
    <xdr:to>
      <xdr:col>24</xdr:col>
      <xdr:colOff>83820</xdr:colOff>
      <xdr:row>84</xdr:row>
      <xdr:rowOff>114300</xdr:rowOff>
    </xdr:to>
    <xdr:sp macro="" textlink="">
      <xdr:nvSpPr>
        <xdr:cNvPr id="555" name="Arrow: Down 554">
          <a:extLst>
            <a:ext uri="{FF2B5EF4-FFF2-40B4-BE49-F238E27FC236}">
              <a16:creationId xmlns:a16="http://schemas.microsoft.com/office/drawing/2014/main" id="{C474C805-99B7-4B23-9A18-3CFAD8C06CCE}"/>
            </a:ext>
          </a:extLst>
        </xdr:cNvPr>
        <xdr:cNvSpPr/>
      </xdr:nvSpPr>
      <xdr:spPr>
        <a:xfrm>
          <a:off x="544068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85</xdr:row>
      <xdr:rowOff>0</xdr:rowOff>
    </xdr:from>
    <xdr:to>
      <xdr:col>45</xdr:col>
      <xdr:colOff>83820</xdr:colOff>
      <xdr:row>85</xdr:row>
      <xdr:rowOff>114300</xdr:rowOff>
    </xdr:to>
    <xdr:sp macro="" textlink="">
      <xdr:nvSpPr>
        <xdr:cNvPr id="543" name="Arrow: Down 542">
          <a:extLst>
            <a:ext uri="{FF2B5EF4-FFF2-40B4-BE49-F238E27FC236}">
              <a16:creationId xmlns:a16="http://schemas.microsoft.com/office/drawing/2014/main" id="{731AF5BF-8DD2-4508-B2C4-CDE60D148B63}"/>
            </a:ext>
          </a:extLst>
        </xdr:cNvPr>
        <xdr:cNvSpPr/>
      </xdr:nvSpPr>
      <xdr:spPr>
        <a:xfrm rot="10800000">
          <a:off x="1013460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85</xdr:row>
      <xdr:rowOff>0</xdr:rowOff>
    </xdr:from>
    <xdr:to>
      <xdr:col>71</xdr:col>
      <xdr:colOff>83820</xdr:colOff>
      <xdr:row>85</xdr:row>
      <xdr:rowOff>114300</xdr:rowOff>
    </xdr:to>
    <xdr:sp macro="" textlink="">
      <xdr:nvSpPr>
        <xdr:cNvPr id="547" name="Arrow: Down 546">
          <a:extLst>
            <a:ext uri="{FF2B5EF4-FFF2-40B4-BE49-F238E27FC236}">
              <a16:creationId xmlns:a16="http://schemas.microsoft.com/office/drawing/2014/main" id="{0F507649-F523-412C-84B0-0695C6C2E1D3}"/>
            </a:ext>
          </a:extLst>
        </xdr:cNvPr>
        <xdr:cNvSpPr/>
      </xdr:nvSpPr>
      <xdr:spPr>
        <a:xfrm>
          <a:off x="1706880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85</xdr:row>
      <xdr:rowOff>0</xdr:rowOff>
    </xdr:from>
    <xdr:to>
      <xdr:col>24</xdr:col>
      <xdr:colOff>83820</xdr:colOff>
      <xdr:row>85</xdr:row>
      <xdr:rowOff>114300</xdr:rowOff>
    </xdr:to>
    <xdr:sp macro="" textlink="">
      <xdr:nvSpPr>
        <xdr:cNvPr id="565" name="Arrow: Down 564">
          <a:extLst>
            <a:ext uri="{FF2B5EF4-FFF2-40B4-BE49-F238E27FC236}">
              <a16:creationId xmlns:a16="http://schemas.microsoft.com/office/drawing/2014/main" id="{592ACE14-4A26-4874-9D8C-AAC7ACC2BE25}"/>
            </a:ext>
          </a:extLst>
        </xdr:cNvPr>
        <xdr:cNvSpPr/>
      </xdr:nvSpPr>
      <xdr:spPr>
        <a:xfrm>
          <a:off x="544068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85</xdr:row>
      <xdr:rowOff>0</xdr:rowOff>
    </xdr:from>
    <xdr:to>
      <xdr:col>5</xdr:col>
      <xdr:colOff>83820</xdr:colOff>
      <xdr:row>85</xdr:row>
      <xdr:rowOff>114300</xdr:rowOff>
    </xdr:to>
    <xdr:sp macro="" textlink="">
      <xdr:nvSpPr>
        <xdr:cNvPr id="566" name="Arrow: Down 565">
          <a:extLst>
            <a:ext uri="{FF2B5EF4-FFF2-40B4-BE49-F238E27FC236}">
              <a16:creationId xmlns:a16="http://schemas.microsoft.com/office/drawing/2014/main" id="{F7F0CB3F-3552-415D-AF9A-7D7B285FC670}"/>
            </a:ext>
          </a:extLst>
        </xdr:cNvPr>
        <xdr:cNvSpPr/>
      </xdr:nvSpPr>
      <xdr:spPr>
        <a:xfrm rot="10800000">
          <a:off x="192786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85</xdr:row>
      <xdr:rowOff>0</xdr:rowOff>
    </xdr:from>
    <xdr:to>
      <xdr:col>11</xdr:col>
      <xdr:colOff>83820</xdr:colOff>
      <xdr:row>85</xdr:row>
      <xdr:rowOff>114300</xdr:rowOff>
    </xdr:to>
    <xdr:sp macro="" textlink="">
      <xdr:nvSpPr>
        <xdr:cNvPr id="567" name="Arrow: Down 566">
          <a:extLst>
            <a:ext uri="{FF2B5EF4-FFF2-40B4-BE49-F238E27FC236}">
              <a16:creationId xmlns:a16="http://schemas.microsoft.com/office/drawing/2014/main" id="{64B1C074-CFC9-463E-9F18-AA395B160D43}"/>
            </a:ext>
          </a:extLst>
        </xdr:cNvPr>
        <xdr:cNvSpPr/>
      </xdr:nvSpPr>
      <xdr:spPr>
        <a:xfrm rot="10800000">
          <a:off x="361950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85</xdr:row>
      <xdr:rowOff>0</xdr:rowOff>
    </xdr:from>
    <xdr:to>
      <xdr:col>39</xdr:col>
      <xdr:colOff>83820</xdr:colOff>
      <xdr:row>85</xdr:row>
      <xdr:rowOff>114300</xdr:rowOff>
    </xdr:to>
    <xdr:sp macro="" textlink="">
      <xdr:nvSpPr>
        <xdr:cNvPr id="569" name="Arrow: Down 568">
          <a:extLst>
            <a:ext uri="{FF2B5EF4-FFF2-40B4-BE49-F238E27FC236}">
              <a16:creationId xmlns:a16="http://schemas.microsoft.com/office/drawing/2014/main" id="{58DEFB8F-94F3-4BB4-853F-A5D0F27E7970}"/>
            </a:ext>
          </a:extLst>
        </xdr:cNvPr>
        <xdr:cNvSpPr/>
      </xdr:nvSpPr>
      <xdr:spPr>
        <a:xfrm>
          <a:off x="854964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85</xdr:row>
      <xdr:rowOff>0</xdr:rowOff>
    </xdr:from>
    <xdr:to>
      <xdr:col>60</xdr:col>
      <xdr:colOff>83820</xdr:colOff>
      <xdr:row>85</xdr:row>
      <xdr:rowOff>114300</xdr:rowOff>
    </xdr:to>
    <xdr:sp macro="" textlink="">
      <xdr:nvSpPr>
        <xdr:cNvPr id="572" name="Arrow: Down 571">
          <a:extLst>
            <a:ext uri="{FF2B5EF4-FFF2-40B4-BE49-F238E27FC236}">
              <a16:creationId xmlns:a16="http://schemas.microsoft.com/office/drawing/2014/main" id="{F6836F1D-203A-414E-9CA5-7D7A64037649}"/>
            </a:ext>
          </a:extLst>
        </xdr:cNvPr>
        <xdr:cNvSpPr/>
      </xdr:nvSpPr>
      <xdr:spPr>
        <a:xfrm rot="10800000">
          <a:off x="1475232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86</xdr:row>
      <xdr:rowOff>0</xdr:rowOff>
    </xdr:from>
    <xdr:to>
      <xdr:col>45</xdr:col>
      <xdr:colOff>83820</xdr:colOff>
      <xdr:row>86</xdr:row>
      <xdr:rowOff>114300</xdr:rowOff>
    </xdr:to>
    <xdr:sp macro="" textlink="">
      <xdr:nvSpPr>
        <xdr:cNvPr id="550" name="Arrow: Down 549">
          <a:extLst>
            <a:ext uri="{FF2B5EF4-FFF2-40B4-BE49-F238E27FC236}">
              <a16:creationId xmlns:a16="http://schemas.microsoft.com/office/drawing/2014/main" id="{DE9F070F-1BA8-4EF8-B95B-BDE938C66789}"/>
            </a:ext>
          </a:extLst>
        </xdr:cNvPr>
        <xdr:cNvSpPr/>
      </xdr:nvSpPr>
      <xdr:spPr>
        <a:xfrm rot="10800000">
          <a:off x="10134600" y="156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86</xdr:row>
      <xdr:rowOff>0</xdr:rowOff>
    </xdr:from>
    <xdr:to>
      <xdr:col>71</xdr:col>
      <xdr:colOff>83820</xdr:colOff>
      <xdr:row>86</xdr:row>
      <xdr:rowOff>114300</xdr:rowOff>
    </xdr:to>
    <xdr:sp macro="" textlink="">
      <xdr:nvSpPr>
        <xdr:cNvPr id="558" name="Arrow: Down 557">
          <a:extLst>
            <a:ext uri="{FF2B5EF4-FFF2-40B4-BE49-F238E27FC236}">
              <a16:creationId xmlns:a16="http://schemas.microsoft.com/office/drawing/2014/main" id="{A8D457D9-6106-453E-AF7C-5F85040CA4F6}"/>
            </a:ext>
          </a:extLst>
        </xdr:cNvPr>
        <xdr:cNvSpPr/>
      </xdr:nvSpPr>
      <xdr:spPr>
        <a:xfrm>
          <a:off x="17068800" y="156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86</xdr:row>
      <xdr:rowOff>0</xdr:rowOff>
    </xdr:from>
    <xdr:to>
      <xdr:col>24</xdr:col>
      <xdr:colOff>83820</xdr:colOff>
      <xdr:row>86</xdr:row>
      <xdr:rowOff>114300</xdr:rowOff>
    </xdr:to>
    <xdr:sp macro="" textlink="">
      <xdr:nvSpPr>
        <xdr:cNvPr id="563" name="Arrow: Down 562">
          <a:extLst>
            <a:ext uri="{FF2B5EF4-FFF2-40B4-BE49-F238E27FC236}">
              <a16:creationId xmlns:a16="http://schemas.microsoft.com/office/drawing/2014/main" id="{DAF9E590-D928-4098-8F6D-EF3FE367CD12}"/>
            </a:ext>
          </a:extLst>
        </xdr:cNvPr>
        <xdr:cNvSpPr/>
      </xdr:nvSpPr>
      <xdr:spPr>
        <a:xfrm>
          <a:off x="5440680" y="156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86</xdr:row>
      <xdr:rowOff>0</xdr:rowOff>
    </xdr:from>
    <xdr:to>
      <xdr:col>5</xdr:col>
      <xdr:colOff>83820</xdr:colOff>
      <xdr:row>86</xdr:row>
      <xdr:rowOff>114300</xdr:rowOff>
    </xdr:to>
    <xdr:sp macro="" textlink="">
      <xdr:nvSpPr>
        <xdr:cNvPr id="564" name="Arrow: Down 563">
          <a:extLst>
            <a:ext uri="{FF2B5EF4-FFF2-40B4-BE49-F238E27FC236}">
              <a16:creationId xmlns:a16="http://schemas.microsoft.com/office/drawing/2014/main" id="{DC41CCE0-BAC6-4BF4-B8F4-1D394A66F1ED}"/>
            </a:ext>
          </a:extLst>
        </xdr:cNvPr>
        <xdr:cNvSpPr/>
      </xdr:nvSpPr>
      <xdr:spPr>
        <a:xfrm rot="10800000">
          <a:off x="192786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86</xdr:row>
      <xdr:rowOff>0</xdr:rowOff>
    </xdr:from>
    <xdr:to>
      <xdr:col>11</xdr:col>
      <xdr:colOff>83820</xdr:colOff>
      <xdr:row>86</xdr:row>
      <xdr:rowOff>114300</xdr:rowOff>
    </xdr:to>
    <xdr:sp macro="" textlink="">
      <xdr:nvSpPr>
        <xdr:cNvPr id="573" name="Arrow: Down 572">
          <a:extLst>
            <a:ext uri="{FF2B5EF4-FFF2-40B4-BE49-F238E27FC236}">
              <a16:creationId xmlns:a16="http://schemas.microsoft.com/office/drawing/2014/main" id="{4E93A918-5ED3-4375-9ABD-655F2ED374D9}"/>
            </a:ext>
          </a:extLst>
        </xdr:cNvPr>
        <xdr:cNvSpPr/>
      </xdr:nvSpPr>
      <xdr:spPr>
        <a:xfrm rot="10800000">
          <a:off x="361950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86</xdr:row>
      <xdr:rowOff>0</xdr:rowOff>
    </xdr:from>
    <xdr:to>
      <xdr:col>39</xdr:col>
      <xdr:colOff>83820</xdr:colOff>
      <xdr:row>86</xdr:row>
      <xdr:rowOff>114300</xdr:rowOff>
    </xdr:to>
    <xdr:sp macro="" textlink="">
      <xdr:nvSpPr>
        <xdr:cNvPr id="577" name="Arrow: Down 576">
          <a:extLst>
            <a:ext uri="{FF2B5EF4-FFF2-40B4-BE49-F238E27FC236}">
              <a16:creationId xmlns:a16="http://schemas.microsoft.com/office/drawing/2014/main" id="{517D7A9F-5146-4A54-BE02-02790813C46E}"/>
            </a:ext>
          </a:extLst>
        </xdr:cNvPr>
        <xdr:cNvSpPr/>
      </xdr:nvSpPr>
      <xdr:spPr>
        <a:xfrm rot="10800000">
          <a:off x="854964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86</xdr:row>
      <xdr:rowOff>0</xdr:rowOff>
    </xdr:from>
    <xdr:to>
      <xdr:col>60</xdr:col>
      <xdr:colOff>83820</xdr:colOff>
      <xdr:row>86</xdr:row>
      <xdr:rowOff>114300</xdr:rowOff>
    </xdr:to>
    <xdr:sp macro="" textlink="">
      <xdr:nvSpPr>
        <xdr:cNvPr id="578" name="Arrow: Down 577">
          <a:extLst>
            <a:ext uri="{FF2B5EF4-FFF2-40B4-BE49-F238E27FC236}">
              <a16:creationId xmlns:a16="http://schemas.microsoft.com/office/drawing/2014/main" id="{D6EF428C-D7EF-4D31-B359-60D31B1421E2}"/>
            </a:ext>
          </a:extLst>
        </xdr:cNvPr>
        <xdr:cNvSpPr/>
      </xdr:nvSpPr>
      <xdr:spPr>
        <a:xfrm>
          <a:off x="1475232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87</xdr:row>
      <xdr:rowOff>0</xdr:rowOff>
    </xdr:from>
    <xdr:to>
      <xdr:col>45</xdr:col>
      <xdr:colOff>83820</xdr:colOff>
      <xdr:row>87</xdr:row>
      <xdr:rowOff>114300</xdr:rowOff>
    </xdr:to>
    <xdr:sp macro="" textlink="">
      <xdr:nvSpPr>
        <xdr:cNvPr id="574" name="Arrow: Down 573">
          <a:extLst>
            <a:ext uri="{FF2B5EF4-FFF2-40B4-BE49-F238E27FC236}">
              <a16:creationId xmlns:a16="http://schemas.microsoft.com/office/drawing/2014/main" id="{278C8798-1602-4090-ACFD-0967E3B6E373}"/>
            </a:ext>
          </a:extLst>
        </xdr:cNvPr>
        <xdr:cNvSpPr/>
      </xdr:nvSpPr>
      <xdr:spPr>
        <a:xfrm rot="10800000">
          <a:off x="1013460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87</xdr:row>
      <xdr:rowOff>0</xdr:rowOff>
    </xdr:from>
    <xdr:to>
      <xdr:col>71</xdr:col>
      <xdr:colOff>83820</xdr:colOff>
      <xdr:row>87</xdr:row>
      <xdr:rowOff>114300</xdr:rowOff>
    </xdr:to>
    <xdr:sp macro="" textlink="">
      <xdr:nvSpPr>
        <xdr:cNvPr id="575" name="Arrow: Down 574">
          <a:extLst>
            <a:ext uri="{FF2B5EF4-FFF2-40B4-BE49-F238E27FC236}">
              <a16:creationId xmlns:a16="http://schemas.microsoft.com/office/drawing/2014/main" id="{A91B58AF-5C32-4ABB-9B7D-E09EB35934B8}"/>
            </a:ext>
          </a:extLst>
        </xdr:cNvPr>
        <xdr:cNvSpPr/>
      </xdr:nvSpPr>
      <xdr:spPr>
        <a:xfrm>
          <a:off x="1706880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87</xdr:row>
      <xdr:rowOff>0</xdr:rowOff>
    </xdr:from>
    <xdr:to>
      <xdr:col>24</xdr:col>
      <xdr:colOff>83820</xdr:colOff>
      <xdr:row>87</xdr:row>
      <xdr:rowOff>114300</xdr:rowOff>
    </xdr:to>
    <xdr:sp macro="" textlink="">
      <xdr:nvSpPr>
        <xdr:cNvPr id="576" name="Arrow: Down 575">
          <a:extLst>
            <a:ext uri="{FF2B5EF4-FFF2-40B4-BE49-F238E27FC236}">
              <a16:creationId xmlns:a16="http://schemas.microsoft.com/office/drawing/2014/main" id="{9C790E31-20DC-456F-AE0D-2D46F37ADC29}"/>
            </a:ext>
          </a:extLst>
        </xdr:cNvPr>
        <xdr:cNvSpPr/>
      </xdr:nvSpPr>
      <xdr:spPr>
        <a:xfrm>
          <a:off x="544068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87</xdr:row>
      <xdr:rowOff>0</xdr:rowOff>
    </xdr:from>
    <xdr:to>
      <xdr:col>60</xdr:col>
      <xdr:colOff>83820</xdr:colOff>
      <xdr:row>87</xdr:row>
      <xdr:rowOff>114300</xdr:rowOff>
    </xdr:to>
    <xdr:sp macro="" textlink="">
      <xdr:nvSpPr>
        <xdr:cNvPr id="584" name="Arrow: Down 583">
          <a:extLst>
            <a:ext uri="{FF2B5EF4-FFF2-40B4-BE49-F238E27FC236}">
              <a16:creationId xmlns:a16="http://schemas.microsoft.com/office/drawing/2014/main" id="{66AB14FF-8C4A-408B-92E4-6BBC3E1AC27C}"/>
            </a:ext>
          </a:extLst>
        </xdr:cNvPr>
        <xdr:cNvSpPr/>
      </xdr:nvSpPr>
      <xdr:spPr>
        <a:xfrm>
          <a:off x="1475232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87</xdr:row>
      <xdr:rowOff>0</xdr:rowOff>
    </xdr:from>
    <xdr:to>
      <xdr:col>5</xdr:col>
      <xdr:colOff>83820</xdr:colOff>
      <xdr:row>87</xdr:row>
      <xdr:rowOff>114300</xdr:rowOff>
    </xdr:to>
    <xdr:sp macro="" textlink="">
      <xdr:nvSpPr>
        <xdr:cNvPr id="588" name="Arrow: Down 587">
          <a:extLst>
            <a:ext uri="{FF2B5EF4-FFF2-40B4-BE49-F238E27FC236}">
              <a16:creationId xmlns:a16="http://schemas.microsoft.com/office/drawing/2014/main" id="{084CF643-CF0D-40DA-943B-27894BA12A8D}"/>
            </a:ext>
          </a:extLst>
        </xdr:cNvPr>
        <xdr:cNvSpPr/>
      </xdr:nvSpPr>
      <xdr:spPr>
        <a:xfrm>
          <a:off x="192786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87</xdr:row>
      <xdr:rowOff>0</xdr:rowOff>
    </xdr:from>
    <xdr:to>
      <xdr:col>11</xdr:col>
      <xdr:colOff>83820</xdr:colOff>
      <xdr:row>87</xdr:row>
      <xdr:rowOff>114300</xdr:rowOff>
    </xdr:to>
    <xdr:sp macro="" textlink="">
      <xdr:nvSpPr>
        <xdr:cNvPr id="592" name="Arrow: Down 591">
          <a:extLst>
            <a:ext uri="{FF2B5EF4-FFF2-40B4-BE49-F238E27FC236}">
              <a16:creationId xmlns:a16="http://schemas.microsoft.com/office/drawing/2014/main" id="{F0AB55C6-7297-4E13-956A-241829B42833}"/>
            </a:ext>
          </a:extLst>
        </xdr:cNvPr>
        <xdr:cNvSpPr/>
      </xdr:nvSpPr>
      <xdr:spPr>
        <a:xfrm>
          <a:off x="361950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87</xdr:row>
      <xdr:rowOff>0</xdr:rowOff>
    </xdr:from>
    <xdr:to>
      <xdr:col>39</xdr:col>
      <xdr:colOff>83820</xdr:colOff>
      <xdr:row>87</xdr:row>
      <xdr:rowOff>114300</xdr:rowOff>
    </xdr:to>
    <xdr:sp macro="" textlink="">
      <xdr:nvSpPr>
        <xdr:cNvPr id="594" name="Arrow: Down 593">
          <a:extLst>
            <a:ext uri="{FF2B5EF4-FFF2-40B4-BE49-F238E27FC236}">
              <a16:creationId xmlns:a16="http://schemas.microsoft.com/office/drawing/2014/main" id="{C9DEC42C-58F0-4625-8D67-136EEAE2A2B5}"/>
            </a:ext>
          </a:extLst>
        </xdr:cNvPr>
        <xdr:cNvSpPr/>
      </xdr:nvSpPr>
      <xdr:spPr>
        <a:xfrm>
          <a:off x="8549640" y="160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88</xdr:row>
      <xdr:rowOff>0</xdr:rowOff>
    </xdr:from>
    <xdr:to>
      <xdr:col>45</xdr:col>
      <xdr:colOff>83820</xdr:colOff>
      <xdr:row>88</xdr:row>
      <xdr:rowOff>114300</xdr:rowOff>
    </xdr:to>
    <xdr:sp macro="" textlink="">
      <xdr:nvSpPr>
        <xdr:cNvPr id="596" name="Arrow: Down 595">
          <a:extLst>
            <a:ext uri="{FF2B5EF4-FFF2-40B4-BE49-F238E27FC236}">
              <a16:creationId xmlns:a16="http://schemas.microsoft.com/office/drawing/2014/main" id="{09D5CA95-BBBE-4643-8570-AB7926B6BBB5}"/>
            </a:ext>
          </a:extLst>
        </xdr:cNvPr>
        <xdr:cNvSpPr/>
      </xdr:nvSpPr>
      <xdr:spPr>
        <a:xfrm rot="10800000">
          <a:off x="1310640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88</xdr:row>
      <xdr:rowOff>0</xdr:rowOff>
    </xdr:from>
    <xdr:to>
      <xdr:col>71</xdr:col>
      <xdr:colOff>83820</xdr:colOff>
      <xdr:row>88</xdr:row>
      <xdr:rowOff>114300</xdr:rowOff>
    </xdr:to>
    <xdr:sp macro="" textlink="">
      <xdr:nvSpPr>
        <xdr:cNvPr id="597" name="Arrow: Down 596">
          <a:extLst>
            <a:ext uri="{FF2B5EF4-FFF2-40B4-BE49-F238E27FC236}">
              <a16:creationId xmlns:a16="http://schemas.microsoft.com/office/drawing/2014/main" id="{8946EF6A-EF23-41E0-AA2E-3DB3D40C54A7}"/>
            </a:ext>
          </a:extLst>
        </xdr:cNvPr>
        <xdr:cNvSpPr/>
      </xdr:nvSpPr>
      <xdr:spPr>
        <a:xfrm>
          <a:off x="2138172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88</xdr:row>
      <xdr:rowOff>0</xdr:rowOff>
    </xdr:from>
    <xdr:to>
      <xdr:col>24</xdr:col>
      <xdr:colOff>83820</xdr:colOff>
      <xdr:row>88</xdr:row>
      <xdr:rowOff>114300</xdr:rowOff>
    </xdr:to>
    <xdr:sp macro="" textlink="">
      <xdr:nvSpPr>
        <xdr:cNvPr id="598" name="Arrow: Down 597">
          <a:extLst>
            <a:ext uri="{FF2B5EF4-FFF2-40B4-BE49-F238E27FC236}">
              <a16:creationId xmlns:a16="http://schemas.microsoft.com/office/drawing/2014/main" id="{01700663-120E-42A6-A959-B7FD08E1DCA4}"/>
            </a:ext>
          </a:extLst>
        </xdr:cNvPr>
        <xdr:cNvSpPr/>
      </xdr:nvSpPr>
      <xdr:spPr>
        <a:xfrm>
          <a:off x="710184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88</xdr:row>
      <xdr:rowOff>0</xdr:rowOff>
    </xdr:from>
    <xdr:to>
      <xdr:col>60</xdr:col>
      <xdr:colOff>83820</xdr:colOff>
      <xdr:row>88</xdr:row>
      <xdr:rowOff>114300</xdr:rowOff>
    </xdr:to>
    <xdr:sp macro="" textlink="">
      <xdr:nvSpPr>
        <xdr:cNvPr id="599" name="Arrow: Down 598">
          <a:extLst>
            <a:ext uri="{FF2B5EF4-FFF2-40B4-BE49-F238E27FC236}">
              <a16:creationId xmlns:a16="http://schemas.microsoft.com/office/drawing/2014/main" id="{7528FAC1-0F86-4477-AFCA-5CFBD8E85B63}"/>
            </a:ext>
          </a:extLst>
        </xdr:cNvPr>
        <xdr:cNvSpPr/>
      </xdr:nvSpPr>
      <xdr:spPr>
        <a:xfrm>
          <a:off x="1772412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88</xdr:row>
      <xdr:rowOff>0</xdr:rowOff>
    </xdr:from>
    <xdr:to>
      <xdr:col>5</xdr:col>
      <xdr:colOff>83820</xdr:colOff>
      <xdr:row>88</xdr:row>
      <xdr:rowOff>114300</xdr:rowOff>
    </xdr:to>
    <xdr:sp macro="" textlink="">
      <xdr:nvSpPr>
        <xdr:cNvPr id="600" name="Arrow: Down 599">
          <a:extLst>
            <a:ext uri="{FF2B5EF4-FFF2-40B4-BE49-F238E27FC236}">
              <a16:creationId xmlns:a16="http://schemas.microsoft.com/office/drawing/2014/main" id="{D9C84463-B7D0-47EC-9FDA-CA0D4168560A}"/>
            </a:ext>
          </a:extLst>
        </xdr:cNvPr>
        <xdr:cNvSpPr/>
      </xdr:nvSpPr>
      <xdr:spPr>
        <a:xfrm>
          <a:off x="192786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88</xdr:row>
      <xdr:rowOff>0</xdr:rowOff>
    </xdr:from>
    <xdr:to>
      <xdr:col>11</xdr:col>
      <xdr:colOff>83820</xdr:colOff>
      <xdr:row>88</xdr:row>
      <xdr:rowOff>114300</xdr:rowOff>
    </xdr:to>
    <xdr:sp macro="" textlink="">
      <xdr:nvSpPr>
        <xdr:cNvPr id="601" name="Arrow: Down 600">
          <a:extLst>
            <a:ext uri="{FF2B5EF4-FFF2-40B4-BE49-F238E27FC236}">
              <a16:creationId xmlns:a16="http://schemas.microsoft.com/office/drawing/2014/main" id="{C5B0A287-0C3E-4F41-B77A-D814F9E0FEFE}"/>
            </a:ext>
          </a:extLst>
        </xdr:cNvPr>
        <xdr:cNvSpPr/>
      </xdr:nvSpPr>
      <xdr:spPr>
        <a:xfrm>
          <a:off x="361950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88</xdr:row>
      <xdr:rowOff>0</xdr:rowOff>
    </xdr:from>
    <xdr:to>
      <xdr:col>39</xdr:col>
      <xdr:colOff>83820</xdr:colOff>
      <xdr:row>88</xdr:row>
      <xdr:rowOff>114300</xdr:rowOff>
    </xdr:to>
    <xdr:sp macro="" textlink="">
      <xdr:nvSpPr>
        <xdr:cNvPr id="602" name="Arrow: Down 601">
          <a:extLst>
            <a:ext uri="{FF2B5EF4-FFF2-40B4-BE49-F238E27FC236}">
              <a16:creationId xmlns:a16="http://schemas.microsoft.com/office/drawing/2014/main" id="{5710110F-6BC4-46C4-8D5E-5173D6FA2322}"/>
            </a:ext>
          </a:extLst>
        </xdr:cNvPr>
        <xdr:cNvSpPr/>
      </xdr:nvSpPr>
      <xdr:spPr>
        <a:xfrm>
          <a:off x="11521440" y="160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89</xdr:row>
      <xdr:rowOff>0</xdr:rowOff>
    </xdr:from>
    <xdr:to>
      <xdr:col>45</xdr:col>
      <xdr:colOff>83820</xdr:colOff>
      <xdr:row>89</xdr:row>
      <xdr:rowOff>114300</xdr:rowOff>
    </xdr:to>
    <xdr:sp macro="" textlink="">
      <xdr:nvSpPr>
        <xdr:cNvPr id="581" name="Arrow: Down 580">
          <a:extLst>
            <a:ext uri="{FF2B5EF4-FFF2-40B4-BE49-F238E27FC236}">
              <a16:creationId xmlns:a16="http://schemas.microsoft.com/office/drawing/2014/main" id="{2932EA77-D4CA-4924-88E1-8262E411F4F1}"/>
            </a:ext>
          </a:extLst>
        </xdr:cNvPr>
        <xdr:cNvSpPr/>
      </xdr:nvSpPr>
      <xdr:spPr>
        <a:xfrm rot="10800000">
          <a:off x="13106400" y="1619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89</xdr:row>
      <xdr:rowOff>0</xdr:rowOff>
    </xdr:from>
    <xdr:to>
      <xdr:col>71</xdr:col>
      <xdr:colOff>83820</xdr:colOff>
      <xdr:row>89</xdr:row>
      <xdr:rowOff>114300</xdr:rowOff>
    </xdr:to>
    <xdr:sp macro="" textlink="">
      <xdr:nvSpPr>
        <xdr:cNvPr id="582" name="Arrow: Down 581">
          <a:extLst>
            <a:ext uri="{FF2B5EF4-FFF2-40B4-BE49-F238E27FC236}">
              <a16:creationId xmlns:a16="http://schemas.microsoft.com/office/drawing/2014/main" id="{5D94833A-1CE0-4EA4-8AE9-1D7A037DCA8B}"/>
            </a:ext>
          </a:extLst>
        </xdr:cNvPr>
        <xdr:cNvSpPr/>
      </xdr:nvSpPr>
      <xdr:spPr>
        <a:xfrm>
          <a:off x="21381720" y="1619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89</xdr:row>
      <xdr:rowOff>0</xdr:rowOff>
    </xdr:from>
    <xdr:to>
      <xdr:col>11</xdr:col>
      <xdr:colOff>83820</xdr:colOff>
      <xdr:row>89</xdr:row>
      <xdr:rowOff>114300</xdr:rowOff>
    </xdr:to>
    <xdr:sp macro="" textlink="">
      <xdr:nvSpPr>
        <xdr:cNvPr id="590" name="Arrow: Down 589">
          <a:extLst>
            <a:ext uri="{FF2B5EF4-FFF2-40B4-BE49-F238E27FC236}">
              <a16:creationId xmlns:a16="http://schemas.microsoft.com/office/drawing/2014/main" id="{C6FE5652-1246-4E42-9DE2-408182FDCEF7}"/>
            </a:ext>
          </a:extLst>
        </xdr:cNvPr>
        <xdr:cNvSpPr/>
      </xdr:nvSpPr>
      <xdr:spPr>
        <a:xfrm>
          <a:off x="3619500" y="16192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89</xdr:row>
      <xdr:rowOff>0</xdr:rowOff>
    </xdr:from>
    <xdr:to>
      <xdr:col>24</xdr:col>
      <xdr:colOff>83820</xdr:colOff>
      <xdr:row>89</xdr:row>
      <xdr:rowOff>114300</xdr:rowOff>
    </xdr:to>
    <xdr:sp macro="" textlink="">
      <xdr:nvSpPr>
        <xdr:cNvPr id="608" name="Arrow: Down 607">
          <a:extLst>
            <a:ext uri="{FF2B5EF4-FFF2-40B4-BE49-F238E27FC236}">
              <a16:creationId xmlns:a16="http://schemas.microsoft.com/office/drawing/2014/main" id="{625EA2B2-9074-4EA2-A377-5965470956EB}"/>
            </a:ext>
          </a:extLst>
        </xdr:cNvPr>
        <xdr:cNvSpPr/>
      </xdr:nvSpPr>
      <xdr:spPr>
        <a:xfrm rot="10800000">
          <a:off x="544068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89</xdr:row>
      <xdr:rowOff>0</xdr:rowOff>
    </xdr:from>
    <xdr:to>
      <xdr:col>39</xdr:col>
      <xdr:colOff>83820</xdr:colOff>
      <xdr:row>89</xdr:row>
      <xdr:rowOff>114300</xdr:rowOff>
    </xdr:to>
    <xdr:sp macro="" textlink="">
      <xdr:nvSpPr>
        <xdr:cNvPr id="609" name="Arrow: Down 608">
          <a:extLst>
            <a:ext uri="{FF2B5EF4-FFF2-40B4-BE49-F238E27FC236}">
              <a16:creationId xmlns:a16="http://schemas.microsoft.com/office/drawing/2014/main" id="{AF73CAB3-8122-46AC-8DF0-CA46A1B0C1C3}"/>
            </a:ext>
          </a:extLst>
        </xdr:cNvPr>
        <xdr:cNvSpPr/>
      </xdr:nvSpPr>
      <xdr:spPr>
        <a:xfrm rot="10800000">
          <a:off x="854964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89</xdr:row>
      <xdr:rowOff>0</xdr:rowOff>
    </xdr:from>
    <xdr:to>
      <xdr:col>5</xdr:col>
      <xdr:colOff>83820</xdr:colOff>
      <xdr:row>89</xdr:row>
      <xdr:rowOff>114300</xdr:rowOff>
    </xdr:to>
    <xdr:sp macro="" textlink="">
      <xdr:nvSpPr>
        <xdr:cNvPr id="610" name="Arrow: Down 609">
          <a:extLst>
            <a:ext uri="{FF2B5EF4-FFF2-40B4-BE49-F238E27FC236}">
              <a16:creationId xmlns:a16="http://schemas.microsoft.com/office/drawing/2014/main" id="{6A506863-2EE0-46CA-91AC-7EE5647247EA}"/>
            </a:ext>
          </a:extLst>
        </xdr:cNvPr>
        <xdr:cNvSpPr/>
      </xdr:nvSpPr>
      <xdr:spPr>
        <a:xfrm rot="10800000">
          <a:off x="192786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89</xdr:row>
      <xdr:rowOff>0</xdr:rowOff>
    </xdr:from>
    <xdr:to>
      <xdr:col>60</xdr:col>
      <xdr:colOff>83820</xdr:colOff>
      <xdr:row>89</xdr:row>
      <xdr:rowOff>114300</xdr:rowOff>
    </xdr:to>
    <xdr:sp macro="" textlink="">
      <xdr:nvSpPr>
        <xdr:cNvPr id="611" name="Arrow: Down 610">
          <a:extLst>
            <a:ext uri="{FF2B5EF4-FFF2-40B4-BE49-F238E27FC236}">
              <a16:creationId xmlns:a16="http://schemas.microsoft.com/office/drawing/2014/main" id="{6CBCED35-CC8A-4804-BB38-482AEC42E087}"/>
            </a:ext>
          </a:extLst>
        </xdr:cNvPr>
        <xdr:cNvSpPr/>
      </xdr:nvSpPr>
      <xdr:spPr>
        <a:xfrm rot="10800000">
          <a:off x="1475232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90</xdr:row>
      <xdr:rowOff>0</xdr:rowOff>
    </xdr:from>
    <xdr:to>
      <xdr:col>45</xdr:col>
      <xdr:colOff>83820</xdr:colOff>
      <xdr:row>90</xdr:row>
      <xdr:rowOff>114300</xdr:rowOff>
    </xdr:to>
    <xdr:sp macro="" textlink="">
      <xdr:nvSpPr>
        <xdr:cNvPr id="583" name="Arrow: Down 582">
          <a:extLst>
            <a:ext uri="{FF2B5EF4-FFF2-40B4-BE49-F238E27FC236}">
              <a16:creationId xmlns:a16="http://schemas.microsoft.com/office/drawing/2014/main" id="{B6D12E32-F589-44C7-B5A1-A16A72EA9A6F}"/>
            </a:ext>
          </a:extLst>
        </xdr:cNvPr>
        <xdr:cNvSpPr/>
      </xdr:nvSpPr>
      <xdr:spPr>
        <a:xfrm rot="10800000">
          <a:off x="1013460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90</xdr:row>
      <xdr:rowOff>0</xdr:rowOff>
    </xdr:from>
    <xdr:to>
      <xdr:col>71</xdr:col>
      <xdr:colOff>83820</xdr:colOff>
      <xdr:row>90</xdr:row>
      <xdr:rowOff>114300</xdr:rowOff>
    </xdr:to>
    <xdr:sp macro="" textlink="">
      <xdr:nvSpPr>
        <xdr:cNvPr id="585" name="Arrow: Down 584">
          <a:extLst>
            <a:ext uri="{FF2B5EF4-FFF2-40B4-BE49-F238E27FC236}">
              <a16:creationId xmlns:a16="http://schemas.microsoft.com/office/drawing/2014/main" id="{564A3FE1-F936-414E-9D3A-FF876DA610C0}"/>
            </a:ext>
          </a:extLst>
        </xdr:cNvPr>
        <xdr:cNvSpPr/>
      </xdr:nvSpPr>
      <xdr:spPr>
        <a:xfrm>
          <a:off x="1706880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90</xdr:row>
      <xdr:rowOff>0</xdr:rowOff>
    </xdr:from>
    <xdr:to>
      <xdr:col>11</xdr:col>
      <xdr:colOff>83820</xdr:colOff>
      <xdr:row>90</xdr:row>
      <xdr:rowOff>114300</xdr:rowOff>
    </xdr:to>
    <xdr:sp macro="" textlink="">
      <xdr:nvSpPr>
        <xdr:cNvPr id="586" name="Arrow: Down 585">
          <a:extLst>
            <a:ext uri="{FF2B5EF4-FFF2-40B4-BE49-F238E27FC236}">
              <a16:creationId xmlns:a16="http://schemas.microsoft.com/office/drawing/2014/main" id="{A7575F84-AE59-4555-93E4-BC16940CD9EA}"/>
            </a:ext>
          </a:extLst>
        </xdr:cNvPr>
        <xdr:cNvSpPr/>
      </xdr:nvSpPr>
      <xdr:spPr>
        <a:xfrm>
          <a:off x="3619500" y="16375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90</xdr:row>
      <xdr:rowOff>0</xdr:rowOff>
    </xdr:from>
    <xdr:to>
      <xdr:col>24</xdr:col>
      <xdr:colOff>83820</xdr:colOff>
      <xdr:row>90</xdr:row>
      <xdr:rowOff>114300</xdr:rowOff>
    </xdr:to>
    <xdr:sp macro="" textlink="">
      <xdr:nvSpPr>
        <xdr:cNvPr id="605" name="Arrow: Down 604">
          <a:extLst>
            <a:ext uri="{FF2B5EF4-FFF2-40B4-BE49-F238E27FC236}">
              <a16:creationId xmlns:a16="http://schemas.microsoft.com/office/drawing/2014/main" id="{4006E4F8-ED4B-432B-811D-665B9B566251}"/>
            </a:ext>
          </a:extLst>
        </xdr:cNvPr>
        <xdr:cNvSpPr/>
      </xdr:nvSpPr>
      <xdr:spPr>
        <a:xfrm rot="10800000">
          <a:off x="544068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90</xdr:row>
      <xdr:rowOff>0</xdr:rowOff>
    </xdr:from>
    <xdr:to>
      <xdr:col>39</xdr:col>
      <xdr:colOff>83820</xdr:colOff>
      <xdr:row>90</xdr:row>
      <xdr:rowOff>114300</xdr:rowOff>
    </xdr:to>
    <xdr:sp macro="" textlink="">
      <xdr:nvSpPr>
        <xdr:cNvPr id="607" name="Arrow: Down 606">
          <a:extLst>
            <a:ext uri="{FF2B5EF4-FFF2-40B4-BE49-F238E27FC236}">
              <a16:creationId xmlns:a16="http://schemas.microsoft.com/office/drawing/2014/main" id="{446097BE-E9EC-4C90-8333-E9F57DAA0F4B}"/>
            </a:ext>
          </a:extLst>
        </xdr:cNvPr>
        <xdr:cNvSpPr/>
      </xdr:nvSpPr>
      <xdr:spPr>
        <a:xfrm rot="10800000">
          <a:off x="854964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90</xdr:row>
      <xdr:rowOff>0</xdr:rowOff>
    </xdr:from>
    <xdr:to>
      <xdr:col>5</xdr:col>
      <xdr:colOff>83820</xdr:colOff>
      <xdr:row>90</xdr:row>
      <xdr:rowOff>114300</xdr:rowOff>
    </xdr:to>
    <xdr:sp macro="" textlink="">
      <xdr:nvSpPr>
        <xdr:cNvPr id="612" name="Arrow: Down 611">
          <a:extLst>
            <a:ext uri="{FF2B5EF4-FFF2-40B4-BE49-F238E27FC236}">
              <a16:creationId xmlns:a16="http://schemas.microsoft.com/office/drawing/2014/main" id="{1A876879-4C70-4C32-89BB-3A3CF71013C6}"/>
            </a:ext>
          </a:extLst>
        </xdr:cNvPr>
        <xdr:cNvSpPr/>
      </xdr:nvSpPr>
      <xdr:spPr>
        <a:xfrm rot="10800000">
          <a:off x="192786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90</xdr:row>
      <xdr:rowOff>0</xdr:rowOff>
    </xdr:from>
    <xdr:to>
      <xdr:col>60</xdr:col>
      <xdr:colOff>83820</xdr:colOff>
      <xdr:row>90</xdr:row>
      <xdr:rowOff>114300</xdr:rowOff>
    </xdr:to>
    <xdr:sp macro="" textlink="">
      <xdr:nvSpPr>
        <xdr:cNvPr id="613" name="Arrow: Down 612">
          <a:extLst>
            <a:ext uri="{FF2B5EF4-FFF2-40B4-BE49-F238E27FC236}">
              <a16:creationId xmlns:a16="http://schemas.microsoft.com/office/drawing/2014/main" id="{36F67B6A-A9B1-4FE9-8CC6-5C7A111EE11D}"/>
            </a:ext>
          </a:extLst>
        </xdr:cNvPr>
        <xdr:cNvSpPr/>
      </xdr:nvSpPr>
      <xdr:spPr>
        <a:xfrm rot="10800000">
          <a:off x="1475232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91</xdr:row>
      <xdr:rowOff>0</xdr:rowOff>
    </xdr:from>
    <xdr:to>
      <xdr:col>45</xdr:col>
      <xdr:colOff>83820</xdr:colOff>
      <xdr:row>91</xdr:row>
      <xdr:rowOff>114300</xdr:rowOff>
    </xdr:to>
    <xdr:sp macro="" textlink="">
      <xdr:nvSpPr>
        <xdr:cNvPr id="614" name="Arrow: Down 613">
          <a:extLst>
            <a:ext uri="{FF2B5EF4-FFF2-40B4-BE49-F238E27FC236}">
              <a16:creationId xmlns:a16="http://schemas.microsoft.com/office/drawing/2014/main" id="{9B217658-6A92-4CAB-B39B-42060CF0F066}"/>
            </a:ext>
          </a:extLst>
        </xdr:cNvPr>
        <xdr:cNvSpPr/>
      </xdr:nvSpPr>
      <xdr:spPr>
        <a:xfrm rot="10800000">
          <a:off x="10134600" y="165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91</xdr:row>
      <xdr:rowOff>0</xdr:rowOff>
    </xdr:from>
    <xdr:to>
      <xdr:col>71</xdr:col>
      <xdr:colOff>83820</xdr:colOff>
      <xdr:row>91</xdr:row>
      <xdr:rowOff>114300</xdr:rowOff>
    </xdr:to>
    <xdr:sp macro="" textlink="">
      <xdr:nvSpPr>
        <xdr:cNvPr id="615" name="Arrow: Down 614">
          <a:extLst>
            <a:ext uri="{FF2B5EF4-FFF2-40B4-BE49-F238E27FC236}">
              <a16:creationId xmlns:a16="http://schemas.microsoft.com/office/drawing/2014/main" id="{B16EF4F5-FCCC-4CF7-9964-6BD7E5E0A51E}"/>
            </a:ext>
          </a:extLst>
        </xdr:cNvPr>
        <xdr:cNvSpPr/>
      </xdr:nvSpPr>
      <xdr:spPr>
        <a:xfrm>
          <a:off x="17068800" y="165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91</xdr:row>
      <xdr:rowOff>0</xdr:rowOff>
    </xdr:from>
    <xdr:to>
      <xdr:col>39</xdr:col>
      <xdr:colOff>83820</xdr:colOff>
      <xdr:row>91</xdr:row>
      <xdr:rowOff>114300</xdr:rowOff>
    </xdr:to>
    <xdr:sp macro="" textlink="">
      <xdr:nvSpPr>
        <xdr:cNvPr id="618" name="Arrow: Down 617">
          <a:extLst>
            <a:ext uri="{FF2B5EF4-FFF2-40B4-BE49-F238E27FC236}">
              <a16:creationId xmlns:a16="http://schemas.microsoft.com/office/drawing/2014/main" id="{6A8CC463-9B5B-4D9B-90AF-38CF7A366E34}"/>
            </a:ext>
          </a:extLst>
        </xdr:cNvPr>
        <xdr:cNvSpPr/>
      </xdr:nvSpPr>
      <xdr:spPr>
        <a:xfrm rot="10800000">
          <a:off x="8549640" y="165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91</xdr:row>
      <xdr:rowOff>0</xdr:rowOff>
    </xdr:from>
    <xdr:to>
      <xdr:col>5</xdr:col>
      <xdr:colOff>83820</xdr:colOff>
      <xdr:row>91</xdr:row>
      <xdr:rowOff>114300</xdr:rowOff>
    </xdr:to>
    <xdr:sp macro="" textlink="">
      <xdr:nvSpPr>
        <xdr:cNvPr id="619" name="Arrow: Down 618">
          <a:extLst>
            <a:ext uri="{FF2B5EF4-FFF2-40B4-BE49-F238E27FC236}">
              <a16:creationId xmlns:a16="http://schemas.microsoft.com/office/drawing/2014/main" id="{DD51BE25-6207-466F-BA60-D54BA04DACAF}"/>
            </a:ext>
          </a:extLst>
        </xdr:cNvPr>
        <xdr:cNvSpPr/>
      </xdr:nvSpPr>
      <xdr:spPr>
        <a:xfrm rot="10800000">
          <a:off x="1927860" y="1655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91</xdr:row>
      <xdr:rowOff>0</xdr:rowOff>
    </xdr:from>
    <xdr:to>
      <xdr:col>60</xdr:col>
      <xdr:colOff>83820</xdr:colOff>
      <xdr:row>91</xdr:row>
      <xdr:rowOff>114300</xdr:rowOff>
    </xdr:to>
    <xdr:sp macro="" textlink="">
      <xdr:nvSpPr>
        <xdr:cNvPr id="621" name="Arrow: Down 620">
          <a:extLst>
            <a:ext uri="{FF2B5EF4-FFF2-40B4-BE49-F238E27FC236}">
              <a16:creationId xmlns:a16="http://schemas.microsoft.com/office/drawing/2014/main" id="{0D452C8D-2EAD-46EC-B9A3-A58A3F04A6F1}"/>
            </a:ext>
          </a:extLst>
        </xdr:cNvPr>
        <xdr:cNvSpPr/>
      </xdr:nvSpPr>
      <xdr:spPr>
        <a:xfrm>
          <a:off x="1475232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91</xdr:row>
      <xdr:rowOff>0</xdr:rowOff>
    </xdr:from>
    <xdr:to>
      <xdr:col>24</xdr:col>
      <xdr:colOff>83820</xdr:colOff>
      <xdr:row>91</xdr:row>
      <xdr:rowOff>114300</xdr:rowOff>
    </xdr:to>
    <xdr:sp macro="" textlink="">
      <xdr:nvSpPr>
        <xdr:cNvPr id="622" name="Arrow: Down 621">
          <a:extLst>
            <a:ext uri="{FF2B5EF4-FFF2-40B4-BE49-F238E27FC236}">
              <a16:creationId xmlns:a16="http://schemas.microsoft.com/office/drawing/2014/main" id="{7A03E1A5-9B8D-404E-A430-045E90B464E3}"/>
            </a:ext>
          </a:extLst>
        </xdr:cNvPr>
        <xdr:cNvSpPr/>
      </xdr:nvSpPr>
      <xdr:spPr>
        <a:xfrm>
          <a:off x="544068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91</xdr:row>
      <xdr:rowOff>0</xdr:rowOff>
    </xdr:from>
    <xdr:to>
      <xdr:col>11</xdr:col>
      <xdr:colOff>83820</xdr:colOff>
      <xdr:row>91</xdr:row>
      <xdr:rowOff>114300</xdr:rowOff>
    </xdr:to>
    <xdr:sp macro="" textlink="">
      <xdr:nvSpPr>
        <xdr:cNvPr id="623" name="Arrow: Down 622">
          <a:extLst>
            <a:ext uri="{FF2B5EF4-FFF2-40B4-BE49-F238E27FC236}">
              <a16:creationId xmlns:a16="http://schemas.microsoft.com/office/drawing/2014/main" id="{C5C427A5-FAD8-44E5-B2DA-D7ACE751F57A}"/>
            </a:ext>
          </a:extLst>
        </xdr:cNvPr>
        <xdr:cNvSpPr/>
      </xdr:nvSpPr>
      <xdr:spPr>
        <a:xfrm rot="10800000">
          <a:off x="3619500" y="167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92</xdr:row>
      <xdr:rowOff>0</xdr:rowOff>
    </xdr:from>
    <xdr:to>
      <xdr:col>71</xdr:col>
      <xdr:colOff>83820</xdr:colOff>
      <xdr:row>92</xdr:row>
      <xdr:rowOff>114300</xdr:rowOff>
    </xdr:to>
    <xdr:sp macro="" textlink="">
      <xdr:nvSpPr>
        <xdr:cNvPr id="617" name="Arrow: Down 616">
          <a:extLst>
            <a:ext uri="{FF2B5EF4-FFF2-40B4-BE49-F238E27FC236}">
              <a16:creationId xmlns:a16="http://schemas.microsoft.com/office/drawing/2014/main" id="{024DB0A9-E788-428F-B8D0-BDCDBA5B50DF}"/>
            </a:ext>
          </a:extLst>
        </xdr:cNvPr>
        <xdr:cNvSpPr/>
      </xdr:nvSpPr>
      <xdr:spPr>
        <a:xfrm>
          <a:off x="1706880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92</xdr:row>
      <xdr:rowOff>0</xdr:rowOff>
    </xdr:from>
    <xdr:to>
      <xdr:col>5</xdr:col>
      <xdr:colOff>83820</xdr:colOff>
      <xdr:row>92</xdr:row>
      <xdr:rowOff>114300</xdr:rowOff>
    </xdr:to>
    <xdr:sp macro="" textlink="">
      <xdr:nvSpPr>
        <xdr:cNvPr id="624" name="Arrow: Down 623">
          <a:extLst>
            <a:ext uri="{FF2B5EF4-FFF2-40B4-BE49-F238E27FC236}">
              <a16:creationId xmlns:a16="http://schemas.microsoft.com/office/drawing/2014/main" id="{39BDD6D1-CF4A-4679-AA55-4BEC82B4F433}"/>
            </a:ext>
          </a:extLst>
        </xdr:cNvPr>
        <xdr:cNvSpPr/>
      </xdr:nvSpPr>
      <xdr:spPr>
        <a:xfrm rot="10800000">
          <a:off x="1927860" y="167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92</xdr:row>
      <xdr:rowOff>0</xdr:rowOff>
    </xdr:from>
    <xdr:to>
      <xdr:col>24</xdr:col>
      <xdr:colOff>83820</xdr:colOff>
      <xdr:row>92</xdr:row>
      <xdr:rowOff>114300</xdr:rowOff>
    </xdr:to>
    <xdr:sp macro="" textlink="">
      <xdr:nvSpPr>
        <xdr:cNvPr id="626" name="Arrow: Down 625">
          <a:extLst>
            <a:ext uri="{FF2B5EF4-FFF2-40B4-BE49-F238E27FC236}">
              <a16:creationId xmlns:a16="http://schemas.microsoft.com/office/drawing/2014/main" id="{AC17A3B8-EA6C-47AF-B0B5-6D478F3ADB6B}"/>
            </a:ext>
          </a:extLst>
        </xdr:cNvPr>
        <xdr:cNvSpPr/>
      </xdr:nvSpPr>
      <xdr:spPr>
        <a:xfrm>
          <a:off x="544068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92</xdr:row>
      <xdr:rowOff>0</xdr:rowOff>
    </xdr:from>
    <xdr:to>
      <xdr:col>11</xdr:col>
      <xdr:colOff>83820</xdr:colOff>
      <xdr:row>92</xdr:row>
      <xdr:rowOff>114300</xdr:rowOff>
    </xdr:to>
    <xdr:sp macro="" textlink="">
      <xdr:nvSpPr>
        <xdr:cNvPr id="627" name="Arrow: Down 626">
          <a:extLst>
            <a:ext uri="{FF2B5EF4-FFF2-40B4-BE49-F238E27FC236}">
              <a16:creationId xmlns:a16="http://schemas.microsoft.com/office/drawing/2014/main" id="{DABDA057-06DE-4344-B004-6861DE62F37F}"/>
            </a:ext>
          </a:extLst>
        </xdr:cNvPr>
        <xdr:cNvSpPr/>
      </xdr:nvSpPr>
      <xdr:spPr>
        <a:xfrm rot="10800000">
          <a:off x="3619500" y="167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92</xdr:row>
      <xdr:rowOff>0</xdr:rowOff>
    </xdr:from>
    <xdr:to>
      <xdr:col>39</xdr:col>
      <xdr:colOff>83820</xdr:colOff>
      <xdr:row>92</xdr:row>
      <xdr:rowOff>114300</xdr:rowOff>
    </xdr:to>
    <xdr:sp macro="" textlink="">
      <xdr:nvSpPr>
        <xdr:cNvPr id="628" name="Arrow: Down 627">
          <a:extLst>
            <a:ext uri="{FF2B5EF4-FFF2-40B4-BE49-F238E27FC236}">
              <a16:creationId xmlns:a16="http://schemas.microsoft.com/office/drawing/2014/main" id="{D60F4993-4DB6-4717-9569-B73B1AB0A8DB}"/>
            </a:ext>
          </a:extLst>
        </xdr:cNvPr>
        <xdr:cNvSpPr/>
      </xdr:nvSpPr>
      <xdr:spPr>
        <a:xfrm>
          <a:off x="854964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92</xdr:row>
      <xdr:rowOff>0</xdr:rowOff>
    </xdr:from>
    <xdr:to>
      <xdr:col>45</xdr:col>
      <xdr:colOff>83820</xdr:colOff>
      <xdr:row>92</xdr:row>
      <xdr:rowOff>114300</xdr:rowOff>
    </xdr:to>
    <xdr:sp macro="" textlink="">
      <xdr:nvSpPr>
        <xdr:cNvPr id="629" name="Arrow: Down 628">
          <a:extLst>
            <a:ext uri="{FF2B5EF4-FFF2-40B4-BE49-F238E27FC236}">
              <a16:creationId xmlns:a16="http://schemas.microsoft.com/office/drawing/2014/main" id="{08FD601C-109C-4519-9D9D-1C9650FDBF73}"/>
            </a:ext>
          </a:extLst>
        </xdr:cNvPr>
        <xdr:cNvSpPr/>
      </xdr:nvSpPr>
      <xdr:spPr>
        <a:xfrm>
          <a:off x="1013460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93</xdr:row>
      <xdr:rowOff>0</xdr:rowOff>
    </xdr:from>
    <xdr:to>
      <xdr:col>71</xdr:col>
      <xdr:colOff>83820</xdr:colOff>
      <xdr:row>93</xdr:row>
      <xdr:rowOff>114300</xdr:rowOff>
    </xdr:to>
    <xdr:sp macro="" textlink="">
      <xdr:nvSpPr>
        <xdr:cNvPr id="638" name="Arrow: Down 637">
          <a:extLst>
            <a:ext uri="{FF2B5EF4-FFF2-40B4-BE49-F238E27FC236}">
              <a16:creationId xmlns:a16="http://schemas.microsoft.com/office/drawing/2014/main" id="{15042096-613B-454F-A913-FB19A4135B1C}"/>
            </a:ext>
          </a:extLst>
        </xdr:cNvPr>
        <xdr:cNvSpPr/>
      </xdr:nvSpPr>
      <xdr:spPr>
        <a:xfrm>
          <a:off x="17068800" y="169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93</xdr:row>
      <xdr:rowOff>0</xdr:rowOff>
    </xdr:from>
    <xdr:to>
      <xdr:col>5</xdr:col>
      <xdr:colOff>83820</xdr:colOff>
      <xdr:row>93</xdr:row>
      <xdr:rowOff>114300</xdr:rowOff>
    </xdr:to>
    <xdr:sp macro="" textlink="">
      <xdr:nvSpPr>
        <xdr:cNvPr id="639" name="Arrow: Down 638">
          <a:extLst>
            <a:ext uri="{FF2B5EF4-FFF2-40B4-BE49-F238E27FC236}">
              <a16:creationId xmlns:a16="http://schemas.microsoft.com/office/drawing/2014/main" id="{83B40CA9-CC29-4956-891B-A62E0FAEB507}"/>
            </a:ext>
          </a:extLst>
        </xdr:cNvPr>
        <xdr:cNvSpPr/>
      </xdr:nvSpPr>
      <xdr:spPr>
        <a:xfrm rot="10800000">
          <a:off x="192786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93</xdr:row>
      <xdr:rowOff>0</xdr:rowOff>
    </xdr:from>
    <xdr:to>
      <xdr:col>24</xdr:col>
      <xdr:colOff>83820</xdr:colOff>
      <xdr:row>93</xdr:row>
      <xdr:rowOff>114300</xdr:rowOff>
    </xdr:to>
    <xdr:sp macro="" textlink="">
      <xdr:nvSpPr>
        <xdr:cNvPr id="640" name="Arrow: Down 639">
          <a:extLst>
            <a:ext uri="{FF2B5EF4-FFF2-40B4-BE49-F238E27FC236}">
              <a16:creationId xmlns:a16="http://schemas.microsoft.com/office/drawing/2014/main" id="{41EDA0A4-5574-4A8B-A136-050B540E81FD}"/>
            </a:ext>
          </a:extLst>
        </xdr:cNvPr>
        <xdr:cNvSpPr/>
      </xdr:nvSpPr>
      <xdr:spPr>
        <a:xfrm>
          <a:off x="5440680" y="169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93</xdr:row>
      <xdr:rowOff>0</xdr:rowOff>
    </xdr:from>
    <xdr:to>
      <xdr:col>11</xdr:col>
      <xdr:colOff>83820</xdr:colOff>
      <xdr:row>93</xdr:row>
      <xdr:rowOff>114300</xdr:rowOff>
    </xdr:to>
    <xdr:sp macro="" textlink="">
      <xdr:nvSpPr>
        <xdr:cNvPr id="641" name="Arrow: Down 640">
          <a:extLst>
            <a:ext uri="{FF2B5EF4-FFF2-40B4-BE49-F238E27FC236}">
              <a16:creationId xmlns:a16="http://schemas.microsoft.com/office/drawing/2014/main" id="{5FFBE935-49E2-4DE7-81B9-D7F4921B89A5}"/>
            </a:ext>
          </a:extLst>
        </xdr:cNvPr>
        <xdr:cNvSpPr/>
      </xdr:nvSpPr>
      <xdr:spPr>
        <a:xfrm rot="10800000">
          <a:off x="361950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92</xdr:row>
      <xdr:rowOff>0</xdr:rowOff>
    </xdr:from>
    <xdr:to>
      <xdr:col>60</xdr:col>
      <xdr:colOff>83820</xdr:colOff>
      <xdr:row>92</xdr:row>
      <xdr:rowOff>114300</xdr:rowOff>
    </xdr:to>
    <xdr:sp macro="" textlink="">
      <xdr:nvSpPr>
        <xdr:cNvPr id="645" name="Arrow: Down 644">
          <a:extLst>
            <a:ext uri="{FF2B5EF4-FFF2-40B4-BE49-F238E27FC236}">
              <a16:creationId xmlns:a16="http://schemas.microsoft.com/office/drawing/2014/main" id="{B20EC97E-D93C-4C14-9E7A-5CCF5193EC9F}"/>
            </a:ext>
          </a:extLst>
        </xdr:cNvPr>
        <xdr:cNvSpPr/>
      </xdr:nvSpPr>
      <xdr:spPr>
        <a:xfrm rot="10800000">
          <a:off x="1475232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94</xdr:row>
      <xdr:rowOff>0</xdr:rowOff>
    </xdr:from>
    <xdr:to>
      <xdr:col>71</xdr:col>
      <xdr:colOff>83820</xdr:colOff>
      <xdr:row>94</xdr:row>
      <xdr:rowOff>114300</xdr:rowOff>
    </xdr:to>
    <xdr:sp macro="" textlink="">
      <xdr:nvSpPr>
        <xdr:cNvPr id="625" name="Arrow: Down 624">
          <a:extLst>
            <a:ext uri="{FF2B5EF4-FFF2-40B4-BE49-F238E27FC236}">
              <a16:creationId xmlns:a16="http://schemas.microsoft.com/office/drawing/2014/main" id="{1E7C5BAA-05E3-4CB1-BB0C-1D6A77243D25}"/>
            </a:ext>
          </a:extLst>
        </xdr:cNvPr>
        <xdr:cNvSpPr/>
      </xdr:nvSpPr>
      <xdr:spPr>
        <a:xfrm>
          <a:off x="1706880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94</xdr:row>
      <xdr:rowOff>0</xdr:rowOff>
    </xdr:from>
    <xdr:to>
      <xdr:col>24</xdr:col>
      <xdr:colOff>83820</xdr:colOff>
      <xdr:row>94</xdr:row>
      <xdr:rowOff>114300</xdr:rowOff>
    </xdr:to>
    <xdr:sp macro="" textlink="">
      <xdr:nvSpPr>
        <xdr:cNvPr id="630" name="Arrow: Down 629">
          <a:extLst>
            <a:ext uri="{FF2B5EF4-FFF2-40B4-BE49-F238E27FC236}">
              <a16:creationId xmlns:a16="http://schemas.microsoft.com/office/drawing/2014/main" id="{071888A3-487A-4F27-A9BA-59DFA8109128}"/>
            </a:ext>
          </a:extLst>
        </xdr:cNvPr>
        <xdr:cNvSpPr/>
      </xdr:nvSpPr>
      <xdr:spPr>
        <a:xfrm>
          <a:off x="544068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94</xdr:row>
      <xdr:rowOff>0</xdr:rowOff>
    </xdr:from>
    <xdr:to>
      <xdr:col>39</xdr:col>
      <xdr:colOff>83820</xdr:colOff>
      <xdr:row>94</xdr:row>
      <xdr:rowOff>114300</xdr:rowOff>
    </xdr:to>
    <xdr:sp macro="" textlink="">
      <xdr:nvSpPr>
        <xdr:cNvPr id="631" name="Arrow: Down 630">
          <a:extLst>
            <a:ext uri="{FF2B5EF4-FFF2-40B4-BE49-F238E27FC236}">
              <a16:creationId xmlns:a16="http://schemas.microsoft.com/office/drawing/2014/main" id="{2268B0A0-A228-4712-85BD-33A942D4DAF5}"/>
            </a:ext>
          </a:extLst>
        </xdr:cNvPr>
        <xdr:cNvSpPr/>
      </xdr:nvSpPr>
      <xdr:spPr>
        <a:xfrm>
          <a:off x="8549640" y="1710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93</xdr:row>
      <xdr:rowOff>0</xdr:rowOff>
    </xdr:from>
    <xdr:to>
      <xdr:col>45</xdr:col>
      <xdr:colOff>83820</xdr:colOff>
      <xdr:row>93</xdr:row>
      <xdr:rowOff>114300</xdr:rowOff>
    </xdr:to>
    <xdr:sp macro="" textlink="">
      <xdr:nvSpPr>
        <xdr:cNvPr id="634" name="Arrow: Down 633">
          <a:extLst>
            <a:ext uri="{FF2B5EF4-FFF2-40B4-BE49-F238E27FC236}">
              <a16:creationId xmlns:a16="http://schemas.microsoft.com/office/drawing/2014/main" id="{698C5AE8-0A5B-4DAA-8338-59C2C2A63540}"/>
            </a:ext>
          </a:extLst>
        </xdr:cNvPr>
        <xdr:cNvSpPr/>
      </xdr:nvSpPr>
      <xdr:spPr>
        <a:xfrm rot="10800000">
          <a:off x="1013460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93</xdr:row>
      <xdr:rowOff>0</xdr:rowOff>
    </xdr:from>
    <xdr:to>
      <xdr:col>39</xdr:col>
      <xdr:colOff>83820</xdr:colOff>
      <xdr:row>93</xdr:row>
      <xdr:rowOff>114300</xdr:rowOff>
    </xdr:to>
    <xdr:sp macro="" textlink="">
      <xdr:nvSpPr>
        <xdr:cNvPr id="635" name="Arrow: Down 634">
          <a:extLst>
            <a:ext uri="{FF2B5EF4-FFF2-40B4-BE49-F238E27FC236}">
              <a16:creationId xmlns:a16="http://schemas.microsoft.com/office/drawing/2014/main" id="{B111E1BC-D5EF-480A-ABE5-3F05DA66B5FB}"/>
            </a:ext>
          </a:extLst>
        </xdr:cNvPr>
        <xdr:cNvSpPr/>
      </xdr:nvSpPr>
      <xdr:spPr>
        <a:xfrm rot="10800000">
          <a:off x="854964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93</xdr:row>
      <xdr:rowOff>0</xdr:rowOff>
    </xdr:from>
    <xdr:to>
      <xdr:col>60</xdr:col>
      <xdr:colOff>83820</xdr:colOff>
      <xdr:row>93</xdr:row>
      <xdr:rowOff>114300</xdr:rowOff>
    </xdr:to>
    <xdr:sp macro="" textlink="">
      <xdr:nvSpPr>
        <xdr:cNvPr id="636" name="Arrow: Down 635">
          <a:extLst>
            <a:ext uri="{FF2B5EF4-FFF2-40B4-BE49-F238E27FC236}">
              <a16:creationId xmlns:a16="http://schemas.microsoft.com/office/drawing/2014/main" id="{5CF3350C-9FA2-4923-92B7-BB816CF42634}"/>
            </a:ext>
          </a:extLst>
        </xdr:cNvPr>
        <xdr:cNvSpPr/>
      </xdr:nvSpPr>
      <xdr:spPr>
        <a:xfrm>
          <a:off x="1475232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94</xdr:row>
      <xdr:rowOff>0</xdr:rowOff>
    </xdr:from>
    <xdr:to>
      <xdr:col>5</xdr:col>
      <xdr:colOff>83820</xdr:colOff>
      <xdr:row>94</xdr:row>
      <xdr:rowOff>114300</xdr:rowOff>
    </xdr:to>
    <xdr:sp macro="" textlink="">
      <xdr:nvSpPr>
        <xdr:cNvPr id="637" name="Arrow: Down 636">
          <a:extLst>
            <a:ext uri="{FF2B5EF4-FFF2-40B4-BE49-F238E27FC236}">
              <a16:creationId xmlns:a16="http://schemas.microsoft.com/office/drawing/2014/main" id="{9DFED798-20E6-4BDD-8300-7789B5A6544E}"/>
            </a:ext>
          </a:extLst>
        </xdr:cNvPr>
        <xdr:cNvSpPr/>
      </xdr:nvSpPr>
      <xdr:spPr>
        <a:xfrm>
          <a:off x="192786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94</xdr:row>
      <xdr:rowOff>0</xdr:rowOff>
    </xdr:from>
    <xdr:to>
      <xdr:col>11</xdr:col>
      <xdr:colOff>83820</xdr:colOff>
      <xdr:row>94</xdr:row>
      <xdr:rowOff>114300</xdr:rowOff>
    </xdr:to>
    <xdr:sp macro="" textlink="">
      <xdr:nvSpPr>
        <xdr:cNvPr id="646" name="Arrow: Down 645">
          <a:extLst>
            <a:ext uri="{FF2B5EF4-FFF2-40B4-BE49-F238E27FC236}">
              <a16:creationId xmlns:a16="http://schemas.microsoft.com/office/drawing/2014/main" id="{51FCB514-7D07-48F1-B848-6867289C68A4}"/>
            </a:ext>
          </a:extLst>
        </xdr:cNvPr>
        <xdr:cNvSpPr/>
      </xdr:nvSpPr>
      <xdr:spPr>
        <a:xfrm>
          <a:off x="361950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94</xdr:row>
      <xdr:rowOff>0</xdr:rowOff>
    </xdr:from>
    <xdr:to>
      <xdr:col>45</xdr:col>
      <xdr:colOff>83820</xdr:colOff>
      <xdr:row>94</xdr:row>
      <xdr:rowOff>114300</xdr:rowOff>
    </xdr:to>
    <xdr:sp macro="" textlink="">
      <xdr:nvSpPr>
        <xdr:cNvPr id="647" name="Arrow: Down 646">
          <a:extLst>
            <a:ext uri="{FF2B5EF4-FFF2-40B4-BE49-F238E27FC236}">
              <a16:creationId xmlns:a16="http://schemas.microsoft.com/office/drawing/2014/main" id="{290DCA2A-1741-4EB6-A6F6-ACC01FED83C5}"/>
            </a:ext>
          </a:extLst>
        </xdr:cNvPr>
        <xdr:cNvSpPr/>
      </xdr:nvSpPr>
      <xdr:spPr>
        <a:xfrm rot="10800000">
          <a:off x="10134600" y="172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0</xdr:rowOff>
    </xdr:from>
    <xdr:to>
      <xdr:col>60</xdr:col>
      <xdr:colOff>83820</xdr:colOff>
      <xdr:row>94</xdr:row>
      <xdr:rowOff>114300</xdr:rowOff>
    </xdr:to>
    <xdr:sp macro="" textlink="">
      <xdr:nvSpPr>
        <xdr:cNvPr id="648" name="Arrow: Down 647">
          <a:extLst>
            <a:ext uri="{FF2B5EF4-FFF2-40B4-BE49-F238E27FC236}">
              <a16:creationId xmlns:a16="http://schemas.microsoft.com/office/drawing/2014/main" id="{739541F8-F001-4E3A-8769-D095EDA8992F}"/>
            </a:ext>
          </a:extLst>
        </xdr:cNvPr>
        <xdr:cNvSpPr/>
      </xdr:nvSpPr>
      <xdr:spPr>
        <a:xfrm rot="10800000">
          <a:off x="14752320" y="172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95</xdr:row>
      <xdr:rowOff>0</xdr:rowOff>
    </xdr:from>
    <xdr:to>
      <xdr:col>71</xdr:col>
      <xdr:colOff>83820</xdr:colOff>
      <xdr:row>95</xdr:row>
      <xdr:rowOff>114300</xdr:rowOff>
    </xdr:to>
    <xdr:sp macro="" textlink="">
      <xdr:nvSpPr>
        <xdr:cNvPr id="656" name="Arrow: Down 655">
          <a:extLst>
            <a:ext uri="{FF2B5EF4-FFF2-40B4-BE49-F238E27FC236}">
              <a16:creationId xmlns:a16="http://schemas.microsoft.com/office/drawing/2014/main" id="{33DAF223-FB34-45E1-946C-F2CF963DA373}"/>
            </a:ext>
          </a:extLst>
        </xdr:cNvPr>
        <xdr:cNvSpPr/>
      </xdr:nvSpPr>
      <xdr:spPr>
        <a:xfrm>
          <a:off x="17068800" y="172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95</xdr:row>
      <xdr:rowOff>0</xdr:rowOff>
    </xdr:from>
    <xdr:to>
      <xdr:col>24</xdr:col>
      <xdr:colOff>83820</xdr:colOff>
      <xdr:row>95</xdr:row>
      <xdr:rowOff>114300</xdr:rowOff>
    </xdr:to>
    <xdr:sp macro="" textlink="">
      <xdr:nvSpPr>
        <xdr:cNvPr id="657" name="Arrow: Down 656">
          <a:extLst>
            <a:ext uri="{FF2B5EF4-FFF2-40B4-BE49-F238E27FC236}">
              <a16:creationId xmlns:a16="http://schemas.microsoft.com/office/drawing/2014/main" id="{A7A0FD03-DDE1-4B69-BC69-E1942004F7F4}"/>
            </a:ext>
          </a:extLst>
        </xdr:cNvPr>
        <xdr:cNvSpPr/>
      </xdr:nvSpPr>
      <xdr:spPr>
        <a:xfrm>
          <a:off x="5440680" y="172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95</xdr:row>
      <xdr:rowOff>0</xdr:rowOff>
    </xdr:from>
    <xdr:to>
      <xdr:col>39</xdr:col>
      <xdr:colOff>83820</xdr:colOff>
      <xdr:row>95</xdr:row>
      <xdr:rowOff>114300</xdr:rowOff>
    </xdr:to>
    <xdr:sp macro="" textlink="">
      <xdr:nvSpPr>
        <xdr:cNvPr id="658" name="Arrow: Down 657">
          <a:extLst>
            <a:ext uri="{FF2B5EF4-FFF2-40B4-BE49-F238E27FC236}">
              <a16:creationId xmlns:a16="http://schemas.microsoft.com/office/drawing/2014/main" id="{92251FB9-DF2E-4C05-B34F-9816938C9BA3}"/>
            </a:ext>
          </a:extLst>
        </xdr:cNvPr>
        <xdr:cNvSpPr/>
      </xdr:nvSpPr>
      <xdr:spPr>
        <a:xfrm>
          <a:off x="8549640" y="172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95</xdr:row>
      <xdr:rowOff>0</xdr:rowOff>
    </xdr:from>
    <xdr:to>
      <xdr:col>5</xdr:col>
      <xdr:colOff>83820</xdr:colOff>
      <xdr:row>95</xdr:row>
      <xdr:rowOff>114300</xdr:rowOff>
    </xdr:to>
    <xdr:sp macro="" textlink="">
      <xdr:nvSpPr>
        <xdr:cNvPr id="659" name="Arrow: Down 658">
          <a:extLst>
            <a:ext uri="{FF2B5EF4-FFF2-40B4-BE49-F238E27FC236}">
              <a16:creationId xmlns:a16="http://schemas.microsoft.com/office/drawing/2014/main" id="{CCE89A10-5CA7-4276-AAF3-86A86D6A0308}"/>
            </a:ext>
          </a:extLst>
        </xdr:cNvPr>
        <xdr:cNvSpPr/>
      </xdr:nvSpPr>
      <xdr:spPr>
        <a:xfrm>
          <a:off x="192786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95</xdr:row>
      <xdr:rowOff>0</xdr:rowOff>
    </xdr:from>
    <xdr:to>
      <xdr:col>11</xdr:col>
      <xdr:colOff>83820</xdr:colOff>
      <xdr:row>95</xdr:row>
      <xdr:rowOff>114300</xdr:rowOff>
    </xdr:to>
    <xdr:sp macro="" textlink="">
      <xdr:nvSpPr>
        <xdr:cNvPr id="660" name="Arrow: Down 659">
          <a:extLst>
            <a:ext uri="{FF2B5EF4-FFF2-40B4-BE49-F238E27FC236}">
              <a16:creationId xmlns:a16="http://schemas.microsoft.com/office/drawing/2014/main" id="{A64AA700-AB73-4232-9F4F-2018CC5A35E4}"/>
            </a:ext>
          </a:extLst>
        </xdr:cNvPr>
        <xdr:cNvSpPr/>
      </xdr:nvSpPr>
      <xdr:spPr>
        <a:xfrm>
          <a:off x="361950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95</xdr:row>
      <xdr:rowOff>0</xdr:rowOff>
    </xdr:from>
    <xdr:to>
      <xdr:col>60</xdr:col>
      <xdr:colOff>83820</xdr:colOff>
      <xdr:row>95</xdr:row>
      <xdr:rowOff>114300</xdr:rowOff>
    </xdr:to>
    <xdr:sp macro="" textlink="">
      <xdr:nvSpPr>
        <xdr:cNvPr id="664" name="Arrow: Down 663">
          <a:extLst>
            <a:ext uri="{FF2B5EF4-FFF2-40B4-BE49-F238E27FC236}">
              <a16:creationId xmlns:a16="http://schemas.microsoft.com/office/drawing/2014/main" id="{87597B27-B361-44F1-BE14-11DA3BB3CFBB}"/>
            </a:ext>
          </a:extLst>
        </xdr:cNvPr>
        <xdr:cNvSpPr/>
      </xdr:nvSpPr>
      <xdr:spPr>
        <a:xfrm>
          <a:off x="14752320" y="1747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95</xdr:row>
      <xdr:rowOff>0</xdr:rowOff>
    </xdr:from>
    <xdr:to>
      <xdr:col>46</xdr:col>
      <xdr:colOff>7620</xdr:colOff>
      <xdr:row>95</xdr:row>
      <xdr:rowOff>99060</xdr:rowOff>
    </xdr:to>
    <xdr:sp macro="" textlink="">
      <xdr:nvSpPr>
        <xdr:cNvPr id="665" name="Minus Sign 664">
          <a:extLst>
            <a:ext uri="{FF2B5EF4-FFF2-40B4-BE49-F238E27FC236}">
              <a16:creationId xmlns:a16="http://schemas.microsoft.com/office/drawing/2014/main" id="{8C9AE111-AC4F-43A3-80C6-1418EA81BE23}"/>
            </a:ext>
          </a:extLst>
        </xdr:cNvPr>
        <xdr:cNvSpPr/>
      </xdr:nvSpPr>
      <xdr:spPr>
        <a:xfrm>
          <a:off x="13106400" y="1747266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71</xdr:col>
      <xdr:colOff>0</xdr:colOff>
      <xdr:row>96</xdr:row>
      <xdr:rowOff>0</xdr:rowOff>
    </xdr:from>
    <xdr:to>
      <xdr:col>71</xdr:col>
      <xdr:colOff>83820</xdr:colOff>
      <xdr:row>96</xdr:row>
      <xdr:rowOff>114300</xdr:rowOff>
    </xdr:to>
    <xdr:sp macro="" textlink="">
      <xdr:nvSpPr>
        <xdr:cNvPr id="649" name="Arrow: Down 648">
          <a:extLst>
            <a:ext uri="{FF2B5EF4-FFF2-40B4-BE49-F238E27FC236}">
              <a16:creationId xmlns:a16="http://schemas.microsoft.com/office/drawing/2014/main" id="{5847EBA7-5898-44CF-904F-6A6875B65818}"/>
            </a:ext>
          </a:extLst>
        </xdr:cNvPr>
        <xdr:cNvSpPr/>
      </xdr:nvSpPr>
      <xdr:spPr>
        <a:xfrm>
          <a:off x="21381720" y="1747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96</xdr:row>
      <xdr:rowOff>0</xdr:rowOff>
    </xdr:from>
    <xdr:to>
      <xdr:col>39</xdr:col>
      <xdr:colOff>83820</xdr:colOff>
      <xdr:row>96</xdr:row>
      <xdr:rowOff>114300</xdr:rowOff>
    </xdr:to>
    <xdr:sp macro="" textlink="">
      <xdr:nvSpPr>
        <xdr:cNvPr id="661" name="Arrow: Down 660">
          <a:extLst>
            <a:ext uri="{FF2B5EF4-FFF2-40B4-BE49-F238E27FC236}">
              <a16:creationId xmlns:a16="http://schemas.microsoft.com/office/drawing/2014/main" id="{E0E00F0C-D27C-4C33-B2CC-8AA0B58F8407}"/>
            </a:ext>
          </a:extLst>
        </xdr:cNvPr>
        <xdr:cNvSpPr/>
      </xdr:nvSpPr>
      <xdr:spPr>
        <a:xfrm rot="10800000">
          <a:off x="8549640" y="176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96</xdr:row>
      <xdr:rowOff>0</xdr:rowOff>
    </xdr:from>
    <xdr:to>
      <xdr:col>45</xdr:col>
      <xdr:colOff>83820</xdr:colOff>
      <xdr:row>96</xdr:row>
      <xdr:rowOff>114300</xdr:rowOff>
    </xdr:to>
    <xdr:sp macro="" textlink="">
      <xdr:nvSpPr>
        <xdr:cNvPr id="662" name="Arrow: Down 661">
          <a:extLst>
            <a:ext uri="{FF2B5EF4-FFF2-40B4-BE49-F238E27FC236}">
              <a16:creationId xmlns:a16="http://schemas.microsoft.com/office/drawing/2014/main" id="{4841F28A-274D-4BB3-B2F2-FA3715044F92}"/>
            </a:ext>
          </a:extLst>
        </xdr:cNvPr>
        <xdr:cNvSpPr/>
      </xdr:nvSpPr>
      <xdr:spPr>
        <a:xfrm rot="10800000">
          <a:off x="10134600" y="176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83820</xdr:colOff>
      <xdr:row>96</xdr:row>
      <xdr:rowOff>114300</xdr:rowOff>
    </xdr:to>
    <xdr:sp macro="" textlink="">
      <xdr:nvSpPr>
        <xdr:cNvPr id="663" name="Arrow: Down 662">
          <a:extLst>
            <a:ext uri="{FF2B5EF4-FFF2-40B4-BE49-F238E27FC236}">
              <a16:creationId xmlns:a16="http://schemas.microsoft.com/office/drawing/2014/main" id="{70D5C9FA-74E1-4956-8D4C-20C1F36B9A85}"/>
            </a:ext>
          </a:extLst>
        </xdr:cNvPr>
        <xdr:cNvSpPr/>
      </xdr:nvSpPr>
      <xdr:spPr>
        <a:xfrm rot="10800000">
          <a:off x="544068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96</xdr:row>
      <xdr:rowOff>0</xdr:rowOff>
    </xdr:from>
    <xdr:to>
      <xdr:col>60</xdr:col>
      <xdr:colOff>83820</xdr:colOff>
      <xdr:row>96</xdr:row>
      <xdr:rowOff>114300</xdr:rowOff>
    </xdr:to>
    <xdr:sp macro="" textlink="">
      <xdr:nvSpPr>
        <xdr:cNvPr id="667" name="Arrow: Down 666">
          <a:extLst>
            <a:ext uri="{FF2B5EF4-FFF2-40B4-BE49-F238E27FC236}">
              <a16:creationId xmlns:a16="http://schemas.microsoft.com/office/drawing/2014/main" id="{585AF03E-C8B1-428A-9B60-7F96258683E7}"/>
            </a:ext>
          </a:extLst>
        </xdr:cNvPr>
        <xdr:cNvSpPr/>
      </xdr:nvSpPr>
      <xdr:spPr>
        <a:xfrm rot="10800000">
          <a:off x="1475232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96</xdr:row>
      <xdr:rowOff>0</xdr:rowOff>
    </xdr:from>
    <xdr:to>
      <xdr:col>5</xdr:col>
      <xdr:colOff>83820</xdr:colOff>
      <xdr:row>96</xdr:row>
      <xdr:rowOff>114300</xdr:rowOff>
    </xdr:to>
    <xdr:sp macro="" textlink="">
      <xdr:nvSpPr>
        <xdr:cNvPr id="668" name="Arrow: Down 667">
          <a:extLst>
            <a:ext uri="{FF2B5EF4-FFF2-40B4-BE49-F238E27FC236}">
              <a16:creationId xmlns:a16="http://schemas.microsoft.com/office/drawing/2014/main" id="{DE196F47-8C55-41AE-88FB-B6333FB5613D}"/>
            </a:ext>
          </a:extLst>
        </xdr:cNvPr>
        <xdr:cNvSpPr/>
      </xdr:nvSpPr>
      <xdr:spPr>
        <a:xfrm rot="10800000">
          <a:off x="192786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96</xdr:row>
      <xdr:rowOff>0</xdr:rowOff>
    </xdr:from>
    <xdr:to>
      <xdr:col>11</xdr:col>
      <xdr:colOff>83820</xdr:colOff>
      <xdr:row>96</xdr:row>
      <xdr:rowOff>114300</xdr:rowOff>
    </xdr:to>
    <xdr:sp macro="" textlink="">
      <xdr:nvSpPr>
        <xdr:cNvPr id="670" name="Arrow: Down 669">
          <a:extLst>
            <a:ext uri="{FF2B5EF4-FFF2-40B4-BE49-F238E27FC236}">
              <a16:creationId xmlns:a16="http://schemas.microsoft.com/office/drawing/2014/main" id="{4576BB70-5993-470B-A4F7-C4C186BDC8EA}"/>
            </a:ext>
          </a:extLst>
        </xdr:cNvPr>
        <xdr:cNvSpPr/>
      </xdr:nvSpPr>
      <xdr:spPr>
        <a:xfrm rot="10800000">
          <a:off x="361950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97</xdr:row>
      <xdr:rowOff>0</xdr:rowOff>
    </xdr:from>
    <xdr:to>
      <xdr:col>71</xdr:col>
      <xdr:colOff>83820</xdr:colOff>
      <xdr:row>97</xdr:row>
      <xdr:rowOff>114300</xdr:rowOff>
    </xdr:to>
    <xdr:sp macro="" textlink="">
      <xdr:nvSpPr>
        <xdr:cNvPr id="671" name="Arrow: Down 670">
          <a:extLst>
            <a:ext uri="{FF2B5EF4-FFF2-40B4-BE49-F238E27FC236}">
              <a16:creationId xmlns:a16="http://schemas.microsoft.com/office/drawing/2014/main" id="{7C2C378F-4C3C-44CC-AEB9-95F4F9A4D99A}"/>
            </a:ext>
          </a:extLst>
        </xdr:cNvPr>
        <xdr:cNvSpPr/>
      </xdr:nvSpPr>
      <xdr:spPr>
        <a:xfrm>
          <a:off x="17068800" y="176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97</xdr:row>
      <xdr:rowOff>0</xdr:rowOff>
    </xdr:from>
    <xdr:to>
      <xdr:col>24</xdr:col>
      <xdr:colOff>83820</xdr:colOff>
      <xdr:row>97</xdr:row>
      <xdr:rowOff>114300</xdr:rowOff>
    </xdr:to>
    <xdr:sp macro="" textlink="">
      <xdr:nvSpPr>
        <xdr:cNvPr id="674" name="Arrow: Down 673">
          <a:extLst>
            <a:ext uri="{FF2B5EF4-FFF2-40B4-BE49-F238E27FC236}">
              <a16:creationId xmlns:a16="http://schemas.microsoft.com/office/drawing/2014/main" id="{CC65563C-069E-4F8E-AA16-E0DFEB33BD09}"/>
            </a:ext>
          </a:extLst>
        </xdr:cNvPr>
        <xdr:cNvSpPr/>
      </xdr:nvSpPr>
      <xdr:spPr>
        <a:xfrm rot="10800000">
          <a:off x="544068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97</xdr:row>
      <xdr:rowOff>0</xdr:rowOff>
    </xdr:from>
    <xdr:to>
      <xdr:col>60</xdr:col>
      <xdr:colOff>83820</xdr:colOff>
      <xdr:row>97</xdr:row>
      <xdr:rowOff>114300</xdr:rowOff>
    </xdr:to>
    <xdr:sp macro="" textlink="">
      <xdr:nvSpPr>
        <xdr:cNvPr id="675" name="Arrow: Down 674">
          <a:extLst>
            <a:ext uri="{FF2B5EF4-FFF2-40B4-BE49-F238E27FC236}">
              <a16:creationId xmlns:a16="http://schemas.microsoft.com/office/drawing/2014/main" id="{41276574-AB95-4BE3-9088-BA00154FCC9E}"/>
            </a:ext>
          </a:extLst>
        </xdr:cNvPr>
        <xdr:cNvSpPr/>
      </xdr:nvSpPr>
      <xdr:spPr>
        <a:xfrm rot="10800000">
          <a:off x="1475232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97</xdr:row>
      <xdr:rowOff>0</xdr:rowOff>
    </xdr:from>
    <xdr:to>
      <xdr:col>5</xdr:col>
      <xdr:colOff>83820</xdr:colOff>
      <xdr:row>97</xdr:row>
      <xdr:rowOff>114300</xdr:rowOff>
    </xdr:to>
    <xdr:sp macro="" textlink="">
      <xdr:nvSpPr>
        <xdr:cNvPr id="676" name="Arrow: Down 675">
          <a:extLst>
            <a:ext uri="{FF2B5EF4-FFF2-40B4-BE49-F238E27FC236}">
              <a16:creationId xmlns:a16="http://schemas.microsoft.com/office/drawing/2014/main" id="{79F43E25-6A53-4E57-AB77-2AB02CE295AE}"/>
            </a:ext>
          </a:extLst>
        </xdr:cNvPr>
        <xdr:cNvSpPr/>
      </xdr:nvSpPr>
      <xdr:spPr>
        <a:xfrm rot="10800000">
          <a:off x="192786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97</xdr:row>
      <xdr:rowOff>0</xdr:rowOff>
    </xdr:from>
    <xdr:to>
      <xdr:col>11</xdr:col>
      <xdr:colOff>83820</xdr:colOff>
      <xdr:row>97</xdr:row>
      <xdr:rowOff>114300</xdr:rowOff>
    </xdr:to>
    <xdr:sp macro="" textlink="">
      <xdr:nvSpPr>
        <xdr:cNvPr id="677" name="Arrow: Down 676">
          <a:extLst>
            <a:ext uri="{FF2B5EF4-FFF2-40B4-BE49-F238E27FC236}">
              <a16:creationId xmlns:a16="http://schemas.microsoft.com/office/drawing/2014/main" id="{8CA75072-EA36-43FF-80F9-30AA6DE29B3E}"/>
            </a:ext>
          </a:extLst>
        </xdr:cNvPr>
        <xdr:cNvSpPr/>
      </xdr:nvSpPr>
      <xdr:spPr>
        <a:xfrm rot="10800000">
          <a:off x="3619500" y="1783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97</xdr:row>
      <xdr:rowOff>0</xdr:rowOff>
    </xdr:from>
    <xdr:to>
      <xdr:col>39</xdr:col>
      <xdr:colOff>83820</xdr:colOff>
      <xdr:row>97</xdr:row>
      <xdr:rowOff>114300</xdr:rowOff>
    </xdr:to>
    <xdr:sp macro="" textlink="">
      <xdr:nvSpPr>
        <xdr:cNvPr id="678" name="Arrow: Down 677">
          <a:extLst>
            <a:ext uri="{FF2B5EF4-FFF2-40B4-BE49-F238E27FC236}">
              <a16:creationId xmlns:a16="http://schemas.microsoft.com/office/drawing/2014/main" id="{0C158885-72F6-473B-984A-15439C91C63F}"/>
            </a:ext>
          </a:extLst>
        </xdr:cNvPr>
        <xdr:cNvSpPr/>
      </xdr:nvSpPr>
      <xdr:spPr>
        <a:xfrm>
          <a:off x="8549640" y="1783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97</xdr:row>
      <xdr:rowOff>0</xdr:rowOff>
    </xdr:from>
    <xdr:to>
      <xdr:col>45</xdr:col>
      <xdr:colOff>83820</xdr:colOff>
      <xdr:row>97</xdr:row>
      <xdr:rowOff>114300</xdr:rowOff>
    </xdr:to>
    <xdr:sp macro="" textlink="">
      <xdr:nvSpPr>
        <xdr:cNvPr id="680" name="Arrow: Down 679">
          <a:extLst>
            <a:ext uri="{FF2B5EF4-FFF2-40B4-BE49-F238E27FC236}">
              <a16:creationId xmlns:a16="http://schemas.microsoft.com/office/drawing/2014/main" id="{510722F3-8780-4C3D-A016-D558CECDB44E}"/>
            </a:ext>
          </a:extLst>
        </xdr:cNvPr>
        <xdr:cNvSpPr/>
      </xdr:nvSpPr>
      <xdr:spPr>
        <a:xfrm rot="10800000">
          <a:off x="10134600" y="178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98</xdr:row>
      <xdr:rowOff>0</xdr:rowOff>
    </xdr:from>
    <xdr:to>
      <xdr:col>71</xdr:col>
      <xdr:colOff>83820</xdr:colOff>
      <xdr:row>98</xdr:row>
      <xdr:rowOff>114300</xdr:rowOff>
    </xdr:to>
    <xdr:sp macro="" textlink="">
      <xdr:nvSpPr>
        <xdr:cNvPr id="688" name="Arrow: Down 687">
          <a:extLst>
            <a:ext uri="{FF2B5EF4-FFF2-40B4-BE49-F238E27FC236}">
              <a16:creationId xmlns:a16="http://schemas.microsoft.com/office/drawing/2014/main" id="{0CFA89DB-5EC9-4639-AA8F-A43C7D735F17}"/>
            </a:ext>
          </a:extLst>
        </xdr:cNvPr>
        <xdr:cNvSpPr/>
      </xdr:nvSpPr>
      <xdr:spPr>
        <a:xfrm>
          <a:off x="17068800" y="178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98</xdr:row>
      <xdr:rowOff>0</xdr:rowOff>
    </xdr:from>
    <xdr:to>
      <xdr:col>5</xdr:col>
      <xdr:colOff>83820</xdr:colOff>
      <xdr:row>98</xdr:row>
      <xdr:rowOff>114300</xdr:rowOff>
    </xdr:to>
    <xdr:sp macro="" textlink="">
      <xdr:nvSpPr>
        <xdr:cNvPr id="691" name="Arrow: Down 690">
          <a:extLst>
            <a:ext uri="{FF2B5EF4-FFF2-40B4-BE49-F238E27FC236}">
              <a16:creationId xmlns:a16="http://schemas.microsoft.com/office/drawing/2014/main" id="{1F904F8C-22AC-477A-BB86-D39A0F14C1C4}"/>
            </a:ext>
          </a:extLst>
        </xdr:cNvPr>
        <xdr:cNvSpPr/>
      </xdr:nvSpPr>
      <xdr:spPr>
        <a:xfrm rot="10800000">
          <a:off x="1927860" y="1783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98</xdr:row>
      <xdr:rowOff>0</xdr:rowOff>
    </xdr:from>
    <xdr:to>
      <xdr:col>45</xdr:col>
      <xdr:colOff>83820</xdr:colOff>
      <xdr:row>98</xdr:row>
      <xdr:rowOff>114300</xdr:rowOff>
    </xdr:to>
    <xdr:sp macro="" textlink="">
      <xdr:nvSpPr>
        <xdr:cNvPr id="694" name="Arrow: Down 693">
          <a:extLst>
            <a:ext uri="{FF2B5EF4-FFF2-40B4-BE49-F238E27FC236}">
              <a16:creationId xmlns:a16="http://schemas.microsoft.com/office/drawing/2014/main" id="{6662D75B-8C06-4220-9C4F-6FCBDC0B60AC}"/>
            </a:ext>
          </a:extLst>
        </xdr:cNvPr>
        <xdr:cNvSpPr/>
      </xdr:nvSpPr>
      <xdr:spPr>
        <a:xfrm rot="10800000">
          <a:off x="10134600" y="178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98</xdr:row>
      <xdr:rowOff>0</xdr:rowOff>
    </xdr:from>
    <xdr:to>
      <xdr:col>60</xdr:col>
      <xdr:colOff>83820</xdr:colOff>
      <xdr:row>98</xdr:row>
      <xdr:rowOff>114300</xdr:rowOff>
    </xdr:to>
    <xdr:sp macro="" textlink="">
      <xdr:nvSpPr>
        <xdr:cNvPr id="696" name="Arrow: Down 695">
          <a:extLst>
            <a:ext uri="{FF2B5EF4-FFF2-40B4-BE49-F238E27FC236}">
              <a16:creationId xmlns:a16="http://schemas.microsoft.com/office/drawing/2014/main" id="{DF4EC178-0A26-44DD-8193-DDCD2564A9E2}"/>
            </a:ext>
          </a:extLst>
        </xdr:cNvPr>
        <xdr:cNvSpPr/>
      </xdr:nvSpPr>
      <xdr:spPr>
        <a:xfrm>
          <a:off x="1475232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98</xdr:row>
      <xdr:rowOff>0</xdr:rowOff>
    </xdr:from>
    <xdr:to>
      <xdr:col>24</xdr:col>
      <xdr:colOff>83820</xdr:colOff>
      <xdr:row>98</xdr:row>
      <xdr:rowOff>114300</xdr:rowOff>
    </xdr:to>
    <xdr:sp macro="" textlink="">
      <xdr:nvSpPr>
        <xdr:cNvPr id="698" name="Arrow: Down 697">
          <a:extLst>
            <a:ext uri="{FF2B5EF4-FFF2-40B4-BE49-F238E27FC236}">
              <a16:creationId xmlns:a16="http://schemas.microsoft.com/office/drawing/2014/main" id="{D4085535-18A3-4042-BF14-C9FADAD2E699}"/>
            </a:ext>
          </a:extLst>
        </xdr:cNvPr>
        <xdr:cNvSpPr/>
      </xdr:nvSpPr>
      <xdr:spPr>
        <a:xfrm>
          <a:off x="544068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98</xdr:row>
      <xdr:rowOff>0</xdr:rowOff>
    </xdr:from>
    <xdr:to>
      <xdr:col>39</xdr:col>
      <xdr:colOff>83820</xdr:colOff>
      <xdr:row>98</xdr:row>
      <xdr:rowOff>114300</xdr:rowOff>
    </xdr:to>
    <xdr:sp macro="" textlink="">
      <xdr:nvSpPr>
        <xdr:cNvPr id="701" name="Arrow: Down 700">
          <a:extLst>
            <a:ext uri="{FF2B5EF4-FFF2-40B4-BE49-F238E27FC236}">
              <a16:creationId xmlns:a16="http://schemas.microsoft.com/office/drawing/2014/main" id="{D9B0E07B-C28D-4696-800A-4429B065FA97}"/>
            </a:ext>
          </a:extLst>
        </xdr:cNvPr>
        <xdr:cNvSpPr/>
      </xdr:nvSpPr>
      <xdr:spPr>
        <a:xfrm rot="10800000">
          <a:off x="854964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98</xdr:row>
      <xdr:rowOff>0</xdr:rowOff>
    </xdr:from>
    <xdr:to>
      <xdr:col>11</xdr:col>
      <xdr:colOff>83820</xdr:colOff>
      <xdr:row>98</xdr:row>
      <xdr:rowOff>114300</xdr:rowOff>
    </xdr:to>
    <xdr:sp macro="" textlink="">
      <xdr:nvSpPr>
        <xdr:cNvPr id="703" name="Arrow: Down 702">
          <a:extLst>
            <a:ext uri="{FF2B5EF4-FFF2-40B4-BE49-F238E27FC236}">
              <a16:creationId xmlns:a16="http://schemas.microsoft.com/office/drawing/2014/main" id="{35852DCE-F526-4A02-9127-22365CAE0797}"/>
            </a:ext>
          </a:extLst>
        </xdr:cNvPr>
        <xdr:cNvSpPr/>
      </xdr:nvSpPr>
      <xdr:spPr>
        <a:xfrm rot="10800000">
          <a:off x="3619500" y="180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99</xdr:row>
      <xdr:rowOff>0</xdr:rowOff>
    </xdr:from>
    <xdr:to>
      <xdr:col>71</xdr:col>
      <xdr:colOff>83820</xdr:colOff>
      <xdr:row>99</xdr:row>
      <xdr:rowOff>114300</xdr:rowOff>
    </xdr:to>
    <xdr:sp macro="" textlink="">
      <xdr:nvSpPr>
        <xdr:cNvPr id="704" name="Arrow: Down 703">
          <a:extLst>
            <a:ext uri="{FF2B5EF4-FFF2-40B4-BE49-F238E27FC236}">
              <a16:creationId xmlns:a16="http://schemas.microsoft.com/office/drawing/2014/main" id="{C56B50BD-CAEE-407F-8DB7-9EABCC3571FF}"/>
            </a:ext>
          </a:extLst>
        </xdr:cNvPr>
        <xdr:cNvSpPr/>
      </xdr:nvSpPr>
      <xdr:spPr>
        <a:xfrm>
          <a:off x="1706880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99</xdr:row>
      <xdr:rowOff>0</xdr:rowOff>
    </xdr:from>
    <xdr:to>
      <xdr:col>5</xdr:col>
      <xdr:colOff>83820</xdr:colOff>
      <xdr:row>99</xdr:row>
      <xdr:rowOff>114300</xdr:rowOff>
    </xdr:to>
    <xdr:sp macro="" textlink="">
      <xdr:nvSpPr>
        <xdr:cNvPr id="705" name="Arrow: Down 704">
          <a:extLst>
            <a:ext uri="{FF2B5EF4-FFF2-40B4-BE49-F238E27FC236}">
              <a16:creationId xmlns:a16="http://schemas.microsoft.com/office/drawing/2014/main" id="{42EE61F2-26B7-4BA0-A411-6CB755B53855}"/>
            </a:ext>
          </a:extLst>
        </xdr:cNvPr>
        <xdr:cNvSpPr/>
      </xdr:nvSpPr>
      <xdr:spPr>
        <a:xfrm rot="10800000">
          <a:off x="1927860" y="180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99</xdr:row>
      <xdr:rowOff>0</xdr:rowOff>
    </xdr:from>
    <xdr:to>
      <xdr:col>45</xdr:col>
      <xdr:colOff>83820</xdr:colOff>
      <xdr:row>99</xdr:row>
      <xdr:rowOff>114300</xdr:rowOff>
    </xdr:to>
    <xdr:sp macro="" textlink="">
      <xdr:nvSpPr>
        <xdr:cNvPr id="706" name="Arrow: Down 705">
          <a:extLst>
            <a:ext uri="{FF2B5EF4-FFF2-40B4-BE49-F238E27FC236}">
              <a16:creationId xmlns:a16="http://schemas.microsoft.com/office/drawing/2014/main" id="{CD6440AC-B3D6-47ED-A0B8-EE53B1CE4E75}"/>
            </a:ext>
          </a:extLst>
        </xdr:cNvPr>
        <xdr:cNvSpPr/>
      </xdr:nvSpPr>
      <xdr:spPr>
        <a:xfrm rot="10800000">
          <a:off x="1013460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99</xdr:row>
      <xdr:rowOff>0</xdr:rowOff>
    </xdr:from>
    <xdr:to>
      <xdr:col>24</xdr:col>
      <xdr:colOff>83820</xdr:colOff>
      <xdr:row>99</xdr:row>
      <xdr:rowOff>114300</xdr:rowOff>
    </xdr:to>
    <xdr:sp macro="" textlink="">
      <xdr:nvSpPr>
        <xdr:cNvPr id="708" name="Arrow: Down 707">
          <a:extLst>
            <a:ext uri="{FF2B5EF4-FFF2-40B4-BE49-F238E27FC236}">
              <a16:creationId xmlns:a16="http://schemas.microsoft.com/office/drawing/2014/main" id="{85B768C0-9182-473F-8B0D-B194CDA271E9}"/>
            </a:ext>
          </a:extLst>
        </xdr:cNvPr>
        <xdr:cNvSpPr/>
      </xdr:nvSpPr>
      <xdr:spPr>
        <a:xfrm>
          <a:off x="544068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99</xdr:row>
      <xdr:rowOff>0</xdr:rowOff>
    </xdr:from>
    <xdr:to>
      <xdr:col>11</xdr:col>
      <xdr:colOff>83820</xdr:colOff>
      <xdr:row>99</xdr:row>
      <xdr:rowOff>114300</xdr:rowOff>
    </xdr:to>
    <xdr:sp macro="" textlink="">
      <xdr:nvSpPr>
        <xdr:cNvPr id="710" name="Arrow: Down 709">
          <a:extLst>
            <a:ext uri="{FF2B5EF4-FFF2-40B4-BE49-F238E27FC236}">
              <a16:creationId xmlns:a16="http://schemas.microsoft.com/office/drawing/2014/main" id="{3A279C93-B3B3-4B19-A95C-54FD30AD5540}"/>
            </a:ext>
          </a:extLst>
        </xdr:cNvPr>
        <xdr:cNvSpPr/>
      </xdr:nvSpPr>
      <xdr:spPr>
        <a:xfrm rot="10800000">
          <a:off x="3619500" y="180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99</xdr:row>
      <xdr:rowOff>0</xdr:rowOff>
    </xdr:from>
    <xdr:to>
      <xdr:col>39</xdr:col>
      <xdr:colOff>83820</xdr:colOff>
      <xdr:row>99</xdr:row>
      <xdr:rowOff>114300</xdr:rowOff>
    </xdr:to>
    <xdr:sp macro="" textlink="">
      <xdr:nvSpPr>
        <xdr:cNvPr id="711" name="Arrow: Down 710">
          <a:extLst>
            <a:ext uri="{FF2B5EF4-FFF2-40B4-BE49-F238E27FC236}">
              <a16:creationId xmlns:a16="http://schemas.microsoft.com/office/drawing/2014/main" id="{9F7D5300-0BD1-42CB-8E4E-0B55FEE974BD}"/>
            </a:ext>
          </a:extLst>
        </xdr:cNvPr>
        <xdr:cNvSpPr/>
      </xdr:nvSpPr>
      <xdr:spPr>
        <a:xfrm>
          <a:off x="854964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99</xdr:row>
      <xdr:rowOff>0</xdr:rowOff>
    </xdr:from>
    <xdr:to>
      <xdr:col>60</xdr:col>
      <xdr:colOff>83820</xdr:colOff>
      <xdr:row>99</xdr:row>
      <xdr:rowOff>114300</xdr:rowOff>
    </xdr:to>
    <xdr:sp macro="" textlink="">
      <xdr:nvSpPr>
        <xdr:cNvPr id="713" name="Arrow: Down 712">
          <a:extLst>
            <a:ext uri="{FF2B5EF4-FFF2-40B4-BE49-F238E27FC236}">
              <a16:creationId xmlns:a16="http://schemas.microsoft.com/office/drawing/2014/main" id="{2568AB17-CF4C-48F5-9A2F-273F1D8532A2}"/>
            </a:ext>
          </a:extLst>
        </xdr:cNvPr>
        <xdr:cNvSpPr/>
      </xdr:nvSpPr>
      <xdr:spPr>
        <a:xfrm rot="10800000">
          <a:off x="1475232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100</xdr:row>
      <xdr:rowOff>0</xdr:rowOff>
    </xdr:from>
    <xdr:to>
      <xdr:col>71</xdr:col>
      <xdr:colOff>83820</xdr:colOff>
      <xdr:row>100</xdr:row>
      <xdr:rowOff>114300</xdr:rowOff>
    </xdr:to>
    <xdr:sp macro="" textlink="">
      <xdr:nvSpPr>
        <xdr:cNvPr id="650" name="Arrow: Down 649">
          <a:extLst>
            <a:ext uri="{FF2B5EF4-FFF2-40B4-BE49-F238E27FC236}">
              <a16:creationId xmlns:a16="http://schemas.microsoft.com/office/drawing/2014/main" id="{21C0FDF0-AD12-4483-BB38-01DD87A275C1}"/>
            </a:ext>
          </a:extLst>
        </xdr:cNvPr>
        <xdr:cNvSpPr/>
      </xdr:nvSpPr>
      <xdr:spPr>
        <a:xfrm>
          <a:off x="17068800" y="182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100</xdr:row>
      <xdr:rowOff>0</xdr:rowOff>
    </xdr:from>
    <xdr:to>
      <xdr:col>5</xdr:col>
      <xdr:colOff>83820</xdr:colOff>
      <xdr:row>100</xdr:row>
      <xdr:rowOff>114300</xdr:rowOff>
    </xdr:to>
    <xdr:sp macro="" textlink="">
      <xdr:nvSpPr>
        <xdr:cNvPr id="651" name="Arrow: Down 650">
          <a:extLst>
            <a:ext uri="{FF2B5EF4-FFF2-40B4-BE49-F238E27FC236}">
              <a16:creationId xmlns:a16="http://schemas.microsoft.com/office/drawing/2014/main" id="{E1978D8D-A3D8-4459-9F4A-A7628A5DBD53}"/>
            </a:ext>
          </a:extLst>
        </xdr:cNvPr>
        <xdr:cNvSpPr/>
      </xdr:nvSpPr>
      <xdr:spPr>
        <a:xfrm rot="10800000">
          <a:off x="192786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100</xdr:row>
      <xdr:rowOff>0</xdr:rowOff>
    </xdr:from>
    <xdr:to>
      <xdr:col>45</xdr:col>
      <xdr:colOff>83820</xdr:colOff>
      <xdr:row>100</xdr:row>
      <xdr:rowOff>114300</xdr:rowOff>
    </xdr:to>
    <xdr:sp macro="" textlink="">
      <xdr:nvSpPr>
        <xdr:cNvPr id="652" name="Arrow: Down 651">
          <a:extLst>
            <a:ext uri="{FF2B5EF4-FFF2-40B4-BE49-F238E27FC236}">
              <a16:creationId xmlns:a16="http://schemas.microsoft.com/office/drawing/2014/main" id="{EBAE7C4F-91AE-408D-86AA-A1B8A669919B}"/>
            </a:ext>
          </a:extLst>
        </xdr:cNvPr>
        <xdr:cNvSpPr/>
      </xdr:nvSpPr>
      <xdr:spPr>
        <a:xfrm rot="10800000">
          <a:off x="10134600" y="182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100</xdr:row>
      <xdr:rowOff>0</xdr:rowOff>
    </xdr:from>
    <xdr:to>
      <xdr:col>24</xdr:col>
      <xdr:colOff>83820</xdr:colOff>
      <xdr:row>100</xdr:row>
      <xdr:rowOff>114300</xdr:rowOff>
    </xdr:to>
    <xdr:sp macro="" textlink="">
      <xdr:nvSpPr>
        <xdr:cNvPr id="653" name="Arrow: Down 652">
          <a:extLst>
            <a:ext uri="{FF2B5EF4-FFF2-40B4-BE49-F238E27FC236}">
              <a16:creationId xmlns:a16="http://schemas.microsoft.com/office/drawing/2014/main" id="{50A3186A-B56A-443C-8A14-A27FA1442693}"/>
            </a:ext>
          </a:extLst>
        </xdr:cNvPr>
        <xdr:cNvSpPr/>
      </xdr:nvSpPr>
      <xdr:spPr>
        <a:xfrm>
          <a:off x="5440680" y="182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100</xdr:row>
      <xdr:rowOff>0</xdr:rowOff>
    </xdr:from>
    <xdr:to>
      <xdr:col>11</xdr:col>
      <xdr:colOff>83820</xdr:colOff>
      <xdr:row>100</xdr:row>
      <xdr:rowOff>114300</xdr:rowOff>
    </xdr:to>
    <xdr:sp macro="" textlink="">
      <xdr:nvSpPr>
        <xdr:cNvPr id="654" name="Arrow: Down 653">
          <a:extLst>
            <a:ext uri="{FF2B5EF4-FFF2-40B4-BE49-F238E27FC236}">
              <a16:creationId xmlns:a16="http://schemas.microsoft.com/office/drawing/2014/main" id="{AEA4EA92-27E6-4F8D-A22D-0B4A52516C01}"/>
            </a:ext>
          </a:extLst>
        </xdr:cNvPr>
        <xdr:cNvSpPr/>
      </xdr:nvSpPr>
      <xdr:spPr>
        <a:xfrm rot="10800000">
          <a:off x="361950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100</xdr:row>
      <xdr:rowOff>0</xdr:rowOff>
    </xdr:from>
    <xdr:to>
      <xdr:col>60</xdr:col>
      <xdr:colOff>83820</xdr:colOff>
      <xdr:row>100</xdr:row>
      <xdr:rowOff>114300</xdr:rowOff>
    </xdr:to>
    <xdr:sp macro="" textlink="">
      <xdr:nvSpPr>
        <xdr:cNvPr id="672" name="Arrow: Down 671">
          <a:extLst>
            <a:ext uri="{FF2B5EF4-FFF2-40B4-BE49-F238E27FC236}">
              <a16:creationId xmlns:a16="http://schemas.microsoft.com/office/drawing/2014/main" id="{DC778E3D-51D6-4D61-A15E-98C5B28B94D7}"/>
            </a:ext>
          </a:extLst>
        </xdr:cNvPr>
        <xdr:cNvSpPr/>
      </xdr:nvSpPr>
      <xdr:spPr>
        <a:xfrm>
          <a:off x="1475232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100</xdr:row>
      <xdr:rowOff>0</xdr:rowOff>
    </xdr:from>
    <xdr:to>
      <xdr:col>39</xdr:col>
      <xdr:colOff>83820</xdr:colOff>
      <xdr:row>100</xdr:row>
      <xdr:rowOff>114300</xdr:rowOff>
    </xdr:to>
    <xdr:sp macro="" textlink="">
      <xdr:nvSpPr>
        <xdr:cNvPr id="673" name="Arrow: Down 672">
          <a:extLst>
            <a:ext uri="{FF2B5EF4-FFF2-40B4-BE49-F238E27FC236}">
              <a16:creationId xmlns:a16="http://schemas.microsoft.com/office/drawing/2014/main" id="{6FF93F08-F2F3-424C-8829-8D4A5A503D3C}"/>
            </a:ext>
          </a:extLst>
        </xdr:cNvPr>
        <xdr:cNvSpPr/>
      </xdr:nvSpPr>
      <xdr:spPr>
        <a:xfrm rot="10800000">
          <a:off x="854964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101</xdr:row>
      <xdr:rowOff>0</xdr:rowOff>
    </xdr:from>
    <xdr:to>
      <xdr:col>71</xdr:col>
      <xdr:colOff>83820</xdr:colOff>
      <xdr:row>101</xdr:row>
      <xdr:rowOff>114300</xdr:rowOff>
    </xdr:to>
    <xdr:sp macro="" textlink="">
      <xdr:nvSpPr>
        <xdr:cNvPr id="679" name="Arrow: Down 678">
          <a:extLst>
            <a:ext uri="{FF2B5EF4-FFF2-40B4-BE49-F238E27FC236}">
              <a16:creationId xmlns:a16="http://schemas.microsoft.com/office/drawing/2014/main" id="{1596CB42-77FA-4348-8D9F-26093B7703F8}"/>
            </a:ext>
          </a:extLst>
        </xdr:cNvPr>
        <xdr:cNvSpPr/>
      </xdr:nvSpPr>
      <xdr:spPr>
        <a:xfrm>
          <a:off x="1840992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101</xdr:row>
      <xdr:rowOff>0</xdr:rowOff>
    </xdr:from>
    <xdr:to>
      <xdr:col>45</xdr:col>
      <xdr:colOff>83820</xdr:colOff>
      <xdr:row>101</xdr:row>
      <xdr:rowOff>114300</xdr:rowOff>
    </xdr:to>
    <xdr:sp macro="" textlink="">
      <xdr:nvSpPr>
        <xdr:cNvPr id="682" name="Arrow: Down 681">
          <a:extLst>
            <a:ext uri="{FF2B5EF4-FFF2-40B4-BE49-F238E27FC236}">
              <a16:creationId xmlns:a16="http://schemas.microsoft.com/office/drawing/2014/main" id="{A30310C9-2078-4E34-8882-73F20B634052}"/>
            </a:ext>
          </a:extLst>
        </xdr:cNvPr>
        <xdr:cNvSpPr/>
      </xdr:nvSpPr>
      <xdr:spPr>
        <a:xfrm rot="10800000">
          <a:off x="1013460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101</xdr:row>
      <xdr:rowOff>0</xdr:rowOff>
    </xdr:from>
    <xdr:to>
      <xdr:col>24</xdr:col>
      <xdr:colOff>83820</xdr:colOff>
      <xdr:row>101</xdr:row>
      <xdr:rowOff>114300</xdr:rowOff>
    </xdr:to>
    <xdr:sp macro="" textlink="">
      <xdr:nvSpPr>
        <xdr:cNvPr id="683" name="Arrow: Down 682">
          <a:extLst>
            <a:ext uri="{FF2B5EF4-FFF2-40B4-BE49-F238E27FC236}">
              <a16:creationId xmlns:a16="http://schemas.microsoft.com/office/drawing/2014/main" id="{F21797FB-F16E-4259-A583-53D50D35219B}"/>
            </a:ext>
          </a:extLst>
        </xdr:cNvPr>
        <xdr:cNvSpPr/>
      </xdr:nvSpPr>
      <xdr:spPr>
        <a:xfrm>
          <a:off x="544068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101</xdr:row>
      <xdr:rowOff>0</xdr:rowOff>
    </xdr:from>
    <xdr:to>
      <xdr:col>60</xdr:col>
      <xdr:colOff>83820</xdr:colOff>
      <xdr:row>101</xdr:row>
      <xdr:rowOff>114300</xdr:rowOff>
    </xdr:to>
    <xdr:sp macro="" textlink="">
      <xdr:nvSpPr>
        <xdr:cNvPr id="685" name="Arrow: Down 684">
          <a:extLst>
            <a:ext uri="{FF2B5EF4-FFF2-40B4-BE49-F238E27FC236}">
              <a16:creationId xmlns:a16="http://schemas.microsoft.com/office/drawing/2014/main" id="{657D62C2-106A-4283-B6EC-73AAAE06AC53}"/>
            </a:ext>
          </a:extLst>
        </xdr:cNvPr>
        <xdr:cNvSpPr/>
      </xdr:nvSpPr>
      <xdr:spPr>
        <a:xfrm>
          <a:off x="1475232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101</xdr:row>
      <xdr:rowOff>0</xdr:rowOff>
    </xdr:from>
    <xdr:to>
      <xdr:col>39</xdr:col>
      <xdr:colOff>83820</xdr:colOff>
      <xdr:row>101</xdr:row>
      <xdr:rowOff>114300</xdr:rowOff>
    </xdr:to>
    <xdr:sp macro="" textlink="">
      <xdr:nvSpPr>
        <xdr:cNvPr id="686" name="Arrow: Down 685">
          <a:extLst>
            <a:ext uri="{FF2B5EF4-FFF2-40B4-BE49-F238E27FC236}">
              <a16:creationId xmlns:a16="http://schemas.microsoft.com/office/drawing/2014/main" id="{324CABF2-70BE-467F-BDBA-03E9A95B4E72}"/>
            </a:ext>
          </a:extLst>
        </xdr:cNvPr>
        <xdr:cNvSpPr/>
      </xdr:nvSpPr>
      <xdr:spPr>
        <a:xfrm rot="10800000">
          <a:off x="854964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101</xdr:row>
      <xdr:rowOff>0</xdr:rowOff>
    </xdr:from>
    <xdr:to>
      <xdr:col>5</xdr:col>
      <xdr:colOff>83820</xdr:colOff>
      <xdr:row>101</xdr:row>
      <xdr:rowOff>114300</xdr:rowOff>
    </xdr:to>
    <xdr:sp macro="" textlink="">
      <xdr:nvSpPr>
        <xdr:cNvPr id="616" name="Arrow: Down 615">
          <a:extLst>
            <a:ext uri="{FF2B5EF4-FFF2-40B4-BE49-F238E27FC236}">
              <a16:creationId xmlns:a16="http://schemas.microsoft.com/office/drawing/2014/main" id="{4228C844-D9F4-413F-B565-2606A700E497}"/>
            </a:ext>
          </a:extLst>
        </xdr:cNvPr>
        <xdr:cNvSpPr/>
      </xdr:nvSpPr>
      <xdr:spPr>
        <a:xfrm>
          <a:off x="192786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101</xdr:row>
      <xdr:rowOff>0</xdr:rowOff>
    </xdr:from>
    <xdr:to>
      <xdr:col>11</xdr:col>
      <xdr:colOff>83820</xdr:colOff>
      <xdr:row>101</xdr:row>
      <xdr:rowOff>114300</xdr:rowOff>
    </xdr:to>
    <xdr:sp macro="" textlink="">
      <xdr:nvSpPr>
        <xdr:cNvPr id="620" name="Arrow: Down 619">
          <a:extLst>
            <a:ext uri="{FF2B5EF4-FFF2-40B4-BE49-F238E27FC236}">
              <a16:creationId xmlns:a16="http://schemas.microsoft.com/office/drawing/2014/main" id="{D72D03B0-BF99-4BB8-8669-729136A6F11D}"/>
            </a:ext>
          </a:extLst>
        </xdr:cNvPr>
        <xdr:cNvSpPr/>
      </xdr:nvSpPr>
      <xdr:spPr>
        <a:xfrm>
          <a:off x="361950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102</xdr:row>
      <xdr:rowOff>0</xdr:rowOff>
    </xdr:from>
    <xdr:to>
      <xdr:col>71</xdr:col>
      <xdr:colOff>83820</xdr:colOff>
      <xdr:row>102</xdr:row>
      <xdr:rowOff>114300</xdr:rowOff>
    </xdr:to>
    <xdr:sp macro="" textlink="">
      <xdr:nvSpPr>
        <xdr:cNvPr id="632" name="Arrow: Down 631">
          <a:extLst>
            <a:ext uri="{FF2B5EF4-FFF2-40B4-BE49-F238E27FC236}">
              <a16:creationId xmlns:a16="http://schemas.microsoft.com/office/drawing/2014/main" id="{DADEE258-4D72-4D81-96E2-11CB94D0C7C2}"/>
            </a:ext>
          </a:extLst>
        </xdr:cNvPr>
        <xdr:cNvSpPr/>
      </xdr:nvSpPr>
      <xdr:spPr>
        <a:xfrm>
          <a:off x="17068800" y="185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102</xdr:row>
      <xdr:rowOff>0</xdr:rowOff>
    </xdr:from>
    <xdr:to>
      <xdr:col>24</xdr:col>
      <xdr:colOff>83820</xdr:colOff>
      <xdr:row>102</xdr:row>
      <xdr:rowOff>114300</xdr:rowOff>
    </xdr:to>
    <xdr:sp macro="" textlink="">
      <xdr:nvSpPr>
        <xdr:cNvPr id="642" name="Arrow: Down 641">
          <a:extLst>
            <a:ext uri="{FF2B5EF4-FFF2-40B4-BE49-F238E27FC236}">
              <a16:creationId xmlns:a16="http://schemas.microsoft.com/office/drawing/2014/main" id="{11035576-FF6C-461A-8481-935D784F43B7}"/>
            </a:ext>
          </a:extLst>
        </xdr:cNvPr>
        <xdr:cNvSpPr/>
      </xdr:nvSpPr>
      <xdr:spPr>
        <a:xfrm>
          <a:off x="5440680" y="185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102</xdr:row>
      <xdr:rowOff>0</xdr:rowOff>
    </xdr:from>
    <xdr:to>
      <xdr:col>60</xdr:col>
      <xdr:colOff>83820</xdr:colOff>
      <xdr:row>102</xdr:row>
      <xdr:rowOff>114300</xdr:rowOff>
    </xdr:to>
    <xdr:sp macro="" textlink="">
      <xdr:nvSpPr>
        <xdr:cNvPr id="643" name="Arrow: Down 642">
          <a:extLst>
            <a:ext uri="{FF2B5EF4-FFF2-40B4-BE49-F238E27FC236}">
              <a16:creationId xmlns:a16="http://schemas.microsoft.com/office/drawing/2014/main" id="{A283F9DB-5DBB-4DBA-9DFA-44710D0C731B}"/>
            </a:ext>
          </a:extLst>
        </xdr:cNvPr>
        <xdr:cNvSpPr/>
      </xdr:nvSpPr>
      <xdr:spPr>
        <a:xfrm>
          <a:off x="14752320" y="185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102</xdr:row>
      <xdr:rowOff>0</xdr:rowOff>
    </xdr:from>
    <xdr:to>
      <xdr:col>5</xdr:col>
      <xdr:colOff>83820</xdr:colOff>
      <xdr:row>102</xdr:row>
      <xdr:rowOff>114300</xdr:rowOff>
    </xdr:to>
    <xdr:sp macro="" textlink="">
      <xdr:nvSpPr>
        <xdr:cNvPr id="655" name="Arrow: Down 654">
          <a:extLst>
            <a:ext uri="{FF2B5EF4-FFF2-40B4-BE49-F238E27FC236}">
              <a16:creationId xmlns:a16="http://schemas.microsoft.com/office/drawing/2014/main" id="{7968D2D2-A993-4611-901E-2128A0B1185A}"/>
            </a:ext>
          </a:extLst>
        </xdr:cNvPr>
        <xdr:cNvSpPr/>
      </xdr:nvSpPr>
      <xdr:spPr>
        <a:xfrm>
          <a:off x="192786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102</xdr:row>
      <xdr:rowOff>0</xdr:rowOff>
    </xdr:from>
    <xdr:to>
      <xdr:col>11</xdr:col>
      <xdr:colOff>83820</xdr:colOff>
      <xdr:row>102</xdr:row>
      <xdr:rowOff>114300</xdr:rowOff>
    </xdr:to>
    <xdr:sp macro="" textlink="">
      <xdr:nvSpPr>
        <xdr:cNvPr id="666" name="Arrow: Down 665">
          <a:extLst>
            <a:ext uri="{FF2B5EF4-FFF2-40B4-BE49-F238E27FC236}">
              <a16:creationId xmlns:a16="http://schemas.microsoft.com/office/drawing/2014/main" id="{E6C9C091-AB5F-4299-BB3B-8899E1E4F0A5}"/>
            </a:ext>
          </a:extLst>
        </xdr:cNvPr>
        <xdr:cNvSpPr/>
      </xdr:nvSpPr>
      <xdr:spPr>
        <a:xfrm>
          <a:off x="361950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102</xdr:row>
      <xdr:rowOff>0</xdr:rowOff>
    </xdr:from>
    <xdr:to>
      <xdr:col>39</xdr:col>
      <xdr:colOff>83820</xdr:colOff>
      <xdr:row>102</xdr:row>
      <xdr:rowOff>114300</xdr:rowOff>
    </xdr:to>
    <xdr:sp macro="" textlink="">
      <xdr:nvSpPr>
        <xdr:cNvPr id="669" name="Arrow: Down 668">
          <a:extLst>
            <a:ext uri="{FF2B5EF4-FFF2-40B4-BE49-F238E27FC236}">
              <a16:creationId xmlns:a16="http://schemas.microsoft.com/office/drawing/2014/main" id="{BB89D0BC-3517-4128-BFCE-68D4AB547BB1}"/>
            </a:ext>
          </a:extLst>
        </xdr:cNvPr>
        <xdr:cNvSpPr/>
      </xdr:nvSpPr>
      <xdr:spPr>
        <a:xfrm>
          <a:off x="8549640" y="187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102</xdr:row>
      <xdr:rowOff>0</xdr:rowOff>
    </xdr:from>
    <xdr:to>
      <xdr:col>45</xdr:col>
      <xdr:colOff>83820</xdr:colOff>
      <xdr:row>102</xdr:row>
      <xdr:rowOff>114300</xdr:rowOff>
    </xdr:to>
    <xdr:sp macro="" textlink="">
      <xdr:nvSpPr>
        <xdr:cNvPr id="689" name="Arrow: Down 688">
          <a:extLst>
            <a:ext uri="{FF2B5EF4-FFF2-40B4-BE49-F238E27FC236}">
              <a16:creationId xmlns:a16="http://schemas.microsoft.com/office/drawing/2014/main" id="{9B2F6A0F-BB45-454D-8B63-EDDA6A379325}"/>
            </a:ext>
          </a:extLst>
        </xdr:cNvPr>
        <xdr:cNvSpPr/>
      </xdr:nvSpPr>
      <xdr:spPr>
        <a:xfrm>
          <a:off x="10134600" y="187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103</xdr:row>
      <xdr:rowOff>0</xdr:rowOff>
    </xdr:from>
    <xdr:to>
      <xdr:col>71</xdr:col>
      <xdr:colOff>83820</xdr:colOff>
      <xdr:row>103</xdr:row>
      <xdr:rowOff>114300</xdr:rowOff>
    </xdr:to>
    <xdr:sp macro="" textlink="">
      <xdr:nvSpPr>
        <xdr:cNvPr id="690" name="Arrow: Down 689">
          <a:extLst>
            <a:ext uri="{FF2B5EF4-FFF2-40B4-BE49-F238E27FC236}">
              <a16:creationId xmlns:a16="http://schemas.microsoft.com/office/drawing/2014/main" id="{AC232909-9BDE-47EF-8AA7-475D5672810D}"/>
            </a:ext>
          </a:extLst>
        </xdr:cNvPr>
        <xdr:cNvSpPr/>
      </xdr:nvSpPr>
      <xdr:spPr>
        <a:xfrm>
          <a:off x="17068800" y="1875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103</xdr:row>
      <xdr:rowOff>0</xdr:rowOff>
    </xdr:from>
    <xdr:to>
      <xdr:col>24</xdr:col>
      <xdr:colOff>83820</xdr:colOff>
      <xdr:row>103</xdr:row>
      <xdr:rowOff>114300</xdr:rowOff>
    </xdr:to>
    <xdr:sp macro="" textlink="">
      <xdr:nvSpPr>
        <xdr:cNvPr id="702" name="Arrow: Down 701">
          <a:extLst>
            <a:ext uri="{FF2B5EF4-FFF2-40B4-BE49-F238E27FC236}">
              <a16:creationId xmlns:a16="http://schemas.microsoft.com/office/drawing/2014/main" id="{2FD6B09E-E273-409B-BB25-1324166EEAF3}"/>
            </a:ext>
          </a:extLst>
        </xdr:cNvPr>
        <xdr:cNvSpPr/>
      </xdr:nvSpPr>
      <xdr:spPr>
        <a:xfrm rot="10800000">
          <a:off x="544068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103</xdr:row>
      <xdr:rowOff>0</xdr:rowOff>
    </xdr:from>
    <xdr:to>
      <xdr:col>39</xdr:col>
      <xdr:colOff>83820</xdr:colOff>
      <xdr:row>103</xdr:row>
      <xdr:rowOff>114300</xdr:rowOff>
    </xdr:to>
    <xdr:sp macro="" textlink="">
      <xdr:nvSpPr>
        <xdr:cNvPr id="707" name="Arrow: Down 706">
          <a:extLst>
            <a:ext uri="{FF2B5EF4-FFF2-40B4-BE49-F238E27FC236}">
              <a16:creationId xmlns:a16="http://schemas.microsoft.com/office/drawing/2014/main" id="{54BA0260-7093-4670-8D49-F13D67BBDC1C}"/>
            </a:ext>
          </a:extLst>
        </xdr:cNvPr>
        <xdr:cNvSpPr/>
      </xdr:nvSpPr>
      <xdr:spPr>
        <a:xfrm rot="10800000">
          <a:off x="854964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103</xdr:row>
      <xdr:rowOff>0</xdr:rowOff>
    </xdr:from>
    <xdr:to>
      <xdr:col>5</xdr:col>
      <xdr:colOff>83820</xdr:colOff>
      <xdr:row>103</xdr:row>
      <xdr:rowOff>114300</xdr:rowOff>
    </xdr:to>
    <xdr:sp macro="" textlink="">
      <xdr:nvSpPr>
        <xdr:cNvPr id="709" name="Arrow: Down 708">
          <a:extLst>
            <a:ext uri="{FF2B5EF4-FFF2-40B4-BE49-F238E27FC236}">
              <a16:creationId xmlns:a16="http://schemas.microsoft.com/office/drawing/2014/main" id="{314E60FE-27C5-4AB0-B276-FB75C2E0FFB5}"/>
            </a:ext>
          </a:extLst>
        </xdr:cNvPr>
        <xdr:cNvSpPr/>
      </xdr:nvSpPr>
      <xdr:spPr>
        <a:xfrm rot="10800000">
          <a:off x="192786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103</xdr:row>
      <xdr:rowOff>0</xdr:rowOff>
    </xdr:from>
    <xdr:to>
      <xdr:col>11</xdr:col>
      <xdr:colOff>83820</xdr:colOff>
      <xdr:row>103</xdr:row>
      <xdr:rowOff>114300</xdr:rowOff>
    </xdr:to>
    <xdr:sp macro="" textlink="">
      <xdr:nvSpPr>
        <xdr:cNvPr id="714" name="Arrow: Down 713">
          <a:extLst>
            <a:ext uri="{FF2B5EF4-FFF2-40B4-BE49-F238E27FC236}">
              <a16:creationId xmlns:a16="http://schemas.microsoft.com/office/drawing/2014/main" id="{9606D00F-BE50-4920-A9A7-561938AC90C7}"/>
            </a:ext>
          </a:extLst>
        </xdr:cNvPr>
        <xdr:cNvSpPr/>
      </xdr:nvSpPr>
      <xdr:spPr>
        <a:xfrm rot="10800000">
          <a:off x="361950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103</xdr:row>
      <xdr:rowOff>0</xdr:rowOff>
    </xdr:from>
    <xdr:to>
      <xdr:col>60</xdr:col>
      <xdr:colOff>83820</xdr:colOff>
      <xdr:row>103</xdr:row>
      <xdr:rowOff>114300</xdr:rowOff>
    </xdr:to>
    <xdr:sp macro="" textlink="">
      <xdr:nvSpPr>
        <xdr:cNvPr id="716" name="Arrow: Down 715">
          <a:extLst>
            <a:ext uri="{FF2B5EF4-FFF2-40B4-BE49-F238E27FC236}">
              <a16:creationId xmlns:a16="http://schemas.microsoft.com/office/drawing/2014/main" id="{5B8F6917-A1F5-4395-9959-F7E62DFEF8BA}"/>
            </a:ext>
          </a:extLst>
        </xdr:cNvPr>
        <xdr:cNvSpPr/>
      </xdr:nvSpPr>
      <xdr:spPr>
        <a:xfrm rot="10800000">
          <a:off x="1475232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103</xdr:row>
      <xdr:rowOff>0</xdr:rowOff>
    </xdr:from>
    <xdr:to>
      <xdr:col>45</xdr:col>
      <xdr:colOff>83820</xdr:colOff>
      <xdr:row>103</xdr:row>
      <xdr:rowOff>114300</xdr:rowOff>
    </xdr:to>
    <xdr:sp macro="" textlink="">
      <xdr:nvSpPr>
        <xdr:cNvPr id="717" name="Arrow: Down 716">
          <a:extLst>
            <a:ext uri="{FF2B5EF4-FFF2-40B4-BE49-F238E27FC236}">
              <a16:creationId xmlns:a16="http://schemas.microsoft.com/office/drawing/2014/main" id="{E8223D1A-DE3E-4921-B450-26BD1A30C557}"/>
            </a:ext>
          </a:extLst>
        </xdr:cNvPr>
        <xdr:cNvSpPr/>
      </xdr:nvSpPr>
      <xdr:spPr>
        <a:xfrm rot="10800000">
          <a:off x="1013460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104</xdr:row>
      <xdr:rowOff>0</xdr:rowOff>
    </xdr:from>
    <xdr:to>
      <xdr:col>71</xdr:col>
      <xdr:colOff>83820</xdr:colOff>
      <xdr:row>104</xdr:row>
      <xdr:rowOff>114300</xdr:rowOff>
    </xdr:to>
    <xdr:sp macro="" textlink="">
      <xdr:nvSpPr>
        <xdr:cNvPr id="718" name="Arrow: Down 717">
          <a:extLst>
            <a:ext uri="{FF2B5EF4-FFF2-40B4-BE49-F238E27FC236}">
              <a16:creationId xmlns:a16="http://schemas.microsoft.com/office/drawing/2014/main" id="{C89556FE-EC72-4E0E-96D1-F74C7EB33F07}"/>
            </a:ext>
          </a:extLst>
        </xdr:cNvPr>
        <xdr:cNvSpPr/>
      </xdr:nvSpPr>
      <xdr:spPr>
        <a:xfrm>
          <a:off x="1706880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104</xdr:row>
      <xdr:rowOff>0</xdr:rowOff>
    </xdr:from>
    <xdr:to>
      <xdr:col>24</xdr:col>
      <xdr:colOff>83820</xdr:colOff>
      <xdr:row>104</xdr:row>
      <xdr:rowOff>114300</xdr:rowOff>
    </xdr:to>
    <xdr:sp macro="" textlink="">
      <xdr:nvSpPr>
        <xdr:cNvPr id="719" name="Arrow: Down 718">
          <a:extLst>
            <a:ext uri="{FF2B5EF4-FFF2-40B4-BE49-F238E27FC236}">
              <a16:creationId xmlns:a16="http://schemas.microsoft.com/office/drawing/2014/main" id="{F762D964-A5FF-468D-BE81-6D1FDADFEDC1}"/>
            </a:ext>
          </a:extLst>
        </xdr:cNvPr>
        <xdr:cNvSpPr/>
      </xdr:nvSpPr>
      <xdr:spPr>
        <a:xfrm rot="10800000">
          <a:off x="544068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104</xdr:row>
      <xdr:rowOff>0</xdr:rowOff>
    </xdr:from>
    <xdr:to>
      <xdr:col>5</xdr:col>
      <xdr:colOff>83820</xdr:colOff>
      <xdr:row>104</xdr:row>
      <xdr:rowOff>114300</xdr:rowOff>
    </xdr:to>
    <xdr:sp macro="" textlink="">
      <xdr:nvSpPr>
        <xdr:cNvPr id="721" name="Arrow: Down 720">
          <a:extLst>
            <a:ext uri="{FF2B5EF4-FFF2-40B4-BE49-F238E27FC236}">
              <a16:creationId xmlns:a16="http://schemas.microsoft.com/office/drawing/2014/main" id="{8376A525-BF86-41FC-9FE4-EE33834EC660}"/>
            </a:ext>
          </a:extLst>
        </xdr:cNvPr>
        <xdr:cNvSpPr/>
      </xdr:nvSpPr>
      <xdr:spPr>
        <a:xfrm rot="10800000">
          <a:off x="192786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104</xdr:row>
      <xdr:rowOff>0</xdr:rowOff>
    </xdr:from>
    <xdr:to>
      <xdr:col>11</xdr:col>
      <xdr:colOff>83820</xdr:colOff>
      <xdr:row>104</xdr:row>
      <xdr:rowOff>114300</xdr:rowOff>
    </xdr:to>
    <xdr:sp macro="" textlink="">
      <xdr:nvSpPr>
        <xdr:cNvPr id="722" name="Arrow: Down 721">
          <a:extLst>
            <a:ext uri="{FF2B5EF4-FFF2-40B4-BE49-F238E27FC236}">
              <a16:creationId xmlns:a16="http://schemas.microsoft.com/office/drawing/2014/main" id="{3C78DFAD-E752-4153-92D1-996D7D966E7C}"/>
            </a:ext>
          </a:extLst>
        </xdr:cNvPr>
        <xdr:cNvSpPr/>
      </xdr:nvSpPr>
      <xdr:spPr>
        <a:xfrm rot="10800000">
          <a:off x="361950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104</xdr:row>
      <xdr:rowOff>0</xdr:rowOff>
    </xdr:from>
    <xdr:to>
      <xdr:col>60</xdr:col>
      <xdr:colOff>83820</xdr:colOff>
      <xdr:row>104</xdr:row>
      <xdr:rowOff>114300</xdr:rowOff>
    </xdr:to>
    <xdr:sp macro="" textlink="">
      <xdr:nvSpPr>
        <xdr:cNvPr id="723" name="Arrow: Down 722">
          <a:extLst>
            <a:ext uri="{FF2B5EF4-FFF2-40B4-BE49-F238E27FC236}">
              <a16:creationId xmlns:a16="http://schemas.microsoft.com/office/drawing/2014/main" id="{3E43C398-337B-473A-B292-D4977DD9A523}"/>
            </a:ext>
          </a:extLst>
        </xdr:cNvPr>
        <xdr:cNvSpPr/>
      </xdr:nvSpPr>
      <xdr:spPr>
        <a:xfrm rot="10800000">
          <a:off x="1475232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104</xdr:row>
      <xdr:rowOff>0</xdr:rowOff>
    </xdr:from>
    <xdr:to>
      <xdr:col>45</xdr:col>
      <xdr:colOff>83820</xdr:colOff>
      <xdr:row>104</xdr:row>
      <xdr:rowOff>114300</xdr:rowOff>
    </xdr:to>
    <xdr:sp macro="" textlink="">
      <xdr:nvSpPr>
        <xdr:cNvPr id="724" name="Arrow: Down 723">
          <a:extLst>
            <a:ext uri="{FF2B5EF4-FFF2-40B4-BE49-F238E27FC236}">
              <a16:creationId xmlns:a16="http://schemas.microsoft.com/office/drawing/2014/main" id="{83668B6D-7637-40B2-83F7-39F2E5BA28AA}"/>
            </a:ext>
          </a:extLst>
        </xdr:cNvPr>
        <xdr:cNvSpPr/>
      </xdr:nvSpPr>
      <xdr:spPr>
        <a:xfrm rot="10800000">
          <a:off x="1013460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104</xdr:row>
      <xdr:rowOff>0</xdr:rowOff>
    </xdr:from>
    <xdr:to>
      <xdr:col>39</xdr:col>
      <xdr:colOff>83820</xdr:colOff>
      <xdr:row>104</xdr:row>
      <xdr:rowOff>114300</xdr:rowOff>
    </xdr:to>
    <xdr:sp macro="" textlink="">
      <xdr:nvSpPr>
        <xdr:cNvPr id="725" name="Arrow: Down 724">
          <a:extLst>
            <a:ext uri="{FF2B5EF4-FFF2-40B4-BE49-F238E27FC236}">
              <a16:creationId xmlns:a16="http://schemas.microsoft.com/office/drawing/2014/main" id="{78A0AC11-6352-448F-9711-DB84770F4355}"/>
            </a:ext>
          </a:extLst>
        </xdr:cNvPr>
        <xdr:cNvSpPr/>
      </xdr:nvSpPr>
      <xdr:spPr>
        <a:xfrm>
          <a:off x="854964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105</xdr:row>
      <xdr:rowOff>0</xdr:rowOff>
    </xdr:from>
    <xdr:to>
      <xdr:col>5</xdr:col>
      <xdr:colOff>83820</xdr:colOff>
      <xdr:row>105</xdr:row>
      <xdr:rowOff>114300</xdr:rowOff>
    </xdr:to>
    <xdr:sp macro="" textlink="">
      <xdr:nvSpPr>
        <xdr:cNvPr id="728" name="Arrow: Down 727">
          <a:extLst>
            <a:ext uri="{FF2B5EF4-FFF2-40B4-BE49-F238E27FC236}">
              <a16:creationId xmlns:a16="http://schemas.microsoft.com/office/drawing/2014/main" id="{B5814E62-707B-42CA-B129-D7898C9BEE3B}"/>
            </a:ext>
          </a:extLst>
        </xdr:cNvPr>
        <xdr:cNvSpPr/>
      </xdr:nvSpPr>
      <xdr:spPr>
        <a:xfrm rot="10800000">
          <a:off x="192786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105</xdr:row>
      <xdr:rowOff>0</xdr:rowOff>
    </xdr:from>
    <xdr:to>
      <xdr:col>11</xdr:col>
      <xdr:colOff>83820</xdr:colOff>
      <xdr:row>105</xdr:row>
      <xdr:rowOff>114300</xdr:rowOff>
    </xdr:to>
    <xdr:sp macro="" textlink="">
      <xdr:nvSpPr>
        <xdr:cNvPr id="729" name="Arrow: Down 728">
          <a:extLst>
            <a:ext uri="{FF2B5EF4-FFF2-40B4-BE49-F238E27FC236}">
              <a16:creationId xmlns:a16="http://schemas.microsoft.com/office/drawing/2014/main" id="{264AEA41-F46F-4E4D-A2F9-A165B95931B5}"/>
            </a:ext>
          </a:extLst>
        </xdr:cNvPr>
        <xdr:cNvSpPr/>
      </xdr:nvSpPr>
      <xdr:spPr>
        <a:xfrm rot="10800000">
          <a:off x="361950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105</xdr:row>
      <xdr:rowOff>0</xdr:rowOff>
    </xdr:from>
    <xdr:to>
      <xdr:col>60</xdr:col>
      <xdr:colOff>83820</xdr:colOff>
      <xdr:row>105</xdr:row>
      <xdr:rowOff>114300</xdr:rowOff>
    </xdr:to>
    <xdr:sp macro="" textlink="">
      <xdr:nvSpPr>
        <xdr:cNvPr id="730" name="Arrow: Down 729">
          <a:extLst>
            <a:ext uri="{FF2B5EF4-FFF2-40B4-BE49-F238E27FC236}">
              <a16:creationId xmlns:a16="http://schemas.microsoft.com/office/drawing/2014/main" id="{04FD3C15-9728-42AE-ABDA-A5813080D293}"/>
            </a:ext>
          </a:extLst>
        </xdr:cNvPr>
        <xdr:cNvSpPr/>
      </xdr:nvSpPr>
      <xdr:spPr>
        <a:xfrm rot="10800000">
          <a:off x="1475232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105</xdr:row>
      <xdr:rowOff>0</xdr:rowOff>
    </xdr:from>
    <xdr:to>
      <xdr:col>45</xdr:col>
      <xdr:colOff>83820</xdr:colOff>
      <xdr:row>105</xdr:row>
      <xdr:rowOff>114300</xdr:rowOff>
    </xdr:to>
    <xdr:sp macro="" textlink="">
      <xdr:nvSpPr>
        <xdr:cNvPr id="731" name="Arrow: Down 730">
          <a:extLst>
            <a:ext uri="{FF2B5EF4-FFF2-40B4-BE49-F238E27FC236}">
              <a16:creationId xmlns:a16="http://schemas.microsoft.com/office/drawing/2014/main" id="{003F155B-7D41-468D-A9F6-D87F3937DA15}"/>
            </a:ext>
          </a:extLst>
        </xdr:cNvPr>
        <xdr:cNvSpPr/>
      </xdr:nvSpPr>
      <xdr:spPr>
        <a:xfrm rot="10800000">
          <a:off x="10134600" y="191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83820</xdr:colOff>
      <xdr:row>105</xdr:row>
      <xdr:rowOff>114300</xdr:rowOff>
    </xdr:to>
    <xdr:sp macro="" textlink="">
      <xdr:nvSpPr>
        <xdr:cNvPr id="733" name="Arrow: Down 732">
          <a:extLst>
            <a:ext uri="{FF2B5EF4-FFF2-40B4-BE49-F238E27FC236}">
              <a16:creationId xmlns:a16="http://schemas.microsoft.com/office/drawing/2014/main" id="{4772179F-EFD1-4DAB-9021-F899DA14B4FB}"/>
            </a:ext>
          </a:extLst>
        </xdr:cNvPr>
        <xdr:cNvSpPr/>
      </xdr:nvSpPr>
      <xdr:spPr>
        <a:xfrm>
          <a:off x="5440680" y="193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105</xdr:row>
      <xdr:rowOff>0</xdr:rowOff>
    </xdr:from>
    <xdr:to>
      <xdr:col>39</xdr:col>
      <xdr:colOff>83820</xdr:colOff>
      <xdr:row>105</xdr:row>
      <xdr:rowOff>114300</xdr:rowOff>
    </xdr:to>
    <xdr:sp macro="" textlink="">
      <xdr:nvSpPr>
        <xdr:cNvPr id="734" name="Arrow: Down 733">
          <a:extLst>
            <a:ext uri="{FF2B5EF4-FFF2-40B4-BE49-F238E27FC236}">
              <a16:creationId xmlns:a16="http://schemas.microsoft.com/office/drawing/2014/main" id="{93B9A069-E962-454E-B250-3258F96FE66D}"/>
            </a:ext>
          </a:extLst>
        </xdr:cNvPr>
        <xdr:cNvSpPr/>
      </xdr:nvSpPr>
      <xdr:spPr>
        <a:xfrm rot="10800000">
          <a:off x="8549640" y="193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105</xdr:row>
      <xdr:rowOff>0</xdr:rowOff>
    </xdr:from>
    <xdr:to>
      <xdr:col>71</xdr:col>
      <xdr:colOff>83820</xdr:colOff>
      <xdr:row>105</xdr:row>
      <xdr:rowOff>114300</xdr:rowOff>
    </xdr:to>
    <xdr:sp macro="" textlink="">
      <xdr:nvSpPr>
        <xdr:cNvPr id="736" name="Arrow: Down 735">
          <a:extLst>
            <a:ext uri="{FF2B5EF4-FFF2-40B4-BE49-F238E27FC236}">
              <a16:creationId xmlns:a16="http://schemas.microsoft.com/office/drawing/2014/main" id="{81C02E15-4497-435E-BABE-5352B55BB27E}"/>
            </a:ext>
          </a:extLst>
        </xdr:cNvPr>
        <xdr:cNvSpPr/>
      </xdr:nvSpPr>
      <xdr:spPr>
        <a:xfrm rot="10800000">
          <a:off x="17068800" y="193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106</xdr:row>
      <xdr:rowOff>0</xdr:rowOff>
    </xdr:from>
    <xdr:to>
      <xdr:col>5</xdr:col>
      <xdr:colOff>83820</xdr:colOff>
      <xdr:row>106</xdr:row>
      <xdr:rowOff>114300</xdr:rowOff>
    </xdr:to>
    <xdr:sp macro="" textlink="">
      <xdr:nvSpPr>
        <xdr:cNvPr id="744" name="Arrow: Down 743">
          <a:extLst>
            <a:ext uri="{FF2B5EF4-FFF2-40B4-BE49-F238E27FC236}">
              <a16:creationId xmlns:a16="http://schemas.microsoft.com/office/drawing/2014/main" id="{200E3500-E13A-438F-8D4C-EB599018F4AC}"/>
            </a:ext>
          </a:extLst>
        </xdr:cNvPr>
        <xdr:cNvSpPr/>
      </xdr:nvSpPr>
      <xdr:spPr>
        <a:xfrm rot="10800000">
          <a:off x="1927860" y="193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106</xdr:row>
      <xdr:rowOff>0</xdr:rowOff>
    </xdr:from>
    <xdr:to>
      <xdr:col>11</xdr:col>
      <xdr:colOff>83820</xdr:colOff>
      <xdr:row>106</xdr:row>
      <xdr:rowOff>114300</xdr:rowOff>
    </xdr:to>
    <xdr:sp macro="" textlink="">
      <xdr:nvSpPr>
        <xdr:cNvPr id="745" name="Arrow: Down 744">
          <a:extLst>
            <a:ext uri="{FF2B5EF4-FFF2-40B4-BE49-F238E27FC236}">
              <a16:creationId xmlns:a16="http://schemas.microsoft.com/office/drawing/2014/main" id="{7BD6008A-5672-4366-A5A9-0744691A9E10}"/>
            </a:ext>
          </a:extLst>
        </xdr:cNvPr>
        <xdr:cNvSpPr/>
      </xdr:nvSpPr>
      <xdr:spPr>
        <a:xfrm rot="10800000">
          <a:off x="3619500" y="193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106</xdr:row>
      <xdr:rowOff>0</xdr:rowOff>
    </xdr:from>
    <xdr:to>
      <xdr:col>24</xdr:col>
      <xdr:colOff>83820</xdr:colOff>
      <xdr:row>106</xdr:row>
      <xdr:rowOff>114300</xdr:rowOff>
    </xdr:to>
    <xdr:sp macro="" textlink="">
      <xdr:nvSpPr>
        <xdr:cNvPr id="748" name="Arrow: Down 747">
          <a:extLst>
            <a:ext uri="{FF2B5EF4-FFF2-40B4-BE49-F238E27FC236}">
              <a16:creationId xmlns:a16="http://schemas.microsoft.com/office/drawing/2014/main" id="{37D1D4A8-E127-48B8-8420-EB3B50A620F6}"/>
            </a:ext>
          </a:extLst>
        </xdr:cNvPr>
        <xdr:cNvSpPr/>
      </xdr:nvSpPr>
      <xdr:spPr>
        <a:xfrm>
          <a:off x="5440680" y="193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106</xdr:row>
      <xdr:rowOff>0</xdr:rowOff>
    </xdr:from>
    <xdr:to>
      <xdr:col>71</xdr:col>
      <xdr:colOff>83820</xdr:colOff>
      <xdr:row>106</xdr:row>
      <xdr:rowOff>114300</xdr:rowOff>
    </xdr:to>
    <xdr:sp macro="" textlink="">
      <xdr:nvSpPr>
        <xdr:cNvPr id="751" name="Arrow: Down 750">
          <a:extLst>
            <a:ext uri="{FF2B5EF4-FFF2-40B4-BE49-F238E27FC236}">
              <a16:creationId xmlns:a16="http://schemas.microsoft.com/office/drawing/2014/main" id="{5B4519AD-AE40-4B89-92EF-98B52FD8A4FD}"/>
            </a:ext>
          </a:extLst>
        </xdr:cNvPr>
        <xdr:cNvSpPr/>
      </xdr:nvSpPr>
      <xdr:spPr>
        <a:xfrm>
          <a:off x="17068800" y="194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106</xdr:row>
      <xdr:rowOff>0</xdr:rowOff>
    </xdr:from>
    <xdr:to>
      <xdr:col>60</xdr:col>
      <xdr:colOff>83820</xdr:colOff>
      <xdr:row>106</xdr:row>
      <xdr:rowOff>114300</xdr:rowOff>
    </xdr:to>
    <xdr:sp macro="" textlink="">
      <xdr:nvSpPr>
        <xdr:cNvPr id="752" name="Arrow: Down 751">
          <a:extLst>
            <a:ext uri="{FF2B5EF4-FFF2-40B4-BE49-F238E27FC236}">
              <a16:creationId xmlns:a16="http://schemas.microsoft.com/office/drawing/2014/main" id="{70381BF0-C654-4764-9EBC-42445E15E618}"/>
            </a:ext>
          </a:extLst>
        </xdr:cNvPr>
        <xdr:cNvSpPr/>
      </xdr:nvSpPr>
      <xdr:spPr>
        <a:xfrm>
          <a:off x="14752320" y="194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106</xdr:row>
      <xdr:rowOff>0</xdr:rowOff>
    </xdr:from>
    <xdr:to>
      <xdr:col>39</xdr:col>
      <xdr:colOff>83820</xdr:colOff>
      <xdr:row>106</xdr:row>
      <xdr:rowOff>114300</xdr:rowOff>
    </xdr:to>
    <xdr:sp macro="" textlink="">
      <xdr:nvSpPr>
        <xdr:cNvPr id="754" name="Arrow: Down 753">
          <a:extLst>
            <a:ext uri="{FF2B5EF4-FFF2-40B4-BE49-F238E27FC236}">
              <a16:creationId xmlns:a16="http://schemas.microsoft.com/office/drawing/2014/main" id="{79DB80CF-E171-49AD-85D2-DA4F5227F33B}"/>
            </a:ext>
          </a:extLst>
        </xdr:cNvPr>
        <xdr:cNvSpPr/>
      </xdr:nvSpPr>
      <xdr:spPr>
        <a:xfrm>
          <a:off x="854964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106</xdr:row>
      <xdr:rowOff>0</xdr:rowOff>
    </xdr:from>
    <xdr:to>
      <xdr:col>45</xdr:col>
      <xdr:colOff>83820</xdr:colOff>
      <xdr:row>106</xdr:row>
      <xdr:rowOff>114300</xdr:rowOff>
    </xdr:to>
    <xdr:sp macro="" textlink="">
      <xdr:nvSpPr>
        <xdr:cNvPr id="756" name="Arrow: Down 755">
          <a:extLst>
            <a:ext uri="{FF2B5EF4-FFF2-40B4-BE49-F238E27FC236}">
              <a16:creationId xmlns:a16="http://schemas.microsoft.com/office/drawing/2014/main" id="{70DFDCFA-DF9C-4EEF-9D3B-C02C7E42B8A0}"/>
            </a:ext>
          </a:extLst>
        </xdr:cNvPr>
        <xdr:cNvSpPr/>
      </xdr:nvSpPr>
      <xdr:spPr>
        <a:xfrm>
          <a:off x="1013460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107</xdr:row>
      <xdr:rowOff>0</xdr:rowOff>
    </xdr:from>
    <xdr:to>
      <xdr:col>5</xdr:col>
      <xdr:colOff>83820</xdr:colOff>
      <xdr:row>107</xdr:row>
      <xdr:rowOff>114300</xdr:rowOff>
    </xdr:to>
    <xdr:sp macro="" textlink="">
      <xdr:nvSpPr>
        <xdr:cNvPr id="681" name="Arrow: Down 680">
          <a:extLst>
            <a:ext uri="{FF2B5EF4-FFF2-40B4-BE49-F238E27FC236}">
              <a16:creationId xmlns:a16="http://schemas.microsoft.com/office/drawing/2014/main" id="{07E2EE87-64F7-448C-A441-2893689049AD}"/>
            </a:ext>
          </a:extLst>
        </xdr:cNvPr>
        <xdr:cNvSpPr/>
      </xdr:nvSpPr>
      <xdr:spPr>
        <a:xfrm rot="10800000">
          <a:off x="192786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107</xdr:row>
      <xdr:rowOff>0</xdr:rowOff>
    </xdr:from>
    <xdr:to>
      <xdr:col>11</xdr:col>
      <xdr:colOff>83820</xdr:colOff>
      <xdr:row>107</xdr:row>
      <xdr:rowOff>114300</xdr:rowOff>
    </xdr:to>
    <xdr:sp macro="" textlink="">
      <xdr:nvSpPr>
        <xdr:cNvPr id="684" name="Arrow: Down 683">
          <a:extLst>
            <a:ext uri="{FF2B5EF4-FFF2-40B4-BE49-F238E27FC236}">
              <a16:creationId xmlns:a16="http://schemas.microsoft.com/office/drawing/2014/main" id="{FBA310C7-B684-4B82-A7CF-A6A96BD839EB}"/>
            </a:ext>
          </a:extLst>
        </xdr:cNvPr>
        <xdr:cNvSpPr/>
      </xdr:nvSpPr>
      <xdr:spPr>
        <a:xfrm rot="10800000">
          <a:off x="361950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107</xdr:row>
      <xdr:rowOff>0</xdr:rowOff>
    </xdr:from>
    <xdr:to>
      <xdr:col>39</xdr:col>
      <xdr:colOff>83820</xdr:colOff>
      <xdr:row>107</xdr:row>
      <xdr:rowOff>114300</xdr:rowOff>
    </xdr:to>
    <xdr:sp macro="" textlink="">
      <xdr:nvSpPr>
        <xdr:cNvPr id="695" name="Arrow: Down 694">
          <a:extLst>
            <a:ext uri="{FF2B5EF4-FFF2-40B4-BE49-F238E27FC236}">
              <a16:creationId xmlns:a16="http://schemas.microsoft.com/office/drawing/2014/main" id="{1CEFFBA5-8F19-48FF-8F32-CE76AC445C63}"/>
            </a:ext>
          </a:extLst>
        </xdr:cNvPr>
        <xdr:cNvSpPr/>
      </xdr:nvSpPr>
      <xdr:spPr>
        <a:xfrm>
          <a:off x="854964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107</xdr:row>
      <xdr:rowOff>0</xdr:rowOff>
    </xdr:from>
    <xdr:to>
      <xdr:col>45</xdr:col>
      <xdr:colOff>83820</xdr:colOff>
      <xdr:row>107</xdr:row>
      <xdr:rowOff>114300</xdr:rowOff>
    </xdr:to>
    <xdr:sp macro="" textlink="">
      <xdr:nvSpPr>
        <xdr:cNvPr id="697" name="Arrow: Down 696">
          <a:extLst>
            <a:ext uri="{FF2B5EF4-FFF2-40B4-BE49-F238E27FC236}">
              <a16:creationId xmlns:a16="http://schemas.microsoft.com/office/drawing/2014/main" id="{C3891196-203F-4469-8959-0083D1A76668}"/>
            </a:ext>
          </a:extLst>
        </xdr:cNvPr>
        <xdr:cNvSpPr/>
      </xdr:nvSpPr>
      <xdr:spPr>
        <a:xfrm>
          <a:off x="1013460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107</xdr:row>
      <xdr:rowOff>0</xdr:rowOff>
    </xdr:from>
    <xdr:to>
      <xdr:col>24</xdr:col>
      <xdr:colOff>83820</xdr:colOff>
      <xdr:row>107</xdr:row>
      <xdr:rowOff>114300</xdr:rowOff>
    </xdr:to>
    <xdr:sp macro="" textlink="">
      <xdr:nvSpPr>
        <xdr:cNvPr id="699" name="Arrow: Down 698">
          <a:extLst>
            <a:ext uri="{FF2B5EF4-FFF2-40B4-BE49-F238E27FC236}">
              <a16:creationId xmlns:a16="http://schemas.microsoft.com/office/drawing/2014/main" id="{74F8545B-D1E9-42F6-9B51-E9A4CDB56EB4}"/>
            </a:ext>
          </a:extLst>
        </xdr:cNvPr>
        <xdr:cNvSpPr/>
      </xdr:nvSpPr>
      <xdr:spPr>
        <a:xfrm rot="10800000">
          <a:off x="5440680" y="196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107</xdr:row>
      <xdr:rowOff>0</xdr:rowOff>
    </xdr:from>
    <xdr:to>
      <xdr:col>60</xdr:col>
      <xdr:colOff>83820</xdr:colOff>
      <xdr:row>107</xdr:row>
      <xdr:rowOff>114300</xdr:rowOff>
    </xdr:to>
    <xdr:sp macro="" textlink="">
      <xdr:nvSpPr>
        <xdr:cNvPr id="712" name="Arrow: Down 711">
          <a:extLst>
            <a:ext uri="{FF2B5EF4-FFF2-40B4-BE49-F238E27FC236}">
              <a16:creationId xmlns:a16="http://schemas.microsoft.com/office/drawing/2014/main" id="{FF8F76A9-29EA-45AC-A948-3750963CE9C7}"/>
            </a:ext>
          </a:extLst>
        </xdr:cNvPr>
        <xdr:cNvSpPr/>
      </xdr:nvSpPr>
      <xdr:spPr>
        <a:xfrm rot="10800000">
          <a:off x="14752320" y="196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107</xdr:row>
      <xdr:rowOff>0</xdr:rowOff>
    </xdr:from>
    <xdr:to>
      <xdr:col>71</xdr:col>
      <xdr:colOff>83820</xdr:colOff>
      <xdr:row>107</xdr:row>
      <xdr:rowOff>114300</xdr:rowOff>
    </xdr:to>
    <xdr:sp macro="" textlink="">
      <xdr:nvSpPr>
        <xdr:cNvPr id="715" name="Arrow: Down 714">
          <a:extLst>
            <a:ext uri="{FF2B5EF4-FFF2-40B4-BE49-F238E27FC236}">
              <a16:creationId xmlns:a16="http://schemas.microsoft.com/office/drawing/2014/main" id="{4F1E5E70-ACE4-40C6-BC03-36F7CEC928C1}"/>
            </a:ext>
          </a:extLst>
        </xdr:cNvPr>
        <xdr:cNvSpPr/>
      </xdr:nvSpPr>
      <xdr:spPr>
        <a:xfrm rot="10800000">
          <a:off x="17068800" y="196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108</xdr:row>
      <xdr:rowOff>0</xdr:rowOff>
    </xdr:from>
    <xdr:to>
      <xdr:col>5</xdr:col>
      <xdr:colOff>83820</xdr:colOff>
      <xdr:row>108</xdr:row>
      <xdr:rowOff>114300</xdr:rowOff>
    </xdr:to>
    <xdr:sp macro="" textlink="">
      <xdr:nvSpPr>
        <xdr:cNvPr id="740" name="Arrow: Down 739">
          <a:extLst>
            <a:ext uri="{FF2B5EF4-FFF2-40B4-BE49-F238E27FC236}">
              <a16:creationId xmlns:a16="http://schemas.microsoft.com/office/drawing/2014/main" id="{F534A5CF-53EF-4287-ACB7-F401B65A06D8}"/>
            </a:ext>
          </a:extLst>
        </xdr:cNvPr>
        <xdr:cNvSpPr/>
      </xdr:nvSpPr>
      <xdr:spPr>
        <a:xfrm>
          <a:off x="192786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108</xdr:row>
      <xdr:rowOff>0</xdr:rowOff>
    </xdr:from>
    <xdr:to>
      <xdr:col>11</xdr:col>
      <xdr:colOff>83820</xdr:colOff>
      <xdr:row>108</xdr:row>
      <xdr:rowOff>114300</xdr:rowOff>
    </xdr:to>
    <xdr:sp macro="" textlink="">
      <xdr:nvSpPr>
        <xdr:cNvPr id="741" name="Arrow: Down 740">
          <a:extLst>
            <a:ext uri="{FF2B5EF4-FFF2-40B4-BE49-F238E27FC236}">
              <a16:creationId xmlns:a16="http://schemas.microsoft.com/office/drawing/2014/main" id="{F84D9B45-DB40-4CDD-920F-96123EE598F0}"/>
            </a:ext>
          </a:extLst>
        </xdr:cNvPr>
        <xdr:cNvSpPr/>
      </xdr:nvSpPr>
      <xdr:spPr>
        <a:xfrm>
          <a:off x="361950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108</xdr:row>
      <xdr:rowOff>0</xdr:rowOff>
    </xdr:from>
    <xdr:to>
      <xdr:col>24</xdr:col>
      <xdr:colOff>83820</xdr:colOff>
      <xdr:row>108</xdr:row>
      <xdr:rowOff>114300</xdr:rowOff>
    </xdr:to>
    <xdr:sp macro="" textlink="">
      <xdr:nvSpPr>
        <xdr:cNvPr id="742" name="Arrow: Down 741">
          <a:extLst>
            <a:ext uri="{FF2B5EF4-FFF2-40B4-BE49-F238E27FC236}">
              <a16:creationId xmlns:a16="http://schemas.microsoft.com/office/drawing/2014/main" id="{BA492D6C-ADEE-4C84-BA77-73C2F1B1B3B6}"/>
            </a:ext>
          </a:extLst>
        </xdr:cNvPr>
        <xdr:cNvSpPr/>
      </xdr:nvSpPr>
      <xdr:spPr>
        <a:xfrm>
          <a:off x="544068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108</xdr:row>
      <xdr:rowOff>0</xdr:rowOff>
    </xdr:from>
    <xdr:to>
      <xdr:col>45</xdr:col>
      <xdr:colOff>83820</xdr:colOff>
      <xdr:row>108</xdr:row>
      <xdr:rowOff>114300</xdr:rowOff>
    </xdr:to>
    <xdr:sp macro="" textlink="">
      <xdr:nvSpPr>
        <xdr:cNvPr id="746" name="Arrow: Down 745">
          <a:extLst>
            <a:ext uri="{FF2B5EF4-FFF2-40B4-BE49-F238E27FC236}">
              <a16:creationId xmlns:a16="http://schemas.microsoft.com/office/drawing/2014/main" id="{9187E80B-4CC6-486F-8DFF-8DD969BE2E77}"/>
            </a:ext>
          </a:extLst>
        </xdr:cNvPr>
        <xdr:cNvSpPr/>
      </xdr:nvSpPr>
      <xdr:spPr>
        <a:xfrm rot="10800000">
          <a:off x="1013460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108</xdr:row>
      <xdr:rowOff>0</xdr:rowOff>
    </xdr:from>
    <xdr:to>
      <xdr:col>39</xdr:col>
      <xdr:colOff>83820</xdr:colOff>
      <xdr:row>108</xdr:row>
      <xdr:rowOff>114300</xdr:rowOff>
    </xdr:to>
    <xdr:sp macro="" textlink="">
      <xdr:nvSpPr>
        <xdr:cNvPr id="747" name="Arrow: Down 746">
          <a:extLst>
            <a:ext uri="{FF2B5EF4-FFF2-40B4-BE49-F238E27FC236}">
              <a16:creationId xmlns:a16="http://schemas.microsoft.com/office/drawing/2014/main" id="{55A91A82-1744-4D70-B351-14C89C5228A4}"/>
            </a:ext>
          </a:extLst>
        </xdr:cNvPr>
        <xdr:cNvSpPr/>
      </xdr:nvSpPr>
      <xdr:spPr>
        <a:xfrm>
          <a:off x="8549640" y="198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108</xdr:row>
      <xdr:rowOff>0</xdr:rowOff>
    </xdr:from>
    <xdr:to>
      <xdr:col>60</xdr:col>
      <xdr:colOff>83820</xdr:colOff>
      <xdr:row>108</xdr:row>
      <xdr:rowOff>114300</xdr:rowOff>
    </xdr:to>
    <xdr:sp macro="" textlink="">
      <xdr:nvSpPr>
        <xdr:cNvPr id="750" name="Arrow: Down 749">
          <a:extLst>
            <a:ext uri="{FF2B5EF4-FFF2-40B4-BE49-F238E27FC236}">
              <a16:creationId xmlns:a16="http://schemas.microsoft.com/office/drawing/2014/main" id="{413885C1-CD87-4F3A-8344-F13A61837296}"/>
            </a:ext>
          </a:extLst>
        </xdr:cNvPr>
        <xdr:cNvSpPr/>
      </xdr:nvSpPr>
      <xdr:spPr>
        <a:xfrm>
          <a:off x="1475232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108</xdr:row>
      <xdr:rowOff>0</xdr:rowOff>
    </xdr:from>
    <xdr:to>
      <xdr:col>71</xdr:col>
      <xdr:colOff>83820</xdr:colOff>
      <xdr:row>108</xdr:row>
      <xdr:rowOff>114300</xdr:rowOff>
    </xdr:to>
    <xdr:sp macro="" textlink="">
      <xdr:nvSpPr>
        <xdr:cNvPr id="755" name="Arrow: Down 754">
          <a:extLst>
            <a:ext uri="{FF2B5EF4-FFF2-40B4-BE49-F238E27FC236}">
              <a16:creationId xmlns:a16="http://schemas.microsoft.com/office/drawing/2014/main" id="{646D31EB-450C-4985-BF33-3FBF78DA0067}"/>
            </a:ext>
          </a:extLst>
        </xdr:cNvPr>
        <xdr:cNvSpPr/>
      </xdr:nvSpPr>
      <xdr:spPr>
        <a:xfrm>
          <a:off x="1706880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109</xdr:row>
      <xdr:rowOff>0</xdr:rowOff>
    </xdr:from>
    <xdr:to>
      <xdr:col>5</xdr:col>
      <xdr:colOff>83820</xdr:colOff>
      <xdr:row>109</xdr:row>
      <xdr:rowOff>114300</xdr:rowOff>
    </xdr:to>
    <xdr:sp macro="" textlink="">
      <xdr:nvSpPr>
        <xdr:cNvPr id="757" name="Arrow: Down 756">
          <a:extLst>
            <a:ext uri="{FF2B5EF4-FFF2-40B4-BE49-F238E27FC236}">
              <a16:creationId xmlns:a16="http://schemas.microsoft.com/office/drawing/2014/main" id="{E0DE74F5-D035-4762-820F-E9D827E2A977}"/>
            </a:ext>
          </a:extLst>
        </xdr:cNvPr>
        <xdr:cNvSpPr/>
      </xdr:nvSpPr>
      <xdr:spPr>
        <a:xfrm>
          <a:off x="192786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109</xdr:row>
      <xdr:rowOff>0</xdr:rowOff>
    </xdr:from>
    <xdr:to>
      <xdr:col>11</xdr:col>
      <xdr:colOff>83820</xdr:colOff>
      <xdr:row>109</xdr:row>
      <xdr:rowOff>114300</xdr:rowOff>
    </xdr:to>
    <xdr:sp macro="" textlink="">
      <xdr:nvSpPr>
        <xdr:cNvPr id="758" name="Arrow: Down 757">
          <a:extLst>
            <a:ext uri="{FF2B5EF4-FFF2-40B4-BE49-F238E27FC236}">
              <a16:creationId xmlns:a16="http://schemas.microsoft.com/office/drawing/2014/main" id="{B32E33AE-E523-49E4-AFB5-6CB36D3A613E}"/>
            </a:ext>
          </a:extLst>
        </xdr:cNvPr>
        <xdr:cNvSpPr/>
      </xdr:nvSpPr>
      <xdr:spPr>
        <a:xfrm>
          <a:off x="361950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109</xdr:row>
      <xdr:rowOff>0</xdr:rowOff>
    </xdr:from>
    <xdr:to>
      <xdr:col>24</xdr:col>
      <xdr:colOff>83820</xdr:colOff>
      <xdr:row>109</xdr:row>
      <xdr:rowOff>114300</xdr:rowOff>
    </xdr:to>
    <xdr:sp macro="" textlink="">
      <xdr:nvSpPr>
        <xdr:cNvPr id="759" name="Arrow: Down 758">
          <a:extLst>
            <a:ext uri="{FF2B5EF4-FFF2-40B4-BE49-F238E27FC236}">
              <a16:creationId xmlns:a16="http://schemas.microsoft.com/office/drawing/2014/main" id="{61C57F89-773E-469E-8A25-F506E9BB92B9}"/>
            </a:ext>
          </a:extLst>
        </xdr:cNvPr>
        <xdr:cNvSpPr/>
      </xdr:nvSpPr>
      <xdr:spPr>
        <a:xfrm>
          <a:off x="544068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109</xdr:row>
      <xdr:rowOff>0</xdr:rowOff>
    </xdr:from>
    <xdr:to>
      <xdr:col>71</xdr:col>
      <xdr:colOff>83820</xdr:colOff>
      <xdr:row>109</xdr:row>
      <xdr:rowOff>114300</xdr:rowOff>
    </xdr:to>
    <xdr:sp macro="" textlink="">
      <xdr:nvSpPr>
        <xdr:cNvPr id="763" name="Arrow: Down 762">
          <a:extLst>
            <a:ext uri="{FF2B5EF4-FFF2-40B4-BE49-F238E27FC236}">
              <a16:creationId xmlns:a16="http://schemas.microsoft.com/office/drawing/2014/main" id="{6142D0DE-8D5C-4CC9-A3B3-04119C9E99C5}"/>
            </a:ext>
          </a:extLst>
        </xdr:cNvPr>
        <xdr:cNvSpPr/>
      </xdr:nvSpPr>
      <xdr:spPr>
        <a:xfrm>
          <a:off x="1706880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109</xdr:row>
      <xdr:rowOff>0</xdr:rowOff>
    </xdr:from>
    <xdr:to>
      <xdr:col>60</xdr:col>
      <xdr:colOff>160020</xdr:colOff>
      <xdr:row>109</xdr:row>
      <xdr:rowOff>99060</xdr:rowOff>
    </xdr:to>
    <xdr:sp macro="" textlink="">
      <xdr:nvSpPr>
        <xdr:cNvPr id="770" name="Minus Sign 769">
          <a:extLst>
            <a:ext uri="{FF2B5EF4-FFF2-40B4-BE49-F238E27FC236}">
              <a16:creationId xmlns:a16="http://schemas.microsoft.com/office/drawing/2014/main" id="{70EB6C36-971A-41FC-B812-8AA187F73046}"/>
            </a:ext>
          </a:extLst>
        </xdr:cNvPr>
        <xdr:cNvSpPr/>
      </xdr:nvSpPr>
      <xdr:spPr>
        <a:xfrm>
          <a:off x="17724120" y="2003298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39</xdr:col>
      <xdr:colOff>0</xdr:colOff>
      <xdr:row>109</xdr:row>
      <xdr:rowOff>0</xdr:rowOff>
    </xdr:from>
    <xdr:to>
      <xdr:col>39</xdr:col>
      <xdr:colOff>83820</xdr:colOff>
      <xdr:row>109</xdr:row>
      <xdr:rowOff>114300</xdr:rowOff>
    </xdr:to>
    <xdr:sp macro="" textlink="">
      <xdr:nvSpPr>
        <xdr:cNvPr id="771" name="Arrow: Down 770">
          <a:extLst>
            <a:ext uri="{FF2B5EF4-FFF2-40B4-BE49-F238E27FC236}">
              <a16:creationId xmlns:a16="http://schemas.microsoft.com/office/drawing/2014/main" id="{0EF9F8BC-6D6A-4118-BDA1-CB681024D265}"/>
            </a:ext>
          </a:extLst>
        </xdr:cNvPr>
        <xdr:cNvSpPr/>
      </xdr:nvSpPr>
      <xdr:spPr>
        <a:xfrm>
          <a:off x="11521440" y="200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109</xdr:row>
      <xdr:rowOff>0</xdr:rowOff>
    </xdr:from>
    <xdr:to>
      <xdr:col>45</xdr:col>
      <xdr:colOff>83820</xdr:colOff>
      <xdr:row>109</xdr:row>
      <xdr:rowOff>114300</xdr:rowOff>
    </xdr:to>
    <xdr:sp macro="" textlink="">
      <xdr:nvSpPr>
        <xdr:cNvPr id="775" name="Arrow: Down 774">
          <a:extLst>
            <a:ext uri="{FF2B5EF4-FFF2-40B4-BE49-F238E27FC236}">
              <a16:creationId xmlns:a16="http://schemas.microsoft.com/office/drawing/2014/main" id="{9A5BDF1A-0985-4E67-AE3E-5AD941ABB478}"/>
            </a:ext>
          </a:extLst>
        </xdr:cNvPr>
        <xdr:cNvSpPr/>
      </xdr:nvSpPr>
      <xdr:spPr>
        <a:xfrm>
          <a:off x="13106400" y="200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110</xdr:row>
      <xdr:rowOff>0</xdr:rowOff>
    </xdr:from>
    <xdr:to>
      <xdr:col>24</xdr:col>
      <xdr:colOff>83820</xdr:colOff>
      <xdr:row>110</xdr:row>
      <xdr:rowOff>114300</xdr:rowOff>
    </xdr:to>
    <xdr:sp macro="" textlink="">
      <xdr:nvSpPr>
        <xdr:cNvPr id="735" name="Arrow: Down 734">
          <a:extLst>
            <a:ext uri="{FF2B5EF4-FFF2-40B4-BE49-F238E27FC236}">
              <a16:creationId xmlns:a16="http://schemas.microsoft.com/office/drawing/2014/main" id="{D408C349-D81F-482D-8DBA-695D5F847D0E}"/>
            </a:ext>
          </a:extLst>
        </xdr:cNvPr>
        <xdr:cNvSpPr/>
      </xdr:nvSpPr>
      <xdr:spPr>
        <a:xfrm rot="10800000">
          <a:off x="544068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110</xdr:row>
      <xdr:rowOff>0</xdr:rowOff>
    </xdr:from>
    <xdr:to>
      <xdr:col>5</xdr:col>
      <xdr:colOff>83820</xdr:colOff>
      <xdr:row>110</xdr:row>
      <xdr:rowOff>114300</xdr:rowOff>
    </xdr:to>
    <xdr:sp macro="" textlink="">
      <xdr:nvSpPr>
        <xdr:cNvPr id="738" name="Arrow: Down 737">
          <a:extLst>
            <a:ext uri="{FF2B5EF4-FFF2-40B4-BE49-F238E27FC236}">
              <a16:creationId xmlns:a16="http://schemas.microsoft.com/office/drawing/2014/main" id="{A8F2E3E5-32D1-4D14-89C3-577A124A1FEA}"/>
            </a:ext>
          </a:extLst>
        </xdr:cNvPr>
        <xdr:cNvSpPr/>
      </xdr:nvSpPr>
      <xdr:spPr>
        <a:xfrm rot="10800000">
          <a:off x="192786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110</xdr:row>
      <xdr:rowOff>0</xdr:rowOff>
    </xdr:from>
    <xdr:to>
      <xdr:col>39</xdr:col>
      <xdr:colOff>83820</xdr:colOff>
      <xdr:row>110</xdr:row>
      <xdr:rowOff>114300</xdr:rowOff>
    </xdr:to>
    <xdr:sp macro="" textlink="">
      <xdr:nvSpPr>
        <xdr:cNvPr id="739" name="Arrow: Down 738">
          <a:extLst>
            <a:ext uri="{FF2B5EF4-FFF2-40B4-BE49-F238E27FC236}">
              <a16:creationId xmlns:a16="http://schemas.microsoft.com/office/drawing/2014/main" id="{9BE97AC5-0527-4B63-8D52-D9D25C1C31E7}"/>
            </a:ext>
          </a:extLst>
        </xdr:cNvPr>
        <xdr:cNvSpPr/>
      </xdr:nvSpPr>
      <xdr:spPr>
        <a:xfrm rot="10800000">
          <a:off x="854964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110</xdr:row>
      <xdr:rowOff>0</xdr:rowOff>
    </xdr:from>
    <xdr:to>
      <xdr:col>45</xdr:col>
      <xdr:colOff>83820</xdr:colOff>
      <xdr:row>110</xdr:row>
      <xdr:rowOff>114300</xdr:rowOff>
    </xdr:to>
    <xdr:sp macro="" textlink="">
      <xdr:nvSpPr>
        <xdr:cNvPr id="749" name="Arrow: Down 748">
          <a:extLst>
            <a:ext uri="{FF2B5EF4-FFF2-40B4-BE49-F238E27FC236}">
              <a16:creationId xmlns:a16="http://schemas.microsoft.com/office/drawing/2014/main" id="{2A638162-0BF2-4CEC-BA8E-287F4FE1E4A5}"/>
            </a:ext>
          </a:extLst>
        </xdr:cNvPr>
        <xdr:cNvSpPr/>
      </xdr:nvSpPr>
      <xdr:spPr>
        <a:xfrm rot="10800000">
          <a:off x="1013460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110</xdr:row>
      <xdr:rowOff>0</xdr:rowOff>
    </xdr:from>
    <xdr:to>
      <xdr:col>11</xdr:col>
      <xdr:colOff>83820</xdr:colOff>
      <xdr:row>110</xdr:row>
      <xdr:rowOff>114300</xdr:rowOff>
    </xdr:to>
    <xdr:sp macro="" textlink="">
      <xdr:nvSpPr>
        <xdr:cNvPr id="753" name="Arrow: Down 752">
          <a:extLst>
            <a:ext uri="{FF2B5EF4-FFF2-40B4-BE49-F238E27FC236}">
              <a16:creationId xmlns:a16="http://schemas.microsoft.com/office/drawing/2014/main" id="{499B4929-1A03-442F-8D16-1B2BDECC545A}"/>
            </a:ext>
          </a:extLst>
        </xdr:cNvPr>
        <xdr:cNvSpPr/>
      </xdr:nvSpPr>
      <xdr:spPr>
        <a:xfrm rot="10800000">
          <a:off x="361950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110</xdr:row>
      <xdr:rowOff>0</xdr:rowOff>
    </xdr:from>
    <xdr:to>
      <xdr:col>60</xdr:col>
      <xdr:colOff>83820</xdr:colOff>
      <xdr:row>110</xdr:row>
      <xdr:rowOff>114300</xdr:rowOff>
    </xdr:to>
    <xdr:sp macro="" textlink="">
      <xdr:nvSpPr>
        <xdr:cNvPr id="687" name="Arrow: Down 686">
          <a:extLst>
            <a:ext uri="{FF2B5EF4-FFF2-40B4-BE49-F238E27FC236}">
              <a16:creationId xmlns:a16="http://schemas.microsoft.com/office/drawing/2014/main" id="{BA38C92B-D6F2-45D4-99F7-5DA764983D75}"/>
            </a:ext>
          </a:extLst>
        </xdr:cNvPr>
        <xdr:cNvSpPr/>
      </xdr:nvSpPr>
      <xdr:spPr>
        <a:xfrm rot="10800000">
          <a:off x="1475232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110</xdr:row>
      <xdr:rowOff>0</xdr:rowOff>
    </xdr:from>
    <xdr:to>
      <xdr:col>71</xdr:col>
      <xdr:colOff>83820</xdr:colOff>
      <xdr:row>110</xdr:row>
      <xdr:rowOff>114300</xdr:rowOff>
    </xdr:to>
    <xdr:sp macro="" textlink="">
      <xdr:nvSpPr>
        <xdr:cNvPr id="692" name="Arrow: Down 691">
          <a:extLst>
            <a:ext uri="{FF2B5EF4-FFF2-40B4-BE49-F238E27FC236}">
              <a16:creationId xmlns:a16="http://schemas.microsoft.com/office/drawing/2014/main" id="{9BBD72C4-9006-4374-9F00-7722AFD21F53}"/>
            </a:ext>
          </a:extLst>
        </xdr:cNvPr>
        <xdr:cNvSpPr/>
      </xdr:nvSpPr>
      <xdr:spPr>
        <a:xfrm rot="10800000">
          <a:off x="1706880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111</xdr:row>
      <xdr:rowOff>0</xdr:rowOff>
    </xdr:from>
    <xdr:to>
      <xdr:col>24</xdr:col>
      <xdr:colOff>83820</xdr:colOff>
      <xdr:row>111</xdr:row>
      <xdr:rowOff>114300</xdr:rowOff>
    </xdr:to>
    <xdr:sp macro="" textlink="">
      <xdr:nvSpPr>
        <xdr:cNvPr id="693" name="Arrow: Down 692">
          <a:extLst>
            <a:ext uri="{FF2B5EF4-FFF2-40B4-BE49-F238E27FC236}">
              <a16:creationId xmlns:a16="http://schemas.microsoft.com/office/drawing/2014/main" id="{32E00BAC-72BB-4822-B8EE-1A22F24B5D0F}"/>
            </a:ext>
          </a:extLst>
        </xdr:cNvPr>
        <xdr:cNvSpPr/>
      </xdr:nvSpPr>
      <xdr:spPr>
        <a:xfrm rot="10800000">
          <a:off x="544068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111</xdr:row>
      <xdr:rowOff>0</xdr:rowOff>
    </xdr:from>
    <xdr:to>
      <xdr:col>5</xdr:col>
      <xdr:colOff>83820</xdr:colOff>
      <xdr:row>111</xdr:row>
      <xdr:rowOff>114300</xdr:rowOff>
    </xdr:to>
    <xdr:sp macro="" textlink="">
      <xdr:nvSpPr>
        <xdr:cNvPr id="700" name="Arrow: Down 699">
          <a:extLst>
            <a:ext uri="{FF2B5EF4-FFF2-40B4-BE49-F238E27FC236}">
              <a16:creationId xmlns:a16="http://schemas.microsoft.com/office/drawing/2014/main" id="{2F23EF97-87D4-4AAF-A1C3-AF30CD74C6AA}"/>
            </a:ext>
          </a:extLst>
        </xdr:cNvPr>
        <xdr:cNvSpPr/>
      </xdr:nvSpPr>
      <xdr:spPr>
        <a:xfrm rot="10800000">
          <a:off x="192786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111</xdr:row>
      <xdr:rowOff>0</xdr:rowOff>
    </xdr:from>
    <xdr:to>
      <xdr:col>39</xdr:col>
      <xdr:colOff>83820</xdr:colOff>
      <xdr:row>111</xdr:row>
      <xdr:rowOff>114300</xdr:rowOff>
    </xdr:to>
    <xdr:sp macro="" textlink="">
      <xdr:nvSpPr>
        <xdr:cNvPr id="720" name="Arrow: Down 719">
          <a:extLst>
            <a:ext uri="{FF2B5EF4-FFF2-40B4-BE49-F238E27FC236}">
              <a16:creationId xmlns:a16="http://schemas.microsoft.com/office/drawing/2014/main" id="{7205720B-19A7-4E7D-A9F6-570F11439F61}"/>
            </a:ext>
          </a:extLst>
        </xdr:cNvPr>
        <xdr:cNvSpPr/>
      </xdr:nvSpPr>
      <xdr:spPr>
        <a:xfrm rot="10800000">
          <a:off x="854964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111</xdr:row>
      <xdr:rowOff>0</xdr:rowOff>
    </xdr:from>
    <xdr:to>
      <xdr:col>45</xdr:col>
      <xdr:colOff>83820</xdr:colOff>
      <xdr:row>111</xdr:row>
      <xdr:rowOff>114300</xdr:rowOff>
    </xdr:to>
    <xdr:sp macro="" textlink="">
      <xdr:nvSpPr>
        <xdr:cNvPr id="726" name="Arrow: Down 725">
          <a:extLst>
            <a:ext uri="{FF2B5EF4-FFF2-40B4-BE49-F238E27FC236}">
              <a16:creationId xmlns:a16="http://schemas.microsoft.com/office/drawing/2014/main" id="{72E9C2B8-7940-469A-8329-AA311F50E6D6}"/>
            </a:ext>
          </a:extLst>
        </xdr:cNvPr>
        <xdr:cNvSpPr/>
      </xdr:nvSpPr>
      <xdr:spPr>
        <a:xfrm rot="10800000">
          <a:off x="1013460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111</xdr:row>
      <xdr:rowOff>0</xdr:rowOff>
    </xdr:from>
    <xdr:to>
      <xdr:col>11</xdr:col>
      <xdr:colOff>83820</xdr:colOff>
      <xdr:row>111</xdr:row>
      <xdr:rowOff>114300</xdr:rowOff>
    </xdr:to>
    <xdr:sp macro="" textlink="">
      <xdr:nvSpPr>
        <xdr:cNvPr id="727" name="Arrow: Down 726">
          <a:extLst>
            <a:ext uri="{FF2B5EF4-FFF2-40B4-BE49-F238E27FC236}">
              <a16:creationId xmlns:a16="http://schemas.microsoft.com/office/drawing/2014/main" id="{A165C0A3-96BD-4A61-BE82-1BC02716DE04}"/>
            </a:ext>
          </a:extLst>
        </xdr:cNvPr>
        <xdr:cNvSpPr/>
      </xdr:nvSpPr>
      <xdr:spPr>
        <a:xfrm rot="10800000">
          <a:off x="361950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111</xdr:row>
      <xdr:rowOff>0</xdr:rowOff>
    </xdr:from>
    <xdr:to>
      <xdr:col>60</xdr:col>
      <xdr:colOff>83820</xdr:colOff>
      <xdr:row>111</xdr:row>
      <xdr:rowOff>114300</xdr:rowOff>
    </xdr:to>
    <xdr:sp macro="" textlink="">
      <xdr:nvSpPr>
        <xdr:cNvPr id="743" name="Arrow: Down 742">
          <a:extLst>
            <a:ext uri="{FF2B5EF4-FFF2-40B4-BE49-F238E27FC236}">
              <a16:creationId xmlns:a16="http://schemas.microsoft.com/office/drawing/2014/main" id="{504C92D6-C0A1-4D22-8356-82BDA1430204}"/>
            </a:ext>
          </a:extLst>
        </xdr:cNvPr>
        <xdr:cNvSpPr/>
      </xdr:nvSpPr>
      <xdr:spPr>
        <a:xfrm>
          <a:off x="14752320" y="203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111</xdr:row>
      <xdr:rowOff>0</xdr:rowOff>
    </xdr:from>
    <xdr:to>
      <xdr:col>71</xdr:col>
      <xdr:colOff>83820</xdr:colOff>
      <xdr:row>111</xdr:row>
      <xdr:rowOff>114300</xdr:rowOff>
    </xdr:to>
    <xdr:sp macro="" textlink="">
      <xdr:nvSpPr>
        <xdr:cNvPr id="761" name="Arrow: Down 760">
          <a:extLst>
            <a:ext uri="{FF2B5EF4-FFF2-40B4-BE49-F238E27FC236}">
              <a16:creationId xmlns:a16="http://schemas.microsoft.com/office/drawing/2014/main" id="{65B1DCC6-1D6D-4085-82F4-F609503A082E}"/>
            </a:ext>
          </a:extLst>
        </xdr:cNvPr>
        <xdr:cNvSpPr/>
      </xdr:nvSpPr>
      <xdr:spPr>
        <a:xfrm>
          <a:off x="17068800" y="203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112</xdr:row>
      <xdr:rowOff>0</xdr:rowOff>
    </xdr:from>
    <xdr:to>
      <xdr:col>5</xdr:col>
      <xdr:colOff>83820</xdr:colOff>
      <xdr:row>112</xdr:row>
      <xdr:rowOff>114300</xdr:rowOff>
    </xdr:to>
    <xdr:sp macro="" textlink="">
      <xdr:nvSpPr>
        <xdr:cNvPr id="764" name="Arrow: Down 763">
          <a:extLst>
            <a:ext uri="{FF2B5EF4-FFF2-40B4-BE49-F238E27FC236}">
              <a16:creationId xmlns:a16="http://schemas.microsoft.com/office/drawing/2014/main" id="{BFAF3E4C-E1B2-484B-8237-853F2082F034}"/>
            </a:ext>
          </a:extLst>
        </xdr:cNvPr>
        <xdr:cNvSpPr/>
      </xdr:nvSpPr>
      <xdr:spPr>
        <a:xfrm rot="10800000">
          <a:off x="1927860" y="2039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112</xdr:row>
      <xdr:rowOff>0</xdr:rowOff>
    </xdr:from>
    <xdr:to>
      <xdr:col>45</xdr:col>
      <xdr:colOff>83820</xdr:colOff>
      <xdr:row>112</xdr:row>
      <xdr:rowOff>114300</xdr:rowOff>
    </xdr:to>
    <xdr:sp macro="" textlink="">
      <xdr:nvSpPr>
        <xdr:cNvPr id="766" name="Arrow: Down 765">
          <a:extLst>
            <a:ext uri="{FF2B5EF4-FFF2-40B4-BE49-F238E27FC236}">
              <a16:creationId xmlns:a16="http://schemas.microsoft.com/office/drawing/2014/main" id="{D82C32EC-ED33-4B15-83C1-9EC5E3B2ECD6}"/>
            </a:ext>
          </a:extLst>
        </xdr:cNvPr>
        <xdr:cNvSpPr/>
      </xdr:nvSpPr>
      <xdr:spPr>
        <a:xfrm rot="10800000">
          <a:off x="10134600" y="203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112</xdr:row>
      <xdr:rowOff>0</xdr:rowOff>
    </xdr:from>
    <xdr:to>
      <xdr:col>11</xdr:col>
      <xdr:colOff>83820</xdr:colOff>
      <xdr:row>112</xdr:row>
      <xdr:rowOff>114300</xdr:rowOff>
    </xdr:to>
    <xdr:sp macro="" textlink="">
      <xdr:nvSpPr>
        <xdr:cNvPr id="767" name="Arrow: Down 766">
          <a:extLst>
            <a:ext uri="{FF2B5EF4-FFF2-40B4-BE49-F238E27FC236}">
              <a16:creationId xmlns:a16="http://schemas.microsoft.com/office/drawing/2014/main" id="{FC4463F0-39DB-4A94-AD5A-C375E27DA7A6}"/>
            </a:ext>
          </a:extLst>
        </xdr:cNvPr>
        <xdr:cNvSpPr/>
      </xdr:nvSpPr>
      <xdr:spPr>
        <a:xfrm rot="10800000">
          <a:off x="3619500" y="2039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113</xdr:row>
      <xdr:rowOff>0</xdr:rowOff>
    </xdr:from>
    <xdr:to>
      <xdr:col>5</xdr:col>
      <xdr:colOff>83820</xdr:colOff>
      <xdr:row>113</xdr:row>
      <xdr:rowOff>114300</xdr:rowOff>
    </xdr:to>
    <xdr:sp macro="" textlink="">
      <xdr:nvSpPr>
        <xdr:cNvPr id="773" name="Arrow: Down 772">
          <a:extLst>
            <a:ext uri="{FF2B5EF4-FFF2-40B4-BE49-F238E27FC236}">
              <a16:creationId xmlns:a16="http://schemas.microsoft.com/office/drawing/2014/main" id="{95BCFE93-843B-4B04-B735-214D63DC7C99}"/>
            </a:ext>
          </a:extLst>
        </xdr:cNvPr>
        <xdr:cNvSpPr/>
      </xdr:nvSpPr>
      <xdr:spPr>
        <a:xfrm rot="10800000">
          <a:off x="192786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113</xdr:row>
      <xdr:rowOff>0</xdr:rowOff>
    </xdr:from>
    <xdr:to>
      <xdr:col>45</xdr:col>
      <xdr:colOff>83820</xdr:colOff>
      <xdr:row>113</xdr:row>
      <xdr:rowOff>114300</xdr:rowOff>
    </xdr:to>
    <xdr:sp macro="" textlink="">
      <xdr:nvSpPr>
        <xdr:cNvPr id="776" name="Arrow: Down 775">
          <a:extLst>
            <a:ext uri="{FF2B5EF4-FFF2-40B4-BE49-F238E27FC236}">
              <a16:creationId xmlns:a16="http://schemas.microsoft.com/office/drawing/2014/main" id="{54D49D89-BF04-4B76-9E82-3797F6F6A0E5}"/>
            </a:ext>
          </a:extLst>
        </xdr:cNvPr>
        <xdr:cNvSpPr/>
      </xdr:nvSpPr>
      <xdr:spPr>
        <a:xfrm rot="10800000">
          <a:off x="10134600" y="205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113</xdr:row>
      <xdr:rowOff>0</xdr:rowOff>
    </xdr:from>
    <xdr:to>
      <xdr:col>11</xdr:col>
      <xdr:colOff>83820</xdr:colOff>
      <xdr:row>113</xdr:row>
      <xdr:rowOff>114300</xdr:rowOff>
    </xdr:to>
    <xdr:sp macro="" textlink="">
      <xdr:nvSpPr>
        <xdr:cNvPr id="777" name="Arrow: Down 776">
          <a:extLst>
            <a:ext uri="{FF2B5EF4-FFF2-40B4-BE49-F238E27FC236}">
              <a16:creationId xmlns:a16="http://schemas.microsoft.com/office/drawing/2014/main" id="{83AFB0A1-74F1-4667-BADE-7E12784C654C}"/>
            </a:ext>
          </a:extLst>
        </xdr:cNvPr>
        <xdr:cNvSpPr/>
      </xdr:nvSpPr>
      <xdr:spPr>
        <a:xfrm rot="10800000">
          <a:off x="361950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112</xdr:row>
      <xdr:rowOff>0</xdr:rowOff>
    </xdr:from>
    <xdr:to>
      <xdr:col>24</xdr:col>
      <xdr:colOff>83820</xdr:colOff>
      <xdr:row>112</xdr:row>
      <xdr:rowOff>114300</xdr:rowOff>
    </xdr:to>
    <xdr:sp macro="" textlink="">
      <xdr:nvSpPr>
        <xdr:cNvPr id="780" name="Arrow: Down 779">
          <a:extLst>
            <a:ext uri="{FF2B5EF4-FFF2-40B4-BE49-F238E27FC236}">
              <a16:creationId xmlns:a16="http://schemas.microsoft.com/office/drawing/2014/main" id="{ABC2F574-42B4-4EA8-90DF-D36AF2970FAD}"/>
            </a:ext>
          </a:extLst>
        </xdr:cNvPr>
        <xdr:cNvSpPr/>
      </xdr:nvSpPr>
      <xdr:spPr>
        <a:xfrm>
          <a:off x="5440680" y="20581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112</xdr:row>
      <xdr:rowOff>0</xdr:rowOff>
    </xdr:from>
    <xdr:to>
      <xdr:col>39</xdr:col>
      <xdr:colOff>83820</xdr:colOff>
      <xdr:row>112</xdr:row>
      <xdr:rowOff>114300</xdr:rowOff>
    </xdr:to>
    <xdr:sp macro="" textlink="">
      <xdr:nvSpPr>
        <xdr:cNvPr id="781" name="Arrow: Down 780">
          <a:extLst>
            <a:ext uri="{FF2B5EF4-FFF2-40B4-BE49-F238E27FC236}">
              <a16:creationId xmlns:a16="http://schemas.microsoft.com/office/drawing/2014/main" id="{FB53A926-3C6F-4C27-A761-D06A12A6DC7A}"/>
            </a:ext>
          </a:extLst>
        </xdr:cNvPr>
        <xdr:cNvSpPr/>
      </xdr:nvSpPr>
      <xdr:spPr>
        <a:xfrm>
          <a:off x="854964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112</xdr:row>
      <xdr:rowOff>0</xdr:rowOff>
    </xdr:from>
    <xdr:to>
      <xdr:col>60</xdr:col>
      <xdr:colOff>83820</xdr:colOff>
      <xdr:row>112</xdr:row>
      <xdr:rowOff>114300</xdr:rowOff>
    </xdr:to>
    <xdr:sp macro="" textlink="">
      <xdr:nvSpPr>
        <xdr:cNvPr id="782" name="Arrow: Down 781">
          <a:extLst>
            <a:ext uri="{FF2B5EF4-FFF2-40B4-BE49-F238E27FC236}">
              <a16:creationId xmlns:a16="http://schemas.microsoft.com/office/drawing/2014/main" id="{592C225C-8872-4B29-9112-461B8CD12DCD}"/>
            </a:ext>
          </a:extLst>
        </xdr:cNvPr>
        <xdr:cNvSpPr/>
      </xdr:nvSpPr>
      <xdr:spPr>
        <a:xfrm rot="10800000">
          <a:off x="1475232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112</xdr:row>
      <xdr:rowOff>0</xdr:rowOff>
    </xdr:from>
    <xdr:to>
      <xdr:col>71</xdr:col>
      <xdr:colOff>83820</xdr:colOff>
      <xdr:row>112</xdr:row>
      <xdr:rowOff>114300</xdr:rowOff>
    </xdr:to>
    <xdr:sp macro="" textlink="">
      <xdr:nvSpPr>
        <xdr:cNvPr id="785" name="Arrow: Down 784">
          <a:extLst>
            <a:ext uri="{FF2B5EF4-FFF2-40B4-BE49-F238E27FC236}">
              <a16:creationId xmlns:a16="http://schemas.microsoft.com/office/drawing/2014/main" id="{D560FD01-565C-4567-A27E-7701FB47A931}"/>
            </a:ext>
          </a:extLst>
        </xdr:cNvPr>
        <xdr:cNvSpPr/>
      </xdr:nvSpPr>
      <xdr:spPr>
        <a:xfrm rot="10800000">
          <a:off x="1706880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114</xdr:row>
      <xdr:rowOff>0</xdr:rowOff>
    </xdr:from>
    <xdr:to>
      <xdr:col>24</xdr:col>
      <xdr:colOff>83820</xdr:colOff>
      <xdr:row>114</xdr:row>
      <xdr:rowOff>114300</xdr:rowOff>
    </xdr:to>
    <xdr:sp macro="" textlink="">
      <xdr:nvSpPr>
        <xdr:cNvPr id="786" name="Arrow: Down 785">
          <a:extLst>
            <a:ext uri="{FF2B5EF4-FFF2-40B4-BE49-F238E27FC236}">
              <a16:creationId xmlns:a16="http://schemas.microsoft.com/office/drawing/2014/main" id="{0CEF9245-4110-4CCA-A8A6-F4E6EE25FE07}"/>
            </a:ext>
          </a:extLst>
        </xdr:cNvPr>
        <xdr:cNvSpPr/>
      </xdr:nvSpPr>
      <xdr:spPr>
        <a:xfrm rot="10800000">
          <a:off x="544068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114</xdr:row>
      <xdr:rowOff>0</xdr:rowOff>
    </xdr:from>
    <xdr:to>
      <xdr:col>39</xdr:col>
      <xdr:colOff>83820</xdr:colOff>
      <xdr:row>114</xdr:row>
      <xdr:rowOff>114300</xdr:rowOff>
    </xdr:to>
    <xdr:sp macro="" textlink="">
      <xdr:nvSpPr>
        <xdr:cNvPr id="788" name="Arrow: Down 787">
          <a:extLst>
            <a:ext uri="{FF2B5EF4-FFF2-40B4-BE49-F238E27FC236}">
              <a16:creationId xmlns:a16="http://schemas.microsoft.com/office/drawing/2014/main" id="{0FF6BB03-DDDF-487A-A4F4-1592774925D6}"/>
            </a:ext>
          </a:extLst>
        </xdr:cNvPr>
        <xdr:cNvSpPr/>
      </xdr:nvSpPr>
      <xdr:spPr>
        <a:xfrm rot="10800000">
          <a:off x="854964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114</xdr:row>
      <xdr:rowOff>0</xdr:rowOff>
    </xdr:from>
    <xdr:to>
      <xdr:col>45</xdr:col>
      <xdr:colOff>83820</xdr:colOff>
      <xdr:row>114</xdr:row>
      <xdr:rowOff>114300</xdr:rowOff>
    </xdr:to>
    <xdr:sp macro="" textlink="">
      <xdr:nvSpPr>
        <xdr:cNvPr id="789" name="Arrow: Down 788">
          <a:extLst>
            <a:ext uri="{FF2B5EF4-FFF2-40B4-BE49-F238E27FC236}">
              <a16:creationId xmlns:a16="http://schemas.microsoft.com/office/drawing/2014/main" id="{D3F8ABE8-F39B-4763-9BD0-57E78D66E48B}"/>
            </a:ext>
          </a:extLst>
        </xdr:cNvPr>
        <xdr:cNvSpPr/>
      </xdr:nvSpPr>
      <xdr:spPr>
        <a:xfrm rot="10800000">
          <a:off x="1013460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114</xdr:row>
      <xdr:rowOff>0</xdr:rowOff>
    </xdr:from>
    <xdr:to>
      <xdr:col>60</xdr:col>
      <xdr:colOff>83820</xdr:colOff>
      <xdr:row>114</xdr:row>
      <xdr:rowOff>114300</xdr:rowOff>
    </xdr:to>
    <xdr:sp macro="" textlink="">
      <xdr:nvSpPr>
        <xdr:cNvPr id="791" name="Arrow: Down 790">
          <a:extLst>
            <a:ext uri="{FF2B5EF4-FFF2-40B4-BE49-F238E27FC236}">
              <a16:creationId xmlns:a16="http://schemas.microsoft.com/office/drawing/2014/main" id="{C05B7871-C5EB-4267-A31F-B3D90079C353}"/>
            </a:ext>
          </a:extLst>
        </xdr:cNvPr>
        <xdr:cNvSpPr/>
      </xdr:nvSpPr>
      <xdr:spPr>
        <a:xfrm>
          <a:off x="1475232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113</xdr:row>
      <xdr:rowOff>0</xdr:rowOff>
    </xdr:from>
    <xdr:to>
      <xdr:col>24</xdr:col>
      <xdr:colOff>83820</xdr:colOff>
      <xdr:row>113</xdr:row>
      <xdr:rowOff>114300</xdr:rowOff>
    </xdr:to>
    <xdr:sp macro="" textlink="">
      <xdr:nvSpPr>
        <xdr:cNvPr id="793" name="Arrow: Down 792">
          <a:extLst>
            <a:ext uri="{FF2B5EF4-FFF2-40B4-BE49-F238E27FC236}">
              <a16:creationId xmlns:a16="http://schemas.microsoft.com/office/drawing/2014/main" id="{7E2EC415-34ED-4854-8E9D-0573F41E516B}"/>
            </a:ext>
          </a:extLst>
        </xdr:cNvPr>
        <xdr:cNvSpPr/>
      </xdr:nvSpPr>
      <xdr:spPr>
        <a:xfrm>
          <a:off x="5440680" y="20764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113</xdr:row>
      <xdr:rowOff>0</xdr:rowOff>
    </xdr:from>
    <xdr:to>
      <xdr:col>39</xdr:col>
      <xdr:colOff>83820</xdr:colOff>
      <xdr:row>113</xdr:row>
      <xdr:rowOff>114300</xdr:rowOff>
    </xdr:to>
    <xdr:sp macro="" textlink="">
      <xdr:nvSpPr>
        <xdr:cNvPr id="794" name="Arrow: Down 793">
          <a:extLst>
            <a:ext uri="{FF2B5EF4-FFF2-40B4-BE49-F238E27FC236}">
              <a16:creationId xmlns:a16="http://schemas.microsoft.com/office/drawing/2014/main" id="{EE58D913-524C-4229-9768-159C19E51546}"/>
            </a:ext>
          </a:extLst>
        </xdr:cNvPr>
        <xdr:cNvSpPr/>
      </xdr:nvSpPr>
      <xdr:spPr>
        <a:xfrm>
          <a:off x="854964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113</xdr:row>
      <xdr:rowOff>0</xdr:rowOff>
    </xdr:from>
    <xdr:to>
      <xdr:col>60</xdr:col>
      <xdr:colOff>83820</xdr:colOff>
      <xdr:row>113</xdr:row>
      <xdr:rowOff>114300</xdr:rowOff>
    </xdr:to>
    <xdr:sp macro="" textlink="">
      <xdr:nvSpPr>
        <xdr:cNvPr id="795" name="Arrow: Down 794">
          <a:extLst>
            <a:ext uri="{FF2B5EF4-FFF2-40B4-BE49-F238E27FC236}">
              <a16:creationId xmlns:a16="http://schemas.microsoft.com/office/drawing/2014/main" id="{18F41EB1-66FF-41D0-ACEB-DE4FAF62FB36}"/>
            </a:ext>
          </a:extLst>
        </xdr:cNvPr>
        <xdr:cNvSpPr/>
      </xdr:nvSpPr>
      <xdr:spPr>
        <a:xfrm rot="10800000">
          <a:off x="1475232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113</xdr:row>
      <xdr:rowOff>0</xdr:rowOff>
    </xdr:from>
    <xdr:to>
      <xdr:col>71</xdr:col>
      <xdr:colOff>83820</xdr:colOff>
      <xdr:row>113</xdr:row>
      <xdr:rowOff>114300</xdr:rowOff>
    </xdr:to>
    <xdr:sp macro="" textlink="">
      <xdr:nvSpPr>
        <xdr:cNvPr id="796" name="Arrow: Down 795">
          <a:extLst>
            <a:ext uri="{FF2B5EF4-FFF2-40B4-BE49-F238E27FC236}">
              <a16:creationId xmlns:a16="http://schemas.microsoft.com/office/drawing/2014/main" id="{FA62FEAB-F6CD-438A-AC00-DE18437BE824}"/>
            </a:ext>
          </a:extLst>
        </xdr:cNvPr>
        <xdr:cNvSpPr/>
      </xdr:nvSpPr>
      <xdr:spPr>
        <a:xfrm rot="10800000">
          <a:off x="1706880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114</xdr:row>
      <xdr:rowOff>0</xdr:rowOff>
    </xdr:from>
    <xdr:to>
      <xdr:col>45</xdr:col>
      <xdr:colOff>83820</xdr:colOff>
      <xdr:row>114</xdr:row>
      <xdr:rowOff>114300</xdr:rowOff>
    </xdr:to>
    <xdr:sp macro="" textlink="">
      <xdr:nvSpPr>
        <xdr:cNvPr id="797" name="Arrow: Down 796">
          <a:extLst>
            <a:ext uri="{FF2B5EF4-FFF2-40B4-BE49-F238E27FC236}">
              <a16:creationId xmlns:a16="http://schemas.microsoft.com/office/drawing/2014/main" id="{A1EA5953-4F1B-454A-9866-9693AA202256}"/>
            </a:ext>
          </a:extLst>
        </xdr:cNvPr>
        <xdr:cNvSpPr/>
      </xdr:nvSpPr>
      <xdr:spPr>
        <a:xfrm rot="10800000">
          <a:off x="1013460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114</xdr:row>
      <xdr:rowOff>0</xdr:rowOff>
    </xdr:from>
    <xdr:to>
      <xdr:col>5</xdr:col>
      <xdr:colOff>83820</xdr:colOff>
      <xdr:row>114</xdr:row>
      <xdr:rowOff>114300</xdr:rowOff>
    </xdr:to>
    <xdr:sp macro="" textlink="">
      <xdr:nvSpPr>
        <xdr:cNvPr id="803" name="Arrow: Down 802">
          <a:extLst>
            <a:ext uri="{FF2B5EF4-FFF2-40B4-BE49-F238E27FC236}">
              <a16:creationId xmlns:a16="http://schemas.microsoft.com/office/drawing/2014/main" id="{62C70FC9-E48D-459E-B8D0-07E5DE3D4D23}"/>
            </a:ext>
          </a:extLst>
        </xdr:cNvPr>
        <xdr:cNvSpPr/>
      </xdr:nvSpPr>
      <xdr:spPr>
        <a:xfrm>
          <a:off x="192786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114</xdr:row>
      <xdr:rowOff>0</xdr:rowOff>
    </xdr:from>
    <xdr:to>
      <xdr:col>11</xdr:col>
      <xdr:colOff>83820</xdr:colOff>
      <xdr:row>114</xdr:row>
      <xdr:rowOff>114300</xdr:rowOff>
    </xdr:to>
    <xdr:sp macro="" textlink="">
      <xdr:nvSpPr>
        <xdr:cNvPr id="804" name="Arrow: Down 803">
          <a:extLst>
            <a:ext uri="{FF2B5EF4-FFF2-40B4-BE49-F238E27FC236}">
              <a16:creationId xmlns:a16="http://schemas.microsoft.com/office/drawing/2014/main" id="{353D55E1-BF4F-4FED-98E9-7FC89D23C8A0}"/>
            </a:ext>
          </a:extLst>
        </xdr:cNvPr>
        <xdr:cNvSpPr/>
      </xdr:nvSpPr>
      <xdr:spPr>
        <a:xfrm>
          <a:off x="361950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114</xdr:row>
      <xdr:rowOff>0</xdr:rowOff>
    </xdr:from>
    <xdr:to>
      <xdr:col>71</xdr:col>
      <xdr:colOff>83820</xdr:colOff>
      <xdr:row>114</xdr:row>
      <xdr:rowOff>114300</xdr:rowOff>
    </xdr:to>
    <xdr:sp macro="" textlink="">
      <xdr:nvSpPr>
        <xdr:cNvPr id="806" name="Arrow: Down 805">
          <a:extLst>
            <a:ext uri="{FF2B5EF4-FFF2-40B4-BE49-F238E27FC236}">
              <a16:creationId xmlns:a16="http://schemas.microsoft.com/office/drawing/2014/main" id="{C8C86455-5859-4092-A1D9-F25970E97950}"/>
            </a:ext>
          </a:extLst>
        </xdr:cNvPr>
        <xdr:cNvSpPr/>
      </xdr:nvSpPr>
      <xdr:spPr>
        <a:xfrm rot="10800000">
          <a:off x="17068800" y="2094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115</xdr:row>
      <xdr:rowOff>0</xdr:rowOff>
    </xdr:from>
    <xdr:to>
      <xdr:col>45</xdr:col>
      <xdr:colOff>83820</xdr:colOff>
      <xdr:row>115</xdr:row>
      <xdr:rowOff>114300</xdr:rowOff>
    </xdr:to>
    <xdr:sp macro="" textlink="">
      <xdr:nvSpPr>
        <xdr:cNvPr id="809" name="Arrow: Down 808">
          <a:extLst>
            <a:ext uri="{FF2B5EF4-FFF2-40B4-BE49-F238E27FC236}">
              <a16:creationId xmlns:a16="http://schemas.microsoft.com/office/drawing/2014/main" id="{D76005C7-8ACA-429B-A134-401ACFEF3257}"/>
            </a:ext>
          </a:extLst>
        </xdr:cNvPr>
        <xdr:cNvSpPr/>
      </xdr:nvSpPr>
      <xdr:spPr>
        <a:xfrm rot="10800000">
          <a:off x="10134600" y="209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115</xdr:row>
      <xdr:rowOff>0</xdr:rowOff>
    </xdr:from>
    <xdr:to>
      <xdr:col>60</xdr:col>
      <xdr:colOff>83820</xdr:colOff>
      <xdr:row>115</xdr:row>
      <xdr:rowOff>114300</xdr:rowOff>
    </xdr:to>
    <xdr:sp macro="" textlink="">
      <xdr:nvSpPr>
        <xdr:cNvPr id="810" name="Arrow: Down 809">
          <a:extLst>
            <a:ext uri="{FF2B5EF4-FFF2-40B4-BE49-F238E27FC236}">
              <a16:creationId xmlns:a16="http://schemas.microsoft.com/office/drawing/2014/main" id="{367C926E-CB3E-4845-A38F-BAF4928B4FAA}"/>
            </a:ext>
          </a:extLst>
        </xdr:cNvPr>
        <xdr:cNvSpPr/>
      </xdr:nvSpPr>
      <xdr:spPr>
        <a:xfrm>
          <a:off x="14752320" y="209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115</xdr:row>
      <xdr:rowOff>0</xdr:rowOff>
    </xdr:from>
    <xdr:to>
      <xdr:col>45</xdr:col>
      <xdr:colOff>83820</xdr:colOff>
      <xdr:row>115</xdr:row>
      <xdr:rowOff>114300</xdr:rowOff>
    </xdr:to>
    <xdr:sp macro="" textlink="">
      <xdr:nvSpPr>
        <xdr:cNvPr id="811" name="Arrow: Down 810">
          <a:extLst>
            <a:ext uri="{FF2B5EF4-FFF2-40B4-BE49-F238E27FC236}">
              <a16:creationId xmlns:a16="http://schemas.microsoft.com/office/drawing/2014/main" id="{BBC45068-5C02-48C3-9D0F-F04D3DC03D10}"/>
            </a:ext>
          </a:extLst>
        </xdr:cNvPr>
        <xdr:cNvSpPr/>
      </xdr:nvSpPr>
      <xdr:spPr>
        <a:xfrm rot="10800000">
          <a:off x="10134600" y="209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115</xdr:row>
      <xdr:rowOff>0</xdr:rowOff>
    </xdr:from>
    <xdr:to>
      <xdr:col>5</xdr:col>
      <xdr:colOff>83820</xdr:colOff>
      <xdr:row>115</xdr:row>
      <xdr:rowOff>114300</xdr:rowOff>
    </xdr:to>
    <xdr:sp macro="" textlink="">
      <xdr:nvSpPr>
        <xdr:cNvPr id="812" name="Arrow: Down 811">
          <a:extLst>
            <a:ext uri="{FF2B5EF4-FFF2-40B4-BE49-F238E27FC236}">
              <a16:creationId xmlns:a16="http://schemas.microsoft.com/office/drawing/2014/main" id="{0D71CC93-D56D-4E9F-AF9C-EA14356A1276}"/>
            </a:ext>
          </a:extLst>
        </xdr:cNvPr>
        <xdr:cNvSpPr/>
      </xdr:nvSpPr>
      <xdr:spPr>
        <a:xfrm>
          <a:off x="192786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115</xdr:row>
      <xdr:rowOff>0</xdr:rowOff>
    </xdr:from>
    <xdr:to>
      <xdr:col>11</xdr:col>
      <xdr:colOff>83820</xdr:colOff>
      <xdr:row>115</xdr:row>
      <xdr:rowOff>114300</xdr:rowOff>
    </xdr:to>
    <xdr:sp macro="" textlink="">
      <xdr:nvSpPr>
        <xdr:cNvPr id="813" name="Arrow: Down 812">
          <a:extLst>
            <a:ext uri="{FF2B5EF4-FFF2-40B4-BE49-F238E27FC236}">
              <a16:creationId xmlns:a16="http://schemas.microsoft.com/office/drawing/2014/main" id="{37F8B3AF-E62B-4175-97C9-34EEAE30F0E3}"/>
            </a:ext>
          </a:extLst>
        </xdr:cNvPr>
        <xdr:cNvSpPr/>
      </xdr:nvSpPr>
      <xdr:spPr>
        <a:xfrm>
          <a:off x="361950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115</xdr:row>
      <xdr:rowOff>0</xdr:rowOff>
    </xdr:from>
    <xdr:to>
      <xdr:col>71</xdr:col>
      <xdr:colOff>83820</xdr:colOff>
      <xdr:row>115</xdr:row>
      <xdr:rowOff>114300</xdr:rowOff>
    </xdr:to>
    <xdr:sp macro="" textlink="">
      <xdr:nvSpPr>
        <xdr:cNvPr id="816" name="Arrow: Down 815">
          <a:extLst>
            <a:ext uri="{FF2B5EF4-FFF2-40B4-BE49-F238E27FC236}">
              <a16:creationId xmlns:a16="http://schemas.microsoft.com/office/drawing/2014/main" id="{90DB0C9F-2559-4C61-A256-8A097C373A8E}"/>
            </a:ext>
          </a:extLst>
        </xdr:cNvPr>
        <xdr:cNvSpPr/>
      </xdr:nvSpPr>
      <xdr:spPr>
        <a:xfrm>
          <a:off x="170688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115</xdr:row>
      <xdr:rowOff>0</xdr:rowOff>
    </xdr:from>
    <xdr:to>
      <xdr:col>24</xdr:col>
      <xdr:colOff>83820</xdr:colOff>
      <xdr:row>115</xdr:row>
      <xdr:rowOff>114300</xdr:rowOff>
    </xdr:to>
    <xdr:sp macro="" textlink="">
      <xdr:nvSpPr>
        <xdr:cNvPr id="817" name="Arrow: Down 816">
          <a:extLst>
            <a:ext uri="{FF2B5EF4-FFF2-40B4-BE49-F238E27FC236}">
              <a16:creationId xmlns:a16="http://schemas.microsoft.com/office/drawing/2014/main" id="{085A59B9-882A-4528-B5E1-BCF1348925A7}"/>
            </a:ext>
          </a:extLst>
        </xdr:cNvPr>
        <xdr:cNvSpPr/>
      </xdr:nvSpPr>
      <xdr:spPr>
        <a:xfrm>
          <a:off x="544068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115</xdr:row>
      <xdr:rowOff>0</xdr:rowOff>
    </xdr:from>
    <xdr:to>
      <xdr:col>39</xdr:col>
      <xdr:colOff>83820</xdr:colOff>
      <xdr:row>115</xdr:row>
      <xdr:rowOff>114300</xdr:rowOff>
    </xdr:to>
    <xdr:sp macro="" textlink="">
      <xdr:nvSpPr>
        <xdr:cNvPr id="819" name="Arrow: Down 818">
          <a:extLst>
            <a:ext uri="{FF2B5EF4-FFF2-40B4-BE49-F238E27FC236}">
              <a16:creationId xmlns:a16="http://schemas.microsoft.com/office/drawing/2014/main" id="{2D7C3DAD-4B24-4BDA-8B2B-8590882DADDE}"/>
            </a:ext>
          </a:extLst>
        </xdr:cNvPr>
        <xdr:cNvSpPr/>
      </xdr:nvSpPr>
      <xdr:spPr>
        <a:xfrm>
          <a:off x="8549640" y="211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116</xdr:row>
      <xdr:rowOff>0</xdr:rowOff>
    </xdr:from>
    <xdr:to>
      <xdr:col>45</xdr:col>
      <xdr:colOff>83820</xdr:colOff>
      <xdr:row>116</xdr:row>
      <xdr:rowOff>114300</xdr:rowOff>
    </xdr:to>
    <xdr:sp macro="" textlink="">
      <xdr:nvSpPr>
        <xdr:cNvPr id="820" name="Arrow: Down 819">
          <a:extLst>
            <a:ext uri="{FF2B5EF4-FFF2-40B4-BE49-F238E27FC236}">
              <a16:creationId xmlns:a16="http://schemas.microsoft.com/office/drawing/2014/main" id="{B26C6D4B-CCD4-4FBD-B235-FB1495C9074C}"/>
            </a:ext>
          </a:extLst>
        </xdr:cNvPr>
        <xdr:cNvSpPr/>
      </xdr:nvSpPr>
      <xdr:spPr>
        <a:xfrm rot="10800000">
          <a:off x="101346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116</xdr:row>
      <xdr:rowOff>0</xdr:rowOff>
    </xdr:from>
    <xdr:to>
      <xdr:col>60</xdr:col>
      <xdr:colOff>83820</xdr:colOff>
      <xdr:row>116</xdr:row>
      <xdr:rowOff>114300</xdr:rowOff>
    </xdr:to>
    <xdr:sp macro="" textlink="">
      <xdr:nvSpPr>
        <xdr:cNvPr id="821" name="Arrow: Down 820">
          <a:extLst>
            <a:ext uri="{FF2B5EF4-FFF2-40B4-BE49-F238E27FC236}">
              <a16:creationId xmlns:a16="http://schemas.microsoft.com/office/drawing/2014/main" id="{4B97AFCD-D909-4716-A550-91AE07D82AD7}"/>
            </a:ext>
          </a:extLst>
        </xdr:cNvPr>
        <xdr:cNvSpPr/>
      </xdr:nvSpPr>
      <xdr:spPr>
        <a:xfrm>
          <a:off x="1475232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116</xdr:row>
      <xdr:rowOff>0</xdr:rowOff>
    </xdr:from>
    <xdr:to>
      <xdr:col>45</xdr:col>
      <xdr:colOff>83820</xdr:colOff>
      <xdr:row>116</xdr:row>
      <xdr:rowOff>114300</xdr:rowOff>
    </xdr:to>
    <xdr:sp macro="" textlink="">
      <xdr:nvSpPr>
        <xdr:cNvPr id="822" name="Arrow: Down 821">
          <a:extLst>
            <a:ext uri="{FF2B5EF4-FFF2-40B4-BE49-F238E27FC236}">
              <a16:creationId xmlns:a16="http://schemas.microsoft.com/office/drawing/2014/main" id="{0B3BB8D2-A2E0-41BF-B291-41212CD30299}"/>
            </a:ext>
          </a:extLst>
        </xdr:cNvPr>
        <xdr:cNvSpPr/>
      </xdr:nvSpPr>
      <xdr:spPr>
        <a:xfrm rot="10800000">
          <a:off x="101346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116</xdr:row>
      <xdr:rowOff>0</xdr:rowOff>
    </xdr:from>
    <xdr:to>
      <xdr:col>5</xdr:col>
      <xdr:colOff>83820</xdr:colOff>
      <xdr:row>116</xdr:row>
      <xdr:rowOff>114300</xdr:rowOff>
    </xdr:to>
    <xdr:sp macro="" textlink="">
      <xdr:nvSpPr>
        <xdr:cNvPr id="823" name="Arrow: Down 822">
          <a:extLst>
            <a:ext uri="{FF2B5EF4-FFF2-40B4-BE49-F238E27FC236}">
              <a16:creationId xmlns:a16="http://schemas.microsoft.com/office/drawing/2014/main" id="{FDF23AB8-F5DE-403A-8063-2F7022A58B71}"/>
            </a:ext>
          </a:extLst>
        </xdr:cNvPr>
        <xdr:cNvSpPr/>
      </xdr:nvSpPr>
      <xdr:spPr>
        <a:xfrm>
          <a:off x="1927860" y="21130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116</xdr:row>
      <xdr:rowOff>0</xdr:rowOff>
    </xdr:from>
    <xdr:to>
      <xdr:col>11</xdr:col>
      <xdr:colOff>83820</xdr:colOff>
      <xdr:row>116</xdr:row>
      <xdr:rowOff>114300</xdr:rowOff>
    </xdr:to>
    <xdr:sp macro="" textlink="">
      <xdr:nvSpPr>
        <xdr:cNvPr id="824" name="Arrow: Down 823">
          <a:extLst>
            <a:ext uri="{FF2B5EF4-FFF2-40B4-BE49-F238E27FC236}">
              <a16:creationId xmlns:a16="http://schemas.microsoft.com/office/drawing/2014/main" id="{0CA679FB-1FEB-4014-9552-67625EA04082}"/>
            </a:ext>
          </a:extLst>
        </xdr:cNvPr>
        <xdr:cNvSpPr/>
      </xdr:nvSpPr>
      <xdr:spPr>
        <a:xfrm>
          <a:off x="3619500" y="21130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116</xdr:row>
      <xdr:rowOff>0</xdr:rowOff>
    </xdr:from>
    <xdr:to>
      <xdr:col>71</xdr:col>
      <xdr:colOff>83820</xdr:colOff>
      <xdr:row>116</xdr:row>
      <xdr:rowOff>114300</xdr:rowOff>
    </xdr:to>
    <xdr:sp macro="" textlink="">
      <xdr:nvSpPr>
        <xdr:cNvPr id="825" name="Arrow: Down 824">
          <a:extLst>
            <a:ext uri="{FF2B5EF4-FFF2-40B4-BE49-F238E27FC236}">
              <a16:creationId xmlns:a16="http://schemas.microsoft.com/office/drawing/2014/main" id="{C50F7EC6-29A3-4BB5-AA2C-4FE19A59B899}"/>
            </a:ext>
          </a:extLst>
        </xdr:cNvPr>
        <xdr:cNvSpPr/>
      </xdr:nvSpPr>
      <xdr:spPr>
        <a:xfrm>
          <a:off x="170688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116</xdr:row>
      <xdr:rowOff>0</xdr:rowOff>
    </xdr:from>
    <xdr:to>
      <xdr:col>24</xdr:col>
      <xdr:colOff>83820</xdr:colOff>
      <xdr:row>116</xdr:row>
      <xdr:rowOff>114300</xdr:rowOff>
    </xdr:to>
    <xdr:sp macro="" textlink="">
      <xdr:nvSpPr>
        <xdr:cNvPr id="826" name="Arrow: Down 825">
          <a:extLst>
            <a:ext uri="{FF2B5EF4-FFF2-40B4-BE49-F238E27FC236}">
              <a16:creationId xmlns:a16="http://schemas.microsoft.com/office/drawing/2014/main" id="{51802596-8174-4091-A241-0AAD991870D6}"/>
            </a:ext>
          </a:extLst>
        </xdr:cNvPr>
        <xdr:cNvSpPr/>
      </xdr:nvSpPr>
      <xdr:spPr>
        <a:xfrm>
          <a:off x="544068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116</xdr:row>
      <xdr:rowOff>0</xdr:rowOff>
    </xdr:from>
    <xdr:to>
      <xdr:col>39</xdr:col>
      <xdr:colOff>83820</xdr:colOff>
      <xdr:row>116</xdr:row>
      <xdr:rowOff>114300</xdr:rowOff>
    </xdr:to>
    <xdr:sp macro="" textlink="">
      <xdr:nvSpPr>
        <xdr:cNvPr id="829" name="Arrow: Down 828">
          <a:extLst>
            <a:ext uri="{FF2B5EF4-FFF2-40B4-BE49-F238E27FC236}">
              <a16:creationId xmlns:a16="http://schemas.microsoft.com/office/drawing/2014/main" id="{256F2AD5-B003-40D4-87EA-6C1E8A0B4514}"/>
            </a:ext>
          </a:extLst>
        </xdr:cNvPr>
        <xdr:cNvSpPr/>
      </xdr:nvSpPr>
      <xdr:spPr>
        <a:xfrm rot="10800000">
          <a:off x="860298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117</xdr:row>
      <xdr:rowOff>0</xdr:rowOff>
    </xdr:from>
    <xdr:to>
      <xdr:col>45</xdr:col>
      <xdr:colOff>83820</xdr:colOff>
      <xdr:row>117</xdr:row>
      <xdr:rowOff>114300</xdr:rowOff>
    </xdr:to>
    <xdr:sp macro="" textlink="">
      <xdr:nvSpPr>
        <xdr:cNvPr id="830" name="Arrow: Down 829">
          <a:extLst>
            <a:ext uri="{FF2B5EF4-FFF2-40B4-BE49-F238E27FC236}">
              <a16:creationId xmlns:a16="http://schemas.microsoft.com/office/drawing/2014/main" id="{229AA5E5-E77D-4EF2-B22E-F34CE116C6B1}"/>
            </a:ext>
          </a:extLst>
        </xdr:cNvPr>
        <xdr:cNvSpPr/>
      </xdr:nvSpPr>
      <xdr:spPr>
        <a:xfrm rot="10800000">
          <a:off x="1018794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117</xdr:row>
      <xdr:rowOff>0</xdr:rowOff>
    </xdr:from>
    <xdr:to>
      <xdr:col>45</xdr:col>
      <xdr:colOff>83820</xdr:colOff>
      <xdr:row>117</xdr:row>
      <xdr:rowOff>114300</xdr:rowOff>
    </xdr:to>
    <xdr:sp macro="" textlink="">
      <xdr:nvSpPr>
        <xdr:cNvPr id="832" name="Arrow: Down 831">
          <a:extLst>
            <a:ext uri="{FF2B5EF4-FFF2-40B4-BE49-F238E27FC236}">
              <a16:creationId xmlns:a16="http://schemas.microsoft.com/office/drawing/2014/main" id="{81F41B72-CD5A-4C0D-A35D-8247F432B73E}"/>
            </a:ext>
          </a:extLst>
        </xdr:cNvPr>
        <xdr:cNvSpPr/>
      </xdr:nvSpPr>
      <xdr:spPr>
        <a:xfrm rot="10800000">
          <a:off x="1018794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117</xdr:row>
      <xdr:rowOff>0</xdr:rowOff>
    </xdr:from>
    <xdr:to>
      <xdr:col>39</xdr:col>
      <xdr:colOff>83820</xdr:colOff>
      <xdr:row>117</xdr:row>
      <xdr:rowOff>114300</xdr:rowOff>
    </xdr:to>
    <xdr:sp macro="" textlink="">
      <xdr:nvSpPr>
        <xdr:cNvPr id="837" name="Arrow: Down 836">
          <a:extLst>
            <a:ext uri="{FF2B5EF4-FFF2-40B4-BE49-F238E27FC236}">
              <a16:creationId xmlns:a16="http://schemas.microsoft.com/office/drawing/2014/main" id="{30220420-DF18-4624-AD4A-A76F36E459DE}"/>
            </a:ext>
          </a:extLst>
        </xdr:cNvPr>
        <xdr:cNvSpPr/>
      </xdr:nvSpPr>
      <xdr:spPr>
        <a:xfrm rot="10800000">
          <a:off x="860298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83820</xdr:colOff>
      <xdr:row>117</xdr:row>
      <xdr:rowOff>114300</xdr:rowOff>
    </xdr:to>
    <xdr:sp macro="" textlink="">
      <xdr:nvSpPr>
        <xdr:cNvPr id="838" name="Arrow: Down 837">
          <a:extLst>
            <a:ext uri="{FF2B5EF4-FFF2-40B4-BE49-F238E27FC236}">
              <a16:creationId xmlns:a16="http://schemas.microsoft.com/office/drawing/2014/main" id="{275318ED-BD2C-4218-BD20-4779054850E9}"/>
            </a:ext>
          </a:extLst>
        </xdr:cNvPr>
        <xdr:cNvSpPr/>
      </xdr:nvSpPr>
      <xdr:spPr>
        <a:xfrm rot="10800000">
          <a:off x="544068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117</xdr:row>
      <xdr:rowOff>0</xdr:rowOff>
    </xdr:from>
    <xdr:to>
      <xdr:col>5</xdr:col>
      <xdr:colOff>83820</xdr:colOff>
      <xdr:row>117</xdr:row>
      <xdr:rowOff>114300</xdr:rowOff>
    </xdr:to>
    <xdr:sp macro="" textlink="">
      <xdr:nvSpPr>
        <xdr:cNvPr id="840" name="Arrow: Down 839">
          <a:extLst>
            <a:ext uri="{FF2B5EF4-FFF2-40B4-BE49-F238E27FC236}">
              <a16:creationId xmlns:a16="http://schemas.microsoft.com/office/drawing/2014/main" id="{64B90FA8-B124-4C8A-8F0E-F3C62D8764F8}"/>
            </a:ext>
          </a:extLst>
        </xdr:cNvPr>
        <xdr:cNvSpPr/>
      </xdr:nvSpPr>
      <xdr:spPr>
        <a:xfrm rot="10800000">
          <a:off x="1927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117</xdr:row>
      <xdr:rowOff>0</xdr:rowOff>
    </xdr:from>
    <xdr:to>
      <xdr:col>11</xdr:col>
      <xdr:colOff>83820</xdr:colOff>
      <xdr:row>117</xdr:row>
      <xdr:rowOff>114300</xdr:rowOff>
    </xdr:to>
    <xdr:sp macro="" textlink="">
      <xdr:nvSpPr>
        <xdr:cNvPr id="842" name="Arrow: Down 841">
          <a:extLst>
            <a:ext uri="{FF2B5EF4-FFF2-40B4-BE49-F238E27FC236}">
              <a16:creationId xmlns:a16="http://schemas.microsoft.com/office/drawing/2014/main" id="{03BA764C-25CC-4271-8309-E57F8CA6512B}"/>
            </a:ext>
          </a:extLst>
        </xdr:cNvPr>
        <xdr:cNvSpPr/>
      </xdr:nvSpPr>
      <xdr:spPr>
        <a:xfrm rot="10800000">
          <a:off x="361950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117</xdr:row>
      <xdr:rowOff>0</xdr:rowOff>
    </xdr:from>
    <xdr:to>
      <xdr:col>60</xdr:col>
      <xdr:colOff>83820</xdr:colOff>
      <xdr:row>117</xdr:row>
      <xdr:rowOff>114300</xdr:rowOff>
    </xdr:to>
    <xdr:sp macro="" textlink="">
      <xdr:nvSpPr>
        <xdr:cNvPr id="843" name="Arrow: Down 842">
          <a:extLst>
            <a:ext uri="{FF2B5EF4-FFF2-40B4-BE49-F238E27FC236}">
              <a16:creationId xmlns:a16="http://schemas.microsoft.com/office/drawing/2014/main" id="{1B7D1897-A507-499C-A24E-79F942674197}"/>
            </a:ext>
          </a:extLst>
        </xdr:cNvPr>
        <xdr:cNvSpPr/>
      </xdr:nvSpPr>
      <xdr:spPr>
        <a:xfrm rot="10800000">
          <a:off x="14881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117</xdr:row>
      <xdr:rowOff>0</xdr:rowOff>
    </xdr:from>
    <xdr:to>
      <xdr:col>71</xdr:col>
      <xdr:colOff>83820</xdr:colOff>
      <xdr:row>117</xdr:row>
      <xdr:rowOff>114300</xdr:rowOff>
    </xdr:to>
    <xdr:sp macro="" textlink="">
      <xdr:nvSpPr>
        <xdr:cNvPr id="845" name="Arrow: Down 844">
          <a:extLst>
            <a:ext uri="{FF2B5EF4-FFF2-40B4-BE49-F238E27FC236}">
              <a16:creationId xmlns:a16="http://schemas.microsoft.com/office/drawing/2014/main" id="{4A93AA67-0C46-4599-A9A6-E68896D4A9F1}"/>
            </a:ext>
          </a:extLst>
        </xdr:cNvPr>
        <xdr:cNvSpPr/>
      </xdr:nvSpPr>
      <xdr:spPr>
        <a:xfrm rot="10800000">
          <a:off x="1719834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118</xdr:row>
      <xdr:rowOff>0</xdr:rowOff>
    </xdr:from>
    <xdr:to>
      <xdr:col>45</xdr:col>
      <xdr:colOff>83820</xdr:colOff>
      <xdr:row>118</xdr:row>
      <xdr:rowOff>114300</xdr:rowOff>
    </xdr:to>
    <xdr:sp macro="" textlink="">
      <xdr:nvSpPr>
        <xdr:cNvPr id="732" name="Arrow: Down 731">
          <a:extLst>
            <a:ext uri="{FF2B5EF4-FFF2-40B4-BE49-F238E27FC236}">
              <a16:creationId xmlns:a16="http://schemas.microsoft.com/office/drawing/2014/main" id="{9F2C10FA-16A4-4623-85D0-C4501E80BEEA}"/>
            </a:ext>
          </a:extLst>
        </xdr:cNvPr>
        <xdr:cNvSpPr/>
      </xdr:nvSpPr>
      <xdr:spPr>
        <a:xfrm rot="10800000">
          <a:off x="10187940" y="214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118</xdr:row>
      <xdr:rowOff>0</xdr:rowOff>
    </xdr:from>
    <xdr:to>
      <xdr:col>45</xdr:col>
      <xdr:colOff>83820</xdr:colOff>
      <xdr:row>118</xdr:row>
      <xdr:rowOff>114300</xdr:rowOff>
    </xdr:to>
    <xdr:sp macro="" textlink="">
      <xdr:nvSpPr>
        <xdr:cNvPr id="737" name="Arrow: Down 736">
          <a:extLst>
            <a:ext uri="{FF2B5EF4-FFF2-40B4-BE49-F238E27FC236}">
              <a16:creationId xmlns:a16="http://schemas.microsoft.com/office/drawing/2014/main" id="{5E58E4B6-079F-412D-8AA5-D626372C42DA}"/>
            </a:ext>
          </a:extLst>
        </xdr:cNvPr>
        <xdr:cNvSpPr/>
      </xdr:nvSpPr>
      <xdr:spPr>
        <a:xfrm rot="10800000">
          <a:off x="10187940" y="214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118</xdr:row>
      <xdr:rowOff>0</xdr:rowOff>
    </xdr:from>
    <xdr:to>
      <xdr:col>24</xdr:col>
      <xdr:colOff>83820</xdr:colOff>
      <xdr:row>118</xdr:row>
      <xdr:rowOff>114300</xdr:rowOff>
    </xdr:to>
    <xdr:sp macro="" textlink="">
      <xdr:nvSpPr>
        <xdr:cNvPr id="762" name="Arrow: Down 761">
          <a:extLst>
            <a:ext uri="{FF2B5EF4-FFF2-40B4-BE49-F238E27FC236}">
              <a16:creationId xmlns:a16="http://schemas.microsoft.com/office/drawing/2014/main" id="{67323262-8DE0-4329-8F42-24A2720A8A60}"/>
            </a:ext>
          </a:extLst>
        </xdr:cNvPr>
        <xdr:cNvSpPr/>
      </xdr:nvSpPr>
      <xdr:spPr>
        <a:xfrm rot="10800000">
          <a:off x="544068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118</xdr:row>
      <xdr:rowOff>0</xdr:rowOff>
    </xdr:from>
    <xdr:to>
      <xdr:col>5</xdr:col>
      <xdr:colOff>83820</xdr:colOff>
      <xdr:row>118</xdr:row>
      <xdr:rowOff>114300</xdr:rowOff>
    </xdr:to>
    <xdr:sp macro="" textlink="">
      <xdr:nvSpPr>
        <xdr:cNvPr id="765" name="Arrow: Down 764">
          <a:extLst>
            <a:ext uri="{FF2B5EF4-FFF2-40B4-BE49-F238E27FC236}">
              <a16:creationId xmlns:a16="http://schemas.microsoft.com/office/drawing/2014/main" id="{CA51B5A0-CF85-44EC-928F-D9C5C6D6434F}"/>
            </a:ext>
          </a:extLst>
        </xdr:cNvPr>
        <xdr:cNvSpPr/>
      </xdr:nvSpPr>
      <xdr:spPr>
        <a:xfrm rot="10800000">
          <a:off x="1927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118</xdr:row>
      <xdr:rowOff>0</xdr:rowOff>
    </xdr:from>
    <xdr:to>
      <xdr:col>11</xdr:col>
      <xdr:colOff>83820</xdr:colOff>
      <xdr:row>118</xdr:row>
      <xdr:rowOff>114300</xdr:rowOff>
    </xdr:to>
    <xdr:sp macro="" textlink="">
      <xdr:nvSpPr>
        <xdr:cNvPr id="768" name="Arrow: Down 767">
          <a:extLst>
            <a:ext uri="{FF2B5EF4-FFF2-40B4-BE49-F238E27FC236}">
              <a16:creationId xmlns:a16="http://schemas.microsoft.com/office/drawing/2014/main" id="{F54FFDEC-E647-47CF-8CD7-88285E92992A}"/>
            </a:ext>
          </a:extLst>
        </xdr:cNvPr>
        <xdr:cNvSpPr/>
      </xdr:nvSpPr>
      <xdr:spPr>
        <a:xfrm rot="10800000">
          <a:off x="361950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118</xdr:row>
      <xdr:rowOff>0</xdr:rowOff>
    </xdr:from>
    <xdr:to>
      <xdr:col>60</xdr:col>
      <xdr:colOff>83820</xdr:colOff>
      <xdr:row>118</xdr:row>
      <xdr:rowOff>114300</xdr:rowOff>
    </xdr:to>
    <xdr:sp macro="" textlink="">
      <xdr:nvSpPr>
        <xdr:cNvPr id="769" name="Arrow: Down 768">
          <a:extLst>
            <a:ext uri="{FF2B5EF4-FFF2-40B4-BE49-F238E27FC236}">
              <a16:creationId xmlns:a16="http://schemas.microsoft.com/office/drawing/2014/main" id="{E7040FC3-3552-49FF-B1DE-CD0FDC497461}"/>
            </a:ext>
          </a:extLst>
        </xdr:cNvPr>
        <xdr:cNvSpPr/>
      </xdr:nvSpPr>
      <xdr:spPr>
        <a:xfrm rot="10800000">
          <a:off x="14881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118</xdr:row>
      <xdr:rowOff>0</xdr:rowOff>
    </xdr:from>
    <xdr:to>
      <xdr:col>71</xdr:col>
      <xdr:colOff>83820</xdr:colOff>
      <xdr:row>118</xdr:row>
      <xdr:rowOff>114300</xdr:rowOff>
    </xdr:to>
    <xdr:sp macro="" textlink="">
      <xdr:nvSpPr>
        <xdr:cNvPr id="772" name="Arrow: Down 771">
          <a:extLst>
            <a:ext uri="{FF2B5EF4-FFF2-40B4-BE49-F238E27FC236}">
              <a16:creationId xmlns:a16="http://schemas.microsoft.com/office/drawing/2014/main" id="{97C82496-5965-4DE9-BCC6-EB35C19321AE}"/>
            </a:ext>
          </a:extLst>
        </xdr:cNvPr>
        <xdr:cNvSpPr/>
      </xdr:nvSpPr>
      <xdr:spPr>
        <a:xfrm rot="10800000">
          <a:off x="1719834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118</xdr:row>
      <xdr:rowOff>0</xdr:rowOff>
    </xdr:from>
    <xdr:to>
      <xdr:col>39</xdr:col>
      <xdr:colOff>83820</xdr:colOff>
      <xdr:row>118</xdr:row>
      <xdr:rowOff>114300</xdr:rowOff>
    </xdr:to>
    <xdr:sp macro="" textlink="">
      <xdr:nvSpPr>
        <xdr:cNvPr id="774" name="Arrow: Down 773">
          <a:extLst>
            <a:ext uri="{FF2B5EF4-FFF2-40B4-BE49-F238E27FC236}">
              <a16:creationId xmlns:a16="http://schemas.microsoft.com/office/drawing/2014/main" id="{1BE3D21C-0B9E-4513-A161-9911E1F36B05}"/>
            </a:ext>
          </a:extLst>
        </xdr:cNvPr>
        <xdr:cNvSpPr/>
      </xdr:nvSpPr>
      <xdr:spPr>
        <a:xfrm>
          <a:off x="860298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119</xdr:row>
      <xdr:rowOff>0</xdr:rowOff>
    </xdr:from>
    <xdr:to>
      <xdr:col>45</xdr:col>
      <xdr:colOff>83820</xdr:colOff>
      <xdr:row>119</xdr:row>
      <xdr:rowOff>114300</xdr:rowOff>
    </xdr:to>
    <xdr:sp macro="" textlink="">
      <xdr:nvSpPr>
        <xdr:cNvPr id="778" name="Arrow: Down 777">
          <a:extLst>
            <a:ext uri="{FF2B5EF4-FFF2-40B4-BE49-F238E27FC236}">
              <a16:creationId xmlns:a16="http://schemas.microsoft.com/office/drawing/2014/main" id="{BE5E21BA-36FC-4D50-89E4-2A6CA5F35626}"/>
            </a:ext>
          </a:extLst>
        </xdr:cNvPr>
        <xdr:cNvSpPr/>
      </xdr:nvSpPr>
      <xdr:spPr>
        <a:xfrm rot="10800000">
          <a:off x="10187940" y="2167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119</xdr:row>
      <xdr:rowOff>0</xdr:rowOff>
    </xdr:from>
    <xdr:to>
      <xdr:col>45</xdr:col>
      <xdr:colOff>83820</xdr:colOff>
      <xdr:row>119</xdr:row>
      <xdr:rowOff>114300</xdr:rowOff>
    </xdr:to>
    <xdr:sp macro="" textlink="">
      <xdr:nvSpPr>
        <xdr:cNvPr id="779" name="Arrow: Down 778">
          <a:extLst>
            <a:ext uri="{FF2B5EF4-FFF2-40B4-BE49-F238E27FC236}">
              <a16:creationId xmlns:a16="http://schemas.microsoft.com/office/drawing/2014/main" id="{E4C203E5-CD0B-425D-830A-86825667D3CB}"/>
            </a:ext>
          </a:extLst>
        </xdr:cNvPr>
        <xdr:cNvSpPr/>
      </xdr:nvSpPr>
      <xdr:spPr>
        <a:xfrm rot="10800000">
          <a:off x="10187940" y="2167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119</xdr:row>
      <xdr:rowOff>0</xdr:rowOff>
    </xdr:from>
    <xdr:to>
      <xdr:col>5</xdr:col>
      <xdr:colOff>83820</xdr:colOff>
      <xdr:row>119</xdr:row>
      <xdr:rowOff>114300</xdr:rowOff>
    </xdr:to>
    <xdr:sp macro="" textlink="">
      <xdr:nvSpPr>
        <xdr:cNvPr id="784" name="Arrow: Down 783">
          <a:extLst>
            <a:ext uri="{FF2B5EF4-FFF2-40B4-BE49-F238E27FC236}">
              <a16:creationId xmlns:a16="http://schemas.microsoft.com/office/drawing/2014/main" id="{AAA0EBA9-39B5-42F8-8FD1-A975644DE591}"/>
            </a:ext>
          </a:extLst>
        </xdr:cNvPr>
        <xdr:cNvSpPr/>
      </xdr:nvSpPr>
      <xdr:spPr>
        <a:xfrm rot="10800000">
          <a:off x="192786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119</xdr:row>
      <xdr:rowOff>0</xdr:rowOff>
    </xdr:from>
    <xdr:to>
      <xdr:col>11</xdr:col>
      <xdr:colOff>83820</xdr:colOff>
      <xdr:row>119</xdr:row>
      <xdr:rowOff>114300</xdr:rowOff>
    </xdr:to>
    <xdr:sp macro="" textlink="">
      <xdr:nvSpPr>
        <xdr:cNvPr id="787" name="Arrow: Down 786">
          <a:extLst>
            <a:ext uri="{FF2B5EF4-FFF2-40B4-BE49-F238E27FC236}">
              <a16:creationId xmlns:a16="http://schemas.microsoft.com/office/drawing/2014/main" id="{47E9343B-01E2-419C-93F8-9D2DD5D98438}"/>
            </a:ext>
          </a:extLst>
        </xdr:cNvPr>
        <xdr:cNvSpPr/>
      </xdr:nvSpPr>
      <xdr:spPr>
        <a:xfrm rot="10800000">
          <a:off x="361950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119</xdr:row>
      <xdr:rowOff>0</xdr:rowOff>
    </xdr:from>
    <xdr:to>
      <xdr:col>71</xdr:col>
      <xdr:colOff>83820</xdr:colOff>
      <xdr:row>119</xdr:row>
      <xdr:rowOff>114300</xdr:rowOff>
    </xdr:to>
    <xdr:sp macro="" textlink="">
      <xdr:nvSpPr>
        <xdr:cNvPr id="792" name="Arrow: Down 791">
          <a:extLst>
            <a:ext uri="{FF2B5EF4-FFF2-40B4-BE49-F238E27FC236}">
              <a16:creationId xmlns:a16="http://schemas.microsoft.com/office/drawing/2014/main" id="{990B4D82-5213-409F-A7CF-3582EFDC3344}"/>
            </a:ext>
          </a:extLst>
        </xdr:cNvPr>
        <xdr:cNvSpPr/>
      </xdr:nvSpPr>
      <xdr:spPr>
        <a:xfrm rot="10800000">
          <a:off x="1719834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119</xdr:row>
      <xdr:rowOff>0</xdr:rowOff>
    </xdr:from>
    <xdr:to>
      <xdr:col>24</xdr:col>
      <xdr:colOff>83820</xdr:colOff>
      <xdr:row>119</xdr:row>
      <xdr:rowOff>114300</xdr:rowOff>
    </xdr:to>
    <xdr:sp macro="" textlink="">
      <xdr:nvSpPr>
        <xdr:cNvPr id="799" name="Arrow: Down 798">
          <a:extLst>
            <a:ext uri="{FF2B5EF4-FFF2-40B4-BE49-F238E27FC236}">
              <a16:creationId xmlns:a16="http://schemas.microsoft.com/office/drawing/2014/main" id="{0D6E49ED-319B-433F-82AE-E127057751B6}"/>
            </a:ext>
          </a:extLst>
        </xdr:cNvPr>
        <xdr:cNvSpPr/>
      </xdr:nvSpPr>
      <xdr:spPr>
        <a:xfrm>
          <a:off x="544068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119</xdr:row>
      <xdr:rowOff>0</xdr:rowOff>
    </xdr:from>
    <xdr:to>
      <xdr:col>39</xdr:col>
      <xdr:colOff>83820</xdr:colOff>
      <xdr:row>119</xdr:row>
      <xdr:rowOff>114300</xdr:rowOff>
    </xdr:to>
    <xdr:sp macro="" textlink="">
      <xdr:nvSpPr>
        <xdr:cNvPr id="801" name="Arrow: Down 800">
          <a:extLst>
            <a:ext uri="{FF2B5EF4-FFF2-40B4-BE49-F238E27FC236}">
              <a16:creationId xmlns:a16="http://schemas.microsoft.com/office/drawing/2014/main" id="{E42450FA-5DE1-4A7F-BBF3-7FE5A5653E37}"/>
            </a:ext>
          </a:extLst>
        </xdr:cNvPr>
        <xdr:cNvSpPr/>
      </xdr:nvSpPr>
      <xdr:spPr>
        <a:xfrm rot="10800000">
          <a:off x="860298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119</xdr:row>
      <xdr:rowOff>0</xdr:rowOff>
    </xdr:from>
    <xdr:to>
      <xdr:col>60</xdr:col>
      <xdr:colOff>83820</xdr:colOff>
      <xdr:row>119</xdr:row>
      <xdr:rowOff>114300</xdr:rowOff>
    </xdr:to>
    <xdr:sp macro="" textlink="">
      <xdr:nvSpPr>
        <xdr:cNvPr id="805" name="Arrow: Down 804">
          <a:extLst>
            <a:ext uri="{FF2B5EF4-FFF2-40B4-BE49-F238E27FC236}">
              <a16:creationId xmlns:a16="http://schemas.microsoft.com/office/drawing/2014/main" id="{FEE476DD-8208-4719-BD65-EECF357A7049}"/>
            </a:ext>
          </a:extLst>
        </xdr:cNvPr>
        <xdr:cNvSpPr/>
      </xdr:nvSpPr>
      <xdr:spPr>
        <a:xfrm>
          <a:off x="1488186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120</xdr:row>
      <xdr:rowOff>0</xdr:rowOff>
    </xdr:from>
    <xdr:to>
      <xdr:col>45</xdr:col>
      <xdr:colOff>83820</xdr:colOff>
      <xdr:row>120</xdr:row>
      <xdr:rowOff>114300</xdr:rowOff>
    </xdr:to>
    <xdr:sp macro="" textlink="">
      <xdr:nvSpPr>
        <xdr:cNvPr id="833" name="Arrow: Down 832">
          <a:extLst>
            <a:ext uri="{FF2B5EF4-FFF2-40B4-BE49-F238E27FC236}">
              <a16:creationId xmlns:a16="http://schemas.microsoft.com/office/drawing/2014/main" id="{CF0D4690-E4D9-4ED9-8D69-D40C1D3B5772}"/>
            </a:ext>
          </a:extLst>
        </xdr:cNvPr>
        <xdr:cNvSpPr/>
      </xdr:nvSpPr>
      <xdr:spPr>
        <a:xfrm rot="10800000">
          <a:off x="1018794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120</xdr:row>
      <xdr:rowOff>0</xdr:rowOff>
    </xdr:from>
    <xdr:to>
      <xdr:col>45</xdr:col>
      <xdr:colOff>83820</xdr:colOff>
      <xdr:row>120</xdr:row>
      <xdr:rowOff>114300</xdr:rowOff>
    </xdr:to>
    <xdr:sp macro="" textlink="">
      <xdr:nvSpPr>
        <xdr:cNvPr id="834" name="Arrow: Down 833">
          <a:extLst>
            <a:ext uri="{FF2B5EF4-FFF2-40B4-BE49-F238E27FC236}">
              <a16:creationId xmlns:a16="http://schemas.microsoft.com/office/drawing/2014/main" id="{0480EE4A-908F-4694-8B21-CB2126295612}"/>
            </a:ext>
          </a:extLst>
        </xdr:cNvPr>
        <xdr:cNvSpPr/>
      </xdr:nvSpPr>
      <xdr:spPr>
        <a:xfrm rot="10800000">
          <a:off x="1018794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120</xdr:row>
      <xdr:rowOff>0</xdr:rowOff>
    </xdr:from>
    <xdr:to>
      <xdr:col>60</xdr:col>
      <xdr:colOff>83820</xdr:colOff>
      <xdr:row>120</xdr:row>
      <xdr:rowOff>114300</xdr:rowOff>
    </xdr:to>
    <xdr:sp macro="" textlink="">
      <xdr:nvSpPr>
        <xdr:cNvPr id="846" name="Arrow: Down 845">
          <a:extLst>
            <a:ext uri="{FF2B5EF4-FFF2-40B4-BE49-F238E27FC236}">
              <a16:creationId xmlns:a16="http://schemas.microsoft.com/office/drawing/2014/main" id="{36335D53-EA0F-4C1A-9D64-070358E45572}"/>
            </a:ext>
          </a:extLst>
        </xdr:cNvPr>
        <xdr:cNvSpPr/>
      </xdr:nvSpPr>
      <xdr:spPr>
        <a:xfrm>
          <a:off x="1488186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120</xdr:row>
      <xdr:rowOff>0</xdr:rowOff>
    </xdr:from>
    <xdr:to>
      <xdr:col>24</xdr:col>
      <xdr:colOff>83820</xdr:colOff>
      <xdr:row>120</xdr:row>
      <xdr:rowOff>114300</xdr:rowOff>
    </xdr:to>
    <xdr:sp macro="" textlink="">
      <xdr:nvSpPr>
        <xdr:cNvPr id="847" name="Arrow: Down 846">
          <a:extLst>
            <a:ext uri="{FF2B5EF4-FFF2-40B4-BE49-F238E27FC236}">
              <a16:creationId xmlns:a16="http://schemas.microsoft.com/office/drawing/2014/main" id="{C416A4F4-3CFB-4049-822A-2A931856DCEE}"/>
            </a:ext>
          </a:extLst>
        </xdr:cNvPr>
        <xdr:cNvSpPr/>
      </xdr:nvSpPr>
      <xdr:spPr>
        <a:xfrm rot="10800000">
          <a:off x="544068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120</xdr:row>
      <xdr:rowOff>0</xdr:rowOff>
    </xdr:from>
    <xdr:to>
      <xdr:col>11</xdr:col>
      <xdr:colOff>83820</xdr:colOff>
      <xdr:row>120</xdr:row>
      <xdr:rowOff>114300</xdr:rowOff>
    </xdr:to>
    <xdr:sp macro="" textlink="">
      <xdr:nvSpPr>
        <xdr:cNvPr id="849" name="Arrow: Down 848">
          <a:extLst>
            <a:ext uri="{FF2B5EF4-FFF2-40B4-BE49-F238E27FC236}">
              <a16:creationId xmlns:a16="http://schemas.microsoft.com/office/drawing/2014/main" id="{1780E591-264D-4482-917F-3CEF3E97DACC}"/>
            </a:ext>
          </a:extLst>
        </xdr:cNvPr>
        <xdr:cNvSpPr/>
      </xdr:nvSpPr>
      <xdr:spPr>
        <a:xfrm>
          <a:off x="3619500" y="220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5</xdr:col>
      <xdr:colOff>0</xdr:colOff>
      <xdr:row>120</xdr:row>
      <xdr:rowOff>0</xdr:rowOff>
    </xdr:from>
    <xdr:to>
      <xdr:col>5</xdr:col>
      <xdr:colOff>83820</xdr:colOff>
      <xdr:row>120</xdr:row>
      <xdr:rowOff>114300</xdr:rowOff>
    </xdr:to>
    <xdr:sp macro="" textlink="">
      <xdr:nvSpPr>
        <xdr:cNvPr id="851" name="Arrow: Down 850">
          <a:extLst>
            <a:ext uri="{FF2B5EF4-FFF2-40B4-BE49-F238E27FC236}">
              <a16:creationId xmlns:a16="http://schemas.microsoft.com/office/drawing/2014/main" id="{9CF8524D-367F-49BA-9BC6-CDF0B8A5424B}"/>
            </a:ext>
          </a:extLst>
        </xdr:cNvPr>
        <xdr:cNvSpPr/>
      </xdr:nvSpPr>
      <xdr:spPr>
        <a:xfrm>
          <a:off x="1927860" y="220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120</xdr:row>
      <xdr:rowOff>0</xdr:rowOff>
    </xdr:from>
    <xdr:to>
      <xdr:col>39</xdr:col>
      <xdr:colOff>83820</xdr:colOff>
      <xdr:row>120</xdr:row>
      <xdr:rowOff>114300</xdr:rowOff>
    </xdr:to>
    <xdr:sp macro="" textlink="">
      <xdr:nvSpPr>
        <xdr:cNvPr id="852" name="Arrow: Down 851">
          <a:extLst>
            <a:ext uri="{FF2B5EF4-FFF2-40B4-BE49-F238E27FC236}">
              <a16:creationId xmlns:a16="http://schemas.microsoft.com/office/drawing/2014/main" id="{0BA7C74E-BFEA-4333-A070-2042A4E1B5FB}"/>
            </a:ext>
          </a:extLst>
        </xdr:cNvPr>
        <xdr:cNvSpPr/>
      </xdr:nvSpPr>
      <xdr:spPr>
        <a:xfrm>
          <a:off x="860298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120</xdr:row>
      <xdr:rowOff>0</xdr:rowOff>
    </xdr:from>
    <xdr:to>
      <xdr:col>71</xdr:col>
      <xdr:colOff>83820</xdr:colOff>
      <xdr:row>120</xdr:row>
      <xdr:rowOff>114300</xdr:rowOff>
    </xdr:to>
    <xdr:sp macro="" textlink="">
      <xdr:nvSpPr>
        <xdr:cNvPr id="854" name="Arrow: Down 853">
          <a:extLst>
            <a:ext uri="{FF2B5EF4-FFF2-40B4-BE49-F238E27FC236}">
              <a16:creationId xmlns:a16="http://schemas.microsoft.com/office/drawing/2014/main" id="{F134E3CA-FFD6-4970-A314-9D8EFCCEC0F4}"/>
            </a:ext>
          </a:extLst>
        </xdr:cNvPr>
        <xdr:cNvSpPr/>
      </xdr:nvSpPr>
      <xdr:spPr>
        <a:xfrm rot="10800000">
          <a:off x="1719834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121</xdr:row>
      <xdr:rowOff>0</xdr:rowOff>
    </xdr:from>
    <xdr:to>
      <xdr:col>45</xdr:col>
      <xdr:colOff>83820</xdr:colOff>
      <xdr:row>121</xdr:row>
      <xdr:rowOff>114300</xdr:rowOff>
    </xdr:to>
    <xdr:sp macro="" textlink="">
      <xdr:nvSpPr>
        <xdr:cNvPr id="855" name="Arrow: Down 854">
          <a:extLst>
            <a:ext uri="{FF2B5EF4-FFF2-40B4-BE49-F238E27FC236}">
              <a16:creationId xmlns:a16="http://schemas.microsoft.com/office/drawing/2014/main" id="{D75E173B-E60E-4F07-B207-7080F02C7DA3}"/>
            </a:ext>
          </a:extLst>
        </xdr:cNvPr>
        <xdr:cNvSpPr/>
      </xdr:nvSpPr>
      <xdr:spPr>
        <a:xfrm rot="10800000">
          <a:off x="10187940" y="220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121</xdr:row>
      <xdr:rowOff>0</xdr:rowOff>
    </xdr:from>
    <xdr:to>
      <xdr:col>45</xdr:col>
      <xdr:colOff>83820</xdr:colOff>
      <xdr:row>121</xdr:row>
      <xdr:rowOff>114300</xdr:rowOff>
    </xdr:to>
    <xdr:sp macro="" textlink="">
      <xdr:nvSpPr>
        <xdr:cNvPr id="856" name="Arrow: Down 855">
          <a:extLst>
            <a:ext uri="{FF2B5EF4-FFF2-40B4-BE49-F238E27FC236}">
              <a16:creationId xmlns:a16="http://schemas.microsoft.com/office/drawing/2014/main" id="{554DC090-7306-433D-BA60-0BCEF04C5D5E}"/>
            </a:ext>
          </a:extLst>
        </xdr:cNvPr>
        <xdr:cNvSpPr/>
      </xdr:nvSpPr>
      <xdr:spPr>
        <a:xfrm rot="10800000">
          <a:off x="10187940" y="220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121</xdr:row>
      <xdr:rowOff>0</xdr:rowOff>
    </xdr:from>
    <xdr:to>
      <xdr:col>60</xdr:col>
      <xdr:colOff>83820</xdr:colOff>
      <xdr:row>121</xdr:row>
      <xdr:rowOff>114300</xdr:rowOff>
    </xdr:to>
    <xdr:sp macro="" textlink="">
      <xdr:nvSpPr>
        <xdr:cNvPr id="857" name="Arrow: Down 856">
          <a:extLst>
            <a:ext uri="{FF2B5EF4-FFF2-40B4-BE49-F238E27FC236}">
              <a16:creationId xmlns:a16="http://schemas.microsoft.com/office/drawing/2014/main" id="{003A2E0C-2157-43F9-90E7-AF9FED1E8328}"/>
            </a:ext>
          </a:extLst>
        </xdr:cNvPr>
        <xdr:cNvSpPr/>
      </xdr:nvSpPr>
      <xdr:spPr>
        <a:xfrm>
          <a:off x="14881860" y="220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121</xdr:row>
      <xdr:rowOff>0</xdr:rowOff>
    </xdr:from>
    <xdr:to>
      <xdr:col>11</xdr:col>
      <xdr:colOff>83820</xdr:colOff>
      <xdr:row>121</xdr:row>
      <xdr:rowOff>114300</xdr:rowOff>
    </xdr:to>
    <xdr:sp macro="" textlink="">
      <xdr:nvSpPr>
        <xdr:cNvPr id="859" name="Arrow: Down 858">
          <a:extLst>
            <a:ext uri="{FF2B5EF4-FFF2-40B4-BE49-F238E27FC236}">
              <a16:creationId xmlns:a16="http://schemas.microsoft.com/office/drawing/2014/main" id="{61850BDC-F44B-4823-A4F1-7DB7708B8D6C}"/>
            </a:ext>
          </a:extLst>
        </xdr:cNvPr>
        <xdr:cNvSpPr/>
      </xdr:nvSpPr>
      <xdr:spPr>
        <a:xfrm>
          <a:off x="3619500" y="220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121</xdr:row>
      <xdr:rowOff>0</xdr:rowOff>
    </xdr:from>
    <xdr:to>
      <xdr:col>71</xdr:col>
      <xdr:colOff>83820</xdr:colOff>
      <xdr:row>121</xdr:row>
      <xdr:rowOff>114300</xdr:rowOff>
    </xdr:to>
    <xdr:sp macro="" textlink="">
      <xdr:nvSpPr>
        <xdr:cNvPr id="862" name="Arrow: Down 861">
          <a:extLst>
            <a:ext uri="{FF2B5EF4-FFF2-40B4-BE49-F238E27FC236}">
              <a16:creationId xmlns:a16="http://schemas.microsoft.com/office/drawing/2014/main" id="{0236028D-74CF-40BE-9486-031EB6C62270}"/>
            </a:ext>
          </a:extLst>
        </xdr:cNvPr>
        <xdr:cNvSpPr/>
      </xdr:nvSpPr>
      <xdr:spPr>
        <a:xfrm rot="10800000">
          <a:off x="1719834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121</xdr:row>
      <xdr:rowOff>0</xdr:rowOff>
    </xdr:from>
    <xdr:to>
      <xdr:col>5</xdr:col>
      <xdr:colOff>83820</xdr:colOff>
      <xdr:row>121</xdr:row>
      <xdr:rowOff>114300</xdr:rowOff>
    </xdr:to>
    <xdr:sp macro="" textlink="">
      <xdr:nvSpPr>
        <xdr:cNvPr id="783" name="Arrow: Down 782">
          <a:extLst>
            <a:ext uri="{FF2B5EF4-FFF2-40B4-BE49-F238E27FC236}">
              <a16:creationId xmlns:a16="http://schemas.microsoft.com/office/drawing/2014/main" id="{8C2FC4CC-C4F6-4234-9D9B-F1B4577E89F6}"/>
            </a:ext>
          </a:extLst>
        </xdr:cNvPr>
        <xdr:cNvSpPr/>
      </xdr:nvSpPr>
      <xdr:spPr>
        <a:xfrm rot="10800000">
          <a:off x="1927860" y="2222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121</xdr:row>
      <xdr:rowOff>0</xdr:rowOff>
    </xdr:from>
    <xdr:to>
      <xdr:col>24</xdr:col>
      <xdr:colOff>83820</xdr:colOff>
      <xdr:row>121</xdr:row>
      <xdr:rowOff>114300</xdr:rowOff>
    </xdr:to>
    <xdr:sp macro="" textlink="">
      <xdr:nvSpPr>
        <xdr:cNvPr id="790" name="Arrow: Down 789">
          <a:extLst>
            <a:ext uri="{FF2B5EF4-FFF2-40B4-BE49-F238E27FC236}">
              <a16:creationId xmlns:a16="http://schemas.microsoft.com/office/drawing/2014/main" id="{5E0A9C68-9728-4F60-8D1E-3477F7172CD5}"/>
            </a:ext>
          </a:extLst>
        </xdr:cNvPr>
        <xdr:cNvSpPr/>
      </xdr:nvSpPr>
      <xdr:spPr>
        <a:xfrm>
          <a:off x="544068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121</xdr:row>
      <xdr:rowOff>0</xdr:rowOff>
    </xdr:from>
    <xdr:to>
      <xdr:col>39</xdr:col>
      <xdr:colOff>83820</xdr:colOff>
      <xdr:row>121</xdr:row>
      <xdr:rowOff>114300</xdr:rowOff>
    </xdr:to>
    <xdr:sp macro="" textlink="">
      <xdr:nvSpPr>
        <xdr:cNvPr id="798" name="Arrow: Down 797">
          <a:extLst>
            <a:ext uri="{FF2B5EF4-FFF2-40B4-BE49-F238E27FC236}">
              <a16:creationId xmlns:a16="http://schemas.microsoft.com/office/drawing/2014/main" id="{CC8F35A6-C2FF-4A58-B9EC-C268C05A3735}"/>
            </a:ext>
          </a:extLst>
        </xdr:cNvPr>
        <xdr:cNvSpPr/>
      </xdr:nvSpPr>
      <xdr:spPr>
        <a:xfrm rot="10800000">
          <a:off x="860298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122</xdr:row>
      <xdr:rowOff>0</xdr:rowOff>
    </xdr:from>
    <xdr:to>
      <xdr:col>45</xdr:col>
      <xdr:colOff>83820</xdr:colOff>
      <xdr:row>122</xdr:row>
      <xdr:rowOff>114300</xdr:rowOff>
    </xdr:to>
    <xdr:sp macro="" textlink="">
      <xdr:nvSpPr>
        <xdr:cNvPr id="800" name="Arrow: Down 799">
          <a:extLst>
            <a:ext uri="{FF2B5EF4-FFF2-40B4-BE49-F238E27FC236}">
              <a16:creationId xmlns:a16="http://schemas.microsoft.com/office/drawing/2014/main" id="{75AD91A8-2FB5-4E89-B675-7CE0AEF5691C}"/>
            </a:ext>
          </a:extLst>
        </xdr:cNvPr>
        <xdr:cNvSpPr/>
      </xdr:nvSpPr>
      <xdr:spPr>
        <a:xfrm rot="10800000">
          <a:off x="1018794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122</xdr:row>
      <xdr:rowOff>0</xdr:rowOff>
    </xdr:from>
    <xdr:to>
      <xdr:col>45</xdr:col>
      <xdr:colOff>83820</xdr:colOff>
      <xdr:row>122</xdr:row>
      <xdr:rowOff>114300</xdr:rowOff>
    </xdr:to>
    <xdr:sp macro="" textlink="">
      <xdr:nvSpPr>
        <xdr:cNvPr id="802" name="Arrow: Down 801">
          <a:extLst>
            <a:ext uri="{FF2B5EF4-FFF2-40B4-BE49-F238E27FC236}">
              <a16:creationId xmlns:a16="http://schemas.microsoft.com/office/drawing/2014/main" id="{A0E53210-0BDD-42AF-BE96-6E4E50C1706D}"/>
            </a:ext>
          </a:extLst>
        </xdr:cNvPr>
        <xdr:cNvSpPr/>
      </xdr:nvSpPr>
      <xdr:spPr>
        <a:xfrm rot="10800000">
          <a:off x="1018794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122</xdr:row>
      <xdr:rowOff>0</xdr:rowOff>
    </xdr:from>
    <xdr:to>
      <xdr:col>60</xdr:col>
      <xdr:colOff>83820</xdr:colOff>
      <xdr:row>122</xdr:row>
      <xdr:rowOff>114300</xdr:rowOff>
    </xdr:to>
    <xdr:sp macro="" textlink="">
      <xdr:nvSpPr>
        <xdr:cNvPr id="807" name="Arrow: Down 806">
          <a:extLst>
            <a:ext uri="{FF2B5EF4-FFF2-40B4-BE49-F238E27FC236}">
              <a16:creationId xmlns:a16="http://schemas.microsoft.com/office/drawing/2014/main" id="{758ADDC5-730C-4D31-B435-7514432294DB}"/>
            </a:ext>
          </a:extLst>
        </xdr:cNvPr>
        <xdr:cNvSpPr/>
      </xdr:nvSpPr>
      <xdr:spPr>
        <a:xfrm>
          <a:off x="1488186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122</xdr:row>
      <xdr:rowOff>0</xdr:rowOff>
    </xdr:from>
    <xdr:to>
      <xdr:col>11</xdr:col>
      <xdr:colOff>83820</xdr:colOff>
      <xdr:row>122</xdr:row>
      <xdr:rowOff>114300</xdr:rowOff>
    </xdr:to>
    <xdr:sp macro="" textlink="">
      <xdr:nvSpPr>
        <xdr:cNvPr id="808" name="Arrow: Down 807">
          <a:extLst>
            <a:ext uri="{FF2B5EF4-FFF2-40B4-BE49-F238E27FC236}">
              <a16:creationId xmlns:a16="http://schemas.microsoft.com/office/drawing/2014/main" id="{02EFE700-0BA1-47C6-9714-19A4C69F50AE}"/>
            </a:ext>
          </a:extLst>
        </xdr:cNvPr>
        <xdr:cNvSpPr/>
      </xdr:nvSpPr>
      <xdr:spPr>
        <a:xfrm>
          <a:off x="3619500" y="22227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122</xdr:row>
      <xdr:rowOff>0</xdr:rowOff>
    </xdr:from>
    <xdr:to>
      <xdr:col>71</xdr:col>
      <xdr:colOff>83820</xdr:colOff>
      <xdr:row>122</xdr:row>
      <xdr:rowOff>114300</xdr:rowOff>
    </xdr:to>
    <xdr:sp macro="" textlink="">
      <xdr:nvSpPr>
        <xdr:cNvPr id="814" name="Arrow: Down 813">
          <a:extLst>
            <a:ext uri="{FF2B5EF4-FFF2-40B4-BE49-F238E27FC236}">
              <a16:creationId xmlns:a16="http://schemas.microsoft.com/office/drawing/2014/main" id="{5C5FEF79-3A13-48FB-9F6E-09005024E3F2}"/>
            </a:ext>
          </a:extLst>
        </xdr:cNvPr>
        <xdr:cNvSpPr/>
      </xdr:nvSpPr>
      <xdr:spPr>
        <a:xfrm rot="10800000">
          <a:off x="17198340" y="2222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122</xdr:row>
      <xdr:rowOff>0</xdr:rowOff>
    </xdr:from>
    <xdr:to>
      <xdr:col>24</xdr:col>
      <xdr:colOff>83820</xdr:colOff>
      <xdr:row>122</xdr:row>
      <xdr:rowOff>114300</xdr:rowOff>
    </xdr:to>
    <xdr:sp macro="" textlink="">
      <xdr:nvSpPr>
        <xdr:cNvPr id="818" name="Arrow: Down 817">
          <a:extLst>
            <a:ext uri="{FF2B5EF4-FFF2-40B4-BE49-F238E27FC236}">
              <a16:creationId xmlns:a16="http://schemas.microsoft.com/office/drawing/2014/main" id="{1B8FE5DE-4088-4056-8020-6805D07D92C5}"/>
            </a:ext>
          </a:extLst>
        </xdr:cNvPr>
        <xdr:cNvSpPr/>
      </xdr:nvSpPr>
      <xdr:spPr>
        <a:xfrm>
          <a:off x="544068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122</xdr:row>
      <xdr:rowOff>0</xdr:rowOff>
    </xdr:from>
    <xdr:to>
      <xdr:col>39</xdr:col>
      <xdr:colOff>83820</xdr:colOff>
      <xdr:row>122</xdr:row>
      <xdr:rowOff>114300</xdr:rowOff>
    </xdr:to>
    <xdr:sp macro="" textlink="">
      <xdr:nvSpPr>
        <xdr:cNvPr id="828" name="Arrow: Down 827">
          <a:extLst>
            <a:ext uri="{FF2B5EF4-FFF2-40B4-BE49-F238E27FC236}">
              <a16:creationId xmlns:a16="http://schemas.microsoft.com/office/drawing/2014/main" id="{161B2728-071F-48ED-95CE-33D253C5A42A}"/>
            </a:ext>
          </a:extLst>
        </xdr:cNvPr>
        <xdr:cNvSpPr/>
      </xdr:nvSpPr>
      <xdr:spPr>
        <a:xfrm>
          <a:off x="8602980" y="224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122</xdr:row>
      <xdr:rowOff>0</xdr:rowOff>
    </xdr:from>
    <xdr:to>
      <xdr:col>5</xdr:col>
      <xdr:colOff>83820</xdr:colOff>
      <xdr:row>122</xdr:row>
      <xdr:rowOff>114300</xdr:rowOff>
    </xdr:to>
    <xdr:sp macro="" textlink="">
      <xdr:nvSpPr>
        <xdr:cNvPr id="836" name="Arrow: Down 835">
          <a:extLst>
            <a:ext uri="{FF2B5EF4-FFF2-40B4-BE49-F238E27FC236}">
              <a16:creationId xmlns:a16="http://schemas.microsoft.com/office/drawing/2014/main" id="{B795BDCA-3CA9-459C-A15D-E4FAF101D6E0}"/>
            </a:ext>
          </a:extLst>
        </xdr:cNvPr>
        <xdr:cNvSpPr/>
      </xdr:nvSpPr>
      <xdr:spPr>
        <a:xfrm>
          <a:off x="1927860" y="224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123</xdr:row>
      <xdr:rowOff>0</xdr:rowOff>
    </xdr:from>
    <xdr:to>
      <xdr:col>45</xdr:col>
      <xdr:colOff>83820</xdr:colOff>
      <xdr:row>123</xdr:row>
      <xdr:rowOff>114300</xdr:rowOff>
    </xdr:to>
    <xdr:sp macro="" textlink="">
      <xdr:nvSpPr>
        <xdr:cNvPr id="839" name="Arrow: Down 838">
          <a:extLst>
            <a:ext uri="{FF2B5EF4-FFF2-40B4-BE49-F238E27FC236}">
              <a16:creationId xmlns:a16="http://schemas.microsoft.com/office/drawing/2014/main" id="{41F8F142-947A-471E-8325-328878AD7415}"/>
            </a:ext>
          </a:extLst>
        </xdr:cNvPr>
        <xdr:cNvSpPr/>
      </xdr:nvSpPr>
      <xdr:spPr>
        <a:xfrm rot="10800000">
          <a:off x="10187940" y="224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123</xdr:row>
      <xdr:rowOff>0</xdr:rowOff>
    </xdr:from>
    <xdr:to>
      <xdr:col>45</xdr:col>
      <xdr:colOff>83820</xdr:colOff>
      <xdr:row>123</xdr:row>
      <xdr:rowOff>114300</xdr:rowOff>
    </xdr:to>
    <xdr:sp macro="" textlink="">
      <xdr:nvSpPr>
        <xdr:cNvPr id="841" name="Arrow: Down 840">
          <a:extLst>
            <a:ext uri="{FF2B5EF4-FFF2-40B4-BE49-F238E27FC236}">
              <a16:creationId xmlns:a16="http://schemas.microsoft.com/office/drawing/2014/main" id="{8F272A7A-0C0E-475A-8B27-7E445E5BF905}"/>
            </a:ext>
          </a:extLst>
        </xdr:cNvPr>
        <xdr:cNvSpPr/>
      </xdr:nvSpPr>
      <xdr:spPr>
        <a:xfrm rot="10800000">
          <a:off x="10187940" y="224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123</xdr:row>
      <xdr:rowOff>0</xdr:rowOff>
    </xdr:from>
    <xdr:to>
      <xdr:col>11</xdr:col>
      <xdr:colOff>83820</xdr:colOff>
      <xdr:row>123</xdr:row>
      <xdr:rowOff>114300</xdr:rowOff>
    </xdr:to>
    <xdr:sp macro="" textlink="">
      <xdr:nvSpPr>
        <xdr:cNvPr id="848" name="Arrow: Down 847">
          <a:extLst>
            <a:ext uri="{FF2B5EF4-FFF2-40B4-BE49-F238E27FC236}">
              <a16:creationId xmlns:a16="http://schemas.microsoft.com/office/drawing/2014/main" id="{6EFD14F8-9CF5-49B6-8F48-1FBF5D25F7A1}"/>
            </a:ext>
          </a:extLst>
        </xdr:cNvPr>
        <xdr:cNvSpPr/>
      </xdr:nvSpPr>
      <xdr:spPr>
        <a:xfrm>
          <a:off x="3619500" y="224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123</xdr:row>
      <xdr:rowOff>0</xdr:rowOff>
    </xdr:from>
    <xdr:to>
      <xdr:col>71</xdr:col>
      <xdr:colOff>83820</xdr:colOff>
      <xdr:row>123</xdr:row>
      <xdr:rowOff>114300</xdr:rowOff>
    </xdr:to>
    <xdr:sp macro="" textlink="">
      <xdr:nvSpPr>
        <xdr:cNvPr id="850" name="Arrow: Down 849">
          <a:extLst>
            <a:ext uri="{FF2B5EF4-FFF2-40B4-BE49-F238E27FC236}">
              <a16:creationId xmlns:a16="http://schemas.microsoft.com/office/drawing/2014/main" id="{78318B25-7A42-4302-A047-438F787C3206}"/>
            </a:ext>
          </a:extLst>
        </xdr:cNvPr>
        <xdr:cNvSpPr/>
      </xdr:nvSpPr>
      <xdr:spPr>
        <a:xfrm rot="10800000">
          <a:off x="17198340" y="224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83820</xdr:colOff>
      <xdr:row>123</xdr:row>
      <xdr:rowOff>114300</xdr:rowOff>
    </xdr:to>
    <xdr:sp macro="" textlink="">
      <xdr:nvSpPr>
        <xdr:cNvPr id="853" name="Arrow: Down 852">
          <a:extLst>
            <a:ext uri="{FF2B5EF4-FFF2-40B4-BE49-F238E27FC236}">
              <a16:creationId xmlns:a16="http://schemas.microsoft.com/office/drawing/2014/main" id="{9A0CFFCA-32DA-40F3-9A2C-CC0BCF69B431}"/>
            </a:ext>
          </a:extLst>
        </xdr:cNvPr>
        <xdr:cNvSpPr/>
      </xdr:nvSpPr>
      <xdr:spPr>
        <a:xfrm>
          <a:off x="5440680" y="224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123</xdr:row>
      <xdr:rowOff>0</xdr:rowOff>
    </xdr:from>
    <xdr:to>
      <xdr:col>39</xdr:col>
      <xdr:colOff>83820</xdr:colOff>
      <xdr:row>123</xdr:row>
      <xdr:rowOff>114300</xdr:rowOff>
    </xdr:to>
    <xdr:sp macro="" textlink="">
      <xdr:nvSpPr>
        <xdr:cNvPr id="858" name="Arrow: Down 857">
          <a:extLst>
            <a:ext uri="{FF2B5EF4-FFF2-40B4-BE49-F238E27FC236}">
              <a16:creationId xmlns:a16="http://schemas.microsoft.com/office/drawing/2014/main" id="{5F3669F4-E69A-4C5D-8E9B-1B015E8866AB}"/>
            </a:ext>
          </a:extLst>
        </xdr:cNvPr>
        <xdr:cNvSpPr/>
      </xdr:nvSpPr>
      <xdr:spPr>
        <a:xfrm>
          <a:off x="8602980" y="224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123</xdr:row>
      <xdr:rowOff>0</xdr:rowOff>
    </xdr:from>
    <xdr:to>
      <xdr:col>5</xdr:col>
      <xdr:colOff>83820</xdr:colOff>
      <xdr:row>123</xdr:row>
      <xdr:rowOff>114300</xdr:rowOff>
    </xdr:to>
    <xdr:sp macro="" textlink="">
      <xdr:nvSpPr>
        <xdr:cNvPr id="860" name="Arrow: Down 859">
          <a:extLst>
            <a:ext uri="{FF2B5EF4-FFF2-40B4-BE49-F238E27FC236}">
              <a16:creationId xmlns:a16="http://schemas.microsoft.com/office/drawing/2014/main" id="{364F1EE7-6196-4660-A21E-9D9A1BFBEA71}"/>
            </a:ext>
          </a:extLst>
        </xdr:cNvPr>
        <xdr:cNvSpPr/>
      </xdr:nvSpPr>
      <xdr:spPr>
        <a:xfrm>
          <a:off x="1927860" y="224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123</xdr:row>
      <xdr:rowOff>0</xdr:rowOff>
    </xdr:from>
    <xdr:to>
      <xdr:col>60</xdr:col>
      <xdr:colOff>83820</xdr:colOff>
      <xdr:row>123</xdr:row>
      <xdr:rowOff>114300</xdr:rowOff>
    </xdr:to>
    <xdr:sp macro="" textlink="">
      <xdr:nvSpPr>
        <xdr:cNvPr id="861" name="Arrow: Down 860">
          <a:extLst>
            <a:ext uri="{FF2B5EF4-FFF2-40B4-BE49-F238E27FC236}">
              <a16:creationId xmlns:a16="http://schemas.microsoft.com/office/drawing/2014/main" id="{55778B77-2583-42F8-8B4A-560FBABA0B7D}"/>
            </a:ext>
          </a:extLst>
        </xdr:cNvPr>
        <xdr:cNvSpPr/>
      </xdr:nvSpPr>
      <xdr:spPr>
        <a:xfrm rot="10800000">
          <a:off x="18920460" y="225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124</xdr:row>
      <xdr:rowOff>0</xdr:rowOff>
    </xdr:from>
    <xdr:to>
      <xdr:col>45</xdr:col>
      <xdr:colOff>83820</xdr:colOff>
      <xdr:row>124</xdr:row>
      <xdr:rowOff>114300</xdr:rowOff>
    </xdr:to>
    <xdr:sp macro="" textlink="">
      <xdr:nvSpPr>
        <xdr:cNvPr id="863" name="Arrow: Down 862">
          <a:extLst>
            <a:ext uri="{FF2B5EF4-FFF2-40B4-BE49-F238E27FC236}">
              <a16:creationId xmlns:a16="http://schemas.microsoft.com/office/drawing/2014/main" id="{47B52EE5-133D-4932-859D-F1776E95F84D}"/>
            </a:ext>
          </a:extLst>
        </xdr:cNvPr>
        <xdr:cNvSpPr/>
      </xdr:nvSpPr>
      <xdr:spPr>
        <a:xfrm rot="10800000">
          <a:off x="10408920" y="2259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124</xdr:row>
      <xdr:rowOff>0</xdr:rowOff>
    </xdr:from>
    <xdr:to>
      <xdr:col>45</xdr:col>
      <xdr:colOff>83820</xdr:colOff>
      <xdr:row>124</xdr:row>
      <xdr:rowOff>114300</xdr:rowOff>
    </xdr:to>
    <xdr:sp macro="" textlink="">
      <xdr:nvSpPr>
        <xdr:cNvPr id="864" name="Arrow: Down 863">
          <a:extLst>
            <a:ext uri="{FF2B5EF4-FFF2-40B4-BE49-F238E27FC236}">
              <a16:creationId xmlns:a16="http://schemas.microsoft.com/office/drawing/2014/main" id="{4FDCC2AF-91E3-4D0B-8CD3-D2DD33D5AEDB}"/>
            </a:ext>
          </a:extLst>
        </xdr:cNvPr>
        <xdr:cNvSpPr/>
      </xdr:nvSpPr>
      <xdr:spPr>
        <a:xfrm rot="10800000">
          <a:off x="10408920" y="2259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124</xdr:row>
      <xdr:rowOff>0</xdr:rowOff>
    </xdr:from>
    <xdr:to>
      <xdr:col>71</xdr:col>
      <xdr:colOff>83820</xdr:colOff>
      <xdr:row>124</xdr:row>
      <xdr:rowOff>114300</xdr:rowOff>
    </xdr:to>
    <xdr:sp macro="" textlink="">
      <xdr:nvSpPr>
        <xdr:cNvPr id="866" name="Arrow: Down 865">
          <a:extLst>
            <a:ext uri="{FF2B5EF4-FFF2-40B4-BE49-F238E27FC236}">
              <a16:creationId xmlns:a16="http://schemas.microsoft.com/office/drawing/2014/main" id="{8364A17D-9F86-4DAE-87D3-00DB41B542D3}"/>
            </a:ext>
          </a:extLst>
        </xdr:cNvPr>
        <xdr:cNvSpPr/>
      </xdr:nvSpPr>
      <xdr:spPr>
        <a:xfrm rot="10800000">
          <a:off x="17487900" y="225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124</xdr:row>
      <xdr:rowOff>0</xdr:rowOff>
    </xdr:from>
    <xdr:to>
      <xdr:col>24</xdr:col>
      <xdr:colOff>83820</xdr:colOff>
      <xdr:row>124</xdr:row>
      <xdr:rowOff>114300</xdr:rowOff>
    </xdr:to>
    <xdr:sp macro="" textlink="">
      <xdr:nvSpPr>
        <xdr:cNvPr id="871" name="Arrow: Down 870">
          <a:extLst>
            <a:ext uri="{FF2B5EF4-FFF2-40B4-BE49-F238E27FC236}">
              <a16:creationId xmlns:a16="http://schemas.microsoft.com/office/drawing/2014/main" id="{8D910730-15F8-4E0F-8796-87E6C9078CA8}"/>
            </a:ext>
          </a:extLst>
        </xdr:cNvPr>
        <xdr:cNvSpPr/>
      </xdr:nvSpPr>
      <xdr:spPr>
        <a:xfrm rot="10800000">
          <a:off x="544068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124</xdr:row>
      <xdr:rowOff>0</xdr:rowOff>
    </xdr:from>
    <xdr:to>
      <xdr:col>39</xdr:col>
      <xdr:colOff>83820</xdr:colOff>
      <xdr:row>124</xdr:row>
      <xdr:rowOff>114300</xdr:rowOff>
    </xdr:to>
    <xdr:sp macro="" textlink="">
      <xdr:nvSpPr>
        <xdr:cNvPr id="872" name="Arrow: Down 871">
          <a:extLst>
            <a:ext uri="{FF2B5EF4-FFF2-40B4-BE49-F238E27FC236}">
              <a16:creationId xmlns:a16="http://schemas.microsoft.com/office/drawing/2014/main" id="{B6A7C67A-B29D-405A-AB71-8422BD042C1E}"/>
            </a:ext>
          </a:extLst>
        </xdr:cNvPr>
        <xdr:cNvSpPr/>
      </xdr:nvSpPr>
      <xdr:spPr>
        <a:xfrm rot="10800000">
          <a:off x="860298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124</xdr:row>
      <xdr:rowOff>0</xdr:rowOff>
    </xdr:from>
    <xdr:to>
      <xdr:col>5</xdr:col>
      <xdr:colOff>83820</xdr:colOff>
      <xdr:row>124</xdr:row>
      <xdr:rowOff>114300</xdr:rowOff>
    </xdr:to>
    <xdr:sp macro="" textlink="">
      <xdr:nvSpPr>
        <xdr:cNvPr id="875" name="Arrow: Down 874">
          <a:extLst>
            <a:ext uri="{FF2B5EF4-FFF2-40B4-BE49-F238E27FC236}">
              <a16:creationId xmlns:a16="http://schemas.microsoft.com/office/drawing/2014/main" id="{4A91C311-35A9-44F3-B146-16D01D02D860}"/>
            </a:ext>
          </a:extLst>
        </xdr:cNvPr>
        <xdr:cNvSpPr/>
      </xdr:nvSpPr>
      <xdr:spPr>
        <a:xfrm rot="10800000">
          <a:off x="192786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124</xdr:row>
      <xdr:rowOff>0</xdr:rowOff>
    </xdr:from>
    <xdr:to>
      <xdr:col>11</xdr:col>
      <xdr:colOff>83820</xdr:colOff>
      <xdr:row>124</xdr:row>
      <xdr:rowOff>114300</xdr:rowOff>
    </xdr:to>
    <xdr:sp macro="" textlink="">
      <xdr:nvSpPr>
        <xdr:cNvPr id="876" name="Arrow: Down 875">
          <a:extLst>
            <a:ext uri="{FF2B5EF4-FFF2-40B4-BE49-F238E27FC236}">
              <a16:creationId xmlns:a16="http://schemas.microsoft.com/office/drawing/2014/main" id="{61DCD8D6-4641-455B-8301-625B33767709}"/>
            </a:ext>
          </a:extLst>
        </xdr:cNvPr>
        <xdr:cNvSpPr/>
      </xdr:nvSpPr>
      <xdr:spPr>
        <a:xfrm rot="10800000">
          <a:off x="361950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124</xdr:row>
      <xdr:rowOff>0</xdr:rowOff>
    </xdr:from>
    <xdr:to>
      <xdr:col>60</xdr:col>
      <xdr:colOff>83820</xdr:colOff>
      <xdr:row>124</xdr:row>
      <xdr:rowOff>114300</xdr:rowOff>
    </xdr:to>
    <xdr:sp macro="" textlink="">
      <xdr:nvSpPr>
        <xdr:cNvPr id="877" name="Arrow: Down 876">
          <a:extLst>
            <a:ext uri="{FF2B5EF4-FFF2-40B4-BE49-F238E27FC236}">
              <a16:creationId xmlns:a16="http://schemas.microsoft.com/office/drawing/2014/main" id="{958F5B18-C544-42D6-B0D2-D6461EC22950}"/>
            </a:ext>
          </a:extLst>
        </xdr:cNvPr>
        <xdr:cNvSpPr/>
      </xdr:nvSpPr>
      <xdr:spPr>
        <a:xfrm rot="10800000">
          <a:off x="1517142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125</xdr:row>
      <xdr:rowOff>0</xdr:rowOff>
    </xdr:from>
    <xdr:to>
      <xdr:col>45</xdr:col>
      <xdr:colOff>83820</xdr:colOff>
      <xdr:row>125</xdr:row>
      <xdr:rowOff>114300</xdr:rowOff>
    </xdr:to>
    <xdr:sp macro="" textlink="">
      <xdr:nvSpPr>
        <xdr:cNvPr id="887" name="Arrow: Down 886">
          <a:extLst>
            <a:ext uri="{FF2B5EF4-FFF2-40B4-BE49-F238E27FC236}">
              <a16:creationId xmlns:a16="http://schemas.microsoft.com/office/drawing/2014/main" id="{CAAC4B68-238D-49BB-ABB4-88BBB98AF743}"/>
            </a:ext>
          </a:extLst>
        </xdr:cNvPr>
        <xdr:cNvSpPr/>
      </xdr:nvSpPr>
      <xdr:spPr>
        <a:xfrm rot="10800000">
          <a:off x="1040892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125</xdr:row>
      <xdr:rowOff>0</xdr:rowOff>
    </xdr:from>
    <xdr:to>
      <xdr:col>45</xdr:col>
      <xdr:colOff>83820</xdr:colOff>
      <xdr:row>125</xdr:row>
      <xdr:rowOff>114300</xdr:rowOff>
    </xdr:to>
    <xdr:sp macro="" textlink="">
      <xdr:nvSpPr>
        <xdr:cNvPr id="888" name="Arrow: Down 887">
          <a:extLst>
            <a:ext uri="{FF2B5EF4-FFF2-40B4-BE49-F238E27FC236}">
              <a16:creationId xmlns:a16="http://schemas.microsoft.com/office/drawing/2014/main" id="{F310D83F-74E0-43CA-9D37-734CFE1E6176}"/>
            </a:ext>
          </a:extLst>
        </xdr:cNvPr>
        <xdr:cNvSpPr/>
      </xdr:nvSpPr>
      <xdr:spPr>
        <a:xfrm rot="10800000">
          <a:off x="1040892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125</xdr:row>
      <xdr:rowOff>0</xdr:rowOff>
    </xdr:from>
    <xdr:to>
      <xdr:col>71</xdr:col>
      <xdr:colOff>83820</xdr:colOff>
      <xdr:row>125</xdr:row>
      <xdr:rowOff>114300</xdr:rowOff>
    </xdr:to>
    <xdr:sp macro="" textlink="">
      <xdr:nvSpPr>
        <xdr:cNvPr id="889" name="Arrow: Down 888">
          <a:extLst>
            <a:ext uri="{FF2B5EF4-FFF2-40B4-BE49-F238E27FC236}">
              <a16:creationId xmlns:a16="http://schemas.microsoft.com/office/drawing/2014/main" id="{07B82FBA-1B4B-4731-BE86-C5AC3C60A39B}"/>
            </a:ext>
          </a:extLst>
        </xdr:cNvPr>
        <xdr:cNvSpPr/>
      </xdr:nvSpPr>
      <xdr:spPr>
        <a:xfrm rot="10800000">
          <a:off x="1748790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125</xdr:row>
      <xdr:rowOff>0</xdr:rowOff>
    </xdr:from>
    <xdr:to>
      <xdr:col>24</xdr:col>
      <xdr:colOff>83820</xdr:colOff>
      <xdr:row>125</xdr:row>
      <xdr:rowOff>114300</xdr:rowOff>
    </xdr:to>
    <xdr:sp macro="" textlink="">
      <xdr:nvSpPr>
        <xdr:cNvPr id="890" name="Arrow: Down 889">
          <a:extLst>
            <a:ext uri="{FF2B5EF4-FFF2-40B4-BE49-F238E27FC236}">
              <a16:creationId xmlns:a16="http://schemas.microsoft.com/office/drawing/2014/main" id="{ED9F5F0E-C5B6-4139-8819-83511A3D73CF}"/>
            </a:ext>
          </a:extLst>
        </xdr:cNvPr>
        <xdr:cNvSpPr/>
      </xdr:nvSpPr>
      <xdr:spPr>
        <a:xfrm rot="10800000">
          <a:off x="544068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125</xdr:row>
      <xdr:rowOff>0</xdr:rowOff>
    </xdr:from>
    <xdr:to>
      <xdr:col>39</xdr:col>
      <xdr:colOff>83820</xdr:colOff>
      <xdr:row>125</xdr:row>
      <xdr:rowOff>114300</xdr:rowOff>
    </xdr:to>
    <xdr:sp macro="" textlink="">
      <xdr:nvSpPr>
        <xdr:cNvPr id="891" name="Arrow: Down 890">
          <a:extLst>
            <a:ext uri="{FF2B5EF4-FFF2-40B4-BE49-F238E27FC236}">
              <a16:creationId xmlns:a16="http://schemas.microsoft.com/office/drawing/2014/main" id="{0E6AEA46-F7A2-440C-8448-615E562A3D1C}"/>
            </a:ext>
          </a:extLst>
        </xdr:cNvPr>
        <xdr:cNvSpPr/>
      </xdr:nvSpPr>
      <xdr:spPr>
        <a:xfrm rot="10800000">
          <a:off x="860298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125</xdr:row>
      <xdr:rowOff>0</xdr:rowOff>
    </xdr:from>
    <xdr:to>
      <xdr:col>5</xdr:col>
      <xdr:colOff>83820</xdr:colOff>
      <xdr:row>125</xdr:row>
      <xdr:rowOff>114300</xdr:rowOff>
    </xdr:to>
    <xdr:sp macro="" textlink="">
      <xdr:nvSpPr>
        <xdr:cNvPr id="892" name="Arrow: Down 891">
          <a:extLst>
            <a:ext uri="{FF2B5EF4-FFF2-40B4-BE49-F238E27FC236}">
              <a16:creationId xmlns:a16="http://schemas.microsoft.com/office/drawing/2014/main" id="{013DDF7B-882B-4ACB-8FE6-495678A4F8BB}"/>
            </a:ext>
          </a:extLst>
        </xdr:cNvPr>
        <xdr:cNvSpPr/>
      </xdr:nvSpPr>
      <xdr:spPr>
        <a:xfrm rot="10800000">
          <a:off x="192786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125</xdr:row>
      <xdr:rowOff>0</xdr:rowOff>
    </xdr:from>
    <xdr:to>
      <xdr:col>60</xdr:col>
      <xdr:colOff>83820</xdr:colOff>
      <xdr:row>125</xdr:row>
      <xdr:rowOff>114300</xdr:rowOff>
    </xdr:to>
    <xdr:sp macro="" textlink="">
      <xdr:nvSpPr>
        <xdr:cNvPr id="894" name="Arrow: Down 893">
          <a:extLst>
            <a:ext uri="{FF2B5EF4-FFF2-40B4-BE49-F238E27FC236}">
              <a16:creationId xmlns:a16="http://schemas.microsoft.com/office/drawing/2014/main" id="{57A48B4C-9B2D-4FED-A23C-0AD8B50E6806}"/>
            </a:ext>
          </a:extLst>
        </xdr:cNvPr>
        <xdr:cNvSpPr/>
      </xdr:nvSpPr>
      <xdr:spPr>
        <a:xfrm rot="10800000">
          <a:off x="1517142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125</xdr:row>
      <xdr:rowOff>0</xdr:rowOff>
    </xdr:from>
    <xdr:to>
      <xdr:col>11</xdr:col>
      <xdr:colOff>83820</xdr:colOff>
      <xdr:row>125</xdr:row>
      <xdr:rowOff>114300</xdr:rowOff>
    </xdr:to>
    <xdr:sp macro="" textlink="">
      <xdr:nvSpPr>
        <xdr:cNvPr id="827" name="Arrow: Down 826">
          <a:extLst>
            <a:ext uri="{FF2B5EF4-FFF2-40B4-BE49-F238E27FC236}">
              <a16:creationId xmlns:a16="http://schemas.microsoft.com/office/drawing/2014/main" id="{74C82D2E-FA7C-4940-8710-FC30F4ADA82C}"/>
            </a:ext>
          </a:extLst>
        </xdr:cNvPr>
        <xdr:cNvSpPr/>
      </xdr:nvSpPr>
      <xdr:spPr>
        <a:xfrm>
          <a:off x="3619500" y="22959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126</xdr:row>
      <xdr:rowOff>0</xdr:rowOff>
    </xdr:from>
    <xdr:to>
      <xdr:col>45</xdr:col>
      <xdr:colOff>83820</xdr:colOff>
      <xdr:row>126</xdr:row>
      <xdr:rowOff>114300</xdr:rowOff>
    </xdr:to>
    <xdr:sp macro="" textlink="">
      <xdr:nvSpPr>
        <xdr:cNvPr id="831" name="Arrow: Down 830">
          <a:extLst>
            <a:ext uri="{FF2B5EF4-FFF2-40B4-BE49-F238E27FC236}">
              <a16:creationId xmlns:a16="http://schemas.microsoft.com/office/drawing/2014/main" id="{47316559-D0A5-4FF9-B089-A7C90B95759A}"/>
            </a:ext>
          </a:extLst>
        </xdr:cNvPr>
        <xdr:cNvSpPr/>
      </xdr:nvSpPr>
      <xdr:spPr>
        <a:xfrm rot="10800000">
          <a:off x="10408920" y="2295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126</xdr:row>
      <xdr:rowOff>0</xdr:rowOff>
    </xdr:from>
    <xdr:to>
      <xdr:col>45</xdr:col>
      <xdr:colOff>83820</xdr:colOff>
      <xdr:row>126</xdr:row>
      <xdr:rowOff>114300</xdr:rowOff>
    </xdr:to>
    <xdr:sp macro="" textlink="">
      <xdr:nvSpPr>
        <xdr:cNvPr id="835" name="Arrow: Down 834">
          <a:extLst>
            <a:ext uri="{FF2B5EF4-FFF2-40B4-BE49-F238E27FC236}">
              <a16:creationId xmlns:a16="http://schemas.microsoft.com/office/drawing/2014/main" id="{29797059-F73F-4255-9CFF-A37832CF3359}"/>
            </a:ext>
          </a:extLst>
        </xdr:cNvPr>
        <xdr:cNvSpPr/>
      </xdr:nvSpPr>
      <xdr:spPr>
        <a:xfrm rot="10800000">
          <a:off x="10408920" y="2295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126</xdr:row>
      <xdr:rowOff>0</xdr:rowOff>
    </xdr:from>
    <xdr:to>
      <xdr:col>71</xdr:col>
      <xdr:colOff>83820</xdr:colOff>
      <xdr:row>126</xdr:row>
      <xdr:rowOff>114300</xdr:rowOff>
    </xdr:to>
    <xdr:sp macro="" textlink="">
      <xdr:nvSpPr>
        <xdr:cNvPr id="844" name="Arrow: Down 843">
          <a:extLst>
            <a:ext uri="{FF2B5EF4-FFF2-40B4-BE49-F238E27FC236}">
              <a16:creationId xmlns:a16="http://schemas.microsoft.com/office/drawing/2014/main" id="{2E94376D-40B4-420A-A3A5-6F157D44678E}"/>
            </a:ext>
          </a:extLst>
        </xdr:cNvPr>
        <xdr:cNvSpPr/>
      </xdr:nvSpPr>
      <xdr:spPr>
        <a:xfrm rot="10800000">
          <a:off x="1748790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83820</xdr:colOff>
      <xdr:row>126</xdr:row>
      <xdr:rowOff>114300</xdr:rowOff>
    </xdr:to>
    <xdr:sp macro="" textlink="">
      <xdr:nvSpPr>
        <xdr:cNvPr id="865" name="Arrow: Down 864">
          <a:extLst>
            <a:ext uri="{FF2B5EF4-FFF2-40B4-BE49-F238E27FC236}">
              <a16:creationId xmlns:a16="http://schemas.microsoft.com/office/drawing/2014/main" id="{7A3C48D3-1453-47FC-B528-63F33CC370DC}"/>
            </a:ext>
          </a:extLst>
        </xdr:cNvPr>
        <xdr:cNvSpPr/>
      </xdr:nvSpPr>
      <xdr:spPr>
        <a:xfrm rot="10800000">
          <a:off x="544068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126</xdr:row>
      <xdr:rowOff>0</xdr:rowOff>
    </xdr:from>
    <xdr:to>
      <xdr:col>5</xdr:col>
      <xdr:colOff>83820</xdr:colOff>
      <xdr:row>126</xdr:row>
      <xdr:rowOff>114300</xdr:rowOff>
    </xdr:to>
    <xdr:sp macro="" textlink="">
      <xdr:nvSpPr>
        <xdr:cNvPr id="868" name="Arrow: Down 867">
          <a:extLst>
            <a:ext uri="{FF2B5EF4-FFF2-40B4-BE49-F238E27FC236}">
              <a16:creationId xmlns:a16="http://schemas.microsoft.com/office/drawing/2014/main" id="{84B08A26-3E68-4347-BB8B-1994191F0E43}"/>
            </a:ext>
          </a:extLst>
        </xdr:cNvPr>
        <xdr:cNvSpPr/>
      </xdr:nvSpPr>
      <xdr:spPr>
        <a:xfrm rot="10800000">
          <a:off x="192786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126</xdr:row>
      <xdr:rowOff>0</xdr:rowOff>
    </xdr:from>
    <xdr:to>
      <xdr:col>60</xdr:col>
      <xdr:colOff>83820</xdr:colOff>
      <xdr:row>126</xdr:row>
      <xdr:rowOff>114300</xdr:rowOff>
    </xdr:to>
    <xdr:sp macro="" textlink="">
      <xdr:nvSpPr>
        <xdr:cNvPr id="869" name="Arrow: Down 868">
          <a:extLst>
            <a:ext uri="{FF2B5EF4-FFF2-40B4-BE49-F238E27FC236}">
              <a16:creationId xmlns:a16="http://schemas.microsoft.com/office/drawing/2014/main" id="{BCB0B8A9-B3ED-4387-8E4D-181BAB4F5872}"/>
            </a:ext>
          </a:extLst>
        </xdr:cNvPr>
        <xdr:cNvSpPr/>
      </xdr:nvSpPr>
      <xdr:spPr>
        <a:xfrm rot="10800000">
          <a:off x="1517142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126</xdr:row>
      <xdr:rowOff>0</xdr:rowOff>
    </xdr:from>
    <xdr:to>
      <xdr:col>11</xdr:col>
      <xdr:colOff>83820</xdr:colOff>
      <xdr:row>126</xdr:row>
      <xdr:rowOff>114300</xdr:rowOff>
    </xdr:to>
    <xdr:sp macro="" textlink="">
      <xdr:nvSpPr>
        <xdr:cNvPr id="874" name="Arrow: Down 873">
          <a:extLst>
            <a:ext uri="{FF2B5EF4-FFF2-40B4-BE49-F238E27FC236}">
              <a16:creationId xmlns:a16="http://schemas.microsoft.com/office/drawing/2014/main" id="{4018E378-0F0C-44C6-BB02-A02A8BB6C814}"/>
            </a:ext>
          </a:extLst>
        </xdr:cNvPr>
        <xdr:cNvSpPr/>
      </xdr:nvSpPr>
      <xdr:spPr>
        <a:xfrm rot="10800000">
          <a:off x="361950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127</xdr:row>
      <xdr:rowOff>0</xdr:rowOff>
    </xdr:from>
    <xdr:to>
      <xdr:col>45</xdr:col>
      <xdr:colOff>83820</xdr:colOff>
      <xdr:row>127</xdr:row>
      <xdr:rowOff>114300</xdr:rowOff>
    </xdr:to>
    <xdr:sp macro="" textlink="">
      <xdr:nvSpPr>
        <xdr:cNvPr id="878" name="Arrow: Down 877">
          <a:extLst>
            <a:ext uri="{FF2B5EF4-FFF2-40B4-BE49-F238E27FC236}">
              <a16:creationId xmlns:a16="http://schemas.microsoft.com/office/drawing/2014/main" id="{FCB05646-8101-4101-824D-CC743135B053}"/>
            </a:ext>
          </a:extLst>
        </xdr:cNvPr>
        <xdr:cNvSpPr/>
      </xdr:nvSpPr>
      <xdr:spPr>
        <a:xfrm rot="10800000">
          <a:off x="10408920" y="231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127</xdr:row>
      <xdr:rowOff>0</xdr:rowOff>
    </xdr:from>
    <xdr:to>
      <xdr:col>45</xdr:col>
      <xdr:colOff>83820</xdr:colOff>
      <xdr:row>127</xdr:row>
      <xdr:rowOff>114300</xdr:rowOff>
    </xdr:to>
    <xdr:sp macro="" textlink="">
      <xdr:nvSpPr>
        <xdr:cNvPr id="879" name="Arrow: Down 878">
          <a:extLst>
            <a:ext uri="{FF2B5EF4-FFF2-40B4-BE49-F238E27FC236}">
              <a16:creationId xmlns:a16="http://schemas.microsoft.com/office/drawing/2014/main" id="{5DDECF77-A7BF-4812-8A49-D678C8E2981B}"/>
            </a:ext>
          </a:extLst>
        </xdr:cNvPr>
        <xdr:cNvSpPr/>
      </xdr:nvSpPr>
      <xdr:spPr>
        <a:xfrm rot="10800000">
          <a:off x="10408920" y="231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127</xdr:row>
      <xdr:rowOff>0</xdr:rowOff>
    </xdr:from>
    <xdr:to>
      <xdr:col>71</xdr:col>
      <xdr:colOff>83820</xdr:colOff>
      <xdr:row>127</xdr:row>
      <xdr:rowOff>114300</xdr:rowOff>
    </xdr:to>
    <xdr:sp macro="" textlink="">
      <xdr:nvSpPr>
        <xdr:cNvPr id="880" name="Arrow: Down 879">
          <a:extLst>
            <a:ext uri="{FF2B5EF4-FFF2-40B4-BE49-F238E27FC236}">
              <a16:creationId xmlns:a16="http://schemas.microsoft.com/office/drawing/2014/main" id="{5E2ACBEE-612B-4232-A604-EE26C1801F46}"/>
            </a:ext>
          </a:extLst>
        </xdr:cNvPr>
        <xdr:cNvSpPr/>
      </xdr:nvSpPr>
      <xdr:spPr>
        <a:xfrm rot="10800000">
          <a:off x="1748790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127</xdr:row>
      <xdr:rowOff>0</xdr:rowOff>
    </xdr:from>
    <xdr:to>
      <xdr:col>5</xdr:col>
      <xdr:colOff>83820</xdr:colOff>
      <xdr:row>127</xdr:row>
      <xdr:rowOff>114300</xdr:rowOff>
    </xdr:to>
    <xdr:sp macro="" textlink="">
      <xdr:nvSpPr>
        <xdr:cNvPr id="883" name="Arrow: Down 882">
          <a:extLst>
            <a:ext uri="{FF2B5EF4-FFF2-40B4-BE49-F238E27FC236}">
              <a16:creationId xmlns:a16="http://schemas.microsoft.com/office/drawing/2014/main" id="{CF7FC5BF-E9AE-4F46-B3D5-2F63132240B1}"/>
            </a:ext>
          </a:extLst>
        </xdr:cNvPr>
        <xdr:cNvSpPr/>
      </xdr:nvSpPr>
      <xdr:spPr>
        <a:xfrm rot="10800000">
          <a:off x="192786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127</xdr:row>
      <xdr:rowOff>0</xdr:rowOff>
    </xdr:from>
    <xdr:to>
      <xdr:col>11</xdr:col>
      <xdr:colOff>83820</xdr:colOff>
      <xdr:row>127</xdr:row>
      <xdr:rowOff>114300</xdr:rowOff>
    </xdr:to>
    <xdr:sp macro="" textlink="">
      <xdr:nvSpPr>
        <xdr:cNvPr id="885" name="Arrow: Down 884">
          <a:extLst>
            <a:ext uri="{FF2B5EF4-FFF2-40B4-BE49-F238E27FC236}">
              <a16:creationId xmlns:a16="http://schemas.microsoft.com/office/drawing/2014/main" id="{8C129D90-6A20-44D4-8CAB-21B3C6F10DEB}"/>
            </a:ext>
          </a:extLst>
        </xdr:cNvPr>
        <xdr:cNvSpPr/>
      </xdr:nvSpPr>
      <xdr:spPr>
        <a:xfrm rot="10800000">
          <a:off x="361950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126</xdr:row>
      <xdr:rowOff>0</xdr:rowOff>
    </xdr:from>
    <xdr:to>
      <xdr:col>39</xdr:col>
      <xdr:colOff>83820</xdr:colOff>
      <xdr:row>126</xdr:row>
      <xdr:rowOff>114300</xdr:rowOff>
    </xdr:to>
    <xdr:sp macro="" textlink="">
      <xdr:nvSpPr>
        <xdr:cNvPr id="895" name="Arrow: Down 894">
          <a:extLst>
            <a:ext uri="{FF2B5EF4-FFF2-40B4-BE49-F238E27FC236}">
              <a16:creationId xmlns:a16="http://schemas.microsoft.com/office/drawing/2014/main" id="{2ADB66C5-6FE4-450D-A097-E8428BD3AE67}"/>
            </a:ext>
          </a:extLst>
        </xdr:cNvPr>
        <xdr:cNvSpPr/>
      </xdr:nvSpPr>
      <xdr:spPr>
        <a:xfrm>
          <a:off x="860298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127</xdr:row>
      <xdr:rowOff>0</xdr:rowOff>
    </xdr:from>
    <xdr:to>
      <xdr:col>24</xdr:col>
      <xdr:colOff>83820</xdr:colOff>
      <xdr:row>127</xdr:row>
      <xdr:rowOff>114300</xdr:rowOff>
    </xdr:to>
    <xdr:sp macro="" textlink="">
      <xdr:nvSpPr>
        <xdr:cNvPr id="898" name="Arrow: Down 897">
          <a:extLst>
            <a:ext uri="{FF2B5EF4-FFF2-40B4-BE49-F238E27FC236}">
              <a16:creationId xmlns:a16="http://schemas.microsoft.com/office/drawing/2014/main" id="{3D5B850D-6E22-407C-86A9-C435DBAF3493}"/>
            </a:ext>
          </a:extLst>
        </xdr:cNvPr>
        <xdr:cNvSpPr/>
      </xdr:nvSpPr>
      <xdr:spPr>
        <a:xfrm>
          <a:off x="544068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127</xdr:row>
      <xdr:rowOff>0</xdr:rowOff>
    </xdr:from>
    <xdr:to>
      <xdr:col>39</xdr:col>
      <xdr:colOff>83820</xdr:colOff>
      <xdr:row>127</xdr:row>
      <xdr:rowOff>114300</xdr:rowOff>
    </xdr:to>
    <xdr:sp macro="" textlink="">
      <xdr:nvSpPr>
        <xdr:cNvPr id="900" name="Arrow: Down 899">
          <a:extLst>
            <a:ext uri="{FF2B5EF4-FFF2-40B4-BE49-F238E27FC236}">
              <a16:creationId xmlns:a16="http://schemas.microsoft.com/office/drawing/2014/main" id="{4799EAC4-B159-4F73-AAA2-245B70F633B5}"/>
            </a:ext>
          </a:extLst>
        </xdr:cNvPr>
        <xdr:cNvSpPr/>
      </xdr:nvSpPr>
      <xdr:spPr>
        <a:xfrm>
          <a:off x="860298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127</xdr:row>
      <xdr:rowOff>0</xdr:rowOff>
    </xdr:from>
    <xdr:to>
      <xdr:col>60</xdr:col>
      <xdr:colOff>83820</xdr:colOff>
      <xdr:row>127</xdr:row>
      <xdr:rowOff>114300</xdr:rowOff>
    </xdr:to>
    <xdr:sp macro="" textlink="">
      <xdr:nvSpPr>
        <xdr:cNvPr id="902" name="Arrow: Down 901">
          <a:extLst>
            <a:ext uri="{FF2B5EF4-FFF2-40B4-BE49-F238E27FC236}">
              <a16:creationId xmlns:a16="http://schemas.microsoft.com/office/drawing/2014/main" id="{CD33F9AB-9B39-4DE5-8D2C-1F5B27C91C0D}"/>
            </a:ext>
          </a:extLst>
        </xdr:cNvPr>
        <xdr:cNvSpPr/>
      </xdr:nvSpPr>
      <xdr:spPr>
        <a:xfrm>
          <a:off x="151714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128</xdr:row>
      <xdr:rowOff>0</xdr:rowOff>
    </xdr:from>
    <xdr:to>
      <xdr:col>45</xdr:col>
      <xdr:colOff>83820</xdr:colOff>
      <xdr:row>128</xdr:row>
      <xdr:rowOff>114300</xdr:rowOff>
    </xdr:to>
    <xdr:sp macro="" textlink="">
      <xdr:nvSpPr>
        <xdr:cNvPr id="815" name="Arrow: Down 814">
          <a:extLst>
            <a:ext uri="{FF2B5EF4-FFF2-40B4-BE49-F238E27FC236}">
              <a16:creationId xmlns:a16="http://schemas.microsoft.com/office/drawing/2014/main" id="{3DEE3F07-E9AC-43B4-9F7A-443C8D224D44}"/>
            </a:ext>
          </a:extLst>
        </xdr:cNvPr>
        <xdr:cNvSpPr/>
      </xdr:nvSpPr>
      <xdr:spPr>
        <a:xfrm rot="10800000">
          <a:off x="104089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128</xdr:row>
      <xdr:rowOff>0</xdr:rowOff>
    </xdr:from>
    <xdr:to>
      <xdr:col>45</xdr:col>
      <xdr:colOff>83820</xdr:colOff>
      <xdr:row>128</xdr:row>
      <xdr:rowOff>114300</xdr:rowOff>
    </xdr:to>
    <xdr:sp macro="" textlink="">
      <xdr:nvSpPr>
        <xdr:cNvPr id="867" name="Arrow: Down 866">
          <a:extLst>
            <a:ext uri="{FF2B5EF4-FFF2-40B4-BE49-F238E27FC236}">
              <a16:creationId xmlns:a16="http://schemas.microsoft.com/office/drawing/2014/main" id="{7B408D63-61A5-46E1-9737-C24B7A0C4DC7}"/>
            </a:ext>
          </a:extLst>
        </xdr:cNvPr>
        <xdr:cNvSpPr/>
      </xdr:nvSpPr>
      <xdr:spPr>
        <a:xfrm rot="10800000">
          <a:off x="104089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128</xdr:row>
      <xdr:rowOff>0</xdr:rowOff>
    </xdr:from>
    <xdr:to>
      <xdr:col>71</xdr:col>
      <xdr:colOff>83820</xdr:colOff>
      <xdr:row>128</xdr:row>
      <xdr:rowOff>114300</xdr:rowOff>
    </xdr:to>
    <xdr:sp macro="" textlink="">
      <xdr:nvSpPr>
        <xdr:cNvPr id="870" name="Arrow: Down 869">
          <a:extLst>
            <a:ext uri="{FF2B5EF4-FFF2-40B4-BE49-F238E27FC236}">
              <a16:creationId xmlns:a16="http://schemas.microsoft.com/office/drawing/2014/main" id="{E413E567-1836-4990-9B2C-E7B88708AF6B}"/>
            </a:ext>
          </a:extLst>
        </xdr:cNvPr>
        <xdr:cNvSpPr/>
      </xdr:nvSpPr>
      <xdr:spPr>
        <a:xfrm rot="10800000">
          <a:off x="1748790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128</xdr:row>
      <xdr:rowOff>0</xdr:rowOff>
    </xdr:from>
    <xdr:to>
      <xdr:col>5</xdr:col>
      <xdr:colOff>83820</xdr:colOff>
      <xdr:row>128</xdr:row>
      <xdr:rowOff>114300</xdr:rowOff>
    </xdr:to>
    <xdr:sp macro="" textlink="">
      <xdr:nvSpPr>
        <xdr:cNvPr id="873" name="Arrow: Down 872">
          <a:extLst>
            <a:ext uri="{FF2B5EF4-FFF2-40B4-BE49-F238E27FC236}">
              <a16:creationId xmlns:a16="http://schemas.microsoft.com/office/drawing/2014/main" id="{16EBF00A-8B88-4F4D-8B0D-385518C57BCA}"/>
            </a:ext>
          </a:extLst>
        </xdr:cNvPr>
        <xdr:cNvSpPr/>
      </xdr:nvSpPr>
      <xdr:spPr>
        <a:xfrm rot="10800000">
          <a:off x="192786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128</xdr:row>
      <xdr:rowOff>0</xdr:rowOff>
    </xdr:from>
    <xdr:to>
      <xdr:col>11</xdr:col>
      <xdr:colOff>83820</xdr:colOff>
      <xdr:row>128</xdr:row>
      <xdr:rowOff>114300</xdr:rowOff>
    </xdr:to>
    <xdr:sp macro="" textlink="">
      <xdr:nvSpPr>
        <xdr:cNvPr id="881" name="Arrow: Down 880">
          <a:extLst>
            <a:ext uri="{FF2B5EF4-FFF2-40B4-BE49-F238E27FC236}">
              <a16:creationId xmlns:a16="http://schemas.microsoft.com/office/drawing/2014/main" id="{54384283-A011-4386-BD3D-64DD97ECAC00}"/>
            </a:ext>
          </a:extLst>
        </xdr:cNvPr>
        <xdr:cNvSpPr/>
      </xdr:nvSpPr>
      <xdr:spPr>
        <a:xfrm rot="10800000">
          <a:off x="361950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128</xdr:row>
      <xdr:rowOff>0</xdr:rowOff>
    </xdr:from>
    <xdr:to>
      <xdr:col>24</xdr:col>
      <xdr:colOff>83820</xdr:colOff>
      <xdr:row>128</xdr:row>
      <xdr:rowOff>114300</xdr:rowOff>
    </xdr:to>
    <xdr:sp macro="" textlink="">
      <xdr:nvSpPr>
        <xdr:cNvPr id="882" name="Arrow: Down 881">
          <a:extLst>
            <a:ext uri="{FF2B5EF4-FFF2-40B4-BE49-F238E27FC236}">
              <a16:creationId xmlns:a16="http://schemas.microsoft.com/office/drawing/2014/main" id="{67DA10ED-2F44-4131-A189-040F6FD0FB88}"/>
            </a:ext>
          </a:extLst>
        </xdr:cNvPr>
        <xdr:cNvSpPr/>
      </xdr:nvSpPr>
      <xdr:spPr>
        <a:xfrm>
          <a:off x="544068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128</xdr:row>
      <xdr:rowOff>0</xdr:rowOff>
    </xdr:from>
    <xdr:to>
      <xdr:col>60</xdr:col>
      <xdr:colOff>83820</xdr:colOff>
      <xdr:row>128</xdr:row>
      <xdr:rowOff>114300</xdr:rowOff>
    </xdr:to>
    <xdr:sp macro="" textlink="">
      <xdr:nvSpPr>
        <xdr:cNvPr id="886" name="Arrow: Down 885">
          <a:extLst>
            <a:ext uri="{FF2B5EF4-FFF2-40B4-BE49-F238E27FC236}">
              <a16:creationId xmlns:a16="http://schemas.microsoft.com/office/drawing/2014/main" id="{6806C395-2EE9-4144-AF48-066E43BA02B2}"/>
            </a:ext>
          </a:extLst>
        </xdr:cNvPr>
        <xdr:cNvSpPr/>
      </xdr:nvSpPr>
      <xdr:spPr>
        <a:xfrm>
          <a:off x="151714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128</xdr:row>
      <xdr:rowOff>0</xdr:rowOff>
    </xdr:from>
    <xdr:to>
      <xdr:col>39</xdr:col>
      <xdr:colOff>83820</xdr:colOff>
      <xdr:row>128</xdr:row>
      <xdr:rowOff>114300</xdr:rowOff>
    </xdr:to>
    <xdr:sp macro="" textlink="">
      <xdr:nvSpPr>
        <xdr:cNvPr id="893" name="Arrow: Down 892">
          <a:extLst>
            <a:ext uri="{FF2B5EF4-FFF2-40B4-BE49-F238E27FC236}">
              <a16:creationId xmlns:a16="http://schemas.microsoft.com/office/drawing/2014/main" id="{E687A73A-C55F-4093-9F70-EA9222B4D4E1}"/>
            </a:ext>
          </a:extLst>
        </xdr:cNvPr>
        <xdr:cNvSpPr/>
      </xdr:nvSpPr>
      <xdr:spPr>
        <a:xfrm rot="10800000">
          <a:off x="860298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129</xdr:row>
      <xdr:rowOff>0</xdr:rowOff>
    </xdr:from>
    <xdr:to>
      <xdr:col>45</xdr:col>
      <xdr:colOff>83820</xdr:colOff>
      <xdr:row>129</xdr:row>
      <xdr:rowOff>114300</xdr:rowOff>
    </xdr:to>
    <xdr:sp macro="" textlink="">
      <xdr:nvSpPr>
        <xdr:cNvPr id="907" name="Arrow: Down 906">
          <a:extLst>
            <a:ext uri="{FF2B5EF4-FFF2-40B4-BE49-F238E27FC236}">
              <a16:creationId xmlns:a16="http://schemas.microsoft.com/office/drawing/2014/main" id="{52AD076B-8C5B-40D2-94E6-EBEA9C5ADBDE}"/>
            </a:ext>
          </a:extLst>
        </xdr:cNvPr>
        <xdr:cNvSpPr/>
      </xdr:nvSpPr>
      <xdr:spPr>
        <a:xfrm rot="10800000">
          <a:off x="1040892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129</xdr:row>
      <xdr:rowOff>0</xdr:rowOff>
    </xdr:from>
    <xdr:to>
      <xdr:col>45</xdr:col>
      <xdr:colOff>83820</xdr:colOff>
      <xdr:row>129</xdr:row>
      <xdr:rowOff>114300</xdr:rowOff>
    </xdr:to>
    <xdr:sp macro="" textlink="">
      <xdr:nvSpPr>
        <xdr:cNvPr id="908" name="Arrow: Down 907">
          <a:extLst>
            <a:ext uri="{FF2B5EF4-FFF2-40B4-BE49-F238E27FC236}">
              <a16:creationId xmlns:a16="http://schemas.microsoft.com/office/drawing/2014/main" id="{14FF4883-2E13-427B-BE21-93C1845666F9}"/>
            </a:ext>
          </a:extLst>
        </xdr:cNvPr>
        <xdr:cNvSpPr/>
      </xdr:nvSpPr>
      <xdr:spPr>
        <a:xfrm rot="10800000">
          <a:off x="1040892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129</xdr:row>
      <xdr:rowOff>0</xdr:rowOff>
    </xdr:from>
    <xdr:to>
      <xdr:col>24</xdr:col>
      <xdr:colOff>83820</xdr:colOff>
      <xdr:row>129</xdr:row>
      <xdr:rowOff>114300</xdr:rowOff>
    </xdr:to>
    <xdr:sp macro="" textlink="">
      <xdr:nvSpPr>
        <xdr:cNvPr id="912" name="Arrow: Down 911">
          <a:extLst>
            <a:ext uri="{FF2B5EF4-FFF2-40B4-BE49-F238E27FC236}">
              <a16:creationId xmlns:a16="http://schemas.microsoft.com/office/drawing/2014/main" id="{11CB253B-687B-485A-98EC-C1081151E1E2}"/>
            </a:ext>
          </a:extLst>
        </xdr:cNvPr>
        <xdr:cNvSpPr/>
      </xdr:nvSpPr>
      <xdr:spPr>
        <a:xfrm>
          <a:off x="544068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129</xdr:row>
      <xdr:rowOff>0</xdr:rowOff>
    </xdr:from>
    <xdr:to>
      <xdr:col>60</xdr:col>
      <xdr:colOff>83820</xdr:colOff>
      <xdr:row>129</xdr:row>
      <xdr:rowOff>114300</xdr:rowOff>
    </xdr:to>
    <xdr:sp macro="" textlink="">
      <xdr:nvSpPr>
        <xdr:cNvPr id="913" name="Arrow: Down 912">
          <a:extLst>
            <a:ext uri="{FF2B5EF4-FFF2-40B4-BE49-F238E27FC236}">
              <a16:creationId xmlns:a16="http://schemas.microsoft.com/office/drawing/2014/main" id="{3467E7C7-4DAC-4C44-9C92-17A9B2C1F405}"/>
            </a:ext>
          </a:extLst>
        </xdr:cNvPr>
        <xdr:cNvSpPr/>
      </xdr:nvSpPr>
      <xdr:spPr>
        <a:xfrm>
          <a:off x="1517142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129</xdr:row>
      <xdr:rowOff>0</xdr:rowOff>
    </xdr:from>
    <xdr:to>
      <xdr:col>5</xdr:col>
      <xdr:colOff>83820</xdr:colOff>
      <xdr:row>129</xdr:row>
      <xdr:rowOff>114300</xdr:rowOff>
    </xdr:to>
    <xdr:sp macro="" textlink="">
      <xdr:nvSpPr>
        <xdr:cNvPr id="915" name="Arrow: Down 914">
          <a:extLst>
            <a:ext uri="{FF2B5EF4-FFF2-40B4-BE49-F238E27FC236}">
              <a16:creationId xmlns:a16="http://schemas.microsoft.com/office/drawing/2014/main" id="{995DA461-9565-4DAD-974B-0E7596D7186D}"/>
            </a:ext>
          </a:extLst>
        </xdr:cNvPr>
        <xdr:cNvSpPr/>
      </xdr:nvSpPr>
      <xdr:spPr>
        <a:xfrm>
          <a:off x="1927860" y="23690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129</xdr:row>
      <xdr:rowOff>0</xdr:rowOff>
    </xdr:from>
    <xdr:to>
      <xdr:col>11</xdr:col>
      <xdr:colOff>83820</xdr:colOff>
      <xdr:row>129</xdr:row>
      <xdr:rowOff>114300</xdr:rowOff>
    </xdr:to>
    <xdr:sp macro="" textlink="">
      <xdr:nvSpPr>
        <xdr:cNvPr id="916" name="Arrow: Down 915">
          <a:extLst>
            <a:ext uri="{FF2B5EF4-FFF2-40B4-BE49-F238E27FC236}">
              <a16:creationId xmlns:a16="http://schemas.microsoft.com/office/drawing/2014/main" id="{D17B36E8-5E21-4CC9-800A-4C284D31B890}"/>
            </a:ext>
          </a:extLst>
        </xdr:cNvPr>
        <xdr:cNvSpPr/>
      </xdr:nvSpPr>
      <xdr:spPr>
        <a:xfrm>
          <a:off x="3619500" y="23690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129</xdr:row>
      <xdr:rowOff>0</xdr:rowOff>
    </xdr:from>
    <xdr:to>
      <xdr:col>39</xdr:col>
      <xdr:colOff>83820</xdr:colOff>
      <xdr:row>129</xdr:row>
      <xdr:rowOff>114300</xdr:rowOff>
    </xdr:to>
    <xdr:sp macro="" textlink="">
      <xdr:nvSpPr>
        <xdr:cNvPr id="918" name="Arrow: Down 917">
          <a:extLst>
            <a:ext uri="{FF2B5EF4-FFF2-40B4-BE49-F238E27FC236}">
              <a16:creationId xmlns:a16="http://schemas.microsoft.com/office/drawing/2014/main" id="{1FBFF47E-A03C-45D5-8619-A11F9706C666}"/>
            </a:ext>
          </a:extLst>
        </xdr:cNvPr>
        <xdr:cNvSpPr/>
      </xdr:nvSpPr>
      <xdr:spPr>
        <a:xfrm>
          <a:off x="8602980" y="236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129</xdr:row>
      <xdr:rowOff>0</xdr:rowOff>
    </xdr:from>
    <xdr:to>
      <xdr:col>71</xdr:col>
      <xdr:colOff>83820</xdr:colOff>
      <xdr:row>129</xdr:row>
      <xdr:rowOff>114300</xdr:rowOff>
    </xdr:to>
    <xdr:sp macro="" textlink="">
      <xdr:nvSpPr>
        <xdr:cNvPr id="921" name="Arrow: Down 920">
          <a:extLst>
            <a:ext uri="{FF2B5EF4-FFF2-40B4-BE49-F238E27FC236}">
              <a16:creationId xmlns:a16="http://schemas.microsoft.com/office/drawing/2014/main" id="{EB90C529-CD58-4F3A-B8D6-8FE27AACE45D}"/>
            </a:ext>
          </a:extLst>
        </xdr:cNvPr>
        <xdr:cNvSpPr/>
      </xdr:nvSpPr>
      <xdr:spPr>
        <a:xfrm>
          <a:off x="17487900" y="2369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130</xdr:row>
      <xdr:rowOff>0</xdr:rowOff>
    </xdr:from>
    <xdr:to>
      <xdr:col>24</xdr:col>
      <xdr:colOff>83820</xdr:colOff>
      <xdr:row>130</xdr:row>
      <xdr:rowOff>114300</xdr:rowOff>
    </xdr:to>
    <xdr:sp macro="" textlink="">
      <xdr:nvSpPr>
        <xdr:cNvPr id="924" name="Arrow: Down 923">
          <a:extLst>
            <a:ext uri="{FF2B5EF4-FFF2-40B4-BE49-F238E27FC236}">
              <a16:creationId xmlns:a16="http://schemas.microsoft.com/office/drawing/2014/main" id="{D9F2C22D-95E7-47A6-BCB8-273002A35218}"/>
            </a:ext>
          </a:extLst>
        </xdr:cNvPr>
        <xdr:cNvSpPr/>
      </xdr:nvSpPr>
      <xdr:spPr>
        <a:xfrm>
          <a:off x="5440680" y="2369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130</xdr:row>
      <xdr:rowOff>0</xdr:rowOff>
    </xdr:from>
    <xdr:to>
      <xdr:col>39</xdr:col>
      <xdr:colOff>83820</xdr:colOff>
      <xdr:row>130</xdr:row>
      <xdr:rowOff>114300</xdr:rowOff>
    </xdr:to>
    <xdr:sp macro="" textlink="">
      <xdr:nvSpPr>
        <xdr:cNvPr id="928" name="Arrow: Down 927">
          <a:extLst>
            <a:ext uri="{FF2B5EF4-FFF2-40B4-BE49-F238E27FC236}">
              <a16:creationId xmlns:a16="http://schemas.microsoft.com/office/drawing/2014/main" id="{9372AF9E-77CB-410E-A718-51964206B366}"/>
            </a:ext>
          </a:extLst>
        </xdr:cNvPr>
        <xdr:cNvSpPr/>
      </xdr:nvSpPr>
      <xdr:spPr>
        <a:xfrm>
          <a:off x="8602980" y="236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130</xdr:row>
      <xdr:rowOff>0</xdr:rowOff>
    </xdr:from>
    <xdr:to>
      <xdr:col>5</xdr:col>
      <xdr:colOff>83820</xdr:colOff>
      <xdr:row>130</xdr:row>
      <xdr:rowOff>114300</xdr:rowOff>
    </xdr:to>
    <xdr:sp macro="" textlink="">
      <xdr:nvSpPr>
        <xdr:cNvPr id="930" name="Arrow: Down 929">
          <a:extLst>
            <a:ext uri="{FF2B5EF4-FFF2-40B4-BE49-F238E27FC236}">
              <a16:creationId xmlns:a16="http://schemas.microsoft.com/office/drawing/2014/main" id="{75AA1546-5881-4323-9FAD-5BCBFE87C174}"/>
            </a:ext>
          </a:extLst>
        </xdr:cNvPr>
        <xdr:cNvSpPr/>
      </xdr:nvSpPr>
      <xdr:spPr>
        <a:xfrm rot="10800000">
          <a:off x="192786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130</xdr:row>
      <xdr:rowOff>0</xdr:rowOff>
    </xdr:from>
    <xdr:to>
      <xdr:col>11</xdr:col>
      <xdr:colOff>83820</xdr:colOff>
      <xdr:row>130</xdr:row>
      <xdr:rowOff>114300</xdr:rowOff>
    </xdr:to>
    <xdr:sp macro="" textlink="">
      <xdr:nvSpPr>
        <xdr:cNvPr id="931" name="Arrow: Down 930">
          <a:extLst>
            <a:ext uri="{FF2B5EF4-FFF2-40B4-BE49-F238E27FC236}">
              <a16:creationId xmlns:a16="http://schemas.microsoft.com/office/drawing/2014/main" id="{BACA3A1A-7C48-4BC6-BE79-B1D0ED4A55DA}"/>
            </a:ext>
          </a:extLst>
        </xdr:cNvPr>
        <xdr:cNvSpPr/>
      </xdr:nvSpPr>
      <xdr:spPr>
        <a:xfrm rot="10800000">
          <a:off x="361950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130</xdr:row>
      <xdr:rowOff>0</xdr:rowOff>
    </xdr:from>
    <xdr:to>
      <xdr:col>45</xdr:col>
      <xdr:colOff>83820</xdr:colOff>
      <xdr:row>130</xdr:row>
      <xdr:rowOff>114300</xdr:rowOff>
    </xdr:to>
    <xdr:sp macro="" textlink="">
      <xdr:nvSpPr>
        <xdr:cNvPr id="933" name="Arrow: Down 932">
          <a:extLst>
            <a:ext uri="{FF2B5EF4-FFF2-40B4-BE49-F238E27FC236}">
              <a16:creationId xmlns:a16="http://schemas.microsoft.com/office/drawing/2014/main" id="{E6AEF336-24C1-4AA0-A5C7-51D2FFD202B5}"/>
            </a:ext>
          </a:extLst>
        </xdr:cNvPr>
        <xdr:cNvSpPr/>
      </xdr:nvSpPr>
      <xdr:spPr>
        <a:xfrm>
          <a:off x="1040892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130</xdr:row>
      <xdr:rowOff>0</xdr:rowOff>
    </xdr:from>
    <xdr:to>
      <xdr:col>60</xdr:col>
      <xdr:colOff>83820</xdr:colOff>
      <xdr:row>130</xdr:row>
      <xdr:rowOff>114300</xdr:rowOff>
    </xdr:to>
    <xdr:sp macro="" textlink="">
      <xdr:nvSpPr>
        <xdr:cNvPr id="934" name="Arrow: Down 933">
          <a:extLst>
            <a:ext uri="{FF2B5EF4-FFF2-40B4-BE49-F238E27FC236}">
              <a16:creationId xmlns:a16="http://schemas.microsoft.com/office/drawing/2014/main" id="{1CF70B28-5AA4-4CD2-A8ED-CF639F6D5DC1}"/>
            </a:ext>
          </a:extLst>
        </xdr:cNvPr>
        <xdr:cNvSpPr/>
      </xdr:nvSpPr>
      <xdr:spPr>
        <a:xfrm rot="10800000">
          <a:off x="1517142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130</xdr:row>
      <xdr:rowOff>0</xdr:rowOff>
    </xdr:from>
    <xdr:to>
      <xdr:col>71</xdr:col>
      <xdr:colOff>83820</xdr:colOff>
      <xdr:row>130</xdr:row>
      <xdr:rowOff>114300</xdr:rowOff>
    </xdr:to>
    <xdr:sp macro="" textlink="">
      <xdr:nvSpPr>
        <xdr:cNvPr id="935" name="Arrow: Down 934">
          <a:extLst>
            <a:ext uri="{FF2B5EF4-FFF2-40B4-BE49-F238E27FC236}">
              <a16:creationId xmlns:a16="http://schemas.microsoft.com/office/drawing/2014/main" id="{6C80AC34-BF52-4C27-9279-8DBB17CA9956}"/>
            </a:ext>
          </a:extLst>
        </xdr:cNvPr>
        <xdr:cNvSpPr/>
      </xdr:nvSpPr>
      <xdr:spPr>
        <a:xfrm rot="10800000">
          <a:off x="1748790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131</xdr:row>
      <xdr:rowOff>0</xdr:rowOff>
    </xdr:from>
    <xdr:to>
      <xdr:col>71</xdr:col>
      <xdr:colOff>83820</xdr:colOff>
      <xdr:row>131</xdr:row>
      <xdr:rowOff>114300</xdr:rowOff>
    </xdr:to>
    <xdr:sp macro="" textlink="">
      <xdr:nvSpPr>
        <xdr:cNvPr id="942" name="Arrow: Down 941">
          <a:extLst>
            <a:ext uri="{FF2B5EF4-FFF2-40B4-BE49-F238E27FC236}">
              <a16:creationId xmlns:a16="http://schemas.microsoft.com/office/drawing/2014/main" id="{F5C4C3CB-9F9E-4FC2-892F-35F5757D4CB3}"/>
            </a:ext>
          </a:extLst>
        </xdr:cNvPr>
        <xdr:cNvSpPr/>
      </xdr:nvSpPr>
      <xdr:spPr>
        <a:xfrm rot="10800000">
          <a:off x="1748790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131</xdr:row>
      <xdr:rowOff>0</xdr:rowOff>
    </xdr:from>
    <xdr:to>
      <xdr:col>5</xdr:col>
      <xdr:colOff>83820</xdr:colOff>
      <xdr:row>131</xdr:row>
      <xdr:rowOff>114300</xdr:rowOff>
    </xdr:to>
    <xdr:sp macro="" textlink="">
      <xdr:nvSpPr>
        <xdr:cNvPr id="943" name="Arrow: Down 942">
          <a:extLst>
            <a:ext uri="{FF2B5EF4-FFF2-40B4-BE49-F238E27FC236}">
              <a16:creationId xmlns:a16="http://schemas.microsoft.com/office/drawing/2014/main" id="{82C5EB71-1365-4F55-BA63-0F332B13F025}"/>
            </a:ext>
          </a:extLst>
        </xdr:cNvPr>
        <xdr:cNvSpPr/>
      </xdr:nvSpPr>
      <xdr:spPr>
        <a:xfrm>
          <a:off x="1927860" y="24056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131</xdr:row>
      <xdr:rowOff>0</xdr:rowOff>
    </xdr:from>
    <xdr:to>
      <xdr:col>11</xdr:col>
      <xdr:colOff>83820</xdr:colOff>
      <xdr:row>131</xdr:row>
      <xdr:rowOff>114300</xdr:rowOff>
    </xdr:to>
    <xdr:sp macro="" textlink="">
      <xdr:nvSpPr>
        <xdr:cNvPr id="945" name="Arrow: Down 944">
          <a:extLst>
            <a:ext uri="{FF2B5EF4-FFF2-40B4-BE49-F238E27FC236}">
              <a16:creationId xmlns:a16="http://schemas.microsoft.com/office/drawing/2014/main" id="{798A4C7C-B34F-41B8-8F87-A6501E65B955}"/>
            </a:ext>
          </a:extLst>
        </xdr:cNvPr>
        <xdr:cNvSpPr/>
      </xdr:nvSpPr>
      <xdr:spPr>
        <a:xfrm>
          <a:off x="3619500" y="24056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131</xdr:row>
      <xdr:rowOff>0</xdr:rowOff>
    </xdr:from>
    <xdr:to>
      <xdr:col>24</xdr:col>
      <xdr:colOff>83820</xdr:colOff>
      <xdr:row>131</xdr:row>
      <xdr:rowOff>114300</xdr:rowOff>
    </xdr:to>
    <xdr:sp macro="" textlink="">
      <xdr:nvSpPr>
        <xdr:cNvPr id="947" name="Arrow: Down 946">
          <a:extLst>
            <a:ext uri="{FF2B5EF4-FFF2-40B4-BE49-F238E27FC236}">
              <a16:creationId xmlns:a16="http://schemas.microsoft.com/office/drawing/2014/main" id="{BA3E8431-5EFE-4B64-95A2-E998E7286716}"/>
            </a:ext>
          </a:extLst>
        </xdr:cNvPr>
        <xdr:cNvSpPr/>
      </xdr:nvSpPr>
      <xdr:spPr>
        <a:xfrm rot="10800000">
          <a:off x="5440680" y="240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131</xdr:row>
      <xdr:rowOff>0</xdr:rowOff>
    </xdr:from>
    <xdr:to>
      <xdr:col>39</xdr:col>
      <xdr:colOff>83820</xdr:colOff>
      <xdr:row>131</xdr:row>
      <xdr:rowOff>114300</xdr:rowOff>
    </xdr:to>
    <xdr:sp macro="" textlink="">
      <xdr:nvSpPr>
        <xdr:cNvPr id="949" name="Arrow: Down 948">
          <a:extLst>
            <a:ext uri="{FF2B5EF4-FFF2-40B4-BE49-F238E27FC236}">
              <a16:creationId xmlns:a16="http://schemas.microsoft.com/office/drawing/2014/main" id="{8F134282-D617-4337-AB6C-21FC0E18AEAE}"/>
            </a:ext>
          </a:extLst>
        </xdr:cNvPr>
        <xdr:cNvSpPr/>
      </xdr:nvSpPr>
      <xdr:spPr>
        <a:xfrm rot="10800000">
          <a:off x="860298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131</xdr:row>
      <xdr:rowOff>0</xdr:rowOff>
    </xdr:from>
    <xdr:to>
      <xdr:col>45</xdr:col>
      <xdr:colOff>83820</xdr:colOff>
      <xdr:row>131</xdr:row>
      <xdr:rowOff>114300</xdr:rowOff>
    </xdr:to>
    <xdr:sp macro="" textlink="">
      <xdr:nvSpPr>
        <xdr:cNvPr id="950" name="Arrow: Down 949">
          <a:extLst>
            <a:ext uri="{FF2B5EF4-FFF2-40B4-BE49-F238E27FC236}">
              <a16:creationId xmlns:a16="http://schemas.microsoft.com/office/drawing/2014/main" id="{FB79ED6E-C590-4226-8F0F-50ED2C639565}"/>
            </a:ext>
          </a:extLst>
        </xdr:cNvPr>
        <xdr:cNvSpPr/>
      </xdr:nvSpPr>
      <xdr:spPr>
        <a:xfrm rot="10800000">
          <a:off x="1040892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131</xdr:row>
      <xdr:rowOff>0</xdr:rowOff>
    </xdr:from>
    <xdr:to>
      <xdr:col>60</xdr:col>
      <xdr:colOff>83820</xdr:colOff>
      <xdr:row>131</xdr:row>
      <xdr:rowOff>114300</xdr:rowOff>
    </xdr:to>
    <xdr:sp macro="" textlink="">
      <xdr:nvSpPr>
        <xdr:cNvPr id="951" name="Arrow: Down 950">
          <a:extLst>
            <a:ext uri="{FF2B5EF4-FFF2-40B4-BE49-F238E27FC236}">
              <a16:creationId xmlns:a16="http://schemas.microsoft.com/office/drawing/2014/main" id="{F644306C-A8ED-4422-9BA1-CD315F959042}"/>
            </a:ext>
          </a:extLst>
        </xdr:cNvPr>
        <xdr:cNvSpPr/>
      </xdr:nvSpPr>
      <xdr:spPr>
        <a:xfrm>
          <a:off x="1517142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132</xdr:row>
      <xdr:rowOff>0</xdr:rowOff>
    </xdr:from>
    <xdr:to>
      <xdr:col>71</xdr:col>
      <xdr:colOff>83820</xdr:colOff>
      <xdr:row>132</xdr:row>
      <xdr:rowOff>114300</xdr:rowOff>
    </xdr:to>
    <xdr:sp macro="" textlink="">
      <xdr:nvSpPr>
        <xdr:cNvPr id="905" name="Arrow: Down 904">
          <a:extLst>
            <a:ext uri="{FF2B5EF4-FFF2-40B4-BE49-F238E27FC236}">
              <a16:creationId xmlns:a16="http://schemas.microsoft.com/office/drawing/2014/main" id="{5BFF27EB-D88F-4441-AB7F-D310292F7004}"/>
            </a:ext>
          </a:extLst>
        </xdr:cNvPr>
        <xdr:cNvSpPr/>
      </xdr:nvSpPr>
      <xdr:spPr>
        <a:xfrm rot="10800000">
          <a:off x="17487900" y="240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132</xdr:row>
      <xdr:rowOff>0</xdr:rowOff>
    </xdr:from>
    <xdr:to>
      <xdr:col>24</xdr:col>
      <xdr:colOff>83820</xdr:colOff>
      <xdr:row>132</xdr:row>
      <xdr:rowOff>114300</xdr:rowOff>
    </xdr:to>
    <xdr:sp macro="" textlink="">
      <xdr:nvSpPr>
        <xdr:cNvPr id="910" name="Arrow: Down 909">
          <a:extLst>
            <a:ext uri="{FF2B5EF4-FFF2-40B4-BE49-F238E27FC236}">
              <a16:creationId xmlns:a16="http://schemas.microsoft.com/office/drawing/2014/main" id="{B950D360-7AA3-4945-BF0F-2ED3D50A52BA}"/>
            </a:ext>
          </a:extLst>
        </xdr:cNvPr>
        <xdr:cNvSpPr/>
      </xdr:nvSpPr>
      <xdr:spPr>
        <a:xfrm rot="10800000">
          <a:off x="5440680" y="240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132</xdr:row>
      <xdr:rowOff>0</xdr:rowOff>
    </xdr:from>
    <xdr:to>
      <xdr:col>45</xdr:col>
      <xdr:colOff>83820</xdr:colOff>
      <xdr:row>132</xdr:row>
      <xdr:rowOff>114300</xdr:rowOff>
    </xdr:to>
    <xdr:sp macro="" textlink="">
      <xdr:nvSpPr>
        <xdr:cNvPr id="914" name="Arrow: Down 913">
          <a:extLst>
            <a:ext uri="{FF2B5EF4-FFF2-40B4-BE49-F238E27FC236}">
              <a16:creationId xmlns:a16="http://schemas.microsoft.com/office/drawing/2014/main" id="{2F59DA43-F82C-4505-9493-B95008826986}"/>
            </a:ext>
          </a:extLst>
        </xdr:cNvPr>
        <xdr:cNvSpPr/>
      </xdr:nvSpPr>
      <xdr:spPr>
        <a:xfrm rot="10800000">
          <a:off x="1040892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132</xdr:row>
      <xdr:rowOff>0</xdr:rowOff>
    </xdr:from>
    <xdr:to>
      <xdr:col>5</xdr:col>
      <xdr:colOff>83820</xdr:colOff>
      <xdr:row>132</xdr:row>
      <xdr:rowOff>114300</xdr:rowOff>
    </xdr:to>
    <xdr:sp macro="" textlink="">
      <xdr:nvSpPr>
        <xdr:cNvPr id="920" name="Arrow: Down 919">
          <a:extLst>
            <a:ext uri="{FF2B5EF4-FFF2-40B4-BE49-F238E27FC236}">
              <a16:creationId xmlns:a16="http://schemas.microsoft.com/office/drawing/2014/main" id="{FC85FDAA-571D-4194-BC33-08EF7F974626}"/>
            </a:ext>
          </a:extLst>
        </xdr:cNvPr>
        <xdr:cNvSpPr/>
      </xdr:nvSpPr>
      <xdr:spPr>
        <a:xfrm rot="10800000">
          <a:off x="192786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132</xdr:row>
      <xdr:rowOff>0</xdr:rowOff>
    </xdr:from>
    <xdr:to>
      <xdr:col>11</xdr:col>
      <xdr:colOff>83820</xdr:colOff>
      <xdr:row>132</xdr:row>
      <xdr:rowOff>114300</xdr:rowOff>
    </xdr:to>
    <xdr:sp macro="" textlink="">
      <xdr:nvSpPr>
        <xdr:cNvPr id="922" name="Arrow: Down 921">
          <a:extLst>
            <a:ext uri="{FF2B5EF4-FFF2-40B4-BE49-F238E27FC236}">
              <a16:creationId xmlns:a16="http://schemas.microsoft.com/office/drawing/2014/main" id="{831C8D46-2878-4039-83E2-C2F0DCBAF177}"/>
            </a:ext>
          </a:extLst>
        </xdr:cNvPr>
        <xdr:cNvSpPr/>
      </xdr:nvSpPr>
      <xdr:spPr>
        <a:xfrm rot="10800000">
          <a:off x="361950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132</xdr:row>
      <xdr:rowOff>0</xdr:rowOff>
    </xdr:from>
    <xdr:to>
      <xdr:col>60</xdr:col>
      <xdr:colOff>83820</xdr:colOff>
      <xdr:row>132</xdr:row>
      <xdr:rowOff>114300</xdr:rowOff>
    </xdr:to>
    <xdr:sp macro="" textlink="">
      <xdr:nvSpPr>
        <xdr:cNvPr id="925" name="Arrow: Down 924">
          <a:extLst>
            <a:ext uri="{FF2B5EF4-FFF2-40B4-BE49-F238E27FC236}">
              <a16:creationId xmlns:a16="http://schemas.microsoft.com/office/drawing/2014/main" id="{C422C019-AE84-4DF7-92ED-5752E66A7851}"/>
            </a:ext>
          </a:extLst>
        </xdr:cNvPr>
        <xdr:cNvSpPr/>
      </xdr:nvSpPr>
      <xdr:spPr>
        <a:xfrm rot="10800000">
          <a:off x="1517142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133</xdr:row>
      <xdr:rowOff>0</xdr:rowOff>
    </xdr:from>
    <xdr:to>
      <xdr:col>71</xdr:col>
      <xdr:colOff>83820</xdr:colOff>
      <xdr:row>133</xdr:row>
      <xdr:rowOff>114300</xdr:rowOff>
    </xdr:to>
    <xdr:sp macro="" textlink="">
      <xdr:nvSpPr>
        <xdr:cNvPr id="926" name="Arrow: Down 925">
          <a:extLst>
            <a:ext uri="{FF2B5EF4-FFF2-40B4-BE49-F238E27FC236}">
              <a16:creationId xmlns:a16="http://schemas.microsoft.com/office/drawing/2014/main" id="{2D5C0CBC-0566-400B-B683-3D54C6126459}"/>
            </a:ext>
          </a:extLst>
        </xdr:cNvPr>
        <xdr:cNvSpPr/>
      </xdr:nvSpPr>
      <xdr:spPr>
        <a:xfrm rot="10800000">
          <a:off x="1748790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133</xdr:row>
      <xdr:rowOff>0</xdr:rowOff>
    </xdr:from>
    <xdr:to>
      <xdr:col>24</xdr:col>
      <xdr:colOff>83820</xdr:colOff>
      <xdr:row>133</xdr:row>
      <xdr:rowOff>114300</xdr:rowOff>
    </xdr:to>
    <xdr:sp macro="" textlink="">
      <xdr:nvSpPr>
        <xdr:cNvPr id="927" name="Arrow: Down 926">
          <a:extLst>
            <a:ext uri="{FF2B5EF4-FFF2-40B4-BE49-F238E27FC236}">
              <a16:creationId xmlns:a16="http://schemas.microsoft.com/office/drawing/2014/main" id="{F973CDAE-E223-4291-B6B6-EDD891CD0F49}"/>
            </a:ext>
          </a:extLst>
        </xdr:cNvPr>
        <xdr:cNvSpPr/>
      </xdr:nvSpPr>
      <xdr:spPr>
        <a:xfrm rot="10800000">
          <a:off x="544068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133</xdr:row>
      <xdr:rowOff>0</xdr:rowOff>
    </xdr:from>
    <xdr:to>
      <xdr:col>45</xdr:col>
      <xdr:colOff>83820</xdr:colOff>
      <xdr:row>133</xdr:row>
      <xdr:rowOff>114300</xdr:rowOff>
    </xdr:to>
    <xdr:sp macro="" textlink="">
      <xdr:nvSpPr>
        <xdr:cNvPr id="929" name="Arrow: Down 928">
          <a:extLst>
            <a:ext uri="{FF2B5EF4-FFF2-40B4-BE49-F238E27FC236}">
              <a16:creationId xmlns:a16="http://schemas.microsoft.com/office/drawing/2014/main" id="{AEB2F782-9419-45F5-9A27-2042E1202678}"/>
            </a:ext>
          </a:extLst>
        </xdr:cNvPr>
        <xdr:cNvSpPr/>
      </xdr:nvSpPr>
      <xdr:spPr>
        <a:xfrm rot="10800000">
          <a:off x="10408920" y="2423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133</xdr:row>
      <xdr:rowOff>0</xdr:rowOff>
    </xdr:from>
    <xdr:to>
      <xdr:col>5</xdr:col>
      <xdr:colOff>83820</xdr:colOff>
      <xdr:row>133</xdr:row>
      <xdr:rowOff>114300</xdr:rowOff>
    </xdr:to>
    <xdr:sp macro="" textlink="">
      <xdr:nvSpPr>
        <xdr:cNvPr id="932" name="Arrow: Down 931">
          <a:extLst>
            <a:ext uri="{FF2B5EF4-FFF2-40B4-BE49-F238E27FC236}">
              <a16:creationId xmlns:a16="http://schemas.microsoft.com/office/drawing/2014/main" id="{26848534-4843-481B-B175-2D2F791F4A2B}"/>
            </a:ext>
          </a:extLst>
        </xdr:cNvPr>
        <xdr:cNvSpPr/>
      </xdr:nvSpPr>
      <xdr:spPr>
        <a:xfrm rot="10800000">
          <a:off x="192786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133</xdr:row>
      <xdr:rowOff>0</xdr:rowOff>
    </xdr:from>
    <xdr:to>
      <xdr:col>11</xdr:col>
      <xdr:colOff>83820</xdr:colOff>
      <xdr:row>133</xdr:row>
      <xdr:rowOff>114300</xdr:rowOff>
    </xdr:to>
    <xdr:sp macro="" textlink="">
      <xdr:nvSpPr>
        <xdr:cNvPr id="936" name="Arrow: Down 935">
          <a:extLst>
            <a:ext uri="{FF2B5EF4-FFF2-40B4-BE49-F238E27FC236}">
              <a16:creationId xmlns:a16="http://schemas.microsoft.com/office/drawing/2014/main" id="{A86F3D38-EEAE-478D-A713-A64972E3EBDF}"/>
            </a:ext>
          </a:extLst>
        </xdr:cNvPr>
        <xdr:cNvSpPr/>
      </xdr:nvSpPr>
      <xdr:spPr>
        <a:xfrm rot="10800000">
          <a:off x="361950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133</xdr:row>
      <xdr:rowOff>0</xdr:rowOff>
    </xdr:from>
    <xdr:to>
      <xdr:col>39</xdr:col>
      <xdr:colOff>83820</xdr:colOff>
      <xdr:row>133</xdr:row>
      <xdr:rowOff>114300</xdr:rowOff>
    </xdr:to>
    <xdr:sp macro="" textlink="">
      <xdr:nvSpPr>
        <xdr:cNvPr id="884" name="Arrow: Down 883">
          <a:extLst>
            <a:ext uri="{FF2B5EF4-FFF2-40B4-BE49-F238E27FC236}">
              <a16:creationId xmlns:a16="http://schemas.microsoft.com/office/drawing/2014/main" id="{C105BF7C-3670-4234-80EF-F560379D0776}"/>
            </a:ext>
          </a:extLst>
        </xdr:cNvPr>
        <xdr:cNvSpPr/>
      </xdr:nvSpPr>
      <xdr:spPr>
        <a:xfrm rot="10800000">
          <a:off x="8602980" y="244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134</xdr:row>
      <xdr:rowOff>0</xdr:rowOff>
    </xdr:from>
    <xdr:to>
      <xdr:col>71</xdr:col>
      <xdr:colOff>83820</xdr:colOff>
      <xdr:row>134</xdr:row>
      <xdr:rowOff>114300</xdr:rowOff>
    </xdr:to>
    <xdr:sp macro="" textlink="">
      <xdr:nvSpPr>
        <xdr:cNvPr id="896" name="Arrow: Down 895">
          <a:extLst>
            <a:ext uri="{FF2B5EF4-FFF2-40B4-BE49-F238E27FC236}">
              <a16:creationId xmlns:a16="http://schemas.microsoft.com/office/drawing/2014/main" id="{3FEAB35D-4BA1-48B4-898C-8F9A35E00146}"/>
            </a:ext>
          </a:extLst>
        </xdr:cNvPr>
        <xdr:cNvSpPr/>
      </xdr:nvSpPr>
      <xdr:spPr>
        <a:xfrm rot="10800000">
          <a:off x="17487900" y="2442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134</xdr:row>
      <xdr:rowOff>0</xdr:rowOff>
    </xdr:from>
    <xdr:to>
      <xdr:col>45</xdr:col>
      <xdr:colOff>83820</xdr:colOff>
      <xdr:row>134</xdr:row>
      <xdr:rowOff>114300</xdr:rowOff>
    </xdr:to>
    <xdr:sp macro="" textlink="">
      <xdr:nvSpPr>
        <xdr:cNvPr id="901" name="Arrow: Down 900">
          <a:extLst>
            <a:ext uri="{FF2B5EF4-FFF2-40B4-BE49-F238E27FC236}">
              <a16:creationId xmlns:a16="http://schemas.microsoft.com/office/drawing/2014/main" id="{5A44782A-26AA-4E4A-BEB6-1BEA584BFB63}"/>
            </a:ext>
          </a:extLst>
        </xdr:cNvPr>
        <xdr:cNvSpPr/>
      </xdr:nvSpPr>
      <xdr:spPr>
        <a:xfrm rot="10800000">
          <a:off x="10408920" y="244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133</xdr:row>
      <xdr:rowOff>0</xdr:rowOff>
    </xdr:from>
    <xdr:to>
      <xdr:col>60</xdr:col>
      <xdr:colOff>83820</xdr:colOff>
      <xdr:row>133</xdr:row>
      <xdr:rowOff>114300</xdr:rowOff>
    </xdr:to>
    <xdr:sp macro="" textlink="">
      <xdr:nvSpPr>
        <xdr:cNvPr id="911" name="Arrow: Down 910">
          <a:extLst>
            <a:ext uri="{FF2B5EF4-FFF2-40B4-BE49-F238E27FC236}">
              <a16:creationId xmlns:a16="http://schemas.microsoft.com/office/drawing/2014/main" id="{4561E233-4C88-4647-8289-DE3F51B3DE5D}"/>
            </a:ext>
          </a:extLst>
        </xdr:cNvPr>
        <xdr:cNvSpPr/>
      </xdr:nvSpPr>
      <xdr:spPr>
        <a:xfrm>
          <a:off x="15171420" y="244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134</xdr:row>
      <xdr:rowOff>0</xdr:rowOff>
    </xdr:from>
    <xdr:to>
      <xdr:col>60</xdr:col>
      <xdr:colOff>83820</xdr:colOff>
      <xdr:row>134</xdr:row>
      <xdr:rowOff>114300</xdr:rowOff>
    </xdr:to>
    <xdr:sp macro="" textlink="">
      <xdr:nvSpPr>
        <xdr:cNvPr id="919" name="Arrow: Down 918">
          <a:extLst>
            <a:ext uri="{FF2B5EF4-FFF2-40B4-BE49-F238E27FC236}">
              <a16:creationId xmlns:a16="http://schemas.microsoft.com/office/drawing/2014/main" id="{0D40452A-0C40-421C-8DE3-44FC12982A5D}"/>
            </a:ext>
          </a:extLst>
        </xdr:cNvPr>
        <xdr:cNvSpPr/>
      </xdr:nvSpPr>
      <xdr:spPr>
        <a:xfrm>
          <a:off x="1517142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134</xdr:row>
      <xdr:rowOff>0</xdr:rowOff>
    </xdr:from>
    <xdr:to>
      <xdr:col>24</xdr:col>
      <xdr:colOff>83820</xdr:colOff>
      <xdr:row>134</xdr:row>
      <xdr:rowOff>114300</xdr:rowOff>
    </xdr:to>
    <xdr:sp macro="" textlink="">
      <xdr:nvSpPr>
        <xdr:cNvPr id="938" name="Arrow: Down 937">
          <a:extLst>
            <a:ext uri="{FF2B5EF4-FFF2-40B4-BE49-F238E27FC236}">
              <a16:creationId xmlns:a16="http://schemas.microsoft.com/office/drawing/2014/main" id="{A9F281D0-5162-4661-8F92-F6A2AA509EFB}"/>
            </a:ext>
          </a:extLst>
        </xdr:cNvPr>
        <xdr:cNvSpPr/>
      </xdr:nvSpPr>
      <xdr:spPr>
        <a:xfrm>
          <a:off x="544068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132</xdr:row>
      <xdr:rowOff>0</xdr:rowOff>
    </xdr:from>
    <xdr:to>
      <xdr:col>39</xdr:col>
      <xdr:colOff>83820</xdr:colOff>
      <xdr:row>132</xdr:row>
      <xdr:rowOff>114300</xdr:rowOff>
    </xdr:to>
    <xdr:sp macro="" textlink="">
      <xdr:nvSpPr>
        <xdr:cNvPr id="939" name="Arrow: Down 938">
          <a:extLst>
            <a:ext uri="{FF2B5EF4-FFF2-40B4-BE49-F238E27FC236}">
              <a16:creationId xmlns:a16="http://schemas.microsoft.com/office/drawing/2014/main" id="{E122B298-BA72-4583-8366-955CC0905BAD}"/>
            </a:ext>
          </a:extLst>
        </xdr:cNvPr>
        <xdr:cNvSpPr/>
      </xdr:nvSpPr>
      <xdr:spPr>
        <a:xfrm>
          <a:off x="860298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134</xdr:row>
      <xdr:rowOff>0</xdr:rowOff>
    </xdr:from>
    <xdr:to>
      <xdr:col>39</xdr:col>
      <xdr:colOff>83820</xdr:colOff>
      <xdr:row>134</xdr:row>
      <xdr:rowOff>114300</xdr:rowOff>
    </xdr:to>
    <xdr:sp macro="" textlink="">
      <xdr:nvSpPr>
        <xdr:cNvPr id="940" name="Arrow: Down 939">
          <a:extLst>
            <a:ext uri="{FF2B5EF4-FFF2-40B4-BE49-F238E27FC236}">
              <a16:creationId xmlns:a16="http://schemas.microsoft.com/office/drawing/2014/main" id="{6167F5C5-9CBB-409D-BF9E-2CB0388F49F8}"/>
            </a:ext>
          </a:extLst>
        </xdr:cNvPr>
        <xdr:cNvSpPr/>
      </xdr:nvSpPr>
      <xdr:spPr>
        <a:xfrm>
          <a:off x="8602980" y="2460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134</xdr:row>
      <xdr:rowOff>0</xdr:rowOff>
    </xdr:from>
    <xdr:to>
      <xdr:col>5</xdr:col>
      <xdr:colOff>83820</xdr:colOff>
      <xdr:row>134</xdr:row>
      <xdr:rowOff>114300</xdr:rowOff>
    </xdr:to>
    <xdr:sp macro="" textlink="">
      <xdr:nvSpPr>
        <xdr:cNvPr id="941" name="Arrow: Down 940">
          <a:extLst>
            <a:ext uri="{FF2B5EF4-FFF2-40B4-BE49-F238E27FC236}">
              <a16:creationId xmlns:a16="http://schemas.microsoft.com/office/drawing/2014/main" id="{7861C316-60C3-4B38-A575-D7F3BB145450}"/>
            </a:ext>
          </a:extLst>
        </xdr:cNvPr>
        <xdr:cNvSpPr/>
      </xdr:nvSpPr>
      <xdr:spPr>
        <a:xfrm>
          <a:off x="1927860" y="246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134</xdr:row>
      <xdr:rowOff>0</xdr:rowOff>
    </xdr:from>
    <xdr:to>
      <xdr:col>11</xdr:col>
      <xdr:colOff>83820</xdr:colOff>
      <xdr:row>134</xdr:row>
      <xdr:rowOff>114300</xdr:rowOff>
    </xdr:to>
    <xdr:sp macro="" textlink="">
      <xdr:nvSpPr>
        <xdr:cNvPr id="944" name="Arrow: Down 943">
          <a:extLst>
            <a:ext uri="{FF2B5EF4-FFF2-40B4-BE49-F238E27FC236}">
              <a16:creationId xmlns:a16="http://schemas.microsoft.com/office/drawing/2014/main" id="{A77CD41D-4FB6-481C-B650-731F3F9EB8F2}"/>
            </a:ext>
          </a:extLst>
        </xdr:cNvPr>
        <xdr:cNvSpPr/>
      </xdr:nvSpPr>
      <xdr:spPr>
        <a:xfrm>
          <a:off x="3619500" y="246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135</xdr:row>
      <xdr:rowOff>0</xdr:rowOff>
    </xdr:from>
    <xdr:to>
      <xdr:col>71</xdr:col>
      <xdr:colOff>83820</xdr:colOff>
      <xdr:row>135</xdr:row>
      <xdr:rowOff>114300</xdr:rowOff>
    </xdr:to>
    <xdr:sp macro="" textlink="">
      <xdr:nvSpPr>
        <xdr:cNvPr id="897" name="Arrow: Down 896">
          <a:extLst>
            <a:ext uri="{FF2B5EF4-FFF2-40B4-BE49-F238E27FC236}">
              <a16:creationId xmlns:a16="http://schemas.microsoft.com/office/drawing/2014/main" id="{E5E7277F-0F90-43CF-9C52-B082572DA1AE}"/>
            </a:ext>
          </a:extLst>
        </xdr:cNvPr>
        <xdr:cNvSpPr/>
      </xdr:nvSpPr>
      <xdr:spPr>
        <a:xfrm rot="10800000">
          <a:off x="17487900" y="2460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135</xdr:row>
      <xdr:rowOff>0</xdr:rowOff>
    </xdr:from>
    <xdr:to>
      <xdr:col>45</xdr:col>
      <xdr:colOff>83820</xdr:colOff>
      <xdr:row>135</xdr:row>
      <xdr:rowOff>114300</xdr:rowOff>
    </xdr:to>
    <xdr:sp macro="" textlink="">
      <xdr:nvSpPr>
        <xdr:cNvPr id="899" name="Arrow: Down 898">
          <a:extLst>
            <a:ext uri="{FF2B5EF4-FFF2-40B4-BE49-F238E27FC236}">
              <a16:creationId xmlns:a16="http://schemas.microsoft.com/office/drawing/2014/main" id="{6225F419-F9A3-4AB7-8C5B-68E3C8CA7EA6}"/>
            </a:ext>
          </a:extLst>
        </xdr:cNvPr>
        <xdr:cNvSpPr/>
      </xdr:nvSpPr>
      <xdr:spPr>
        <a:xfrm rot="10800000">
          <a:off x="1040892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135</xdr:row>
      <xdr:rowOff>0</xdr:rowOff>
    </xdr:from>
    <xdr:to>
      <xdr:col>60</xdr:col>
      <xdr:colOff>83820</xdr:colOff>
      <xdr:row>135</xdr:row>
      <xdr:rowOff>114300</xdr:rowOff>
    </xdr:to>
    <xdr:sp macro="" textlink="">
      <xdr:nvSpPr>
        <xdr:cNvPr id="903" name="Arrow: Down 902">
          <a:extLst>
            <a:ext uri="{FF2B5EF4-FFF2-40B4-BE49-F238E27FC236}">
              <a16:creationId xmlns:a16="http://schemas.microsoft.com/office/drawing/2014/main" id="{2ACE09DD-A193-4CFD-97BC-143C4EA6FF27}"/>
            </a:ext>
          </a:extLst>
        </xdr:cNvPr>
        <xdr:cNvSpPr/>
      </xdr:nvSpPr>
      <xdr:spPr>
        <a:xfrm>
          <a:off x="1517142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135</xdr:row>
      <xdr:rowOff>0</xdr:rowOff>
    </xdr:from>
    <xdr:to>
      <xdr:col>24</xdr:col>
      <xdr:colOff>83820</xdr:colOff>
      <xdr:row>135</xdr:row>
      <xdr:rowOff>114300</xdr:rowOff>
    </xdr:to>
    <xdr:sp macro="" textlink="">
      <xdr:nvSpPr>
        <xdr:cNvPr id="904" name="Arrow: Down 903">
          <a:extLst>
            <a:ext uri="{FF2B5EF4-FFF2-40B4-BE49-F238E27FC236}">
              <a16:creationId xmlns:a16="http://schemas.microsoft.com/office/drawing/2014/main" id="{489EA61F-271C-404D-8A96-893EB033F564}"/>
            </a:ext>
          </a:extLst>
        </xdr:cNvPr>
        <xdr:cNvSpPr/>
      </xdr:nvSpPr>
      <xdr:spPr>
        <a:xfrm>
          <a:off x="544068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135</xdr:row>
      <xdr:rowOff>0</xdr:rowOff>
    </xdr:from>
    <xdr:to>
      <xdr:col>39</xdr:col>
      <xdr:colOff>83820</xdr:colOff>
      <xdr:row>135</xdr:row>
      <xdr:rowOff>114300</xdr:rowOff>
    </xdr:to>
    <xdr:sp macro="" textlink="">
      <xdr:nvSpPr>
        <xdr:cNvPr id="923" name="Arrow: Down 922">
          <a:extLst>
            <a:ext uri="{FF2B5EF4-FFF2-40B4-BE49-F238E27FC236}">
              <a16:creationId xmlns:a16="http://schemas.microsoft.com/office/drawing/2014/main" id="{D39132F5-39D1-4161-874C-D16D78C88F81}"/>
            </a:ext>
          </a:extLst>
        </xdr:cNvPr>
        <xdr:cNvSpPr/>
      </xdr:nvSpPr>
      <xdr:spPr>
        <a:xfrm rot="10800000">
          <a:off x="8602980" y="247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135</xdr:row>
      <xdr:rowOff>0</xdr:rowOff>
    </xdr:from>
    <xdr:to>
      <xdr:col>5</xdr:col>
      <xdr:colOff>83820</xdr:colOff>
      <xdr:row>135</xdr:row>
      <xdr:rowOff>114300</xdr:rowOff>
    </xdr:to>
    <xdr:sp macro="" textlink="">
      <xdr:nvSpPr>
        <xdr:cNvPr id="937" name="Arrow: Down 936">
          <a:extLst>
            <a:ext uri="{FF2B5EF4-FFF2-40B4-BE49-F238E27FC236}">
              <a16:creationId xmlns:a16="http://schemas.microsoft.com/office/drawing/2014/main" id="{FA5E8A1B-FF56-4C2C-B6EC-08DC4EFE5767}"/>
            </a:ext>
          </a:extLst>
        </xdr:cNvPr>
        <xdr:cNvSpPr/>
      </xdr:nvSpPr>
      <xdr:spPr>
        <a:xfrm rot="10800000">
          <a:off x="1927860" y="2478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135</xdr:row>
      <xdr:rowOff>0</xdr:rowOff>
    </xdr:from>
    <xdr:to>
      <xdr:col>11</xdr:col>
      <xdr:colOff>83820</xdr:colOff>
      <xdr:row>135</xdr:row>
      <xdr:rowOff>114300</xdr:rowOff>
    </xdr:to>
    <xdr:sp macro="" textlink="">
      <xdr:nvSpPr>
        <xdr:cNvPr id="948" name="Arrow: Down 947">
          <a:extLst>
            <a:ext uri="{FF2B5EF4-FFF2-40B4-BE49-F238E27FC236}">
              <a16:creationId xmlns:a16="http://schemas.microsoft.com/office/drawing/2014/main" id="{07726441-2854-4651-9128-D309E27B5488}"/>
            </a:ext>
          </a:extLst>
        </xdr:cNvPr>
        <xdr:cNvSpPr/>
      </xdr:nvSpPr>
      <xdr:spPr>
        <a:xfrm rot="10800000">
          <a:off x="3619500" y="2478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136</xdr:row>
      <xdr:rowOff>0</xdr:rowOff>
    </xdr:from>
    <xdr:to>
      <xdr:col>71</xdr:col>
      <xdr:colOff>83820</xdr:colOff>
      <xdr:row>136</xdr:row>
      <xdr:rowOff>114300</xdr:rowOff>
    </xdr:to>
    <xdr:sp macro="" textlink="">
      <xdr:nvSpPr>
        <xdr:cNvPr id="952" name="Arrow: Down 951">
          <a:extLst>
            <a:ext uri="{FF2B5EF4-FFF2-40B4-BE49-F238E27FC236}">
              <a16:creationId xmlns:a16="http://schemas.microsoft.com/office/drawing/2014/main" id="{6297BF48-7D58-4497-95CE-2B22157D064B}"/>
            </a:ext>
          </a:extLst>
        </xdr:cNvPr>
        <xdr:cNvSpPr/>
      </xdr:nvSpPr>
      <xdr:spPr>
        <a:xfrm rot="10800000">
          <a:off x="17487900" y="2478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136</xdr:row>
      <xdr:rowOff>0</xdr:rowOff>
    </xdr:from>
    <xdr:to>
      <xdr:col>45</xdr:col>
      <xdr:colOff>83820</xdr:colOff>
      <xdr:row>136</xdr:row>
      <xdr:rowOff>114300</xdr:rowOff>
    </xdr:to>
    <xdr:sp macro="" textlink="">
      <xdr:nvSpPr>
        <xdr:cNvPr id="953" name="Arrow: Down 952">
          <a:extLst>
            <a:ext uri="{FF2B5EF4-FFF2-40B4-BE49-F238E27FC236}">
              <a16:creationId xmlns:a16="http://schemas.microsoft.com/office/drawing/2014/main" id="{C8E91A0C-6135-4DBD-B2CD-0C6E0E663EBF}"/>
            </a:ext>
          </a:extLst>
        </xdr:cNvPr>
        <xdr:cNvSpPr/>
      </xdr:nvSpPr>
      <xdr:spPr>
        <a:xfrm rot="10800000">
          <a:off x="10408920" y="247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136</xdr:row>
      <xdr:rowOff>0</xdr:rowOff>
    </xdr:from>
    <xdr:to>
      <xdr:col>24</xdr:col>
      <xdr:colOff>83820</xdr:colOff>
      <xdr:row>136</xdr:row>
      <xdr:rowOff>114300</xdr:rowOff>
    </xdr:to>
    <xdr:sp macro="" textlink="">
      <xdr:nvSpPr>
        <xdr:cNvPr id="955" name="Arrow: Down 954">
          <a:extLst>
            <a:ext uri="{FF2B5EF4-FFF2-40B4-BE49-F238E27FC236}">
              <a16:creationId xmlns:a16="http://schemas.microsoft.com/office/drawing/2014/main" id="{F5D6801C-6E0E-41E3-940A-11AC87DA4944}"/>
            </a:ext>
          </a:extLst>
        </xdr:cNvPr>
        <xdr:cNvSpPr/>
      </xdr:nvSpPr>
      <xdr:spPr>
        <a:xfrm>
          <a:off x="5440680" y="247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136</xdr:row>
      <xdr:rowOff>0</xdr:rowOff>
    </xdr:from>
    <xdr:to>
      <xdr:col>5</xdr:col>
      <xdr:colOff>83820</xdr:colOff>
      <xdr:row>136</xdr:row>
      <xdr:rowOff>114300</xdr:rowOff>
    </xdr:to>
    <xdr:sp macro="" textlink="">
      <xdr:nvSpPr>
        <xdr:cNvPr id="959" name="Arrow: Down 958">
          <a:extLst>
            <a:ext uri="{FF2B5EF4-FFF2-40B4-BE49-F238E27FC236}">
              <a16:creationId xmlns:a16="http://schemas.microsoft.com/office/drawing/2014/main" id="{ADA19A95-1495-429B-9EFE-0B159978C279}"/>
            </a:ext>
          </a:extLst>
        </xdr:cNvPr>
        <xdr:cNvSpPr/>
      </xdr:nvSpPr>
      <xdr:spPr>
        <a:xfrm>
          <a:off x="192786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136</xdr:row>
      <xdr:rowOff>0</xdr:rowOff>
    </xdr:from>
    <xdr:to>
      <xdr:col>11</xdr:col>
      <xdr:colOff>83820</xdr:colOff>
      <xdr:row>136</xdr:row>
      <xdr:rowOff>114300</xdr:rowOff>
    </xdr:to>
    <xdr:sp macro="" textlink="">
      <xdr:nvSpPr>
        <xdr:cNvPr id="960" name="Arrow: Down 959">
          <a:extLst>
            <a:ext uri="{FF2B5EF4-FFF2-40B4-BE49-F238E27FC236}">
              <a16:creationId xmlns:a16="http://schemas.microsoft.com/office/drawing/2014/main" id="{4F5597C6-BBCB-49ED-9811-09FEAF98BD9B}"/>
            </a:ext>
          </a:extLst>
        </xdr:cNvPr>
        <xdr:cNvSpPr/>
      </xdr:nvSpPr>
      <xdr:spPr>
        <a:xfrm>
          <a:off x="361950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136</xdr:row>
      <xdr:rowOff>0</xdr:rowOff>
    </xdr:from>
    <xdr:to>
      <xdr:col>60</xdr:col>
      <xdr:colOff>83820</xdr:colOff>
      <xdr:row>136</xdr:row>
      <xdr:rowOff>114300</xdr:rowOff>
    </xdr:to>
    <xdr:sp macro="" textlink="">
      <xdr:nvSpPr>
        <xdr:cNvPr id="961" name="Arrow: Down 960">
          <a:extLst>
            <a:ext uri="{FF2B5EF4-FFF2-40B4-BE49-F238E27FC236}">
              <a16:creationId xmlns:a16="http://schemas.microsoft.com/office/drawing/2014/main" id="{4B11E9E8-1A21-4D04-A6AE-4D0E461618BB}"/>
            </a:ext>
          </a:extLst>
        </xdr:cNvPr>
        <xdr:cNvSpPr/>
      </xdr:nvSpPr>
      <xdr:spPr>
        <a:xfrm rot="10800000">
          <a:off x="15171420" y="249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136</xdr:row>
      <xdr:rowOff>0</xdr:rowOff>
    </xdr:from>
    <xdr:to>
      <xdr:col>39</xdr:col>
      <xdr:colOff>83820</xdr:colOff>
      <xdr:row>136</xdr:row>
      <xdr:rowOff>114300</xdr:rowOff>
    </xdr:to>
    <xdr:sp macro="" textlink="">
      <xdr:nvSpPr>
        <xdr:cNvPr id="963" name="Arrow: Down 962">
          <a:extLst>
            <a:ext uri="{FF2B5EF4-FFF2-40B4-BE49-F238E27FC236}">
              <a16:creationId xmlns:a16="http://schemas.microsoft.com/office/drawing/2014/main" id="{503FBD47-EE66-432C-B2CF-117D04425E97}"/>
            </a:ext>
          </a:extLst>
        </xdr:cNvPr>
        <xdr:cNvSpPr/>
      </xdr:nvSpPr>
      <xdr:spPr>
        <a:xfrm>
          <a:off x="8602980" y="249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137</xdr:row>
      <xdr:rowOff>0</xdr:rowOff>
    </xdr:from>
    <xdr:to>
      <xdr:col>24</xdr:col>
      <xdr:colOff>83820</xdr:colOff>
      <xdr:row>137</xdr:row>
      <xdr:rowOff>114300</xdr:rowOff>
    </xdr:to>
    <xdr:sp macro="" textlink="">
      <xdr:nvSpPr>
        <xdr:cNvPr id="973" name="Arrow: Down 972">
          <a:extLst>
            <a:ext uri="{FF2B5EF4-FFF2-40B4-BE49-F238E27FC236}">
              <a16:creationId xmlns:a16="http://schemas.microsoft.com/office/drawing/2014/main" id="{8F4CB7F2-76D2-49CE-A6A5-4E97E9684084}"/>
            </a:ext>
          </a:extLst>
        </xdr:cNvPr>
        <xdr:cNvSpPr/>
      </xdr:nvSpPr>
      <xdr:spPr>
        <a:xfrm>
          <a:off x="5440680" y="2497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137</xdr:row>
      <xdr:rowOff>0</xdr:rowOff>
    </xdr:from>
    <xdr:to>
      <xdr:col>5</xdr:col>
      <xdr:colOff>83820</xdr:colOff>
      <xdr:row>137</xdr:row>
      <xdr:rowOff>114300</xdr:rowOff>
    </xdr:to>
    <xdr:sp macro="" textlink="">
      <xdr:nvSpPr>
        <xdr:cNvPr id="974" name="Arrow: Down 973">
          <a:extLst>
            <a:ext uri="{FF2B5EF4-FFF2-40B4-BE49-F238E27FC236}">
              <a16:creationId xmlns:a16="http://schemas.microsoft.com/office/drawing/2014/main" id="{C7BEF6EB-10FD-4C94-8F84-0098EBC9B78A}"/>
            </a:ext>
          </a:extLst>
        </xdr:cNvPr>
        <xdr:cNvSpPr/>
      </xdr:nvSpPr>
      <xdr:spPr>
        <a:xfrm>
          <a:off x="192786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137</xdr:row>
      <xdr:rowOff>0</xdr:rowOff>
    </xdr:from>
    <xdr:to>
      <xdr:col>11</xdr:col>
      <xdr:colOff>83820</xdr:colOff>
      <xdr:row>137</xdr:row>
      <xdr:rowOff>114300</xdr:rowOff>
    </xdr:to>
    <xdr:sp macro="" textlink="">
      <xdr:nvSpPr>
        <xdr:cNvPr id="975" name="Arrow: Down 974">
          <a:extLst>
            <a:ext uri="{FF2B5EF4-FFF2-40B4-BE49-F238E27FC236}">
              <a16:creationId xmlns:a16="http://schemas.microsoft.com/office/drawing/2014/main" id="{E444C4FC-BA8F-4F5C-834F-4AF01F5F3F16}"/>
            </a:ext>
          </a:extLst>
        </xdr:cNvPr>
        <xdr:cNvSpPr/>
      </xdr:nvSpPr>
      <xdr:spPr>
        <a:xfrm>
          <a:off x="361950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137</xdr:row>
      <xdr:rowOff>0</xdr:rowOff>
    </xdr:from>
    <xdr:to>
      <xdr:col>39</xdr:col>
      <xdr:colOff>83820</xdr:colOff>
      <xdr:row>137</xdr:row>
      <xdr:rowOff>114300</xdr:rowOff>
    </xdr:to>
    <xdr:sp macro="" textlink="">
      <xdr:nvSpPr>
        <xdr:cNvPr id="977" name="Arrow: Down 976">
          <a:extLst>
            <a:ext uri="{FF2B5EF4-FFF2-40B4-BE49-F238E27FC236}">
              <a16:creationId xmlns:a16="http://schemas.microsoft.com/office/drawing/2014/main" id="{92300F1A-BDAE-402C-AE69-163F5A2E4250}"/>
            </a:ext>
          </a:extLst>
        </xdr:cNvPr>
        <xdr:cNvSpPr/>
      </xdr:nvSpPr>
      <xdr:spPr>
        <a:xfrm>
          <a:off x="8602980" y="249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137</xdr:row>
      <xdr:rowOff>0</xdr:rowOff>
    </xdr:from>
    <xdr:to>
      <xdr:col>60</xdr:col>
      <xdr:colOff>83820</xdr:colOff>
      <xdr:row>137</xdr:row>
      <xdr:rowOff>114300</xdr:rowOff>
    </xdr:to>
    <xdr:sp macro="" textlink="">
      <xdr:nvSpPr>
        <xdr:cNvPr id="978" name="Arrow: Down 977">
          <a:extLst>
            <a:ext uri="{FF2B5EF4-FFF2-40B4-BE49-F238E27FC236}">
              <a16:creationId xmlns:a16="http://schemas.microsoft.com/office/drawing/2014/main" id="{76D8EE24-BE66-45E4-89C4-03084114FF13}"/>
            </a:ext>
          </a:extLst>
        </xdr:cNvPr>
        <xdr:cNvSpPr/>
      </xdr:nvSpPr>
      <xdr:spPr>
        <a:xfrm>
          <a:off x="1517142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137</xdr:row>
      <xdr:rowOff>0</xdr:rowOff>
    </xdr:from>
    <xdr:to>
      <xdr:col>45</xdr:col>
      <xdr:colOff>83820</xdr:colOff>
      <xdr:row>137</xdr:row>
      <xdr:rowOff>114300</xdr:rowOff>
    </xdr:to>
    <xdr:sp macro="" textlink="">
      <xdr:nvSpPr>
        <xdr:cNvPr id="981" name="Arrow: Down 980">
          <a:extLst>
            <a:ext uri="{FF2B5EF4-FFF2-40B4-BE49-F238E27FC236}">
              <a16:creationId xmlns:a16="http://schemas.microsoft.com/office/drawing/2014/main" id="{081EF5A4-3E83-4911-8223-61BEA9028C55}"/>
            </a:ext>
          </a:extLst>
        </xdr:cNvPr>
        <xdr:cNvSpPr/>
      </xdr:nvSpPr>
      <xdr:spPr>
        <a:xfrm rot="10800000">
          <a:off x="1283208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137</xdr:row>
      <xdr:rowOff>0</xdr:rowOff>
    </xdr:from>
    <xdr:to>
      <xdr:col>71</xdr:col>
      <xdr:colOff>83820</xdr:colOff>
      <xdr:row>137</xdr:row>
      <xdr:rowOff>114300</xdr:rowOff>
    </xdr:to>
    <xdr:sp macro="" textlink="">
      <xdr:nvSpPr>
        <xdr:cNvPr id="983" name="Arrow: Down 982">
          <a:extLst>
            <a:ext uri="{FF2B5EF4-FFF2-40B4-BE49-F238E27FC236}">
              <a16:creationId xmlns:a16="http://schemas.microsoft.com/office/drawing/2014/main" id="{BEDC6278-C719-4E19-B9B7-4BB32ADEA9C5}"/>
            </a:ext>
          </a:extLst>
        </xdr:cNvPr>
        <xdr:cNvSpPr/>
      </xdr:nvSpPr>
      <xdr:spPr>
        <a:xfrm>
          <a:off x="2157984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138</xdr:row>
      <xdr:rowOff>0</xdr:rowOff>
    </xdr:from>
    <xdr:to>
      <xdr:col>45</xdr:col>
      <xdr:colOff>83820</xdr:colOff>
      <xdr:row>138</xdr:row>
      <xdr:rowOff>114300</xdr:rowOff>
    </xdr:to>
    <xdr:sp macro="" textlink="">
      <xdr:nvSpPr>
        <xdr:cNvPr id="989" name="Arrow: Down 988">
          <a:extLst>
            <a:ext uri="{FF2B5EF4-FFF2-40B4-BE49-F238E27FC236}">
              <a16:creationId xmlns:a16="http://schemas.microsoft.com/office/drawing/2014/main" id="{2C16D166-7F19-460D-AC10-99EF229730B2}"/>
            </a:ext>
          </a:extLst>
        </xdr:cNvPr>
        <xdr:cNvSpPr/>
      </xdr:nvSpPr>
      <xdr:spPr>
        <a:xfrm rot="10800000">
          <a:off x="1283208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138</xdr:row>
      <xdr:rowOff>0</xdr:rowOff>
    </xdr:from>
    <xdr:to>
      <xdr:col>39</xdr:col>
      <xdr:colOff>83820</xdr:colOff>
      <xdr:row>138</xdr:row>
      <xdr:rowOff>114300</xdr:rowOff>
    </xdr:to>
    <xdr:sp macro="" textlink="">
      <xdr:nvSpPr>
        <xdr:cNvPr id="992" name="Arrow: Down 991">
          <a:extLst>
            <a:ext uri="{FF2B5EF4-FFF2-40B4-BE49-F238E27FC236}">
              <a16:creationId xmlns:a16="http://schemas.microsoft.com/office/drawing/2014/main" id="{2A832676-5A13-4F10-A50F-AD7993843838}"/>
            </a:ext>
          </a:extLst>
        </xdr:cNvPr>
        <xdr:cNvSpPr/>
      </xdr:nvSpPr>
      <xdr:spPr>
        <a:xfrm rot="10800000">
          <a:off x="8747760" y="253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138</xdr:row>
      <xdr:rowOff>0</xdr:rowOff>
    </xdr:from>
    <xdr:to>
      <xdr:col>5</xdr:col>
      <xdr:colOff>83820</xdr:colOff>
      <xdr:row>138</xdr:row>
      <xdr:rowOff>114300</xdr:rowOff>
    </xdr:to>
    <xdr:sp macro="" textlink="">
      <xdr:nvSpPr>
        <xdr:cNvPr id="994" name="Arrow: Down 993">
          <a:extLst>
            <a:ext uri="{FF2B5EF4-FFF2-40B4-BE49-F238E27FC236}">
              <a16:creationId xmlns:a16="http://schemas.microsoft.com/office/drawing/2014/main" id="{34BDF33E-A964-45D2-AD28-D2E921009C15}"/>
            </a:ext>
          </a:extLst>
        </xdr:cNvPr>
        <xdr:cNvSpPr/>
      </xdr:nvSpPr>
      <xdr:spPr>
        <a:xfrm rot="10800000">
          <a:off x="19278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138</xdr:row>
      <xdr:rowOff>0</xdr:rowOff>
    </xdr:from>
    <xdr:to>
      <xdr:col>11</xdr:col>
      <xdr:colOff>83820</xdr:colOff>
      <xdr:row>138</xdr:row>
      <xdr:rowOff>114300</xdr:rowOff>
    </xdr:to>
    <xdr:sp macro="" textlink="">
      <xdr:nvSpPr>
        <xdr:cNvPr id="996" name="Arrow: Down 995">
          <a:extLst>
            <a:ext uri="{FF2B5EF4-FFF2-40B4-BE49-F238E27FC236}">
              <a16:creationId xmlns:a16="http://schemas.microsoft.com/office/drawing/2014/main" id="{60835326-3239-489C-B32C-990DA4C877A3}"/>
            </a:ext>
          </a:extLst>
        </xdr:cNvPr>
        <xdr:cNvSpPr/>
      </xdr:nvSpPr>
      <xdr:spPr>
        <a:xfrm rot="10800000">
          <a:off x="36195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138</xdr:row>
      <xdr:rowOff>0</xdr:rowOff>
    </xdr:from>
    <xdr:to>
      <xdr:col>24</xdr:col>
      <xdr:colOff>83820</xdr:colOff>
      <xdr:row>138</xdr:row>
      <xdr:rowOff>114300</xdr:rowOff>
    </xdr:to>
    <xdr:sp macro="" textlink="">
      <xdr:nvSpPr>
        <xdr:cNvPr id="997" name="Arrow: Down 996">
          <a:extLst>
            <a:ext uri="{FF2B5EF4-FFF2-40B4-BE49-F238E27FC236}">
              <a16:creationId xmlns:a16="http://schemas.microsoft.com/office/drawing/2014/main" id="{4B87A826-9F9A-4C8F-9468-A92C7B42A8F8}"/>
            </a:ext>
          </a:extLst>
        </xdr:cNvPr>
        <xdr:cNvSpPr/>
      </xdr:nvSpPr>
      <xdr:spPr>
        <a:xfrm rot="10800000">
          <a:off x="55854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138</xdr:row>
      <xdr:rowOff>0</xdr:rowOff>
    </xdr:from>
    <xdr:to>
      <xdr:col>60</xdr:col>
      <xdr:colOff>83820</xdr:colOff>
      <xdr:row>138</xdr:row>
      <xdr:rowOff>114300</xdr:rowOff>
    </xdr:to>
    <xdr:sp macro="" textlink="">
      <xdr:nvSpPr>
        <xdr:cNvPr id="999" name="Arrow: Down 998">
          <a:extLst>
            <a:ext uri="{FF2B5EF4-FFF2-40B4-BE49-F238E27FC236}">
              <a16:creationId xmlns:a16="http://schemas.microsoft.com/office/drawing/2014/main" id="{3D563A0F-6EB4-4648-9D9F-F15E73EE5E3D}"/>
            </a:ext>
          </a:extLst>
        </xdr:cNvPr>
        <xdr:cNvSpPr/>
      </xdr:nvSpPr>
      <xdr:spPr>
        <a:xfrm rot="10800000">
          <a:off x="153162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138</xdr:row>
      <xdr:rowOff>0</xdr:rowOff>
    </xdr:from>
    <xdr:to>
      <xdr:col>71</xdr:col>
      <xdr:colOff>83820</xdr:colOff>
      <xdr:row>138</xdr:row>
      <xdr:rowOff>114300</xdr:rowOff>
    </xdr:to>
    <xdr:sp macro="" textlink="">
      <xdr:nvSpPr>
        <xdr:cNvPr id="1000" name="Arrow: Down 999">
          <a:extLst>
            <a:ext uri="{FF2B5EF4-FFF2-40B4-BE49-F238E27FC236}">
              <a16:creationId xmlns:a16="http://schemas.microsoft.com/office/drawing/2014/main" id="{6E616CEA-20A6-448C-A0A8-69743B2A90E6}"/>
            </a:ext>
          </a:extLst>
        </xdr:cNvPr>
        <xdr:cNvSpPr/>
      </xdr:nvSpPr>
      <xdr:spPr>
        <a:xfrm rot="10800000">
          <a:off x="1763268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139</xdr:row>
      <xdr:rowOff>0</xdr:rowOff>
    </xdr:from>
    <xdr:to>
      <xdr:col>45</xdr:col>
      <xdr:colOff>83820</xdr:colOff>
      <xdr:row>139</xdr:row>
      <xdr:rowOff>114300</xdr:rowOff>
    </xdr:to>
    <xdr:sp macro="" textlink="">
      <xdr:nvSpPr>
        <xdr:cNvPr id="1001" name="Arrow: Down 1000">
          <a:extLst>
            <a:ext uri="{FF2B5EF4-FFF2-40B4-BE49-F238E27FC236}">
              <a16:creationId xmlns:a16="http://schemas.microsoft.com/office/drawing/2014/main" id="{A9224C79-F8A0-4141-9327-E5FB4136CBB8}"/>
            </a:ext>
          </a:extLst>
        </xdr:cNvPr>
        <xdr:cNvSpPr/>
      </xdr:nvSpPr>
      <xdr:spPr>
        <a:xfrm rot="10800000">
          <a:off x="10553700" y="253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139</xdr:row>
      <xdr:rowOff>0</xdr:rowOff>
    </xdr:from>
    <xdr:to>
      <xdr:col>39</xdr:col>
      <xdr:colOff>83820</xdr:colOff>
      <xdr:row>139</xdr:row>
      <xdr:rowOff>114300</xdr:rowOff>
    </xdr:to>
    <xdr:sp macro="" textlink="">
      <xdr:nvSpPr>
        <xdr:cNvPr id="1002" name="Arrow: Down 1001">
          <a:extLst>
            <a:ext uri="{FF2B5EF4-FFF2-40B4-BE49-F238E27FC236}">
              <a16:creationId xmlns:a16="http://schemas.microsoft.com/office/drawing/2014/main" id="{B0326349-E666-4EE4-9EEA-AEB8C2B4CC28}"/>
            </a:ext>
          </a:extLst>
        </xdr:cNvPr>
        <xdr:cNvSpPr/>
      </xdr:nvSpPr>
      <xdr:spPr>
        <a:xfrm rot="10800000">
          <a:off x="8747760" y="253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139</xdr:row>
      <xdr:rowOff>0</xdr:rowOff>
    </xdr:from>
    <xdr:to>
      <xdr:col>5</xdr:col>
      <xdr:colOff>83820</xdr:colOff>
      <xdr:row>139</xdr:row>
      <xdr:rowOff>114300</xdr:rowOff>
    </xdr:to>
    <xdr:sp macro="" textlink="">
      <xdr:nvSpPr>
        <xdr:cNvPr id="1003" name="Arrow: Down 1002">
          <a:extLst>
            <a:ext uri="{FF2B5EF4-FFF2-40B4-BE49-F238E27FC236}">
              <a16:creationId xmlns:a16="http://schemas.microsoft.com/office/drawing/2014/main" id="{1AD73DEE-7AFD-44FE-A0E5-60DBC9B6A4C1}"/>
            </a:ext>
          </a:extLst>
        </xdr:cNvPr>
        <xdr:cNvSpPr/>
      </xdr:nvSpPr>
      <xdr:spPr>
        <a:xfrm rot="10800000">
          <a:off x="19278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139</xdr:row>
      <xdr:rowOff>0</xdr:rowOff>
    </xdr:from>
    <xdr:to>
      <xdr:col>11</xdr:col>
      <xdr:colOff>83820</xdr:colOff>
      <xdr:row>139</xdr:row>
      <xdr:rowOff>114300</xdr:rowOff>
    </xdr:to>
    <xdr:sp macro="" textlink="">
      <xdr:nvSpPr>
        <xdr:cNvPr id="1004" name="Arrow: Down 1003">
          <a:extLst>
            <a:ext uri="{FF2B5EF4-FFF2-40B4-BE49-F238E27FC236}">
              <a16:creationId xmlns:a16="http://schemas.microsoft.com/office/drawing/2014/main" id="{5C238EC0-ACE4-4CCF-A341-D481CC2B664F}"/>
            </a:ext>
          </a:extLst>
        </xdr:cNvPr>
        <xdr:cNvSpPr/>
      </xdr:nvSpPr>
      <xdr:spPr>
        <a:xfrm rot="10800000">
          <a:off x="36195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139</xdr:row>
      <xdr:rowOff>0</xdr:rowOff>
    </xdr:from>
    <xdr:to>
      <xdr:col>24</xdr:col>
      <xdr:colOff>83820</xdr:colOff>
      <xdr:row>139</xdr:row>
      <xdr:rowOff>114300</xdr:rowOff>
    </xdr:to>
    <xdr:sp macro="" textlink="">
      <xdr:nvSpPr>
        <xdr:cNvPr id="1005" name="Arrow: Down 1004">
          <a:extLst>
            <a:ext uri="{FF2B5EF4-FFF2-40B4-BE49-F238E27FC236}">
              <a16:creationId xmlns:a16="http://schemas.microsoft.com/office/drawing/2014/main" id="{4D3FFB99-3392-4042-BED4-A993BE1BDC35}"/>
            </a:ext>
          </a:extLst>
        </xdr:cNvPr>
        <xdr:cNvSpPr/>
      </xdr:nvSpPr>
      <xdr:spPr>
        <a:xfrm rot="10800000">
          <a:off x="55854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139</xdr:row>
      <xdr:rowOff>0</xdr:rowOff>
    </xdr:from>
    <xdr:to>
      <xdr:col>60</xdr:col>
      <xdr:colOff>83820</xdr:colOff>
      <xdr:row>139</xdr:row>
      <xdr:rowOff>114300</xdr:rowOff>
    </xdr:to>
    <xdr:sp macro="" textlink="">
      <xdr:nvSpPr>
        <xdr:cNvPr id="1006" name="Arrow: Down 1005">
          <a:extLst>
            <a:ext uri="{FF2B5EF4-FFF2-40B4-BE49-F238E27FC236}">
              <a16:creationId xmlns:a16="http://schemas.microsoft.com/office/drawing/2014/main" id="{32118F1D-8B75-4250-BF85-46B5E8BB8D20}"/>
            </a:ext>
          </a:extLst>
        </xdr:cNvPr>
        <xdr:cNvSpPr/>
      </xdr:nvSpPr>
      <xdr:spPr>
        <a:xfrm rot="10800000">
          <a:off x="153162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139</xdr:row>
      <xdr:rowOff>0</xdr:rowOff>
    </xdr:from>
    <xdr:to>
      <xdr:col>71</xdr:col>
      <xdr:colOff>83820</xdr:colOff>
      <xdr:row>139</xdr:row>
      <xdr:rowOff>114300</xdr:rowOff>
    </xdr:to>
    <xdr:sp macro="" textlink="">
      <xdr:nvSpPr>
        <xdr:cNvPr id="1007" name="Arrow: Down 1006">
          <a:extLst>
            <a:ext uri="{FF2B5EF4-FFF2-40B4-BE49-F238E27FC236}">
              <a16:creationId xmlns:a16="http://schemas.microsoft.com/office/drawing/2014/main" id="{C12438DE-574D-46C7-ADEC-F03C53288E70}"/>
            </a:ext>
          </a:extLst>
        </xdr:cNvPr>
        <xdr:cNvSpPr/>
      </xdr:nvSpPr>
      <xdr:spPr>
        <a:xfrm rot="10800000">
          <a:off x="1763268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140</xdr:row>
      <xdr:rowOff>0</xdr:rowOff>
    </xdr:from>
    <xdr:to>
      <xdr:col>45</xdr:col>
      <xdr:colOff>83820</xdr:colOff>
      <xdr:row>140</xdr:row>
      <xdr:rowOff>114300</xdr:rowOff>
    </xdr:to>
    <xdr:sp macro="" textlink="">
      <xdr:nvSpPr>
        <xdr:cNvPr id="906" name="Arrow: Down 905">
          <a:extLst>
            <a:ext uri="{FF2B5EF4-FFF2-40B4-BE49-F238E27FC236}">
              <a16:creationId xmlns:a16="http://schemas.microsoft.com/office/drawing/2014/main" id="{C8E0EE1D-5ACB-4FBA-BDA0-0D5D64A6C398}"/>
            </a:ext>
          </a:extLst>
        </xdr:cNvPr>
        <xdr:cNvSpPr/>
      </xdr:nvSpPr>
      <xdr:spPr>
        <a:xfrm rot="10800000">
          <a:off x="10553700" y="2551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140</xdr:row>
      <xdr:rowOff>0</xdr:rowOff>
    </xdr:from>
    <xdr:to>
      <xdr:col>39</xdr:col>
      <xdr:colOff>83820</xdr:colOff>
      <xdr:row>140</xdr:row>
      <xdr:rowOff>114300</xdr:rowOff>
    </xdr:to>
    <xdr:sp macro="" textlink="">
      <xdr:nvSpPr>
        <xdr:cNvPr id="909" name="Arrow: Down 908">
          <a:extLst>
            <a:ext uri="{FF2B5EF4-FFF2-40B4-BE49-F238E27FC236}">
              <a16:creationId xmlns:a16="http://schemas.microsoft.com/office/drawing/2014/main" id="{0A3FF0D5-E4D4-40BA-A405-589537ED6601}"/>
            </a:ext>
          </a:extLst>
        </xdr:cNvPr>
        <xdr:cNvSpPr/>
      </xdr:nvSpPr>
      <xdr:spPr>
        <a:xfrm rot="10800000">
          <a:off x="8747760" y="2551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140</xdr:row>
      <xdr:rowOff>0</xdr:rowOff>
    </xdr:from>
    <xdr:to>
      <xdr:col>5</xdr:col>
      <xdr:colOff>83820</xdr:colOff>
      <xdr:row>140</xdr:row>
      <xdr:rowOff>114300</xdr:rowOff>
    </xdr:to>
    <xdr:sp macro="" textlink="">
      <xdr:nvSpPr>
        <xdr:cNvPr id="917" name="Arrow: Down 916">
          <a:extLst>
            <a:ext uri="{FF2B5EF4-FFF2-40B4-BE49-F238E27FC236}">
              <a16:creationId xmlns:a16="http://schemas.microsoft.com/office/drawing/2014/main" id="{27E40F7B-3270-40A1-9E8D-F907E30BA3B2}"/>
            </a:ext>
          </a:extLst>
        </xdr:cNvPr>
        <xdr:cNvSpPr/>
      </xdr:nvSpPr>
      <xdr:spPr>
        <a:xfrm rot="10800000">
          <a:off x="1927860" y="255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140</xdr:row>
      <xdr:rowOff>0</xdr:rowOff>
    </xdr:from>
    <xdr:to>
      <xdr:col>11</xdr:col>
      <xdr:colOff>83820</xdr:colOff>
      <xdr:row>140</xdr:row>
      <xdr:rowOff>114300</xdr:rowOff>
    </xdr:to>
    <xdr:sp macro="" textlink="">
      <xdr:nvSpPr>
        <xdr:cNvPr id="946" name="Arrow: Down 945">
          <a:extLst>
            <a:ext uri="{FF2B5EF4-FFF2-40B4-BE49-F238E27FC236}">
              <a16:creationId xmlns:a16="http://schemas.microsoft.com/office/drawing/2014/main" id="{766A96F5-AE9F-4E54-B98E-9B69120250F3}"/>
            </a:ext>
          </a:extLst>
        </xdr:cNvPr>
        <xdr:cNvSpPr/>
      </xdr:nvSpPr>
      <xdr:spPr>
        <a:xfrm rot="10800000">
          <a:off x="3619500" y="255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140</xdr:row>
      <xdr:rowOff>0</xdr:rowOff>
    </xdr:from>
    <xdr:to>
      <xdr:col>24</xdr:col>
      <xdr:colOff>83820</xdr:colOff>
      <xdr:row>140</xdr:row>
      <xdr:rowOff>114300</xdr:rowOff>
    </xdr:to>
    <xdr:sp macro="" textlink="">
      <xdr:nvSpPr>
        <xdr:cNvPr id="954" name="Arrow: Down 953">
          <a:extLst>
            <a:ext uri="{FF2B5EF4-FFF2-40B4-BE49-F238E27FC236}">
              <a16:creationId xmlns:a16="http://schemas.microsoft.com/office/drawing/2014/main" id="{E1E5E471-2A90-4DF6-ADB9-E649C8EA4BFA}"/>
            </a:ext>
          </a:extLst>
        </xdr:cNvPr>
        <xdr:cNvSpPr/>
      </xdr:nvSpPr>
      <xdr:spPr>
        <a:xfrm rot="10800000">
          <a:off x="5585460" y="255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140</xdr:row>
      <xdr:rowOff>0</xdr:rowOff>
    </xdr:from>
    <xdr:to>
      <xdr:col>60</xdr:col>
      <xdr:colOff>83820</xdr:colOff>
      <xdr:row>140</xdr:row>
      <xdr:rowOff>114300</xdr:rowOff>
    </xdr:to>
    <xdr:sp macro="" textlink="">
      <xdr:nvSpPr>
        <xdr:cNvPr id="962" name="Arrow: Down 961">
          <a:extLst>
            <a:ext uri="{FF2B5EF4-FFF2-40B4-BE49-F238E27FC236}">
              <a16:creationId xmlns:a16="http://schemas.microsoft.com/office/drawing/2014/main" id="{585A4B92-32F0-49E5-8B87-DF563CE214A2}"/>
            </a:ext>
          </a:extLst>
        </xdr:cNvPr>
        <xdr:cNvSpPr/>
      </xdr:nvSpPr>
      <xdr:spPr>
        <a:xfrm>
          <a:off x="15316200" y="257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140</xdr:row>
      <xdr:rowOff>0</xdr:rowOff>
    </xdr:from>
    <xdr:to>
      <xdr:col>71</xdr:col>
      <xdr:colOff>83820</xdr:colOff>
      <xdr:row>140</xdr:row>
      <xdr:rowOff>114300</xdr:rowOff>
    </xdr:to>
    <xdr:sp macro="" textlink="">
      <xdr:nvSpPr>
        <xdr:cNvPr id="964" name="Arrow: Down 963">
          <a:extLst>
            <a:ext uri="{FF2B5EF4-FFF2-40B4-BE49-F238E27FC236}">
              <a16:creationId xmlns:a16="http://schemas.microsoft.com/office/drawing/2014/main" id="{194502C9-8957-48E1-AF73-695743A6E447}"/>
            </a:ext>
          </a:extLst>
        </xdr:cNvPr>
        <xdr:cNvSpPr/>
      </xdr:nvSpPr>
      <xdr:spPr>
        <a:xfrm>
          <a:off x="17632680" y="257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141</xdr:row>
      <xdr:rowOff>0</xdr:rowOff>
    </xdr:from>
    <xdr:to>
      <xdr:col>45</xdr:col>
      <xdr:colOff>83820</xdr:colOff>
      <xdr:row>141</xdr:row>
      <xdr:rowOff>114300</xdr:rowOff>
    </xdr:to>
    <xdr:sp macro="" textlink="">
      <xdr:nvSpPr>
        <xdr:cNvPr id="965" name="Arrow: Down 964">
          <a:extLst>
            <a:ext uri="{FF2B5EF4-FFF2-40B4-BE49-F238E27FC236}">
              <a16:creationId xmlns:a16="http://schemas.microsoft.com/office/drawing/2014/main" id="{F80B795B-6B4E-4358-967E-31CBA788906D}"/>
            </a:ext>
          </a:extLst>
        </xdr:cNvPr>
        <xdr:cNvSpPr/>
      </xdr:nvSpPr>
      <xdr:spPr>
        <a:xfrm rot="10800000">
          <a:off x="10553700" y="257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141</xdr:row>
      <xdr:rowOff>0</xdr:rowOff>
    </xdr:from>
    <xdr:to>
      <xdr:col>5</xdr:col>
      <xdr:colOff>83820</xdr:colOff>
      <xdr:row>141</xdr:row>
      <xdr:rowOff>114300</xdr:rowOff>
    </xdr:to>
    <xdr:sp macro="" textlink="">
      <xdr:nvSpPr>
        <xdr:cNvPr id="967" name="Arrow: Down 966">
          <a:extLst>
            <a:ext uri="{FF2B5EF4-FFF2-40B4-BE49-F238E27FC236}">
              <a16:creationId xmlns:a16="http://schemas.microsoft.com/office/drawing/2014/main" id="{158EC43A-9C7B-4D27-929A-9A71CC5D3DCF}"/>
            </a:ext>
          </a:extLst>
        </xdr:cNvPr>
        <xdr:cNvSpPr/>
      </xdr:nvSpPr>
      <xdr:spPr>
        <a:xfrm rot="10800000">
          <a:off x="1927860" y="257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141</xdr:row>
      <xdr:rowOff>0</xdr:rowOff>
    </xdr:from>
    <xdr:to>
      <xdr:col>11</xdr:col>
      <xdr:colOff>83820</xdr:colOff>
      <xdr:row>141</xdr:row>
      <xdr:rowOff>114300</xdr:rowOff>
    </xdr:to>
    <xdr:sp macro="" textlink="">
      <xdr:nvSpPr>
        <xdr:cNvPr id="968" name="Arrow: Down 967">
          <a:extLst>
            <a:ext uri="{FF2B5EF4-FFF2-40B4-BE49-F238E27FC236}">
              <a16:creationId xmlns:a16="http://schemas.microsoft.com/office/drawing/2014/main" id="{61D706DC-B55A-403B-94CC-A88A6227AC7C}"/>
            </a:ext>
          </a:extLst>
        </xdr:cNvPr>
        <xdr:cNvSpPr/>
      </xdr:nvSpPr>
      <xdr:spPr>
        <a:xfrm rot="10800000">
          <a:off x="3619500" y="257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141</xdr:row>
      <xdr:rowOff>0</xdr:rowOff>
    </xdr:from>
    <xdr:to>
      <xdr:col>24</xdr:col>
      <xdr:colOff>83820</xdr:colOff>
      <xdr:row>141</xdr:row>
      <xdr:rowOff>114300</xdr:rowOff>
    </xdr:to>
    <xdr:sp macro="" textlink="">
      <xdr:nvSpPr>
        <xdr:cNvPr id="972" name="Arrow: Down 971">
          <a:extLst>
            <a:ext uri="{FF2B5EF4-FFF2-40B4-BE49-F238E27FC236}">
              <a16:creationId xmlns:a16="http://schemas.microsoft.com/office/drawing/2014/main" id="{3E22F261-C3BE-4535-89C0-7E405B748637}"/>
            </a:ext>
          </a:extLst>
        </xdr:cNvPr>
        <xdr:cNvSpPr/>
      </xdr:nvSpPr>
      <xdr:spPr>
        <a:xfrm>
          <a:off x="5585460" y="258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141</xdr:row>
      <xdr:rowOff>0</xdr:rowOff>
    </xdr:from>
    <xdr:to>
      <xdr:col>39</xdr:col>
      <xdr:colOff>83820</xdr:colOff>
      <xdr:row>141</xdr:row>
      <xdr:rowOff>114300</xdr:rowOff>
    </xdr:to>
    <xdr:sp macro="" textlink="">
      <xdr:nvSpPr>
        <xdr:cNvPr id="979" name="Arrow: Down 978">
          <a:extLst>
            <a:ext uri="{FF2B5EF4-FFF2-40B4-BE49-F238E27FC236}">
              <a16:creationId xmlns:a16="http://schemas.microsoft.com/office/drawing/2014/main" id="{56E7121A-7E02-4D0B-873B-E25AD63F27D0}"/>
            </a:ext>
          </a:extLst>
        </xdr:cNvPr>
        <xdr:cNvSpPr/>
      </xdr:nvSpPr>
      <xdr:spPr>
        <a:xfrm>
          <a:off x="874776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141</xdr:row>
      <xdr:rowOff>0</xdr:rowOff>
    </xdr:from>
    <xdr:to>
      <xdr:col>60</xdr:col>
      <xdr:colOff>83820</xdr:colOff>
      <xdr:row>141</xdr:row>
      <xdr:rowOff>114300</xdr:rowOff>
    </xdr:to>
    <xdr:sp macro="" textlink="">
      <xdr:nvSpPr>
        <xdr:cNvPr id="982" name="Arrow: Down 981">
          <a:extLst>
            <a:ext uri="{FF2B5EF4-FFF2-40B4-BE49-F238E27FC236}">
              <a16:creationId xmlns:a16="http://schemas.microsoft.com/office/drawing/2014/main" id="{87C26118-53A3-47F2-B857-9E34BDFD2696}"/>
            </a:ext>
          </a:extLst>
        </xdr:cNvPr>
        <xdr:cNvSpPr/>
      </xdr:nvSpPr>
      <xdr:spPr>
        <a:xfrm rot="10800000">
          <a:off x="1531620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141</xdr:row>
      <xdr:rowOff>0</xdr:rowOff>
    </xdr:from>
    <xdr:to>
      <xdr:col>71</xdr:col>
      <xdr:colOff>83820</xdr:colOff>
      <xdr:row>141</xdr:row>
      <xdr:rowOff>114300</xdr:rowOff>
    </xdr:to>
    <xdr:sp macro="" textlink="">
      <xdr:nvSpPr>
        <xdr:cNvPr id="985" name="Arrow: Down 984">
          <a:extLst>
            <a:ext uri="{FF2B5EF4-FFF2-40B4-BE49-F238E27FC236}">
              <a16:creationId xmlns:a16="http://schemas.microsoft.com/office/drawing/2014/main" id="{E66E3B8C-3FA4-4033-8617-23D136F00DB1}"/>
            </a:ext>
          </a:extLst>
        </xdr:cNvPr>
        <xdr:cNvSpPr/>
      </xdr:nvSpPr>
      <xdr:spPr>
        <a:xfrm rot="10800000">
          <a:off x="1763268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142</xdr:row>
      <xdr:rowOff>0</xdr:rowOff>
    </xdr:from>
    <xdr:to>
      <xdr:col>45</xdr:col>
      <xdr:colOff>83820</xdr:colOff>
      <xdr:row>142</xdr:row>
      <xdr:rowOff>114300</xdr:rowOff>
    </xdr:to>
    <xdr:sp macro="" textlink="">
      <xdr:nvSpPr>
        <xdr:cNvPr id="986" name="Arrow: Down 985">
          <a:extLst>
            <a:ext uri="{FF2B5EF4-FFF2-40B4-BE49-F238E27FC236}">
              <a16:creationId xmlns:a16="http://schemas.microsoft.com/office/drawing/2014/main" id="{10A54977-A3AF-4EB4-96A0-F8333B75E378}"/>
            </a:ext>
          </a:extLst>
        </xdr:cNvPr>
        <xdr:cNvSpPr/>
      </xdr:nvSpPr>
      <xdr:spPr>
        <a:xfrm rot="10800000">
          <a:off x="10553700" y="258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142</xdr:row>
      <xdr:rowOff>0</xdr:rowOff>
    </xdr:from>
    <xdr:to>
      <xdr:col>5</xdr:col>
      <xdr:colOff>83820</xdr:colOff>
      <xdr:row>142</xdr:row>
      <xdr:rowOff>114300</xdr:rowOff>
    </xdr:to>
    <xdr:sp macro="" textlink="">
      <xdr:nvSpPr>
        <xdr:cNvPr id="987" name="Arrow: Down 986">
          <a:extLst>
            <a:ext uri="{FF2B5EF4-FFF2-40B4-BE49-F238E27FC236}">
              <a16:creationId xmlns:a16="http://schemas.microsoft.com/office/drawing/2014/main" id="{2030F8D0-FD77-4201-98E1-D493ED4C6586}"/>
            </a:ext>
          </a:extLst>
        </xdr:cNvPr>
        <xdr:cNvSpPr/>
      </xdr:nvSpPr>
      <xdr:spPr>
        <a:xfrm rot="10800000">
          <a:off x="192786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142</xdr:row>
      <xdr:rowOff>0</xdr:rowOff>
    </xdr:from>
    <xdr:to>
      <xdr:col>11</xdr:col>
      <xdr:colOff>83820</xdr:colOff>
      <xdr:row>142</xdr:row>
      <xdr:rowOff>114300</xdr:rowOff>
    </xdr:to>
    <xdr:sp macro="" textlink="">
      <xdr:nvSpPr>
        <xdr:cNvPr id="988" name="Arrow: Down 987">
          <a:extLst>
            <a:ext uri="{FF2B5EF4-FFF2-40B4-BE49-F238E27FC236}">
              <a16:creationId xmlns:a16="http://schemas.microsoft.com/office/drawing/2014/main" id="{B1F9CD4C-1E7A-436A-B5C5-6FB63B032DD6}"/>
            </a:ext>
          </a:extLst>
        </xdr:cNvPr>
        <xdr:cNvSpPr/>
      </xdr:nvSpPr>
      <xdr:spPr>
        <a:xfrm rot="10800000">
          <a:off x="361950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142</xdr:row>
      <xdr:rowOff>0</xdr:rowOff>
    </xdr:from>
    <xdr:to>
      <xdr:col>24</xdr:col>
      <xdr:colOff>83820</xdr:colOff>
      <xdr:row>142</xdr:row>
      <xdr:rowOff>114300</xdr:rowOff>
    </xdr:to>
    <xdr:sp macro="" textlink="">
      <xdr:nvSpPr>
        <xdr:cNvPr id="990" name="Arrow: Down 989">
          <a:extLst>
            <a:ext uri="{FF2B5EF4-FFF2-40B4-BE49-F238E27FC236}">
              <a16:creationId xmlns:a16="http://schemas.microsoft.com/office/drawing/2014/main" id="{103F922D-A780-4EF5-B1F6-489FA3D249E4}"/>
            </a:ext>
          </a:extLst>
        </xdr:cNvPr>
        <xdr:cNvSpPr/>
      </xdr:nvSpPr>
      <xdr:spPr>
        <a:xfrm>
          <a:off x="5585460" y="258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142</xdr:row>
      <xdr:rowOff>0</xdr:rowOff>
    </xdr:from>
    <xdr:to>
      <xdr:col>39</xdr:col>
      <xdr:colOff>83820</xdr:colOff>
      <xdr:row>142</xdr:row>
      <xdr:rowOff>114300</xdr:rowOff>
    </xdr:to>
    <xdr:sp macro="" textlink="">
      <xdr:nvSpPr>
        <xdr:cNvPr id="998" name="Arrow: Down 997">
          <a:extLst>
            <a:ext uri="{FF2B5EF4-FFF2-40B4-BE49-F238E27FC236}">
              <a16:creationId xmlns:a16="http://schemas.microsoft.com/office/drawing/2014/main" id="{DE8BB581-573B-449D-A8B9-22E71C286290}"/>
            </a:ext>
          </a:extLst>
        </xdr:cNvPr>
        <xdr:cNvSpPr/>
      </xdr:nvSpPr>
      <xdr:spPr>
        <a:xfrm rot="10800000">
          <a:off x="874776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142</xdr:row>
      <xdr:rowOff>0</xdr:rowOff>
    </xdr:from>
    <xdr:to>
      <xdr:col>60</xdr:col>
      <xdr:colOff>83820</xdr:colOff>
      <xdr:row>142</xdr:row>
      <xdr:rowOff>114300</xdr:rowOff>
    </xdr:to>
    <xdr:sp macro="" textlink="">
      <xdr:nvSpPr>
        <xdr:cNvPr id="1008" name="Arrow: Down 1007">
          <a:extLst>
            <a:ext uri="{FF2B5EF4-FFF2-40B4-BE49-F238E27FC236}">
              <a16:creationId xmlns:a16="http://schemas.microsoft.com/office/drawing/2014/main" id="{81739F3F-2F86-433F-9960-A87A639DA5B9}"/>
            </a:ext>
          </a:extLst>
        </xdr:cNvPr>
        <xdr:cNvSpPr/>
      </xdr:nvSpPr>
      <xdr:spPr>
        <a:xfrm>
          <a:off x="1531620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142</xdr:row>
      <xdr:rowOff>0</xdr:rowOff>
    </xdr:from>
    <xdr:to>
      <xdr:col>71</xdr:col>
      <xdr:colOff>83820</xdr:colOff>
      <xdr:row>142</xdr:row>
      <xdr:rowOff>114300</xdr:rowOff>
    </xdr:to>
    <xdr:sp macro="" textlink="">
      <xdr:nvSpPr>
        <xdr:cNvPr id="1009" name="Arrow: Down 1008">
          <a:extLst>
            <a:ext uri="{FF2B5EF4-FFF2-40B4-BE49-F238E27FC236}">
              <a16:creationId xmlns:a16="http://schemas.microsoft.com/office/drawing/2014/main" id="{385D6C59-A9CE-4C01-B3BE-79BDC77197DB}"/>
            </a:ext>
          </a:extLst>
        </xdr:cNvPr>
        <xdr:cNvSpPr/>
      </xdr:nvSpPr>
      <xdr:spPr>
        <a:xfrm>
          <a:off x="1763268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143</xdr:row>
      <xdr:rowOff>0</xdr:rowOff>
    </xdr:from>
    <xdr:to>
      <xdr:col>45</xdr:col>
      <xdr:colOff>83820</xdr:colOff>
      <xdr:row>143</xdr:row>
      <xdr:rowOff>114300</xdr:rowOff>
    </xdr:to>
    <xdr:sp macro="" textlink="">
      <xdr:nvSpPr>
        <xdr:cNvPr id="1010" name="Arrow: Down 1009">
          <a:extLst>
            <a:ext uri="{FF2B5EF4-FFF2-40B4-BE49-F238E27FC236}">
              <a16:creationId xmlns:a16="http://schemas.microsoft.com/office/drawing/2014/main" id="{1F09D143-42FA-4180-B33F-85FCD3CDF024}"/>
            </a:ext>
          </a:extLst>
        </xdr:cNvPr>
        <xdr:cNvSpPr/>
      </xdr:nvSpPr>
      <xdr:spPr>
        <a:xfrm rot="10800000">
          <a:off x="1055370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143</xdr:row>
      <xdr:rowOff>0</xdr:rowOff>
    </xdr:from>
    <xdr:to>
      <xdr:col>24</xdr:col>
      <xdr:colOff>83820</xdr:colOff>
      <xdr:row>143</xdr:row>
      <xdr:rowOff>114300</xdr:rowOff>
    </xdr:to>
    <xdr:sp macro="" textlink="">
      <xdr:nvSpPr>
        <xdr:cNvPr id="1013" name="Arrow: Down 1012">
          <a:extLst>
            <a:ext uri="{FF2B5EF4-FFF2-40B4-BE49-F238E27FC236}">
              <a16:creationId xmlns:a16="http://schemas.microsoft.com/office/drawing/2014/main" id="{2ADE61B4-E15A-4931-B07D-E5D7E66F557D}"/>
            </a:ext>
          </a:extLst>
        </xdr:cNvPr>
        <xdr:cNvSpPr/>
      </xdr:nvSpPr>
      <xdr:spPr>
        <a:xfrm>
          <a:off x="558546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143</xdr:row>
      <xdr:rowOff>0</xdr:rowOff>
    </xdr:from>
    <xdr:to>
      <xdr:col>39</xdr:col>
      <xdr:colOff>83820</xdr:colOff>
      <xdr:row>143</xdr:row>
      <xdr:rowOff>114300</xdr:rowOff>
    </xdr:to>
    <xdr:sp macro="" textlink="">
      <xdr:nvSpPr>
        <xdr:cNvPr id="1014" name="Arrow: Down 1013">
          <a:extLst>
            <a:ext uri="{FF2B5EF4-FFF2-40B4-BE49-F238E27FC236}">
              <a16:creationId xmlns:a16="http://schemas.microsoft.com/office/drawing/2014/main" id="{46F27A80-7D11-4D2C-9D90-441C8E356C20}"/>
            </a:ext>
          </a:extLst>
        </xdr:cNvPr>
        <xdr:cNvSpPr/>
      </xdr:nvSpPr>
      <xdr:spPr>
        <a:xfrm rot="10800000">
          <a:off x="874776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143</xdr:row>
      <xdr:rowOff>0</xdr:rowOff>
    </xdr:from>
    <xdr:to>
      <xdr:col>5</xdr:col>
      <xdr:colOff>83820</xdr:colOff>
      <xdr:row>143</xdr:row>
      <xdr:rowOff>114300</xdr:rowOff>
    </xdr:to>
    <xdr:sp macro="" textlink="">
      <xdr:nvSpPr>
        <xdr:cNvPr id="1017" name="Arrow: Down 1016">
          <a:extLst>
            <a:ext uri="{FF2B5EF4-FFF2-40B4-BE49-F238E27FC236}">
              <a16:creationId xmlns:a16="http://schemas.microsoft.com/office/drawing/2014/main" id="{3C2EACB0-0E20-425C-9A5B-BBBA525B3332}"/>
            </a:ext>
          </a:extLst>
        </xdr:cNvPr>
        <xdr:cNvSpPr/>
      </xdr:nvSpPr>
      <xdr:spPr>
        <a:xfrm>
          <a:off x="192786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143</xdr:row>
      <xdr:rowOff>0</xdr:rowOff>
    </xdr:from>
    <xdr:to>
      <xdr:col>11</xdr:col>
      <xdr:colOff>83820</xdr:colOff>
      <xdr:row>143</xdr:row>
      <xdr:rowOff>114300</xdr:rowOff>
    </xdr:to>
    <xdr:sp macro="" textlink="">
      <xdr:nvSpPr>
        <xdr:cNvPr id="1018" name="Arrow: Down 1017">
          <a:extLst>
            <a:ext uri="{FF2B5EF4-FFF2-40B4-BE49-F238E27FC236}">
              <a16:creationId xmlns:a16="http://schemas.microsoft.com/office/drawing/2014/main" id="{FABB3758-4F9E-43D1-BD98-2CF8895FC508}"/>
            </a:ext>
          </a:extLst>
        </xdr:cNvPr>
        <xdr:cNvSpPr/>
      </xdr:nvSpPr>
      <xdr:spPr>
        <a:xfrm>
          <a:off x="361950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143</xdr:row>
      <xdr:rowOff>0</xdr:rowOff>
    </xdr:from>
    <xdr:to>
      <xdr:col>60</xdr:col>
      <xdr:colOff>83820</xdr:colOff>
      <xdr:row>143</xdr:row>
      <xdr:rowOff>114300</xdr:rowOff>
    </xdr:to>
    <xdr:sp macro="" textlink="">
      <xdr:nvSpPr>
        <xdr:cNvPr id="1020" name="Arrow: Down 1019">
          <a:extLst>
            <a:ext uri="{FF2B5EF4-FFF2-40B4-BE49-F238E27FC236}">
              <a16:creationId xmlns:a16="http://schemas.microsoft.com/office/drawing/2014/main" id="{8B334531-90EA-4A03-9E27-6599A2918149}"/>
            </a:ext>
          </a:extLst>
        </xdr:cNvPr>
        <xdr:cNvSpPr/>
      </xdr:nvSpPr>
      <xdr:spPr>
        <a:xfrm rot="10800000">
          <a:off x="15316200" y="262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143</xdr:row>
      <xdr:rowOff>0</xdr:rowOff>
    </xdr:from>
    <xdr:to>
      <xdr:col>71</xdr:col>
      <xdr:colOff>83820</xdr:colOff>
      <xdr:row>143</xdr:row>
      <xdr:rowOff>114300</xdr:rowOff>
    </xdr:to>
    <xdr:sp macro="" textlink="">
      <xdr:nvSpPr>
        <xdr:cNvPr id="1021" name="Arrow: Down 1020">
          <a:extLst>
            <a:ext uri="{FF2B5EF4-FFF2-40B4-BE49-F238E27FC236}">
              <a16:creationId xmlns:a16="http://schemas.microsoft.com/office/drawing/2014/main" id="{7C07D284-5874-49CB-940F-CC744A2AF5F4}"/>
            </a:ext>
          </a:extLst>
        </xdr:cNvPr>
        <xdr:cNvSpPr/>
      </xdr:nvSpPr>
      <xdr:spPr>
        <a:xfrm rot="10800000">
          <a:off x="17632680" y="262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144</xdr:row>
      <xdr:rowOff>0</xdr:rowOff>
    </xdr:from>
    <xdr:to>
      <xdr:col>24</xdr:col>
      <xdr:colOff>83820</xdr:colOff>
      <xdr:row>144</xdr:row>
      <xdr:rowOff>114300</xdr:rowOff>
    </xdr:to>
    <xdr:sp macro="" textlink="">
      <xdr:nvSpPr>
        <xdr:cNvPr id="1023" name="Arrow: Down 1022">
          <a:extLst>
            <a:ext uri="{FF2B5EF4-FFF2-40B4-BE49-F238E27FC236}">
              <a16:creationId xmlns:a16="http://schemas.microsoft.com/office/drawing/2014/main" id="{AAF4BF62-B6BC-4F6B-9AE5-CE06B14D9EB2}"/>
            </a:ext>
          </a:extLst>
        </xdr:cNvPr>
        <xdr:cNvSpPr/>
      </xdr:nvSpPr>
      <xdr:spPr>
        <a:xfrm>
          <a:off x="558546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144</xdr:row>
      <xdr:rowOff>0</xdr:rowOff>
    </xdr:from>
    <xdr:to>
      <xdr:col>5</xdr:col>
      <xdr:colOff>83820</xdr:colOff>
      <xdr:row>144</xdr:row>
      <xdr:rowOff>114300</xdr:rowOff>
    </xdr:to>
    <xdr:sp macro="" textlink="">
      <xdr:nvSpPr>
        <xdr:cNvPr id="1025" name="Arrow: Down 1024">
          <a:extLst>
            <a:ext uri="{FF2B5EF4-FFF2-40B4-BE49-F238E27FC236}">
              <a16:creationId xmlns:a16="http://schemas.microsoft.com/office/drawing/2014/main" id="{5E36AA2B-3324-48E2-8081-D1307CD80C7B}"/>
            </a:ext>
          </a:extLst>
        </xdr:cNvPr>
        <xdr:cNvSpPr/>
      </xdr:nvSpPr>
      <xdr:spPr>
        <a:xfrm>
          <a:off x="192786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144</xdr:row>
      <xdr:rowOff>0</xdr:rowOff>
    </xdr:from>
    <xdr:to>
      <xdr:col>11</xdr:col>
      <xdr:colOff>83820</xdr:colOff>
      <xdr:row>144</xdr:row>
      <xdr:rowOff>114300</xdr:rowOff>
    </xdr:to>
    <xdr:sp macro="" textlink="">
      <xdr:nvSpPr>
        <xdr:cNvPr id="1026" name="Arrow: Down 1025">
          <a:extLst>
            <a:ext uri="{FF2B5EF4-FFF2-40B4-BE49-F238E27FC236}">
              <a16:creationId xmlns:a16="http://schemas.microsoft.com/office/drawing/2014/main" id="{49253A47-471B-4537-9E4A-918ACE527AF9}"/>
            </a:ext>
          </a:extLst>
        </xdr:cNvPr>
        <xdr:cNvSpPr/>
      </xdr:nvSpPr>
      <xdr:spPr>
        <a:xfrm>
          <a:off x="361950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144</xdr:row>
      <xdr:rowOff>0</xdr:rowOff>
    </xdr:from>
    <xdr:to>
      <xdr:col>60</xdr:col>
      <xdr:colOff>83820</xdr:colOff>
      <xdr:row>144</xdr:row>
      <xdr:rowOff>114300</xdr:rowOff>
    </xdr:to>
    <xdr:sp macro="" textlink="">
      <xdr:nvSpPr>
        <xdr:cNvPr id="1029" name="Arrow: Down 1028">
          <a:extLst>
            <a:ext uri="{FF2B5EF4-FFF2-40B4-BE49-F238E27FC236}">
              <a16:creationId xmlns:a16="http://schemas.microsoft.com/office/drawing/2014/main" id="{12CAADF9-475E-4BEF-806F-52E0C255B0ED}"/>
            </a:ext>
          </a:extLst>
        </xdr:cNvPr>
        <xdr:cNvSpPr/>
      </xdr:nvSpPr>
      <xdr:spPr>
        <a:xfrm>
          <a:off x="1531620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144</xdr:row>
      <xdr:rowOff>0</xdr:rowOff>
    </xdr:from>
    <xdr:to>
      <xdr:col>71</xdr:col>
      <xdr:colOff>83820</xdr:colOff>
      <xdr:row>144</xdr:row>
      <xdr:rowOff>114300</xdr:rowOff>
    </xdr:to>
    <xdr:sp macro="" textlink="">
      <xdr:nvSpPr>
        <xdr:cNvPr id="1030" name="Arrow: Down 1029">
          <a:extLst>
            <a:ext uri="{FF2B5EF4-FFF2-40B4-BE49-F238E27FC236}">
              <a16:creationId xmlns:a16="http://schemas.microsoft.com/office/drawing/2014/main" id="{08831B7E-64AA-4F7B-B7B9-6C6815274A79}"/>
            </a:ext>
          </a:extLst>
        </xdr:cNvPr>
        <xdr:cNvSpPr/>
      </xdr:nvSpPr>
      <xdr:spPr>
        <a:xfrm>
          <a:off x="1763268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144</xdr:row>
      <xdr:rowOff>0</xdr:rowOff>
    </xdr:from>
    <xdr:to>
      <xdr:col>39</xdr:col>
      <xdr:colOff>83820</xdr:colOff>
      <xdr:row>144</xdr:row>
      <xdr:rowOff>114300</xdr:rowOff>
    </xdr:to>
    <xdr:sp macro="" textlink="">
      <xdr:nvSpPr>
        <xdr:cNvPr id="1031" name="Arrow: Down 1030">
          <a:extLst>
            <a:ext uri="{FF2B5EF4-FFF2-40B4-BE49-F238E27FC236}">
              <a16:creationId xmlns:a16="http://schemas.microsoft.com/office/drawing/2014/main" id="{40CD1573-43A9-48F2-9C38-DDAE79E1761B}"/>
            </a:ext>
          </a:extLst>
        </xdr:cNvPr>
        <xdr:cNvSpPr/>
      </xdr:nvSpPr>
      <xdr:spPr>
        <a:xfrm>
          <a:off x="12687300" y="264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144</xdr:row>
      <xdr:rowOff>0</xdr:rowOff>
    </xdr:from>
    <xdr:to>
      <xdr:col>45</xdr:col>
      <xdr:colOff>83820</xdr:colOff>
      <xdr:row>144</xdr:row>
      <xdr:rowOff>114300</xdr:rowOff>
    </xdr:to>
    <xdr:sp macro="" textlink="">
      <xdr:nvSpPr>
        <xdr:cNvPr id="1032" name="Arrow: Down 1031">
          <a:extLst>
            <a:ext uri="{FF2B5EF4-FFF2-40B4-BE49-F238E27FC236}">
              <a16:creationId xmlns:a16="http://schemas.microsoft.com/office/drawing/2014/main" id="{2F271A85-D695-49FE-94F0-6FC114635A34}"/>
            </a:ext>
          </a:extLst>
        </xdr:cNvPr>
        <xdr:cNvSpPr/>
      </xdr:nvSpPr>
      <xdr:spPr>
        <a:xfrm>
          <a:off x="14493240" y="264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145</xdr:row>
      <xdr:rowOff>0</xdr:rowOff>
    </xdr:from>
    <xdr:to>
      <xdr:col>5</xdr:col>
      <xdr:colOff>83820</xdr:colOff>
      <xdr:row>145</xdr:row>
      <xdr:rowOff>114300</xdr:rowOff>
    </xdr:to>
    <xdr:sp macro="" textlink="">
      <xdr:nvSpPr>
        <xdr:cNvPr id="1041" name="Arrow: Down 1040">
          <a:extLst>
            <a:ext uri="{FF2B5EF4-FFF2-40B4-BE49-F238E27FC236}">
              <a16:creationId xmlns:a16="http://schemas.microsoft.com/office/drawing/2014/main" id="{061DDFF6-0D74-43E3-85AB-B2E1E1CA803B}"/>
            </a:ext>
          </a:extLst>
        </xdr:cNvPr>
        <xdr:cNvSpPr/>
      </xdr:nvSpPr>
      <xdr:spPr>
        <a:xfrm>
          <a:off x="192786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145</xdr:row>
      <xdr:rowOff>0</xdr:rowOff>
    </xdr:from>
    <xdr:to>
      <xdr:col>11</xdr:col>
      <xdr:colOff>83820</xdr:colOff>
      <xdr:row>145</xdr:row>
      <xdr:rowOff>114300</xdr:rowOff>
    </xdr:to>
    <xdr:sp macro="" textlink="">
      <xdr:nvSpPr>
        <xdr:cNvPr id="1042" name="Arrow: Down 1041">
          <a:extLst>
            <a:ext uri="{FF2B5EF4-FFF2-40B4-BE49-F238E27FC236}">
              <a16:creationId xmlns:a16="http://schemas.microsoft.com/office/drawing/2014/main" id="{DDD06988-826E-4A10-9111-54908FA5C8E5}"/>
            </a:ext>
          </a:extLst>
        </xdr:cNvPr>
        <xdr:cNvSpPr/>
      </xdr:nvSpPr>
      <xdr:spPr>
        <a:xfrm>
          <a:off x="361950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145</xdr:row>
      <xdr:rowOff>0</xdr:rowOff>
    </xdr:from>
    <xdr:to>
      <xdr:col>60</xdr:col>
      <xdr:colOff>83820</xdr:colOff>
      <xdr:row>145</xdr:row>
      <xdr:rowOff>114300</xdr:rowOff>
    </xdr:to>
    <xdr:sp macro="" textlink="">
      <xdr:nvSpPr>
        <xdr:cNvPr id="1043" name="Arrow: Down 1042">
          <a:extLst>
            <a:ext uri="{FF2B5EF4-FFF2-40B4-BE49-F238E27FC236}">
              <a16:creationId xmlns:a16="http://schemas.microsoft.com/office/drawing/2014/main" id="{A619A990-27A1-4AF3-B800-FAE5A2E56A04}"/>
            </a:ext>
          </a:extLst>
        </xdr:cNvPr>
        <xdr:cNvSpPr/>
      </xdr:nvSpPr>
      <xdr:spPr>
        <a:xfrm>
          <a:off x="1531620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145</xdr:row>
      <xdr:rowOff>0</xdr:rowOff>
    </xdr:from>
    <xdr:to>
      <xdr:col>71</xdr:col>
      <xdr:colOff>83820</xdr:colOff>
      <xdr:row>145</xdr:row>
      <xdr:rowOff>114300</xdr:rowOff>
    </xdr:to>
    <xdr:sp macro="" textlink="">
      <xdr:nvSpPr>
        <xdr:cNvPr id="1044" name="Arrow: Down 1043">
          <a:extLst>
            <a:ext uri="{FF2B5EF4-FFF2-40B4-BE49-F238E27FC236}">
              <a16:creationId xmlns:a16="http://schemas.microsoft.com/office/drawing/2014/main" id="{D65B4D1C-2E6D-4F50-B93D-59DD805FC331}"/>
            </a:ext>
          </a:extLst>
        </xdr:cNvPr>
        <xdr:cNvSpPr/>
      </xdr:nvSpPr>
      <xdr:spPr>
        <a:xfrm>
          <a:off x="1763268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145</xdr:row>
      <xdr:rowOff>0</xdr:rowOff>
    </xdr:from>
    <xdr:to>
      <xdr:col>39</xdr:col>
      <xdr:colOff>83820</xdr:colOff>
      <xdr:row>145</xdr:row>
      <xdr:rowOff>114300</xdr:rowOff>
    </xdr:to>
    <xdr:sp macro="" textlink="">
      <xdr:nvSpPr>
        <xdr:cNvPr id="956" name="Arrow: Down 955">
          <a:extLst>
            <a:ext uri="{FF2B5EF4-FFF2-40B4-BE49-F238E27FC236}">
              <a16:creationId xmlns:a16="http://schemas.microsoft.com/office/drawing/2014/main" id="{4042548F-17FB-48DC-A7ED-BFE8177CD795}"/>
            </a:ext>
          </a:extLst>
        </xdr:cNvPr>
        <xdr:cNvSpPr/>
      </xdr:nvSpPr>
      <xdr:spPr>
        <a:xfrm rot="10800000">
          <a:off x="8747760" y="266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145</xdr:row>
      <xdr:rowOff>0</xdr:rowOff>
    </xdr:from>
    <xdr:to>
      <xdr:col>45</xdr:col>
      <xdr:colOff>83820</xdr:colOff>
      <xdr:row>145</xdr:row>
      <xdr:rowOff>114300</xdr:rowOff>
    </xdr:to>
    <xdr:sp macro="" textlink="">
      <xdr:nvSpPr>
        <xdr:cNvPr id="957" name="Arrow: Down 956">
          <a:extLst>
            <a:ext uri="{FF2B5EF4-FFF2-40B4-BE49-F238E27FC236}">
              <a16:creationId xmlns:a16="http://schemas.microsoft.com/office/drawing/2014/main" id="{2BEF22FE-1D6F-4F76-8A7C-953FE0E3D8D3}"/>
            </a:ext>
          </a:extLst>
        </xdr:cNvPr>
        <xdr:cNvSpPr/>
      </xdr:nvSpPr>
      <xdr:spPr>
        <a:xfrm rot="10800000">
          <a:off x="10553700" y="266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145</xdr:row>
      <xdr:rowOff>0</xdr:rowOff>
    </xdr:from>
    <xdr:to>
      <xdr:col>24</xdr:col>
      <xdr:colOff>83820</xdr:colOff>
      <xdr:row>145</xdr:row>
      <xdr:rowOff>114300</xdr:rowOff>
    </xdr:to>
    <xdr:sp macro="" textlink="">
      <xdr:nvSpPr>
        <xdr:cNvPr id="958" name="Arrow: Down 957">
          <a:extLst>
            <a:ext uri="{FF2B5EF4-FFF2-40B4-BE49-F238E27FC236}">
              <a16:creationId xmlns:a16="http://schemas.microsoft.com/office/drawing/2014/main" id="{A8F4120E-A402-493A-A0A5-946F9A4D7218}"/>
            </a:ext>
          </a:extLst>
        </xdr:cNvPr>
        <xdr:cNvSpPr/>
      </xdr:nvSpPr>
      <xdr:spPr>
        <a:xfrm rot="10800000">
          <a:off x="5585460" y="2661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146</xdr:row>
      <xdr:rowOff>0</xdr:rowOff>
    </xdr:from>
    <xdr:to>
      <xdr:col>45</xdr:col>
      <xdr:colOff>83820</xdr:colOff>
      <xdr:row>146</xdr:row>
      <xdr:rowOff>114300</xdr:rowOff>
    </xdr:to>
    <xdr:sp macro="" textlink="">
      <xdr:nvSpPr>
        <xdr:cNvPr id="980" name="Arrow: Down 979">
          <a:extLst>
            <a:ext uri="{FF2B5EF4-FFF2-40B4-BE49-F238E27FC236}">
              <a16:creationId xmlns:a16="http://schemas.microsoft.com/office/drawing/2014/main" id="{21AB4641-BC99-4708-A355-D79018888AD5}"/>
            </a:ext>
          </a:extLst>
        </xdr:cNvPr>
        <xdr:cNvSpPr/>
      </xdr:nvSpPr>
      <xdr:spPr>
        <a:xfrm rot="10800000">
          <a:off x="10553700" y="266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146</xdr:row>
      <xdr:rowOff>0</xdr:rowOff>
    </xdr:from>
    <xdr:to>
      <xdr:col>5</xdr:col>
      <xdr:colOff>83820</xdr:colOff>
      <xdr:row>146</xdr:row>
      <xdr:rowOff>114300</xdr:rowOff>
    </xdr:to>
    <xdr:sp macro="" textlink="">
      <xdr:nvSpPr>
        <xdr:cNvPr id="993" name="Arrow: Down 992">
          <a:extLst>
            <a:ext uri="{FF2B5EF4-FFF2-40B4-BE49-F238E27FC236}">
              <a16:creationId xmlns:a16="http://schemas.microsoft.com/office/drawing/2014/main" id="{C85C23AC-F411-4478-B543-DF678A2CEE02}"/>
            </a:ext>
          </a:extLst>
        </xdr:cNvPr>
        <xdr:cNvSpPr/>
      </xdr:nvSpPr>
      <xdr:spPr>
        <a:xfrm rot="10800000">
          <a:off x="19278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146</xdr:row>
      <xdr:rowOff>0</xdr:rowOff>
    </xdr:from>
    <xdr:to>
      <xdr:col>11</xdr:col>
      <xdr:colOff>83820</xdr:colOff>
      <xdr:row>146</xdr:row>
      <xdr:rowOff>114300</xdr:rowOff>
    </xdr:to>
    <xdr:sp macro="" textlink="">
      <xdr:nvSpPr>
        <xdr:cNvPr id="1012" name="Arrow: Down 1011">
          <a:extLst>
            <a:ext uri="{FF2B5EF4-FFF2-40B4-BE49-F238E27FC236}">
              <a16:creationId xmlns:a16="http://schemas.microsoft.com/office/drawing/2014/main" id="{8231E96B-83FD-4F59-82DC-9051754BCCBF}"/>
            </a:ext>
          </a:extLst>
        </xdr:cNvPr>
        <xdr:cNvSpPr/>
      </xdr:nvSpPr>
      <xdr:spPr>
        <a:xfrm rot="10800000">
          <a:off x="361950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146</xdr:row>
      <xdr:rowOff>0</xdr:rowOff>
    </xdr:from>
    <xdr:to>
      <xdr:col>24</xdr:col>
      <xdr:colOff>83820</xdr:colOff>
      <xdr:row>146</xdr:row>
      <xdr:rowOff>114300</xdr:rowOff>
    </xdr:to>
    <xdr:sp macro="" textlink="">
      <xdr:nvSpPr>
        <xdr:cNvPr id="1019" name="Arrow: Down 1018">
          <a:extLst>
            <a:ext uri="{FF2B5EF4-FFF2-40B4-BE49-F238E27FC236}">
              <a16:creationId xmlns:a16="http://schemas.microsoft.com/office/drawing/2014/main" id="{AD752C76-253C-44EC-AD26-21EB0C44A10A}"/>
            </a:ext>
          </a:extLst>
        </xdr:cNvPr>
        <xdr:cNvSpPr/>
      </xdr:nvSpPr>
      <xdr:spPr>
        <a:xfrm rot="10800000">
          <a:off x="55854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146</xdr:row>
      <xdr:rowOff>0</xdr:rowOff>
    </xdr:from>
    <xdr:to>
      <xdr:col>39</xdr:col>
      <xdr:colOff>83820</xdr:colOff>
      <xdr:row>146</xdr:row>
      <xdr:rowOff>114300</xdr:rowOff>
    </xdr:to>
    <xdr:sp macro="" textlink="">
      <xdr:nvSpPr>
        <xdr:cNvPr id="1022" name="Arrow: Down 1021">
          <a:extLst>
            <a:ext uri="{FF2B5EF4-FFF2-40B4-BE49-F238E27FC236}">
              <a16:creationId xmlns:a16="http://schemas.microsoft.com/office/drawing/2014/main" id="{53F8F98E-393D-4BC4-92CD-C52AF6CD3A46}"/>
            </a:ext>
          </a:extLst>
        </xdr:cNvPr>
        <xdr:cNvSpPr/>
      </xdr:nvSpPr>
      <xdr:spPr>
        <a:xfrm>
          <a:off x="87477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146</xdr:row>
      <xdr:rowOff>0</xdr:rowOff>
    </xdr:from>
    <xdr:to>
      <xdr:col>60</xdr:col>
      <xdr:colOff>83820</xdr:colOff>
      <xdr:row>146</xdr:row>
      <xdr:rowOff>114300</xdr:rowOff>
    </xdr:to>
    <xdr:sp macro="" textlink="">
      <xdr:nvSpPr>
        <xdr:cNvPr id="1027" name="Arrow: Down 1026">
          <a:extLst>
            <a:ext uri="{FF2B5EF4-FFF2-40B4-BE49-F238E27FC236}">
              <a16:creationId xmlns:a16="http://schemas.microsoft.com/office/drawing/2014/main" id="{C813538D-D35C-4BD9-A134-949B7B4BCF2F}"/>
            </a:ext>
          </a:extLst>
        </xdr:cNvPr>
        <xdr:cNvSpPr/>
      </xdr:nvSpPr>
      <xdr:spPr>
        <a:xfrm rot="10800000">
          <a:off x="1531620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146</xdr:row>
      <xdr:rowOff>0</xdr:rowOff>
    </xdr:from>
    <xdr:to>
      <xdr:col>71</xdr:col>
      <xdr:colOff>83820</xdr:colOff>
      <xdr:row>146</xdr:row>
      <xdr:rowOff>114300</xdr:rowOff>
    </xdr:to>
    <xdr:sp macro="" textlink="">
      <xdr:nvSpPr>
        <xdr:cNvPr id="1028" name="Arrow: Down 1027">
          <a:extLst>
            <a:ext uri="{FF2B5EF4-FFF2-40B4-BE49-F238E27FC236}">
              <a16:creationId xmlns:a16="http://schemas.microsoft.com/office/drawing/2014/main" id="{340696E2-9F6B-4B05-89ED-AE1782A7814A}"/>
            </a:ext>
          </a:extLst>
        </xdr:cNvPr>
        <xdr:cNvSpPr/>
      </xdr:nvSpPr>
      <xdr:spPr>
        <a:xfrm rot="10800000">
          <a:off x="1763268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147</xdr:row>
      <xdr:rowOff>0</xdr:rowOff>
    </xdr:from>
    <xdr:to>
      <xdr:col>45</xdr:col>
      <xdr:colOff>83820</xdr:colOff>
      <xdr:row>147</xdr:row>
      <xdr:rowOff>114300</xdr:rowOff>
    </xdr:to>
    <xdr:sp macro="" textlink="">
      <xdr:nvSpPr>
        <xdr:cNvPr id="966" name="Arrow: Down 965">
          <a:extLst>
            <a:ext uri="{FF2B5EF4-FFF2-40B4-BE49-F238E27FC236}">
              <a16:creationId xmlns:a16="http://schemas.microsoft.com/office/drawing/2014/main" id="{72BFFA0E-C232-40F3-B57B-7001EF2C7836}"/>
            </a:ext>
          </a:extLst>
        </xdr:cNvPr>
        <xdr:cNvSpPr/>
      </xdr:nvSpPr>
      <xdr:spPr>
        <a:xfrm rot="10800000">
          <a:off x="10553700" y="267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147</xdr:row>
      <xdr:rowOff>0</xdr:rowOff>
    </xdr:from>
    <xdr:to>
      <xdr:col>5</xdr:col>
      <xdr:colOff>83820</xdr:colOff>
      <xdr:row>147</xdr:row>
      <xdr:rowOff>114300</xdr:rowOff>
    </xdr:to>
    <xdr:sp macro="" textlink="">
      <xdr:nvSpPr>
        <xdr:cNvPr id="969" name="Arrow: Down 968">
          <a:extLst>
            <a:ext uri="{FF2B5EF4-FFF2-40B4-BE49-F238E27FC236}">
              <a16:creationId xmlns:a16="http://schemas.microsoft.com/office/drawing/2014/main" id="{552F8DA2-A27E-46CA-84A1-F35E5606733A}"/>
            </a:ext>
          </a:extLst>
        </xdr:cNvPr>
        <xdr:cNvSpPr/>
      </xdr:nvSpPr>
      <xdr:spPr>
        <a:xfrm rot="10800000">
          <a:off x="19278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147</xdr:row>
      <xdr:rowOff>0</xdr:rowOff>
    </xdr:from>
    <xdr:to>
      <xdr:col>11</xdr:col>
      <xdr:colOff>83820</xdr:colOff>
      <xdr:row>147</xdr:row>
      <xdr:rowOff>114300</xdr:rowOff>
    </xdr:to>
    <xdr:sp macro="" textlink="">
      <xdr:nvSpPr>
        <xdr:cNvPr id="970" name="Arrow: Down 969">
          <a:extLst>
            <a:ext uri="{FF2B5EF4-FFF2-40B4-BE49-F238E27FC236}">
              <a16:creationId xmlns:a16="http://schemas.microsoft.com/office/drawing/2014/main" id="{BFDBAF4B-64A8-49D6-B3F6-BCE12191C1F9}"/>
            </a:ext>
          </a:extLst>
        </xdr:cNvPr>
        <xdr:cNvSpPr/>
      </xdr:nvSpPr>
      <xdr:spPr>
        <a:xfrm rot="10800000">
          <a:off x="361950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147</xdr:row>
      <xdr:rowOff>0</xdr:rowOff>
    </xdr:from>
    <xdr:to>
      <xdr:col>24</xdr:col>
      <xdr:colOff>83820</xdr:colOff>
      <xdr:row>147</xdr:row>
      <xdr:rowOff>114300</xdr:rowOff>
    </xdr:to>
    <xdr:sp macro="" textlink="">
      <xdr:nvSpPr>
        <xdr:cNvPr id="995" name="Arrow: Down 994">
          <a:extLst>
            <a:ext uri="{FF2B5EF4-FFF2-40B4-BE49-F238E27FC236}">
              <a16:creationId xmlns:a16="http://schemas.microsoft.com/office/drawing/2014/main" id="{60B83ED8-90A9-4E9F-ABB2-E90ED218F1E1}"/>
            </a:ext>
          </a:extLst>
        </xdr:cNvPr>
        <xdr:cNvSpPr/>
      </xdr:nvSpPr>
      <xdr:spPr>
        <a:xfrm>
          <a:off x="558546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147</xdr:row>
      <xdr:rowOff>0</xdr:rowOff>
    </xdr:from>
    <xdr:to>
      <xdr:col>39</xdr:col>
      <xdr:colOff>83820</xdr:colOff>
      <xdr:row>147</xdr:row>
      <xdr:rowOff>114300</xdr:rowOff>
    </xdr:to>
    <xdr:sp macro="" textlink="">
      <xdr:nvSpPr>
        <xdr:cNvPr id="1011" name="Arrow: Down 1010">
          <a:extLst>
            <a:ext uri="{FF2B5EF4-FFF2-40B4-BE49-F238E27FC236}">
              <a16:creationId xmlns:a16="http://schemas.microsoft.com/office/drawing/2014/main" id="{13A4E355-5C6F-48A6-8861-C0F1209BE355}"/>
            </a:ext>
          </a:extLst>
        </xdr:cNvPr>
        <xdr:cNvSpPr/>
      </xdr:nvSpPr>
      <xdr:spPr>
        <a:xfrm rot="10800000">
          <a:off x="874776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147</xdr:row>
      <xdr:rowOff>0</xdr:rowOff>
    </xdr:from>
    <xdr:to>
      <xdr:col>60</xdr:col>
      <xdr:colOff>83820</xdr:colOff>
      <xdr:row>147</xdr:row>
      <xdr:rowOff>114300</xdr:rowOff>
    </xdr:to>
    <xdr:sp macro="" textlink="">
      <xdr:nvSpPr>
        <xdr:cNvPr id="1016" name="Arrow: Down 1015">
          <a:extLst>
            <a:ext uri="{FF2B5EF4-FFF2-40B4-BE49-F238E27FC236}">
              <a16:creationId xmlns:a16="http://schemas.microsoft.com/office/drawing/2014/main" id="{607FA836-3359-4408-80D5-8D823F60FC9C}"/>
            </a:ext>
          </a:extLst>
        </xdr:cNvPr>
        <xdr:cNvSpPr/>
      </xdr:nvSpPr>
      <xdr:spPr>
        <a:xfrm>
          <a:off x="1531620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147</xdr:row>
      <xdr:rowOff>0</xdr:rowOff>
    </xdr:from>
    <xdr:to>
      <xdr:col>71</xdr:col>
      <xdr:colOff>83820</xdr:colOff>
      <xdr:row>147</xdr:row>
      <xdr:rowOff>114300</xdr:rowOff>
    </xdr:to>
    <xdr:sp macro="" textlink="">
      <xdr:nvSpPr>
        <xdr:cNvPr id="1033" name="Arrow: Down 1032">
          <a:extLst>
            <a:ext uri="{FF2B5EF4-FFF2-40B4-BE49-F238E27FC236}">
              <a16:creationId xmlns:a16="http://schemas.microsoft.com/office/drawing/2014/main" id="{B2053CE8-9EF9-4895-BE89-9235141768D6}"/>
            </a:ext>
          </a:extLst>
        </xdr:cNvPr>
        <xdr:cNvSpPr/>
      </xdr:nvSpPr>
      <xdr:spPr>
        <a:xfrm>
          <a:off x="1763268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148</xdr:row>
      <xdr:rowOff>0</xdr:rowOff>
    </xdr:from>
    <xdr:to>
      <xdr:col>5</xdr:col>
      <xdr:colOff>83820</xdr:colOff>
      <xdr:row>148</xdr:row>
      <xdr:rowOff>114300</xdr:rowOff>
    </xdr:to>
    <xdr:sp macro="" textlink="">
      <xdr:nvSpPr>
        <xdr:cNvPr id="1035" name="Arrow: Down 1034">
          <a:extLst>
            <a:ext uri="{FF2B5EF4-FFF2-40B4-BE49-F238E27FC236}">
              <a16:creationId xmlns:a16="http://schemas.microsoft.com/office/drawing/2014/main" id="{A5AA3208-8BE5-455C-BCDB-49AFAA41B5A1}"/>
            </a:ext>
          </a:extLst>
        </xdr:cNvPr>
        <xdr:cNvSpPr/>
      </xdr:nvSpPr>
      <xdr:spPr>
        <a:xfrm rot="10800000">
          <a:off x="1927860" y="2698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148</xdr:row>
      <xdr:rowOff>0</xdr:rowOff>
    </xdr:from>
    <xdr:to>
      <xdr:col>11</xdr:col>
      <xdr:colOff>83820</xdr:colOff>
      <xdr:row>148</xdr:row>
      <xdr:rowOff>114300</xdr:rowOff>
    </xdr:to>
    <xdr:sp macro="" textlink="">
      <xdr:nvSpPr>
        <xdr:cNvPr id="1036" name="Arrow: Down 1035">
          <a:extLst>
            <a:ext uri="{FF2B5EF4-FFF2-40B4-BE49-F238E27FC236}">
              <a16:creationId xmlns:a16="http://schemas.microsoft.com/office/drawing/2014/main" id="{B459710A-16EF-41C1-984C-48D9748CE23A}"/>
            </a:ext>
          </a:extLst>
        </xdr:cNvPr>
        <xdr:cNvSpPr/>
      </xdr:nvSpPr>
      <xdr:spPr>
        <a:xfrm rot="10800000">
          <a:off x="3619500" y="2698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148</xdr:row>
      <xdr:rowOff>0</xdr:rowOff>
    </xdr:from>
    <xdr:to>
      <xdr:col>24</xdr:col>
      <xdr:colOff>83820</xdr:colOff>
      <xdr:row>148</xdr:row>
      <xdr:rowOff>114300</xdr:rowOff>
    </xdr:to>
    <xdr:sp macro="" textlink="">
      <xdr:nvSpPr>
        <xdr:cNvPr id="1037" name="Arrow: Down 1036">
          <a:extLst>
            <a:ext uri="{FF2B5EF4-FFF2-40B4-BE49-F238E27FC236}">
              <a16:creationId xmlns:a16="http://schemas.microsoft.com/office/drawing/2014/main" id="{C80FE9FA-87DF-495E-AD20-38952F2F2D38}"/>
            </a:ext>
          </a:extLst>
        </xdr:cNvPr>
        <xdr:cNvSpPr/>
      </xdr:nvSpPr>
      <xdr:spPr>
        <a:xfrm>
          <a:off x="558546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148</xdr:row>
      <xdr:rowOff>0</xdr:rowOff>
    </xdr:from>
    <xdr:to>
      <xdr:col>39</xdr:col>
      <xdr:colOff>83820</xdr:colOff>
      <xdr:row>148</xdr:row>
      <xdr:rowOff>114300</xdr:rowOff>
    </xdr:to>
    <xdr:sp macro="" textlink="">
      <xdr:nvSpPr>
        <xdr:cNvPr id="971" name="Arrow: Down 970">
          <a:extLst>
            <a:ext uri="{FF2B5EF4-FFF2-40B4-BE49-F238E27FC236}">
              <a16:creationId xmlns:a16="http://schemas.microsoft.com/office/drawing/2014/main" id="{296C5CD7-37E2-430D-9B00-4773671856CF}"/>
            </a:ext>
          </a:extLst>
        </xdr:cNvPr>
        <xdr:cNvSpPr/>
      </xdr:nvSpPr>
      <xdr:spPr>
        <a:xfrm>
          <a:off x="874776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148</xdr:row>
      <xdr:rowOff>0</xdr:rowOff>
    </xdr:from>
    <xdr:to>
      <xdr:col>45</xdr:col>
      <xdr:colOff>83820</xdr:colOff>
      <xdr:row>148</xdr:row>
      <xdr:rowOff>114300</xdr:rowOff>
    </xdr:to>
    <xdr:sp macro="" textlink="">
      <xdr:nvSpPr>
        <xdr:cNvPr id="976" name="Arrow: Down 975">
          <a:extLst>
            <a:ext uri="{FF2B5EF4-FFF2-40B4-BE49-F238E27FC236}">
              <a16:creationId xmlns:a16="http://schemas.microsoft.com/office/drawing/2014/main" id="{0B8F77B7-5EEA-4BC8-84A7-8342CEDF02BF}"/>
            </a:ext>
          </a:extLst>
        </xdr:cNvPr>
        <xdr:cNvSpPr/>
      </xdr:nvSpPr>
      <xdr:spPr>
        <a:xfrm>
          <a:off x="105537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148</xdr:row>
      <xdr:rowOff>0</xdr:rowOff>
    </xdr:from>
    <xdr:to>
      <xdr:col>60</xdr:col>
      <xdr:colOff>83820</xdr:colOff>
      <xdr:row>148</xdr:row>
      <xdr:rowOff>114300</xdr:rowOff>
    </xdr:to>
    <xdr:sp macro="" textlink="">
      <xdr:nvSpPr>
        <xdr:cNvPr id="991" name="Arrow: Down 990">
          <a:extLst>
            <a:ext uri="{FF2B5EF4-FFF2-40B4-BE49-F238E27FC236}">
              <a16:creationId xmlns:a16="http://schemas.microsoft.com/office/drawing/2014/main" id="{ED9DD4B0-1C29-4DDA-9371-C1E6953FD022}"/>
            </a:ext>
          </a:extLst>
        </xdr:cNvPr>
        <xdr:cNvSpPr/>
      </xdr:nvSpPr>
      <xdr:spPr>
        <a:xfrm rot="10800000">
          <a:off x="153162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148</xdr:row>
      <xdr:rowOff>0</xdr:rowOff>
    </xdr:from>
    <xdr:to>
      <xdr:col>71</xdr:col>
      <xdr:colOff>83820</xdr:colOff>
      <xdr:row>148</xdr:row>
      <xdr:rowOff>114300</xdr:rowOff>
    </xdr:to>
    <xdr:sp macro="" textlink="">
      <xdr:nvSpPr>
        <xdr:cNvPr id="1015" name="Arrow: Down 1014">
          <a:extLst>
            <a:ext uri="{FF2B5EF4-FFF2-40B4-BE49-F238E27FC236}">
              <a16:creationId xmlns:a16="http://schemas.microsoft.com/office/drawing/2014/main" id="{2D407877-704A-4DE9-AAE5-C871FC912F94}"/>
            </a:ext>
          </a:extLst>
        </xdr:cNvPr>
        <xdr:cNvSpPr/>
      </xdr:nvSpPr>
      <xdr:spPr>
        <a:xfrm rot="10800000">
          <a:off x="1763268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83820</xdr:colOff>
      <xdr:row>149</xdr:row>
      <xdr:rowOff>114300</xdr:rowOff>
    </xdr:to>
    <xdr:sp macro="" textlink="">
      <xdr:nvSpPr>
        <xdr:cNvPr id="1024" name="Arrow: Down 1023">
          <a:extLst>
            <a:ext uri="{FF2B5EF4-FFF2-40B4-BE49-F238E27FC236}">
              <a16:creationId xmlns:a16="http://schemas.microsoft.com/office/drawing/2014/main" id="{61690D22-DB69-40EF-BF2F-6DBEDEDAB309}"/>
            </a:ext>
          </a:extLst>
        </xdr:cNvPr>
        <xdr:cNvSpPr/>
      </xdr:nvSpPr>
      <xdr:spPr>
        <a:xfrm rot="10800000">
          <a:off x="192786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149</xdr:row>
      <xdr:rowOff>0</xdr:rowOff>
    </xdr:from>
    <xdr:to>
      <xdr:col>11</xdr:col>
      <xdr:colOff>83820</xdr:colOff>
      <xdr:row>149</xdr:row>
      <xdr:rowOff>114300</xdr:rowOff>
    </xdr:to>
    <xdr:sp macro="" textlink="">
      <xdr:nvSpPr>
        <xdr:cNvPr id="1045" name="Arrow: Down 1044">
          <a:extLst>
            <a:ext uri="{FF2B5EF4-FFF2-40B4-BE49-F238E27FC236}">
              <a16:creationId xmlns:a16="http://schemas.microsoft.com/office/drawing/2014/main" id="{D938406B-ADC5-4582-9DE0-EEA86B1A9EE1}"/>
            </a:ext>
          </a:extLst>
        </xdr:cNvPr>
        <xdr:cNvSpPr/>
      </xdr:nvSpPr>
      <xdr:spPr>
        <a:xfrm rot="10800000">
          <a:off x="36195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149</xdr:row>
      <xdr:rowOff>0</xdr:rowOff>
    </xdr:from>
    <xdr:to>
      <xdr:col>60</xdr:col>
      <xdr:colOff>83820</xdr:colOff>
      <xdr:row>149</xdr:row>
      <xdr:rowOff>114300</xdr:rowOff>
    </xdr:to>
    <xdr:sp macro="" textlink="">
      <xdr:nvSpPr>
        <xdr:cNvPr id="1049" name="Arrow: Down 1048">
          <a:extLst>
            <a:ext uri="{FF2B5EF4-FFF2-40B4-BE49-F238E27FC236}">
              <a16:creationId xmlns:a16="http://schemas.microsoft.com/office/drawing/2014/main" id="{8D2F8789-B34D-4952-9C66-C10A648236CC}"/>
            </a:ext>
          </a:extLst>
        </xdr:cNvPr>
        <xdr:cNvSpPr/>
      </xdr:nvSpPr>
      <xdr:spPr>
        <a:xfrm rot="10800000">
          <a:off x="153162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149</xdr:row>
      <xdr:rowOff>0</xdr:rowOff>
    </xdr:from>
    <xdr:to>
      <xdr:col>71</xdr:col>
      <xdr:colOff>83820</xdr:colOff>
      <xdr:row>149</xdr:row>
      <xdr:rowOff>114300</xdr:rowOff>
    </xdr:to>
    <xdr:sp macro="" textlink="">
      <xdr:nvSpPr>
        <xdr:cNvPr id="1050" name="Arrow: Down 1049">
          <a:extLst>
            <a:ext uri="{FF2B5EF4-FFF2-40B4-BE49-F238E27FC236}">
              <a16:creationId xmlns:a16="http://schemas.microsoft.com/office/drawing/2014/main" id="{12AFA0BD-E557-4296-B13E-2DD2F3BC52C3}"/>
            </a:ext>
          </a:extLst>
        </xdr:cNvPr>
        <xdr:cNvSpPr/>
      </xdr:nvSpPr>
      <xdr:spPr>
        <a:xfrm rot="10800000">
          <a:off x="1763268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149</xdr:row>
      <xdr:rowOff>0</xdr:rowOff>
    </xdr:from>
    <xdr:to>
      <xdr:col>24</xdr:col>
      <xdr:colOff>83820</xdr:colOff>
      <xdr:row>149</xdr:row>
      <xdr:rowOff>114300</xdr:rowOff>
    </xdr:to>
    <xdr:sp macro="" textlink="">
      <xdr:nvSpPr>
        <xdr:cNvPr id="1051" name="Arrow: Down 1050">
          <a:extLst>
            <a:ext uri="{FF2B5EF4-FFF2-40B4-BE49-F238E27FC236}">
              <a16:creationId xmlns:a16="http://schemas.microsoft.com/office/drawing/2014/main" id="{BDE025BF-25D5-4820-8D8B-1AA5F7FF2A1D}"/>
            </a:ext>
          </a:extLst>
        </xdr:cNvPr>
        <xdr:cNvSpPr/>
      </xdr:nvSpPr>
      <xdr:spPr>
        <a:xfrm rot="10800000">
          <a:off x="5585460" y="2734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149</xdr:row>
      <xdr:rowOff>0</xdr:rowOff>
    </xdr:from>
    <xdr:to>
      <xdr:col>39</xdr:col>
      <xdr:colOff>83820</xdr:colOff>
      <xdr:row>149</xdr:row>
      <xdr:rowOff>114300</xdr:rowOff>
    </xdr:to>
    <xdr:sp macro="" textlink="">
      <xdr:nvSpPr>
        <xdr:cNvPr id="1052" name="Arrow: Down 1051">
          <a:extLst>
            <a:ext uri="{FF2B5EF4-FFF2-40B4-BE49-F238E27FC236}">
              <a16:creationId xmlns:a16="http://schemas.microsoft.com/office/drawing/2014/main" id="{461B7E07-DC74-41CD-8658-CA885855A542}"/>
            </a:ext>
          </a:extLst>
        </xdr:cNvPr>
        <xdr:cNvSpPr/>
      </xdr:nvSpPr>
      <xdr:spPr>
        <a:xfrm rot="10800000">
          <a:off x="8747760" y="273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149</xdr:row>
      <xdr:rowOff>0</xdr:rowOff>
    </xdr:from>
    <xdr:to>
      <xdr:col>45</xdr:col>
      <xdr:colOff>83820</xdr:colOff>
      <xdr:row>149</xdr:row>
      <xdr:rowOff>114300</xdr:rowOff>
    </xdr:to>
    <xdr:sp macro="" textlink="">
      <xdr:nvSpPr>
        <xdr:cNvPr id="1053" name="Arrow: Down 1052">
          <a:extLst>
            <a:ext uri="{FF2B5EF4-FFF2-40B4-BE49-F238E27FC236}">
              <a16:creationId xmlns:a16="http://schemas.microsoft.com/office/drawing/2014/main" id="{E923D8E0-8AF4-4E8A-8FAD-5A8ED7862D1B}"/>
            </a:ext>
          </a:extLst>
        </xdr:cNvPr>
        <xdr:cNvSpPr/>
      </xdr:nvSpPr>
      <xdr:spPr>
        <a:xfrm rot="10800000">
          <a:off x="10553700" y="273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150</xdr:row>
      <xdr:rowOff>0</xdr:rowOff>
    </xdr:from>
    <xdr:to>
      <xdr:col>5</xdr:col>
      <xdr:colOff>83820</xdr:colOff>
      <xdr:row>150</xdr:row>
      <xdr:rowOff>114300</xdr:rowOff>
    </xdr:to>
    <xdr:sp macro="" textlink="">
      <xdr:nvSpPr>
        <xdr:cNvPr id="1048" name="Arrow: Down 1047">
          <a:extLst>
            <a:ext uri="{FF2B5EF4-FFF2-40B4-BE49-F238E27FC236}">
              <a16:creationId xmlns:a16="http://schemas.microsoft.com/office/drawing/2014/main" id="{CE3F376A-E743-450D-AABD-B91EED328635}"/>
            </a:ext>
          </a:extLst>
        </xdr:cNvPr>
        <xdr:cNvSpPr/>
      </xdr:nvSpPr>
      <xdr:spPr>
        <a:xfrm>
          <a:off x="19278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150</xdr:row>
      <xdr:rowOff>0</xdr:rowOff>
    </xdr:from>
    <xdr:to>
      <xdr:col>11</xdr:col>
      <xdr:colOff>83820</xdr:colOff>
      <xdr:row>150</xdr:row>
      <xdr:rowOff>114300</xdr:rowOff>
    </xdr:to>
    <xdr:sp macro="" textlink="">
      <xdr:nvSpPr>
        <xdr:cNvPr id="1054" name="Arrow: Down 1053">
          <a:extLst>
            <a:ext uri="{FF2B5EF4-FFF2-40B4-BE49-F238E27FC236}">
              <a16:creationId xmlns:a16="http://schemas.microsoft.com/office/drawing/2014/main" id="{D71957A3-47C9-4E43-93ED-D1C2A0536358}"/>
            </a:ext>
          </a:extLst>
        </xdr:cNvPr>
        <xdr:cNvSpPr/>
      </xdr:nvSpPr>
      <xdr:spPr>
        <a:xfrm>
          <a:off x="36195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150</xdr:row>
      <xdr:rowOff>0</xdr:rowOff>
    </xdr:from>
    <xdr:to>
      <xdr:col>24</xdr:col>
      <xdr:colOff>83820</xdr:colOff>
      <xdr:row>150</xdr:row>
      <xdr:rowOff>114300</xdr:rowOff>
    </xdr:to>
    <xdr:sp macro="" textlink="">
      <xdr:nvSpPr>
        <xdr:cNvPr id="1055" name="Arrow: Down 1054">
          <a:extLst>
            <a:ext uri="{FF2B5EF4-FFF2-40B4-BE49-F238E27FC236}">
              <a16:creationId xmlns:a16="http://schemas.microsoft.com/office/drawing/2014/main" id="{9EA5BE6E-657C-4139-ACD5-D39FDC6029C2}"/>
            </a:ext>
          </a:extLst>
        </xdr:cNvPr>
        <xdr:cNvSpPr/>
      </xdr:nvSpPr>
      <xdr:spPr>
        <a:xfrm>
          <a:off x="55854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150</xdr:row>
      <xdr:rowOff>0</xdr:rowOff>
    </xdr:from>
    <xdr:to>
      <xdr:col>60</xdr:col>
      <xdr:colOff>83820</xdr:colOff>
      <xdr:row>150</xdr:row>
      <xdr:rowOff>114300</xdr:rowOff>
    </xdr:to>
    <xdr:sp macro="" textlink="">
      <xdr:nvSpPr>
        <xdr:cNvPr id="1056" name="Arrow: Down 1055">
          <a:extLst>
            <a:ext uri="{FF2B5EF4-FFF2-40B4-BE49-F238E27FC236}">
              <a16:creationId xmlns:a16="http://schemas.microsoft.com/office/drawing/2014/main" id="{80D5AA29-31D7-4E32-96B1-0E89F3FFFA41}"/>
            </a:ext>
          </a:extLst>
        </xdr:cNvPr>
        <xdr:cNvSpPr/>
      </xdr:nvSpPr>
      <xdr:spPr>
        <a:xfrm>
          <a:off x="153162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150</xdr:row>
      <xdr:rowOff>0</xdr:rowOff>
    </xdr:from>
    <xdr:to>
      <xdr:col>71</xdr:col>
      <xdr:colOff>83820</xdr:colOff>
      <xdr:row>150</xdr:row>
      <xdr:rowOff>114300</xdr:rowOff>
    </xdr:to>
    <xdr:sp macro="" textlink="">
      <xdr:nvSpPr>
        <xdr:cNvPr id="1058" name="Arrow: Down 1057">
          <a:extLst>
            <a:ext uri="{FF2B5EF4-FFF2-40B4-BE49-F238E27FC236}">
              <a16:creationId xmlns:a16="http://schemas.microsoft.com/office/drawing/2014/main" id="{22887A9C-3822-46C5-97B2-5EA3A69B25D4}"/>
            </a:ext>
          </a:extLst>
        </xdr:cNvPr>
        <xdr:cNvSpPr/>
      </xdr:nvSpPr>
      <xdr:spPr>
        <a:xfrm>
          <a:off x="1763268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150</xdr:row>
      <xdr:rowOff>0</xdr:rowOff>
    </xdr:from>
    <xdr:to>
      <xdr:col>39</xdr:col>
      <xdr:colOff>83820</xdr:colOff>
      <xdr:row>150</xdr:row>
      <xdr:rowOff>114300</xdr:rowOff>
    </xdr:to>
    <xdr:sp macro="" textlink="">
      <xdr:nvSpPr>
        <xdr:cNvPr id="1059" name="Arrow: Down 1058">
          <a:extLst>
            <a:ext uri="{FF2B5EF4-FFF2-40B4-BE49-F238E27FC236}">
              <a16:creationId xmlns:a16="http://schemas.microsoft.com/office/drawing/2014/main" id="{F843677D-3463-41F8-AC81-603E614D66F0}"/>
            </a:ext>
          </a:extLst>
        </xdr:cNvPr>
        <xdr:cNvSpPr/>
      </xdr:nvSpPr>
      <xdr:spPr>
        <a:xfrm>
          <a:off x="8907780" y="275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150</xdr:row>
      <xdr:rowOff>0</xdr:rowOff>
    </xdr:from>
    <xdr:to>
      <xdr:col>45</xdr:col>
      <xdr:colOff>83820</xdr:colOff>
      <xdr:row>150</xdr:row>
      <xdr:rowOff>114300</xdr:rowOff>
    </xdr:to>
    <xdr:sp macro="" textlink="">
      <xdr:nvSpPr>
        <xdr:cNvPr id="1060" name="Arrow: Down 1059">
          <a:extLst>
            <a:ext uri="{FF2B5EF4-FFF2-40B4-BE49-F238E27FC236}">
              <a16:creationId xmlns:a16="http://schemas.microsoft.com/office/drawing/2014/main" id="{51332D56-3D3F-4113-9247-1CD4BE8F6497}"/>
            </a:ext>
          </a:extLst>
        </xdr:cNvPr>
        <xdr:cNvSpPr/>
      </xdr:nvSpPr>
      <xdr:spPr>
        <a:xfrm>
          <a:off x="10553700" y="275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151</xdr:row>
      <xdr:rowOff>0</xdr:rowOff>
    </xdr:from>
    <xdr:to>
      <xdr:col>5</xdr:col>
      <xdr:colOff>83820</xdr:colOff>
      <xdr:row>151</xdr:row>
      <xdr:rowOff>114300</xdr:rowOff>
    </xdr:to>
    <xdr:sp macro="" textlink="">
      <xdr:nvSpPr>
        <xdr:cNvPr id="1061" name="Arrow: Down 1060">
          <a:extLst>
            <a:ext uri="{FF2B5EF4-FFF2-40B4-BE49-F238E27FC236}">
              <a16:creationId xmlns:a16="http://schemas.microsoft.com/office/drawing/2014/main" id="{E7586464-DA52-4E4A-9BE8-4E78DC8E575F}"/>
            </a:ext>
          </a:extLst>
        </xdr:cNvPr>
        <xdr:cNvSpPr/>
      </xdr:nvSpPr>
      <xdr:spPr>
        <a:xfrm>
          <a:off x="19278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151</xdr:row>
      <xdr:rowOff>0</xdr:rowOff>
    </xdr:from>
    <xdr:to>
      <xdr:col>11</xdr:col>
      <xdr:colOff>83820</xdr:colOff>
      <xdr:row>151</xdr:row>
      <xdr:rowOff>114300</xdr:rowOff>
    </xdr:to>
    <xdr:sp macro="" textlink="">
      <xdr:nvSpPr>
        <xdr:cNvPr id="1062" name="Arrow: Down 1061">
          <a:extLst>
            <a:ext uri="{FF2B5EF4-FFF2-40B4-BE49-F238E27FC236}">
              <a16:creationId xmlns:a16="http://schemas.microsoft.com/office/drawing/2014/main" id="{6357EC59-39E4-4CC4-9211-6BBF44406899}"/>
            </a:ext>
          </a:extLst>
        </xdr:cNvPr>
        <xdr:cNvSpPr/>
      </xdr:nvSpPr>
      <xdr:spPr>
        <a:xfrm>
          <a:off x="36195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151</xdr:row>
      <xdr:rowOff>0</xdr:rowOff>
    </xdr:from>
    <xdr:to>
      <xdr:col>24</xdr:col>
      <xdr:colOff>83820</xdr:colOff>
      <xdr:row>151</xdr:row>
      <xdr:rowOff>114300</xdr:rowOff>
    </xdr:to>
    <xdr:sp macro="" textlink="">
      <xdr:nvSpPr>
        <xdr:cNvPr id="1063" name="Arrow: Down 1062">
          <a:extLst>
            <a:ext uri="{FF2B5EF4-FFF2-40B4-BE49-F238E27FC236}">
              <a16:creationId xmlns:a16="http://schemas.microsoft.com/office/drawing/2014/main" id="{85DBA42A-DDF6-4C23-9060-D0837A4B8115}"/>
            </a:ext>
          </a:extLst>
        </xdr:cNvPr>
        <xdr:cNvSpPr/>
      </xdr:nvSpPr>
      <xdr:spPr>
        <a:xfrm>
          <a:off x="55854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151</xdr:row>
      <xdr:rowOff>0</xdr:rowOff>
    </xdr:from>
    <xdr:to>
      <xdr:col>60</xdr:col>
      <xdr:colOff>83820</xdr:colOff>
      <xdr:row>151</xdr:row>
      <xdr:rowOff>114300</xdr:rowOff>
    </xdr:to>
    <xdr:sp macro="" textlink="">
      <xdr:nvSpPr>
        <xdr:cNvPr id="1064" name="Arrow: Down 1063">
          <a:extLst>
            <a:ext uri="{FF2B5EF4-FFF2-40B4-BE49-F238E27FC236}">
              <a16:creationId xmlns:a16="http://schemas.microsoft.com/office/drawing/2014/main" id="{35E7FFF8-CB19-4C73-8738-EF62D1B338C3}"/>
            </a:ext>
          </a:extLst>
        </xdr:cNvPr>
        <xdr:cNvSpPr/>
      </xdr:nvSpPr>
      <xdr:spPr>
        <a:xfrm>
          <a:off x="153162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151</xdr:row>
      <xdr:rowOff>0</xdr:rowOff>
    </xdr:from>
    <xdr:to>
      <xdr:col>71</xdr:col>
      <xdr:colOff>83820</xdr:colOff>
      <xdr:row>151</xdr:row>
      <xdr:rowOff>114300</xdr:rowOff>
    </xdr:to>
    <xdr:sp macro="" textlink="">
      <xdr:nvSpPr>
        <xdr:cNvPr id="1065" name="Arrow: Down 1064">
          <a:extLst>
            <a:ext uri="{FF2B5EF4-FFF2-40B4-BE49-F238E27FC236}">
              <a16:creationId xmlns:a16="http://schemas.microsoft.com/office/drawing/2014/main" id="{C286A619-A54D-46A0-B8FF-E454DD029FE0}"/>
            </a:ext>
          </a:extLst>
        </xdr:cNvPr>
        <xdr:cNvSpPr/>
      </xdr:nvSpPr>
      <xdr:spPr>
        <a:xfrm>
          <a:off x="1763268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151</xdr:row>
      <xdr:rowOff>0</xdr:rowOff>
    </xdr:from>
    <xdr:to>
      <xdr:col>45</xdr:col>
      <xdr:colOff>83820</xdr:colOff>
      <xdr:row>151</xdr:row>
      <xdr:rowOff>114300</xdr:rowOff>
    </xdr:to>
    <xdr:sp macro="" textlink="">
      <xdr:nvSpPr>
        <xdr:cNvPr id="1069" name="Arrow: Down 1068">
          <a:extLst>
            <a:ext uri="{FF2B5EF4-FFF2-40B4-BE49-F238E27FC236}">
              <a16:creationId xmlns:a16="http://schemas.microsoft.com/office/drawing/2014/main" id="{9F31AD6D-6379-43C7-BFE5-697F2264348B}"/>
            </a:ext>
          </a:extLst>
        </xdr:cNvPr>
        <xdr:cNvSpPr/>
      </xdr:nvSpPr>
      <xdr:spPr>
        <a:xfrm rot="10800000">
          <a:off x="1510284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151</xdr:row>
      <xdr:rowOff>0</xdr:rowOff>
    </xdr:from>
    <xdr:to>
      <xdr:col>39</xdr:col>
      <xdr:colOff>83820</xdr:colOff>
      <xdr:row>151</xdr:row>
      <xdr:rowOff>114300</xdr:rowOff>
    </xdr:to>
    <xdr:sp macro="" textlink="">
      <xdr:nvSpPr>
        <xdr:cNvPr id="1070" name="Arrow: Down 1069">
          <a:extLst>
            <a:ext uri="{FF2B5EF4-FFF2-40B4-BE49-F238E27FC236}">
              <a16:creationId xmlns:a16="http://schemas.microsoft.com/office/drawing/2014/main" id="{61B307C3-B3BA-4CD7-A194-5AD5D7AA66D8}"/>
            </a:ext>
          </a:extLst>
        </xdr:cNvPr>
        <xdr:cNvSpPr/>
      </xdr:nvSpPr>
      <xdr:spPr>
        <a:xfrm rot="10800000">
          <a:off x="1329690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152</xdr:row>
      <xdr:rowOff>0</xdr:rowOff>
    </xdr:from>
    <xdr:to>
      <xdr:col>71</xdr:col>
      <xdr:colOff>83820</xdr:colOff>
      <xdr:row>152</xdr:row>
      <xdr:rowOff>114300</xdr:rowOff>
    </xdr:to>
    <xdr:sp macro="" textlink="">
      <xdr:nvSpPr>
        <xdr:cNvPr id="1046" name="Arrow: Down 1045">
          <a:extLst>
            <a:ext uri="{FF2B5EF4-FFF2-40B4-BE49-F238E27FC236}">
              <a16:creationId xmlns:a16="http://schemas.microsoft.com/office/drawing/2014/main" id="{9F2F998A-9086-499C-B06A-E72BC33F21CB}"/>
            </a:ext>
          </a:extLst>
        </xdr:cNvPr>
        <xdr:cNvSpPr/>
      </xdr:nvSpPr>
      <xdr:spPr>
        <a:xfrm>
          <a:off x="1770126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152</xdr:row>
      <xdr:rowOff>0</xdr:rowOff>
    </xdr:from>
    <xdr:to>
      <xdr:col>45</xdr:col>
      <xdr:colOff>83820</xdr:colOff>
      <xdr:row>152</xdr:row>
      <xdr:rowOff>114300</xdr:rowOff>
    </xdr:to>
    <xdr:sp macro="" textlink="">
      <xdr:nvSpPr>
        <xdr:cNvPr id="1047" name="Arrow: Down 1046">
          <a:extLst>
            <a:ext uri="{FF2B5EF4-FFF2-40B4-BE49-F238E27FC236}">
              <a16:creationId xmlns:a16="http://schemas.microsoft.com/office/drawing/2014/main" id="{705F12C2-06D1-4F34-84BF-4A443110BF3F}"/>
            </a:ext>
          </a:extLst>
        </xdr:cNvPr>
        <xdr:cNvSpPr/>
      </xdr:nvSpPr>
      <xdr:spPr>
        <a:xfrm rot="10800000">
          <a:off x="1062228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152</xdr:row>
      <xdr:rowOff>0</xdr:rowOff>
    </xdr:from>
    <xdr:to>
      <xdr:col>39</xdr:col>
      <xdr:colOff>83820</xdr:colOff>
      <xdr:row>152</xdr:row>
      <xdr:rowOff>114300</xdr:rowOff>
    </xdr:to>
    <xdr:sp macro="" textlink="">
      <xdr:nvSpPr>
        <xdr:cNvPr id="1057" name="Arrow: Down 1056">
          <a:extLst>
            <a:ext uri="{FF2B5EF4-FFF2-40B4-BE49-F238E27FC236}">
              <a16:creationId xmlns:a16="http://schemas.microsoft.com/office/drawing/2014/main" id="{6EF9A5B9-FA7A-437A-BB16-B6337F8B4E8B}"/>
            </a:ext>
          </a:extLst>
        </xdr:cNvPr>
        <xdr:cNvSpPr/>
      </xdr:nvSpPr>
      <xdr:spPr>
        <a:xfrm rot="10800000">
          <a:off x="881634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152</xdr:row>
      <xdr:rowOff>0</xdr:rowOff>
    </xdr:from>
    <xdr:to>
      <xdr:col>24</xdr:col>
      <xdr:colOff>83820</xdr:colOff>
      <xdr:row>152</xdr:row>
      <xdr:rowOff>114300</xdr:rowOff>
    </xdr:to>
    <xdr:sp macro="" textlink="">
      <xdr:nvSpPr>
        <xdr:cNvPr id="1066" name="Arrow: Down 1065">
          <a:extLst>
            <a:ext uri="{FF2B5EF4-FFF2-40B4-BE49-F238E27FC236}">
              <a16:creationId xmlns:a16="http://schemas.microsoft.com/office/drawing/2014/main" id="{AA2DCD24-49F9-4D73-B71F-A057B19F69A5}"/>
            </a:ext>
          </a:extLst>
        </xdr:cNvPr>
        <xdr:cNvSpPr/>
      </xdr:nvSpPr>
      <xdr:spPr>
        <a:xfrm rot="10800000">
          <a:off x="565404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152</xdr:row>
      <xdr:rowOff>0</xdr:rowOff>
    </xdr:from>
    <xdr:to>
      <xdr:col>11</xdr:col>
      <xdr:colOff>83820</xdr:colOff>
      <xdr:row>152</xdr:row>
      <xdr:rowOff>114300</xdr:rowOff>
    </xdr:to>
    <xdr:sp macro="" textlink="">
      <xdr:nvSpPr>
        <xdr:cNvPr id="1068" name="Arrow: Down 1067">
          <a:extLst>
            <a:ext uri="{FF2B5EF4-FFF2-40B4-BE49-F238E27FC236}">
              <a16:creationId xmlns:a16="http://schemas.microsoft.com/office/drawing/2014/main" id="{A810EFBA-8063-4F3E-A132-BCBC84FA2C56}"/>
            </a:ext>
          </a:extLst>
        </xdr:cNvPr>
        <xdr:cNvSpPr/>
      </xdr:nvSpPr>
      <xdr:spPr>
        <a:xfrm rot="10800000">
          <a:off x="361950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152</xdr:row>
      <xdr:rowOff>0</xdr:rowOff>
    </xdr:from>
    <xdr:to>
      <xdr:col>5</xdr:col>
      <xdr:colOff>83820</xdr:colOff>
      <xdr:row>152</xdr:row>
      <xdr:rowOff>114300</xdr:rowOff>
    </xdr:to>
    <xdr:sp macro="" textlink="">
      <xdr:nvSpPr>
        <xdr:cNvPr id="1072" name="Arrow: Down 1071">
          <a:extLst>
            <a:ext uri="{FF2B5EF4-FFF2-40B4-BE49-F238E27FC236}">
              <a16:creationId xmlns:a16="http://schemas.microsoft.com/office/drawing/2014/main" id="{D79F8C88-0A50-4B80-A625-AC9FD7DFE109}"/>
            </a:ext>
          </a:extLst>
        </xdr:cNvPr>
        <xdr:cNvSpPr/>
      </xdr:nvSpPr>
      <xdr:spPr>
        <a:xfrm rot="10800000">
          <a:off x="192786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152</xdr:row>
      <xdr:rowOff>0</xdr:rowOff>
    </xdr:from>
    <xdr:to>
      <xdr:col>60</xdr:col>
      <xdr:colOff>83820</xdr:colOff>
      <xdr:row>152</xdr:row>
      <xdr:rowOff>114300</xdr:rowOff>
    </xdr:to>
    <xdr:sp macro="" textlink="">
      <xdr:nvSpPr>
        <xdr:cNvPr id="1073" name="Arrow: Down 1072">
          <a:extLst>
            <a:ext uri="{FF2B5EF4-FFF2-40B4-BE49-F238E27FC236}">
              <a16:creationId xmlns:a16="http://schemas.microsoft.com/office/drawing/2014/main" id="{8BD3D84C-2D6B-4486-9D1B-2F94715C6CA9}"/>
            </a:ext>
          </a:extLst>
        </xdr:cNvPr>
        <xdr:cNvSpPr/>
      </xdr:nvSpPr>
      <xdr:spPr>
        <a:xfrm rot="10800000">
          <a:off x="1538478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153</xdr:row>
      <xdr:rowOff>0</xdr:rowOff>
    </xdr:from>
    <xdr:to>
      <xdr:col>45</xdr:col>
      <xdr:colOff>83820</xdr:colOff>
      <xdr:row>153</xdr:row>
      <xdr:rowOff>114300</xdr:rowOff>
    </xdr:to>
    <xdr:sp macro="" textlink="">
      <xdr:nvSpPr>
        <xdr:cNvPr id="1075" name="Arrow: Down 1074">
          <a:extLst>
            <a:ext uri="{FF2B5EF4-FFF2-40B4-BE49-F238E27FC236}">
              <a16:creationId xmlns:a16="http://schemas.microsoft.com/office/drawing/2014/main" id="{A1FD34B2-F3F6-45B8-B325-9C27C29146B6}"/>
            </a:ext>
          </a:extLst>
        </xdr:cNvPr>
        <xdr:cNvSpPr/>
      </xdr:nvSpPr>
      <xdr:spPr>
        <a:xfrm rot="10800000">
          <a:off x="10713720" y="2789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153</xdr:row>
      <xdr:rowOff>0</xdr:rowOff>
    </xdr:from>
    <xdr:to>
      <xdr:col>24</xdr:col>
      <xdr:colOff>83820</xdr:colOff>
      <xdr:row>153</xdr:row>
      <xdr:rowOff>114300</xdr:rowOff>
    </xdr:to>
    <xdr:sp macro="" textlink="">
      <xdr:nvSpPr>
        <xdr:cNvPr id="1077" name="Arrow: Down 1076">
          <a:extLst>
            <a:ext uri="{FF2B5EF4-FFF2-40B4-BE49-F238E27FC236}">
              <a16:creationId xmlns:a16="http://schemas.microsoft.com/office/drawing/2014/main" id="{6F601A62-3962-4E80-A66F-01AFF4620B95}"/>
            </a:ext>
          </a:extLst>
        </xdr:cNvPr>
        <xdr:cNvSpPr/>
      </xdr:nvSpPr>
      <xdr:spPr>
        <a:xfrm rot="10800000">
          <a:off x="574548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153</xdr:row>
      <xdr:rowOff>0</xdr:rowOff>
    </xdr:from>
    <xdr:to>
      <xdr:col>11</xdr:col>
      <xdr:colOff>83820</xdr:colOff>
      <xdr:row>153</xdr:row>
      <xdr:rowOff>114300</xdr:rowOff>
    </xdr:to>
    <xdr:sp macro="" textlink="">
      <xdr:nvSpPr>
        <xdr:cNvPr id="1078" name="Arrow: Down 1077">
          <a:extLst>
            <a:ext uri="{FF2B5EF4-FFF2-40B4-BE49-F238E27FC236}">
              <a16:creationId xmlns:a16="http://schemas.microsoft.com/office/drawing/2014/main" id="{0686CF41-DD33-4A90-A2B4-4173DF37D4AC}"/>
            </a:ext>
          </a:extLst>
        </xdr:cNvPr>
        <xdr:cNvSpPr/>
      </xdr:nvSpPr>
      <xdr:spPr>
        <a:xfrm rot="10800000">
          <a:off x="361950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153</xdr:row>
      <xdr:rowOff>0</xdr:rowOff>
    </xdr:from>
    <xdr:to>
      <xdr:col>5</xdr:col>
      <xdr:colOff>83820</xdr:colOff>
      <xdr:row>153</xdr:row>
      <xdr:rowOff>114300</xdr:rowOff>
    </xdr:to>
    <xdr:sp macro="" textlink="">
      <xdr:nvSpPr>
        <xdr:cNvPr id="1079" name="Arrow: Down 1078">
          <a:extLst>
            <a:ext uri="{FF2B5EF4-FFF2-40B4-BE49-F238E27FC236}">
              <a16:creationId xmlns:a16="http://schemas.microsoft.com/office/drawing/2014/main" id="{89239040-334A-4AAD-A269-8D8F73CD20CA}"/>
            </a:ext>
          </a:extLst>
        </xdr:cNvPr>
        <xdr:cNvSpPr/>
      </xdr:nvSpPr>
      <xdr:spPr>
        <a:xfrm rot="10800000">
          <a:off x="192786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153</xdr:row>
      <xdr:rowOff>0</xdr:rowOff>
    </xdr:from>
    <xdr:to>
      <xdr:col>60</xdr:col>
      <xdr:colOff>83820</xdr:colOff>
      <xdr:row>153</xdr:row>
      <xdr:rowOff>114300</xdr:rowOff>
    </xdr:to>
    <xdr:sp macro="" textlink="">
      <xdr:nvSpPr>
        <xdr:cNvPr id="1080" name="Arrow: Down 1079">
          <a:extLst>
            <a:ext uri="{FF2B5EF4-FFF2-40B4-BE49-F238E27FC236}">
              <a16:creationId xmlns:a16="http://schemas.microsoft.com/office/drawing/2014/main" id="{623D81C6-7688-4C7B-AEAD-74DFB070D28B}"/>
            </a:ext>
          </a:extLst>
        </xdr:cNvPr>
        <xdr:cNvSpPr/>
      </xdr:nvSpPr>
      <xdr:spPr>
        <a:xfrm rot="10800000">
          <a:off x="1547622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153</xdr:row>
      <xdr:rowOff>0</xdr:rowOff>
    </xdr:from>
    <xdr:to>
      <xdr:col>39</xdr:col>
      <xdr:colOff>83820</xdr:colOff>
      <xdr:row>153</xdr:row>
      <xdr:rowOff>114300</xdr:rowOff>
    </xdr:to>
    <xdr:sp macro="" textlink="">
      <xdr:nvSpPr>
        <xdr:cNvPr id="1081" name="Arrow: Down 1080">
          <a:extLst>
            <a:ext uri="{FF2B5EF4-FFF2-40B4-BE49-F238E27FC236}">
              <a16:creationId xmlns:a16="http://schemas.microsoft.com/office/drawing/2014/main" id="{3BF5F3A0-3B37-47C9-B652-6A7975B42751}"/>
            </a:ext>
          </a:extLst>
        </xdr:cNvPr>
        <xdr:cNvSpPr/>
      </xdr:nvSpPr>
      <xdr:spPr>
        <a:xfrm>
          <a:off x="890778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153</xdr:row>
      <xdr:rowOff>0</xdr:rowOff>
    </xdr:from>
    <xdr:to>
      <xdr:col>71</xdr:col>
      <xdr:colOff>83820</xdr:colOff>
      <xdr:row>153</xdr:row>
      <xdr:rowOff>114300</xdr:rowOff>
    </xdr:to>
    <xdr:sp macro="" textlink="">
      <xdr:nvSpPr>
        <xdr:cNvPr id="1082" name="Arrow: Down 1081">
          <a:extLst>
            <a:ext uri="{FF2B5EF4-FFF2-40B4-BE49-F238E27FC236}">
              <a16:creationId xmlns:a16="http://schemas.microsoft.com/office/drawing/2014/main" id="{0AAE5BEB-5720-4888-84F9-6E27B593C71E}"/>
            </a:ext>
          </a:extLst>
        </xdr:cNvPr>
        <xdr:cNvSpPr/>
      </xdr:nvSpPr>
      <xdr:spPr>
        <a:xfrm rot="10800000">
          <a:off x="1779270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154</xdr:row>
      <xdr:rowOff>0</xdr:rowOff>
    </xdr:from>
    <xdr:to>
      <xdr:col>45</xdr:col>
      <xdr:colOff>83820</xdr:colOff>
      <xdr:row>154</xdr:row>
      <xdr:rowOff>114300</xdr:rowOff>
    </xdr:to>
    <xdr:sp macro="" textlink="">
      <xdr:nvSpPr>
        <xdr:cNvPr id="1034" name="Arrow: Down 1033">
          <a:extLst>
            <a:ext uri="{FF2B5EF4-FFF2-40B4-BE49-F238E27FC236}">
              <a16:creationId xmlns:a16="http://schemas.microsoft.com/office/drawing/2014/main" id="{ADFDE55C-4B52-48EF-A84F-B6FED378A06D}"/>
            </a:ext>
          </a:extLst>
        </xdr:cNvPr>
        <xdr:cNvSpPr/>
      </xdr:nvSpPr>
      <xdr:spPr>
        <a:xfrm rot="10800000">
          <a:off x="10713720" y="2807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154</xdr:row>
      <xdr:rowOff>0</xdr:rowOff>
    </xdr:from>
    <xdr:to>
      <xdr:col>60</xdr:col>
      <xdr:colOff>83820</xdr:colOff>
      <xdr:row>154</xdr:row>
      <xdr:rowOff>114300</xdr:rowOff>
    </xdr:to>
    <xdr:sp macro="" textlink="">
      <xdr:nvSpPr>
        <xdr:cNvPr id="1067" name="Arrow: Down 1066">
          <a:extLst>
            <a:ext uri="{FF2B5EF4-FFF2-40B4-BE49-F238E27FC236}">
              <a16:creationId xmlns:a16="http://schemas.microsoft.com/office/drawing/2014/main" id="{19A16703-8B07-44D3-882A-96842B94811F}"/>
            </a:ext>
          </a:extLst>
        </xdr:cNvPr>
        <xdr:cNvSpPr/>
      </xdr:nvSpPr>
      <xdr:spPr>
        <a:xfrm rot="10800000">
          <a:off x="1547622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154</xdr:row>
      <xdr:rowOff>0</xdr:rowOff>
    </xdr:from>
    <xdr:to>
      <xdr:col>71</xdr:col>
      <xdr:colOff>83820</xdr:colOff>
      <xdr:row>154</xdr:row>
      <xdr:rowOff>114300</xdr:rowOff>
    </xdr:to>
    <xdr:sp macro="" textlink="">
      <xdr:nvSpPr>
        <xdr:cNvPr id="1074" name="Arrow: Down 1073">
          <a:extLst>
            <a:ext uri="{FF2B5EF4-FFF2-40B4-BE49-F238E27FC236}">
              <a16:creationId xmlns:a16="http://schemas.microsoft.com/office/drawing/2014/main" id="{959BC2B3-2DF2-4DBD-B51A-0E12E6DB75D6}"/>
            </a:ext>
          </a:extLst>
        </xdr:cNvPr>
        <xdr:cNvSpPr/>
      </xdr:nvSpPr>
      <xdr:spPr>
        <a:xfrm rot="10800000">
          <a:off x="1779270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154</xdr:row>
      <xdr:rowOff>0</xdr:rowOff>
    </xdr:from>
    <xdr:to>
      <xdr:col>5</xdr:col>
      <xdr:colOff>83820</xdr:colOff>
      <xdr:row>154</xdr:row>
      <xdr:rowOff>114300</xdr:rowOff>
    </xdr:to>
    <xdr:sp macro="" textlink="">
      <xdr:nvSpPr>
        <xdr:cNvPr id="1076" name="Arrow: Down 1075">
          <a:extLst>
            <a:ext uri="{FF2B5EF4-FFF2-40B4-BE49-F238E27FC236}">
              <a16:creationId xmlns:a16="http://schemas.microsoft.com/office/drawing/2014/main" id="{B47D3B07-4B6E-4ADB-8F9C-0888685B8E9C}"/>
            </a:ext>
          </a:extLst>
        </xdr:cNvPr>
        <xdr:cNvSpPr/>
      </xdr:nvSpPr>
      <xdr:spPr>
        <a:xfrm>
          <a:off x="192786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154</xdr:row>
      <xdr:rowOff>0</xdr:rowOff>
    </xdr:from>
    <xdr:to>
      <xdr:col>11</xdr:col>
      <xdr:colOff>83820</xdr:colOff>
      <xdr:row>154</xdr:row>
      <xdr:rowOff>114300</xdr:rowOff>
    </xdr:to>
    <xdr:sp macro="" textlink="">
      <xdr:nvSpPr>
        <xdr:cNvPr id="1083" name="Arrow: Down 1082">
          <a:extLst>
            <a:ext uri="{FF2B5EF4-FFF2-40B4-BE49-F238E27FC236}">
              <a16:creationId xmlns:a16="http://schemas.microsoft.com/office/drawing/2014/main" id="{6B3750BE-3060-48EC-8351-240D4EA57817}"/>
            </a:ext>
          </a:extLst>
        </xdr:cNvPr>
        <xdr:cNvSpPr/>
      </xdr:nvSpPr>
      <xdr:spPr>
        <a:xfrm>
          <a:off x="361950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83820</xdr:colOff>
      <xdr:row>154</xdr:row>
      <xdr:rowOff>114300</xdr:rowOff>
    </xdr:to>
    <xdr:sp macro="" textlink="">
      <xdr:nvSpPr>
        <xdr:cNvPr id="1084" name="Arrow: Down 1083">
          <a:extLst>
            <a:ext uri="{FF2B5EF4-FFF2-40B4-BE49-F238E27FC236}">
              <a16:creationId xmlns:a16="http://schemas.microsoft.com/office/drawing/2014/main" id="{3FE514D8-02BD-49BF-ABE3-2537BA5738E1}"/>
            </a:ext>
          </a:extLst>
        </xdr:cNvPr>
        <xdr:cNvSpPr/>
      </xdr:nvSpPr>
      <xdr:spPr>
        <a:xfrm>
          <a:off x="574548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154</xdr:row>
      <xdr:rowOff>0</xdr:rowOff>
    </xdr:from>
    <xdr:to>
      <xdr:col>39</xdr:col>
      <xdr:colOff>83820</xdr:colOff>
      <xdr:row>154</xdr:row>
      <xdr:rowOff>114300</xdr:rowOff>
    </xdr:to>
    <xdr:sp macro="" textlink="">
      <xdr:nvSpPr>
        <xdr:cNvPr id="1085" name="Arrow: Down 1084">
          <a:extLst>
            <a:ext uri="{FF2B5EF4-FFF2-40B4-BE49-F238E27FC236}">
              <a16:creationId xmlns:a16="http://schemas.microsoft.com/office/drawing/2014/main" id="{81A381BA-6ABE-4EF8-AF88-5A16F1955683}"/>
            </a:ext>
          </a:extLst>
        </xdr:cNvPr>
        <xdr:cNvSpPr/>
      </xdr:nvSpPr>
      <xdr:spPr>
        <a:xfrm rot="10800000">
          <a:off x="890778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155</xdr:row>
      <xdr:rowOff>0</xdr:rowOff>
    </xdr:from>
    <xdr:to>
      <xdr:col>45</xdr:col>
      <xdr:colOff>83820</xdr:colOff>
      <xdr:row>155</xdr:row>
      <xdr:rowOff>114300</xdr:rowOff>
    </xdr:to>
    <xdr:sp macro="" textlink="">
      <xdr:nvSpPr>
        <xdr:cNvPr id="1093" name="Arrow: Down 1092">
          <a:extLst>
            <a:ext uri="{FF2B5EF4-FFF2-40B4-BE49-F238E27FC236}">
              <a16:creationId xmlns:a16="http://schemas.microsoft.com/office/drawing/2014/main" id="{27FE9B1E-D941-4EC7-B68C-679E790ABCD3}"/>
            </a:ext>
          </a:extLst>
        </xdr:cNvPr>
        <xdr:cNvSpPr/>
      </xdr:nvSpPr>
      <xdr:spPr>
        <a:xfrm rot="10800000">
          <a:off x="1071372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155</xdr:row>
      <xdr:rowOff>0</xdr:rowOff>
    </xdr:from>
    <xdr:to>
      <xdr:col>24</xdr:col>
      <xdr:colOff>83820</xdr:colOff>
      <xdr:row>155</xdr:row>
      <xdr:rowOff>114300</xdr:rowOff>
    </xdr:to>
    <xdr:sp macro="" textlink="">
      <xdr:nvSpPr>
        <xdr:cNvPr id="1098" name="Arrow: Down 1097">
          <a:extLst>
            <a:ext uri="{FF2B5EF4-FFF2-40B4-BE49-F238E27FC236}">
              <a16:creationId xmlns:a16="http://schemas.microsoft.com/office/drawing/2014/main" id="{6F3F9720-2079-4F44-B430-5204D27B53CF}"/>
            </a:ext>
          </a:extLst>
        </xdr:cNvPr>
        <xdr:cNvSpPr/>
      </xdr:nvSpPr>
      <xdr:spPr>
        <a:xfrm>
          <a:off x="574548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155</xdr:row>
      <xdr:rowOff>0</xdr:rowOff>
    </xdr:from>
    <xdr:to>
      <xdr:col>11</xdr:col>
      <xdr:colOff>83820</xdr:colOff>
      <xdr:row>155</xdr:row>
      <xdr:rowOff>114300</xdr:rowOff>
    </xdr:to>
    <xdr:sp macro="" textlink="">
      <xdr:nvSpPr>
        <xdr:cNvPr id="1101" name="Arrow: Down 1100">
          <a:extLst>
            <a:ext uri="{FF2B5EF4-FFF2-40B4-BE49-F238E27FC236}">
              <a16:creationId xmlns:a16="http://schemas.microsoft.com/office/drawing/2014/main" id="{2F67B167-755A-4D77-A489-9BC527D39CEC}"/>
            </a:ext>
          </a:extLst>
        </xdr:cNvPr>
        <xdr:cNvSpPr/>
      </xdr:nvSpPr>
      <xdr:spPr>
        <a:xfrm rot="10800000">
          <a:off x="361950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155</xdr:row>
      <xdr:rowOff>0</xdr:rowOff>
    </xdr:from>
    <xdr:to>
      <xdr:col>5</xdr:col>
      <xdr:colOff>83820</xdr:colOff>
      <xdr:row>155</xdr:row>
      <xdr:rowOff>114300</xdr:rowOff>
    </xdr:to>
    <xdr:sp macro="" textlink="">
      <xdr:nvSpPr>
        <xdr:cNvPr id="1102" name="Arrow: Down 1101">
          <a:extLst>
            <a:ext uri="{FF2B5EF4-FFF2-40B4-BE49-F238E27FC236}">
              <a16:creationId xmlns:a16="http://schemas.microsoft.com/office/drawing/2014/main" id="{380E652E-2A60-4EDC-AF9C-5D1F20C12F75}"/>
            </a:ext>
          </a:extLst>
        </xdr:cNvPr>
        <xdr:cNvSpPr/>
      </xdr:nvSpPr>
      <xdr:spPr>
        <a:xfrm rot="10800000">
          <a:off x="192786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155</xdr:row>
      <xdr:rowOff>0</xdr:rowOff>
    </xdr:from>
    <xdr:to>
      <xdr:col>39</xdr:col>
      <xdr:colOff>83820</xdr:colOff>
      <xdr:row>155</xdr:row>
      <xdr:rowOff>114300</xdr:rowOff>
    </xdr:to>
    <xdr:sp macro="" textlink="">
      <xdr:nvSpPr>
        <xdr:cNvPr id="1104" name="Arrow: Down 1103">
          <a:extLst>
            <a:ext uri="{FF2B5EF4-FFF2-40B4-BE49-F238E27FC236}">
              <a16:creationId xmlns:a16="http://schemas.microsoft.com/office/drawing/2014/main" id="{F9460A0C-FD6E-4987-A5DD-90B370C4E453}"/>
            </a:ext>
          </a:extLst>
        </xdr:cNvPr>
        <xdr:cNvSpPr/>
      </xdr:nvSpPr>
      <xdr:spPr>
        <a:xfrm>
          <a:off x="890778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155</xdr:row>
      <xdr:rowOff>0</xdr:rowOff>
    </xdr:from>
    <xdr:to>
      <xdr:col>71</xdr:col>
      <xdr:colOff>83820</xdr:colOff>
      <xdr:row>155</xdr:row>
      <xdr:rowOff>114300</xdr:rowOff>
    </xdr:to>
    <xdr:sp macro="" textlink="">
      <xdr:nvSpPr>
        <xdr:cNvPr id="1105" name="Arrow: Down 1104">
          <a:extLst>
            <a:ext uri="{FF2B5EF4-FFF2-40B4-BE49-F238E27FC236}">
              <a16:creationId xmlns:a16="http://schemas.microsoft.com/office/drawing/2014/main" id="{A7679060-FC60-490F-9EE4-65F637126462}"/>
            </a:ext>
          </a:extLst>
        </xdr:cNvPr>
        <xdr:cNvSpPr/>
      </xdr:nvSpPr>
      <xdr:spPr>
        <a:xfrm>
          <a:off x="1779270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155</xdr:row>
      <xdr:rowOff>0</xdr:rowOff>
    </xdr:from>
    <xdr:to>
      <xdr:col>60</xdr:col>
      <xdr:colOff>83820</xdr:colOff>
      <xdr:row>155</xdr:row>
      <xdr:rowOff>114300</xdr:rowOff>
    </xdr:to>
    <xdr:sp macro="" textlink="">
      <xdr:nvSpPr>
        <xdr:cNvPr id="1106" name="Arrow: Down 1105">
          <a:extLst>
            <a:ext uri="{FF2B5EF4-FFF2-40B4-BE49-F238E27FC236}">
              <a16:creationId xmlns:a16="http://schemas.microsoft.com/office/drawing/2014/main" id="{52BC06DD-F961-47C7-978A-A9B6501511B8}"/>
            </a:ext>
          </a:extLst>
        </xdr:cNvPr>
        <xdr:cNvSpPr/>
      </xdr:nvSpPr>
      <xdr:spPr>
        <a:xfrm>
          <a:off x="1547622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156</xdr:row>
      <xdr:rowOff>0</xdr:rowOff>
    </xdr:from>
    <xdr:to>
      <xdr:col>45</xdr:col>
      <xdr:colOff>83820</xdr:colOff>
      <xdr:row>156</xdr:row>
      <xdr:rowOff>114300</xdr:rowOff>
    </xdr:to>
    <xdr:sp macro="" textlink="">
      <xdr:nvSpPr>
        <xdr:cNvPr id="1107" name="Arrow: Down 1106">
          <a:extLst>
            <a:ext uri="{FF2B5EF4-FFF2-40B4-BE49-F238E27FC236}">
              <a16:creationId xmlns:a16="http://schemas.microsoft.com/office/drawing/2014/main" id="{FE108345-2BC6-49B6-A5D6-807E877C466A}"/>
            </a:ext>
          </a:extLst>
        </xdr:cNvPr>
        <xdr:cNvSpPr/>
      </xdr:nvSpPr>
      <xdr:spPr>
        <a:xfrm rot="10800000">
          <a:off x="1071372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156</xdr:row>
      <xdr:rowOff>0</xdr:rowOff>
    </xdr:from>
    <xdr:to>
      <xdr:col>24</xdr:col>
      <xdr:colOff>83820</xdr:colOff>
      <xdr:row>156</xdr:row>
      <xdr:rowOff>114300</xdr:rowOff>
    </xdr:to>
    <xdr:sp macro="" textlink="">
      <xdr:nvSpPr>
        <xdr:cNvPr id="1108" name="Arrow: Down 1107">
          <a:extLst>
            <a:ext uri="{FF2B5EF4-FFF2-40B4-BE49-F238E27FC236}">
              <a16:creationId xmlns:a16="http://schemas.microsoft.com/office/drawing/2014/main" id="{A536F20D-2441-4A86-946C-75BE47B5C2EB}"/>
            </a:ext>
          </a:extLst>
        </xdr:cNvPr>
        <xdr:cNvSpPr/>
      </xdr:nvSpPr>
      <xdr:spPr>
        <a:xfrm>
          <a:off x="574548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156</xdr:row>
      <xdr:rowOff>0</xdr:rowOff>
    </xdr:from>
    <xdr:to>
      <xdr:col>11</xdr:col>
      <xdr:colOff>83820</xdr:colOff>
      <xdr:row>156</xdr:row>
      <xdr:rowOff>114300</xdr:rowOff>
    </xdr:to>
    <xdr:sp macro="" textlink="">
      <xdr:nvSpPr>
        <xdr:cNvPr id="1109" name="Arrow: Down 1108">
          <a:extLst>
            <a:ext uri="{FF2B5EF4-FFF2-40B4-BE49-F238E27FC236}">
              <a16:creationId xmlns:a16="http://schemas.microsoft.com/office/drawing/2014/main" id="{2C4052DC-11CD-4FA1-903C-5F2671BD7E62}"/>
            </a:ext>
          </a:extLst>
        </xdr:cNvPr>
        <xdr:cNvSpPr/>
      </xdr:nvSpPr>
      <xdr:spPr>
        <a:xfrm rot="10800000">
          <a:off x="361950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156</xdr:row>
      <xdr:rowOff>0</xdr:rowOff>
    </xdr:from>
    <xdr:to>
      <xdr:col>5</xdr:col>
      <xdr:colOff>83820</xdr:colOff>
      <xdr:row>156</xdr:row>
      <xdr:rowOff>114300</xdr:rowOff>
    </xdr:to>
    <xdr:sp macro="" textlink="">
      <xdr:nvSpPr>
        <xdr:cNvPr id="1110" name="Arrow: Down 1109">
          <a:extLst>
            <a:ext uri="{FF2B5EF4-FFF2-40B4-BE49-F238E27FC236}">
              <a16:creationId xmlns:a16="http://schemas.microsoft.com/office/drawing/2014/main" id="{5AF9D44E-2C5D-4B51-A678-1670E65959FD}"/>
            </a:ext>
          </a:extLst>
        </xdr:cNvPr>
        <xdr:cNvSpPr/>
      </xdr:nvSpPr>
      <xdr:spPr>
        <a:xfrm rot="10800000">
          <a:off x="192786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156</xdr:row>
      <xdr:rowOff>0</xdr:rowOff>
    </xdr:from>
    <xdr:to>
      <xdr:col>39</xdr:col>
      <xdr:colOff>83820</xdr:colOff>
      <xdr:row>156</xdr:row>
      <xdr:rowOff>114300</xdr:rowOff>
    </xdr:to>
    <xdr:sp macro="" textlink="">
      <xdr:nvSpPr>
        <xdr:cNvPr id="1111" name="Arrow: Down 1110">
          <a:extLst>
            <a:ext uri="{FF2B5EF4-FFF2-40B4-BE49-F238E27FC236}">
              <a16:creationId xmlns:a16="http://schemas.microsoft.com/office/drawing/2014/main" id="{B1FF1969-27EE-4A4A-8B5A-C5AAA5F71E37}"/>
            </a:ext>
          </a:extLst>
        </xdr:cNvPr>
        <xdr:cNvSpPr/>
      </xdr:nvSpPr>
      <xdr:spPr>
        <a:xfrm>
          <a:off x="890778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156</xdr:row>
      <xdr:rowOff>0</xdr:rowOff>
    </xdr:from>
    <xdr:to>
      <xdr:col>71</xdr:col>
      <xdr:colOff>83820</xdr:colOff>
      <xdr:row>156</xdr:row>
      <xdr:rowOff>114300</xdr:rowOff>
    </xdr:to>
    <xdr:sp macro="" textlink="">
      <xdr:nvSpPr>
        <xdr:cNvPr id="1114" name="Arrow: Down 1113">
          <a:extLst>
            <a:ext uri="{FF2B5EF4-FFF2-40B4-BE49-F238E27FC236}">
              <a16:creationId xmlns:a16="http://schemas.microsoft.com/office/drawing/2014/main" id="{70B57DD7-E8B5-471A-B300-B356EB54A1D5}"/>
            </a:ext>
          </a:extLst>
        </xdr:cNvPr>
        <xdr:cNvSpPr/>
      </xdr:nvSpPr>
      <xdr:spPr>
        <a:xfrm rot="10800000">
          <a:off x="17792700" y="2862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156</xdr:row>
      <xdr:rowOff>0</xdr:rowOff>
    </xdr:from>
    <xdr:to>
      <xdr:col>60</xdr:col>
      <xdr:colOff>83820</xdr:colOff>
      <xdr:row>156</xdr:row>
      <xdr:rowOff>114300</xdr:rowOff>
    </xdr:to>
    <xdr:sp macro="" textlink="">
      <xdr:nvSpPr>
        <xdr:cNvPr id="1116" name="Arrow: Down 1115">
          <a:extLst>
            <a:ext uri="{FF2B5EF4-FFF2-40B4-BE49-F238E27FC236}">
              <a16:creationId xmlns:a16="http://schemas.microsoft.com/office/drawing/2014/main" id="{0D2DEFEC-6C84-4A2F-BB16-3EBD4EE2F53E}"/>
            </a:ext>
          </a:extLst>
        </xdr:cNvPr>
        <xdr:cNvSpPr/>
      </xdr:nvSpPr>
      <xdr:spPr>
        <a:xfrm rot="10800000">
          <a:off x="15476220" y="2862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157</xdr:row>
      <xdr:rowOff>0</xdr:rowOff>
    </xdr:from>
    <xdr:to>
      <xdr:col>45</xdr:col>
      <xdr:colOff>83820</xdr:colOff>
      <xdr:row>157</xdr:row>
      <xdr:rowOff>114300</xdr:rowOff>
    </xdr:to>
    <xdr:sp macro="" textlink="">
      <xdr:nvSpPr>
        <xdr:cNvPr id="1117" name="Arrow: Down 1116">
          <a:extLst>
            <a:ext uri="{FF2B5EF4-FFF2-40B4-BE49-F238E27FC236}">
              <a16:creationId xmlns:a16="http://schemas.microsoft.com/office/drawing/2014/main" id="{E512633E-7EC3-4E72-BAE6-B7159411DDF9}"/>
            </a:ext>
          </a:extLst>
        </xdr:cNvPr>
        <xdr:cNvSpPr/>
      </xdr:nvSpPr>
      <xdr:spPr>
        <a:xfrm rot="10800000">
          <a:off x="10713720" y="286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157</xdr:row>
      <xdr:rowOff>0</xdr:rowOff>
    </xdr:from>
    <xdr:to>
      <xdr:col>24</xdr:col>
      <xdr:colOff>83820</xdr:colOff>
      <xdr:row>157</xdr:row>
      <xdr:rowOff>114300</xdr:rowOff>
    </xdr:to>
    <xdr:sp macro="" textlink="">
      <xdr:nvSpPr>
        <xdr:cNvPr id="1118" name="Arrow: Down 1117">
          <a:extLst>
            <a:ext uri="{FF2B5EF4-FFF2-40B4-BE49-F238E27FC236}">
              <a16:creationId xmlns:a16="http://schemas.microsoft.com/office/drawing/2014/main" id="{6EEE7B06-AF61-4CDE-B2D2-2E6851206E7B}"/>
            </a:ext>
          </a:extLst>
        </xdr:cNvPr>
        <xdr:cNvSpPr/>
      </xdr:nvSpPr>
      <xdr:spPr>
        <a:xfrm>
          <a:off x="5745480" y="286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157</xdr:row>
      <xdr:rowOff>0</xdr:rowOff>
    </xdr:from>
    <xdr:to>
      <xdr:col>39</xdr:col>
      <xdr:colOff>83820</xdr:colOff>
      <xdr:row>157</xdr:row>
      <xdr:rowOff>114300</xdr:rowOff>
    </xdr:to>
    <xdr:sp macro="" textlink="">
      <xdr:nvSpPr>
        <xdr:cNvPr id="1121" name="Arrow: Down 1120">
          <a:extLst>
            <a:ext uri="{FF2B5EF4-FFF2-40B4-BE49-F238E27FC236}">
              <a16:creationId xmlns:a16="http://schemas.microsoft.com/office/drawing/2014/main" id="{A117081C-F00B-4346-BBB7-C92D4C126C58}"/>
            </a:ext>
          </a:extLst>
        </xdr:cNvPr>
        <xdr:cNvSpPr/>
      </xdr:nvSpPr>
      <xdr:spPr>
        <a:xfrm>
          <a:off x="8907780" y="2862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157</xdr:row>
      <xdr:rowOff>0</xdr:rowOff>
    </xdr:from>
    <xdr:to>
      <xdr:col>5</xdr:col>
      <xdr:colOff>83820</xdr:colOff>
      <xdr:row>157</xdr:row>
      <xdr:rowOff>114300</xdr:rowOff>
    </xdr:to>
    <xdr:sp macro="" textlink="">
      <xdr:nvSpPr>
        <xdr:cNvPr id="1124" name="Arrow: Down 1123">
          <a:extLst>
            <a:ext uri="{FF2B5EF4-FFF2-40B4-BE49-F238E27FC236}">
              <a16:creationId xmlns:a16="http://schemas.microsoft.com/office/drawing/2014/main" id="{2C59CCB7-323A-4ED1-AA93-3EAC98089B11}"/>
            </a:ext>
          </a:extLst>
        </xdr:cNvPr>
        <xdr:cNvSpPr/>
      </xdr:nvSpPr>
      <xdr:spPr>
        <a:xfrm>
          <a:off x="192786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157</xdr:row>
      <xdr:rowOff>0</xdr:rowOff>
    </xdr:from>
    <xdr:to>
      <xdr:col>11</xdr:col>
      <xdr:colOff>83820</xdr:colOff>
      <xdr:row>157</xdr:row>
      <xdr:rowOff>114300</xdr:rowOff>
    </xdr:to>
    <xdr:sp macro="" textlink="">
      <xdr:nvSpPr>
        <xdr:cNvPr id="1125" name="Arrow: Down 1124">
          <a:extLst>
            <a:ext uri="{FF2B5EF4-FFF2-40B4-BE49-F238E27FC236}">
              <a16:creationId xmlns:a16="http://schemas.microsoft.com/office/drawing/2014/main" id="{C22907D2-B0AB-4584-9716-45C511DE7B8C}"/>
            </a:ext>
          </a:extLst>
        </xdr:cNvPr>
        <xdr:cNvSpPr/>
      </xdr:nvSpPr>
      <xdr:spPr>
        <a:xfrm>
          <a:off x="361950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157</xdr:row>
      <xdr:rowOff>0</xdr:rowOff>
    </xdr:from>
    <xdr:to>
      <xdr:col>71</xdr:col>
      <xdr:colOff>83820</xdr:colOff>
      <xdr:row>157</xdr:row>
      <xdr:rowOff>114300</xdr:rowOff>
    </xdr:to>
    <xdr:sp macro="" textlink="">
      <xdr:nvSpPr>
        <xdr:cNvPr id="1127" name="Arrow: Down 1126">
          <a:extLst>
            <a:ext uri="{FF2B5EF4-FFF2-40B4-BE49-F238E27FC236}">
              <a16:creationId xmlns:a16="http://schemas.microsoft.com/office/drawing/2014/main" id="{BEE80141-CF21-469B-B5AB-1B0A146839D2}"/>
            </a:ext>
          </a:extLst>
        </xdr:cNvPr>
        <xdr:cNvSpPr/>
      </xdr:nvSpPr>
      <xdr:spPr>
        <a:xfrm>
          <a:off x="1779270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157</xdr:row>
      <xdr:rowOff>0</xdr:rowOff>
    </xdr:from>
    <xdr:to>
      <xdr:col>60</xdr:col>
      <xdr:colOff>83820</xdr:colOff>
      <xdr:row>157</xdr:row>
      <xdr:rowOff>114300</xdr:rowOff>
    </xdr:to>
    <xdr:sp macro="" textlink="">
      <xdr:nvSpPr>
        <xdr:cNvPr id="1128" name="Arrow: Down 1127">
          <a:extLst>
            <a:ext uri="{FF2B5EF4-FFF2-40B4-BE49-F238E27FC236}">
              <a16:creationId xmlns:a16="http://schemas.microsoft.com/office/drawing/2014/main" id="{BF7AFA04-6849-4924-A3CE-1D061222F6F4}"/>
            </a:ext>
          </a:extLst>
        </xdr:cNvPr>
        <xdr:cNvSpPr/>
      </xdr:nvSpPr>
      <xdr:spPr>
        <a:xfrm>
          <a:off x="1547622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158</xdr:row>
      <xdr:rowOff>0</xdr:rowOff>
    </xdr:from>
    <xdr:to>
      <xdr:col>24</xdr:col>
      <xdr:colOff>83820</xdr:colOff>
      <xdr:row>158</xdr:row>
      <xdr:rowOff>114300</xdr:rowOff>
    </xdr:to>
    <xdr:sp macro="" textlink="">
      <xdr:nvSpPr>
        <xdr:cNvPr id="1137" name="Arrow: Down 1136">
          <a:extLst>
            <a:ext uri="{FF2B5EF4-FFF2-40B4-BE49-F238E27FC236}">
              <a16:creationId xmlns:a16="http://schemas.microsoft.com/office/drawing/2014/main" id="{E9252220-8091-4C57-ADBA-C4765322EB17}"/>
            </a:ext>
          </a:extLst>
        </xdr:cNvPr>
        <xdr:cNvSpPr/>
      </xdr:nvSpPr>
      <xdr:spPr>
        <a:xfrm>
          <a:off x="584454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158</xdr:row>
      <xdr:rowOff>0</xdr:rowOff>
    </xdr:from>
    <xdr:to>
      <xdr:col>39</xdr:col>
      <xdr:colOff>83820</xdr:colOff>
      <xdr:row>158</xdr:row>
      <xdr:rowOff>114300</xdr:rowOff>
    </xdr:to>
    <xdr:sp macro="" textlink="">
      <xdr:nvSpPr>
        <xdr:cNvPr id="1138" name="Arrow: Down 1137">
          <a:extLst>
            <a:ext uri="{FF2B5EF4-FFF2-40B4-BE49-F238E27FC236}">
              <a16:creationId xmlns:a16="http://schemas.microsoft.com/office/drawing/2014/main" id="{8918CC03-EC41-4BBB-B20A-F122D181A951}"/>
            </a:ext>
          </a:extLst>
        </xdr:cNvPr>
        <xdr:cNvSpPr/>
      </xdr:nvSpPr>
      <xdr:spPr>
        <a:xfrm>
          <a:off x="9006840" y="288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158</xdr:row>
      <xdr:rowOff>0</xdr:rowOff>
    </xdr:from>
    <xdr:to>
      <xdr:col>5</xdr:col>
      <xdr:colOff>83820</xdr:colOff>
      <xdr:row>158</xdr:row>
      <xdr:rowOff>114300</xdr:rowOff>
    </xdr:to>
    <xdr:sp macro="" textlink="">
      <xdr:nvSpPr>
        <xdr:cNvPr id="1139" name="Arrow: Down 1138">
          <a:extLst>
            <a:ext uri="{FF2B5EF4-FFF2-40B4-BE49-F238E27FC236}">
              <a16:creationId xmlns:a16="http://schemas.microsoft.com/office/drawing/2014/main" id="{951897A1-0D15-45EF-93F0-D154BB2F25A5}"/>
            </a:ext>
          </a:extLst>
        </xdr:cNvPr>
        <xdr:cNvSpPr/>
      </xdr:nvSpPr>
      <xdr:spPr>
        <a:xfrm>
          <a:off x="192786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158</xdr:row>
      <xdr:rowOff>0</xdr:rowOff>
    </xdr:from>
    <xdr:to>
      <xdr:col>11</xdr:col>
      <xdr:colOff>83820</xdr:colOff>
      <xdr:row>158</xdr:row>
      <xdr:rowOff>114300</xdr:rowOff>
    </xdr:to>
    <xdr:sp macro="" textlink="">
      <xdr:nvSpPr>
        <xdr:cNvPr id="1140" name="Arrow: Down 1139">
          <a:extLst>
            <a:ext uri="{FF2B5EF4-FFF2-40B4-BE49-F238E27FC236}">
              <a16:creationId xmlns:a16="http://schemas.microsoft.com/office/drawing/2014/main" id="{06C0199E-2186-4B4D-9046-4F94E0C4C43A}"/>
            </a:ext>
          </a:extLst>
        </xdr:cNvPr>
        <xdr:cNvSpPr/>
      </xdr:nvSpPr>
      <xdr:spPr>
        <a:xfrm>
          <a:off x="361950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158</xdr:row>
      <xdr:rowOff>0</xdr:rowOff>
    </xdr:from>
    <xdr:to>
      <xdr:col>71</xdr:col>
      <xdr:colOff>83820</xdr:colOff>
      <xdr:row>158</xdr:row>
      <xdr:rowOff>114300</xdr:rowOff>
    </xdr:to>
    <xdr:sp macro="" textlink="">
      <xdr:nvSpPr>
        <xdr:cNvPr id="1141" name="Arrow: Down 1140">
          <a:extLst>
            <a:ext uri="{FF2B5EF4-FFF2-40B4-BE49-F238E27FC236}">
              <a16:creationId xmlns:a16="http://schemas.microsoft.com/office/drawing/2014/main" id="{D7B90E48-27F4-4BAF-8278-F4C382091612}"/>
            </a:ext>
          </a:extLst>
        </xdr:cNvPr>
        <xdr:cNvSpPr/>
      </xdr:nvSpPr>
      <xdr:spPr>
        <a:xfrm>
          <a:off x="1789176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158</xdr:row>
      <xdr:rowOff>0</xdr:rowOff>
    </xdr:from>
    <xdr:to>
      <xdr:col>60</xdr:col>
      <xdr:colOff>83820</xdr:colOff>
      <xdr:row>158</xdr:row>
      <xdr:rowOff>114300</xdr:rowOff>
    </xdr:to>
    <xdr:sp macro="" textlink="">
      <xdr:nvSpPr>
        <xdr:cNvPr id="1142" name="Arrow: Down 1141">
          <a:extLst>
            <a:ext uri="{FF2B5EF4-FFF2-40B4-BE49-F238E27FC236}">
              <a16:creationId xmlns:a16="http://schemas.microsoft.com/office/drawing/2014/main" id="{3A5D3820-8CEF-4FA1-8080-9ECAFC86AD6D}"/>
            </a:ext>
          </a:extLst>
        </xdr:cNvPr>
        <xdr:cNvSpPr/>
      </xdr:nvSpPr>
      <xdr:spPr>
        <a:xfrm>
          <a:off x="1557528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36</xdr:col>
      <xdr:colOff>137160</xdr:colOff>
      <xdr:row>798</xdr:row>
      <xdr:rowOff>125730</xdr:rowOff>
    </xdr:from>
    <xdr:to>
      <xdr:col>54</xdr:col>
      <xdr:colOff>213360</xdr:colOff>
      <xdr:row>813</xdr:row>
      <xdr:rowOff>118110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D094808-04A9-4C9A-AA60-C78EFE37D40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45</xdr:col>
      <xdr:colOff>0</xdr:colOff>
      <xdr:row>158</xdr:row>
      <xdr:rowOff>0</xdr:rowOff>
    </xdr:from>
    <xdr:to>
      <xdr:col>45</xdr:col>
      <xdr:colOff>83820</xdr:colOff>
      <xdr:row>158</xdr:row>
      <xdr:rowOff>114300</xdr:rowOff>
    </xdr:to>
    <xdr:sp macro="" textlink="">
      <xdr:nvSpPr>
        <xdr:cNvPr id="1143" name="Arrow: Down 1142">
          <a:extLst>
            <a:ext uri="{FF2B5EF4-FFF2-40B4-BE49-F238E27FC236}">
              <a16:creationId xmlns:a16="http://schemas.microsoft.com/office/drawing/2014/main" id="{EDD95B55-342E-407E-8AFB-278AD7291DFB}"/>
            </a:ext>
          </a:extLst>
        </xdr:cNvPr>
        <xdr:cNvSpPr/>
      </xdr:nvSpPr>
      <xdr:spPr>
        <a:xfrm>
          <a:off x="11308080" y="289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159</xdr:row>
      <xdr:rowOff>0</xdr:rowOff>
    </xdr:from>
    <xdr:to>
      <xdr:col>71</xdr:col>
      <xdr:colOff>83820</xdr:colOff>
      <xdr:row>159</xdr:row>
      <xdr:rowOff>114300</xdr:rowOff>
    </xdr:to>
    <xdr:sp macro="" textlink="">
      <xdr:nvSpPr>
        <xdr:cNvPr id="1148" name="Arrow: Down 1147">
          <a:extLst>
            <a:ext uri="{FF2B5EF4-FFF2-40B4-BE49-F238E27FC236}">
              <a16:creationId xmlns:a16="http://schemas.microsoft.com/office/drawing/2014/main" id="{A35610B0-B21F-4569-BDD6-AC388166066D}"/>
            </a:ext>
          </a:extLst>
        </xdr:cNvPr>
        <xdr:cNvSpPr/>
      </xdr:nvSpPr>
      <xdr:spPr>
        <a:xfrm>
          <a:off x="17853660" y="2899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159</xdr:row>
      <xdr:rowOff>0</xdr:rowOff>
    </xdr:from>
    <xdr:to>
      <xdr:col>39</xdr:col>
      <xdr:colOff>83820</xdr:colOff>
      <xdr:row>159</xdr:row>
      <xdr:rowOff>114300</xdr:rowOff>
    </xdr:to>
    <xdr:sp macro="" textlink="">
      <xdr:nvSpPr>
        <xdr:cNvPr id="1151" name="Arrow: Down 1150">
          <a:extLst>
            <a:ext uri="{FF2B5EF4-FFF2-40B4-BE49-F238E27FC236}">
              <a16:creationId xmlns:a16="http://schemas.microsoft.com/office/drawing/2014/main" id="{3B714D2A-CC58-4958-AC45-AB055E3D5B37}"/>
            </a:ext>
          </a:extLst>
        </xdr:cNvPr>
        <xdr:cNvSpPr/>
      </xdr:nvSpPr>
      <xdr:spPr>
        <a:xfrm rot="10800000">
          <a:off x="9014460" y="2917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159</xdr:row>
      <xdr:rowOff>0</xdr:rowOff>
    </xdr:from>
    <xdr:to>
      <xdr:col>45</xdr:col>
      <xdr:colOff>83820</xdr:colOff>
      <xdr:row>159</xdr:row>
      <xdr:rowOff>114300</xdr:rowOff>
    </xdr:to>
    <xdr:sp macro="" textlink="">
      <xdr:nvSpPr>
        <xdr:cNvPr id="1152" name="Arrow: Down 1151">
          <a:extLst>
            <a:ext uri="{FF2B5EF4-FFF2-40B4-BE49-F238E27FC236}">
              <a16:creationId xmlns:a16="http://schemas.microsoft.com/office/drawing/2014/main" id="{13EA6921-8BBC-410E-8EF6-A442D34CE5C4}"/>
            </a:ext>
          </a:extLst>
        </xdr:cNvPr>
        <xdr:cNvSpPr/>
      </xdr:nvSpPr>
      <xdr:spPr>
        <a:xfrm rot="10800000">
          <a:off x="10820400" y="2917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159</xdr:row>
      <xdr:rowOff>0</xdr:rowOff>
    </xdr:from>
    <xdr:to>
      <xdr:col>11</xdr:col>
      <xdr:colOff>83820</xdr:colOff>
      <xdr:row>159</xdr:row>
      <xdr:rowOff>114300</xdr:rowOff>
    </xdr:to>
    <xdr:sp macro="" textlink="">
      <xdr:nvSpPr>
        <xdr:cNvPr id="1153" name="Arrow: Down 1152">
          <a:extLst>
            <a:ext uri="{FF2B5EF4-FFF2-40B4-BE49-F238E27FC236}">
              <a16:creationId xmlns:a16="http://schemas.microsoft.com/office/drawing/2014/main" id="{53FCF9F4-288C-476E-BCC5-827C990D9DF4}"/>
            </a:ext>
          </a:extLst>
        </xdr:cNvPr>
        <xdr:cNvSpPr/>
      </xdr:nvSpPr>
      <xdr:spPr>
        <a:xfrm rot="10800000">
          <a:off x="361950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159</xdr:row>
      <xdr:rowOff>0</xdr:rowOff>
    </xdr:from>
    <xdr:to>
      <xdr:col>5</xdr:col>
      <xdr:colOff>83820</xdr:colOff>
      <xdr:row>159</xdr:row>
      <xdr:rowOff>114300</xdr:rowOff>
    </xdr:to>
    <xdr:sp macro="" textlink="">
      <xdr:nvSpPr>
        <xdr:cNvPr id="1154" name="Arrow: Down 1153">
          <a:extLst>
            <a:ext uri="{FF2B5EF4-FFF2-40B4-BE49-F238E27FC236}">
              <a16:creationId xmlns:a16="http://schemas.microsoft.com/office/drawing/2014/main" id="{0DCC5CE7-F79D-45E9-8F2D-C4825EE79F80}"/>
            </a:ext>
          </a:extLst>
        </xdr:cNvPr>
        <xdr:cNvSpPr/>
      </xdr:nvSpPr>
      <xdr:spPr>
        <a:xfrm rot="10800000">
          <a:off x="192786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159</xdr:row>
      <xdr:rowOff>0</xdr:rowOff>
    </xdr:from>
    <xdr:to>
      <xdr:col>24</xdr:col>
      <xdr:colOff>83820</xdr:colOff>
      <xdr:row>159</xdr:row>
      <xdr:rowOff>114300</xdr:rowOff>
    </xdr:to>
    <xdr:sp macro="" textlink="">
      <xdr:nvSpPr>
        <xdr:cNvPr id="1155" name="Arrow: Down 1154">
          <a:extLst>
            <a:ext uri="{FF2B5EF4-FFF2-40B4-BE49-F238E27FC236}">
              <a16:creationId xmlns:a16="http://schemas.microsoft.com/office/drawing/2014/main" id="{20B2ED51-BEE1-4446-8FC3-52150E2ED67C}"/>
            </a:ext>
          </a:extLst>
        </xdr:cNvPr>
        <xdr:cNvSpPr/>
      </xdr:nvSpPr>
      <xdr:spPr>
        <a:xfrm rot="10800000">
          <a:off x="585216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159</xdr:row>
      <xdr:rowOff>0</xdr:rowOff>
    </xdr:from>
    <xdr:to>
      <xdr:col>60</xdr:col>
      <xdr:colOff>83820</xdr:colOff>
      <xdr:row>159</xdr:row>
      <xdr:rowOff>114300</xdr:rowOff>
    </xdr:to>
    <xdr:sp macro="" textlink="">
      <xdr:nvSpPr>
        <xdr:cNvPr id="1157" name="Arrow: Down 1156">
          <a:extLst>
            <a:ext uri="{FF2B5EF4-FFF2-40B4-BE49-F238E27FC236}">
              <a16:creationId xmlns:a16="http://schemas.microsoft.com/office/drawing/2014/main" id="{B3885D79-93FF-4740-A74C-7A5F586516E3}"/>
            </a:ext>
          </a:extLst>
        </xdr:cNvPr>
        <xdr:cNvSpPr/>
      </xdr:nvSpPr>
      <xdr:spPr>
        <a:xfrm rot="10800000">
          <a:off x="1558290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160</xdr:row>
      <xdr:rowOff>0</xdr:rowOff>
    </xdr:from>
    <xdr:to>
      <xdr:col>71</xdr:col>
      <xdr:colOff>83820</xdr:colOff>
      <xdr:row>160</xdr:row>
      <xdr:rowOff>114300</xdr:rowOff>
    </xdr:to>
    <xdr:sp macro="" textlink="">
      <xdr:nvSpPr>
        <xdr:cNvPr id="1090" name="Arrow: Down 1089">
          <a:extLst>
            <a:ext uri="{FF2B5EF4-FFF2-40B4-BE49-F238E27FC236}">
              <a16:creationId xmlns:a16="http://schemas.microsoft.com/office/drawing/2014/main" id="{30EAA649-7085-4EB5-8EB5-036AE1A3BE38}"/>
            </a:ext>
          </a:extLst>
        </xdr:cNvPr>
        <xdr:cNvSpPr/>
      </xdr:nvSpPr>
      <xdr:spPr>
        <a:xfrm>
          <a:off x="17907000" y="2917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160</xdr:row>
      <xdr:rowOff>0</xdr:rowOff>
    </xdr:from>
    <xdr:to>
      <xdr:col>11</xdr:col>
      <xdr:colOff>83820</xdr:colOff>
      <xdr:row>160</xdr:row>
      <xdr:rowOff>114300</xdr:rowOff>
    </xdr:to>
    <xdr:sp macro="" textlink="">
      <xdr:nvSpPr>
        <xdr:cNvPr id="1094" name="Arrow: Down 1093">
          <a:extLst>
            <a:ext uri="{FF2B5EF4-FFF2-40B4-BE49-F238E27FC236}">
              <a16:creationId xmlns:a16="http://schemas.microsoft.com/office/drawing/2014/main" id="{54B782FB-01D0-4C40-8E10-B1413ECB7BF3}"/>
            </a:ext>
          </a:extLst>
        </xdr:cNvPr>
        <xdr:cNvSpPr/>
      </xdr:nvSpPr>
      <xdr:spPr>
        <a:xfrm rot="10800000">
          <a:off x="361950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160</xdr:row>
      <xdr:rowOff>0</xdr:rowOff>
    </xdr:from>
    <xdr:to>
      <xdr:col>5</xdr:col>
      <xdr:colOff>83820</xdr:colOff>
      <xdr:row>160</xdr:row>
      <xdr:rowOff>114300</xdr:rowOff>
    </xdr:to>
    <xdr:sp macro="" textlink="">
      <xdr:nvSpPr>
        <xdr:cNvPr id="1095" name="Arrow: Down 1094">
          <a:extLst>
            <a:ext uri="{FF2B5EF4-FFF2-40B4-BE49-F238E27FC236}">
              <a16:creationId xmlns:a16="http://schemas.microsoft.com/office/drawing/2014/main" id="{FC1AAE07-2E6E-44AA-A17E-54A7F75F34FD}"/>
            </a:ext>
          </a:extLst>
        </xdr:cNvPr>
        <xdr:cNvSpPr/>
      </xdr:nvSpPr>
      <xdr:spPr>
        <a:xfrm rot="10800000">
          <a:off x="192786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160</xdr:row>
      <xdr:rowOff>0</xdr:rowOff>
    </xdr:from>
    <xdr:to>
      <xdr:col>24</xdr:col>
      <xdr:colOff>83820</xdr:colOff>
      <xdr:row>160</xdr:row>
      <xdr:rowOff>114300</xdr:rowOff>
    </xdr:to>
    <xdr:sp macro="" textlink="">
      <xdr:nvSpPr>
        <xdr:cNvPr id="1096" name="Arrow: Down 1095">
          <a:extLst>
            <a:ext uri="{FF2B5EF4-FFF2-40B4-BE49-F238E27FC236}">
              <a16:creationId xmlns:a16="http://schemas.microsoft.com/office/drawing/2014/main" id="{450C50F7-63EC-4BE2-AEED-3A329FA73E23}"/>
            </a:ext>
          </a:extLst>
        </xdr:cNvPr>
        <xdr:cNvSpPr/>
      </xdr:nvSpPr>
      <xdr:spPr>
        <a:xfrm rot="10800000">
          <a:off x="585978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160</xdr:row>
      <xdr:rowOff>0</xdr:rowOff>
    </xdr:from>
    <xdr:to>
      <xdr:col>60</xdr:col>
      <xdr:colOff>83820</xdr:colOff>
      <xdr:row>160</xdr:row>
      <xdr:rowOff>114300</xdr:rowOff>
    </xdr:to>
    <xdr:sp macro="" textlink="">
      <xdr:nvSpPr>
        <xdr:cNvPr id="1097" name="Arrow: Down 1096">
          <a:extLst>
            <a:ext uri="{FF2B5EF4-FFF2-40B4-BE49-F238E27FC236}">
              <a16:creationId xmlns:a16="http://schemas.microsoft.com/office/drawing/2014/main" id="{3152EE92-07AD-443E-A94A-0CFCA06E41DB}"/>
            </a:ext>
          </a:extLst>
        </xdr:cNvPr>
        <xdr:cNvSpPr/>
      </xdr:nvSpPr>
      <xdr:spPr>
        <a:xfrm rot="10800000">
          <a:off x="1559052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160</xdr:row>
      <xdr:rowOff>0</xdr:rowOff>
    </xdr:from>
    <xdr:to>
      <xdr:col>39</xdr:col>
      <xdr:colOff>83820</xdr:colOff>
      <xdr:row>160</xdr:row>
      <xdr:rowOff>114300</xdr:rowOff>
    </xdr:to>
    <xdr:sp macro="" textlink="">
      <xdr:nvSpPr>
        <xdr:cNvPr id="1099" name="Arrow: Down 1098">
          <a:extLst>
            <a:ext uri="{FF2B5EF4-FFF2-40B4-BE49-F238E27FC236}">
              <a16:creationId xmlns:a16="http://schemas.microsoft.com/office/drawing/2014/main" id="{434CFD95-D4D5-4205-AA9F-2BB785548CD7}"/>
            </a:ext>
          </a:extLst>
        </xdr:cNvPr>
        <xdr:cNvSpPr/>
      </xdr:nvSpPr>
      <xdr:spPr>
        <a:xfrm>
          <a:off x="8953500" y="293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160</xdr:row>
      <xdr:rowOff>0</xdr:rowOff>
    </xdr:from>
    <xdr:to>
      <xdr:col>45</xdr:col>
      <xdr:colOff>83820</xdr:colOff>
      <xdr:row>160</xdr:row>
      <xdr:rowOff>114300</xdr:rowOff>
    </xdr:to>
    <xdr:sp macro="" textlink="">
      <xdr:nvSpPr>
        <xdr:cNvPr id="1103" name="Arrow: Down 1102">
          <a:extLst>
            <a:ext uri="{FF2B5EF4-FFF2-40B4-BE49-F238E27FC236}">
              <a16:creationId xmlns:a16="http://schemas.microsoft.com/office/drawing/2014/main" id="{76F5291A-1E09-454C-B39C-EA4BE05BA272}"/>
            </a:ext>
          </a:extLst>
        </xdr:cNvPr>
        <xdr:cNvSpPr/>
      </xdr:nvSpPr>
      <xdr:spPr>
        <a:xfrm rot="10800000">
          <a:off x="10759440" y="293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161</xdr:row>
      <xdr:rowOff>0</xdr:rowOff>
    </xdr:from>
    <xdr:to>
      <xdr:col>71</xdr:col>
      <xdr:colOff>83820</xdr:colOff>
      <xdr:row>161</xdr:row>
      <xdr:rowOff>114300</xdr:rowOff>
    </xdr:to>
    <xdr:sp macro="" textlink="">
      <xdr:nvSpPr>
        <xdr:cNvPr id="1071" name="Arrow: Down 1070">
          <a:extLst>
            <a:ext uri="{FF2B5EF4-FFF2-40B4-BE49-F238E27FC236}">
              <a16:creationId xmlns:a16="http://schemas.microsoft.com/office/drawing/2014/main" id="{723F98E9-3105-40F3-8DE4-5E51655911FA}"/>
            </a:ext>
          </a:extLst>
        </xdr:cNvPr>
        <xdr:cNvSpPr/>
      </xdr:nvSpPr>
      <xdr:spPr>
        <a:xfrm>
          <a:off x="17838420" y="293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161</xdr:row>
      <xdr:rowOff>0</xdr:rowOff>
    </xdr:from>
    <xdr:to>
      <xdr:col>11</xdr:col>
      <xdr:colOff>83820</xdr:colOff>
      <xdr:row>161</xdr:row>
      <xdr:rowOff>114300</xdr:rowOff>
    </xdr:to>
    <xdr:sp macro="" textlink="">
      <xdr:nvSpPr>
        <xdr:cNvPr id="1086" name="Arrow: Down 1085">
          <a:extLst>
            <a:ext uri="{FF2B5EF4-FFF2-40B4-BE49-F238E27FC236}">
              <a16:creationId xmlns:a16="http://schemas.microsoft.com/office/drawing/2014/main" id="{6BF0ADFF-4CE1-4650-B1CF-0D53B1B1F75F}"/>
            </a:ext>
          </a:extLst>
        </xdr:cNvPr>
        <xdr:cNvSpPr/>
      </xdr:nvSpPr>
      <xdr:spPr>
        <a:xfrm rot="10800000">
          <a:off x="3619500" y="293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161</xdr:row>
      <xdr:rowOff>0</xdr:rowOff>
    </xdr:from>
    <xdr:to>
      <xdr:col>5</xdr:col>
      <xdr:colOff>83820</xdr:colOff>
      <xdr:row>161</xdr:row>
      <xdr:rowOff>114300</xdr:rowOff>
    </xdr:to>
    <xdr:sp macro="" textlink="">
      <xdr:nvSpPr>
        <xdr:cNvPr id="1087" name="Arrow: Down 1086">
          <a:extLst>
            <a:ext uri="{FF2B5EF4-FFF2-40B4-BE49-F238E27FC236}">
              <a16:creationId xmlns:a16="http://schemas.microsoft.com/office/drawing/2014/main" id="{F9E8C87B-B87A-4AB7-8CF1-658CC521B50D}"/>
            </a:ext>
          </a:extLst>
        </xdr:cNvPr>
        <xdr:cNvSpPr/>
      </xdr:nvSpPr>
      <xdr:spPr>
        <a:xfrm rot="10800000">
          <a:off x="1927860" y="293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161</xdr:row>
      <xdr:rowOff>0</xdr:rowOff>
    </xdr:from>
    <xdr:to>
      <xdr:col>45</xdr:col>
      <xdr:colOff>83820</xdr:colOff>
      <xdr:row>161</xdr:row>
      <xdr:rowOff>114300</xdr:rowOff>
    </xdr:to>
    <xdr:sp macro="" textlink="">
      <xdr:nvSpPr>
        <xdr:cNvPr id="1092" name="Arrow: Down 1091">
          <a:extLst>
            <a:ext uri="{FF2B5EF4-FFF2-40B4-BE49-F238E27FC236}">
              <a16:creationId xmlns:a16="http://schemas.microsoft.com/office/drawing/2014/main" id="{8E65BEC6-51B4-4605-86B4-E375BD225ACC}"/>
            </a:ext>
          </a:extLst>
        </xdr:cNvPr>
        <xdr:cNvSpPr/>
      </xdr:nvSpPr>
      <xdr:spPr>
        <a:xfrm rot="10800000">
          <a:off x="10759440" y="293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161</xdr:row>
      <xdr:rowOff>0</xdr:rowOff>
    </xdr:from>
    <xdr:to>
      <xdr:col>24</xdr:col>
      <xdr:colOff>83820</xdr:colOff>
      <xdr:row>161</xdr:row>
      <xdr:rowOff>114300</xdr:rowOff>
    </xdr:to>
    <xdr:sp macro="" textlink="">
      <xdr:nvSpPr>
        <xdr:cNvPr id="1100" name="Arrow: Down 1099">
          <a:extLst>
            <a:ext uri="{FF2B5EF4-FFF2-40B4-BE49-F238E27FC236}">
              <a16:creationId xmlns:a16="http://schemas.microsoft.com/office/drawing/2014/main" id="{EE2838FE-C962-4CCD-BA09-7FD621D3444A}"/>
            </a:ext>
          </a:extLst>
        </xdr:cNvPr>
        <xdr:cNvSpPr/>
      </xdr:nvSpPr>
      <xdr:spPr>
        <a:xfrm>
          <a:off x="579120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161</xdr:row>
      <xdr:rowOff>0</xdr:rowOff>
    </xdr:from>
    <xdr:to>
      <xdr:col>60</xdr:col>
      <xdr:colOff>83820</xdr:colOff>
      <xdr:row>161</xdr:row>
      <xdr:rowOff>114300</xdr:rowOff>
    </xdr:to>
    <xdr:sp macro="" textlink="">
      <xdr:nvSpPr>
        <xdr:cNvPr id="1115" name="Arrow: Down 1114">
          <a:extLst>
            <a:ext uri="{FF2B5EF4-FFF2-40B4-BE49-F238E27FC236}">
              <a16:creationId xmlns:a16="http://schemas.microsoft.com/office/drawing/2014/main" id="{B3A120B2-7909-4CC0-887D-5028DCA62ABB}"/>
            </a:ext>
          </a:extLst>
        </xdr:cNvPr>
        <xdr:cNvSpPr/>
      </xdr:nvSpPr>
      <xdr:spPr>
        <a:xfrm>
          <a:off x="1552194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162</xdr:row>
      <xdr:rowOff>0</xdr:rowOff>
    </xdr:from>
    <xdr:to>
      <xdr:col>71</xdr:col>
      <xdr:colOff>83820</xdr:colOff>
      <xdr:row>162</xdr:row>
      <xdr:rowOff>114300</xdr:rowOff>
    </xdr:to>
    <xdr:sp macro="" textlink="">
      <xdr:nvSpPr>
        <xdr:cNvPr id="1119" name="Arrow: Down 1118">
          <a:extLst>
            <a:ext uri="{FF2B5EF4-FFF2-40B4-BE49-F238E27FC236}">
              <a16:creationId xmlns:a16="http://schemas.microsoft.com/office/drawing/2014/main" id="{F2D43479-EA31-439F-BFCD-5E88D4DB7560}"/>
            </a:ext>
          </a:extLst>
        </xdr:cNvPr>
        <xdr:cNvSpPr/>
      </xdr:nvSpPr>
      <xdr:spPr>
        <a:xfrm>
          <a:off x="1783842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162</xdr:row>
      <xdr:rowOff>0</xdr:rowOff>
    </xdr:from>
    <xdr:to>
      <xdr:col>11</xdr:col>
      <xdr:colOff>83820</xdr:colOff>
      <xdr:row>162</xdr:row>
      <xdr:rowOff>114300</xdr:rowOff>
    </xdr:to>
    <xdr:sp macro="" textlink="">
      <xdr:nvSpPr>
        <xdr:cNvPr id="1120" name="Arrow: Down 1119">
          <a:extLst>
            <a:ext uri="{FF2B5EF4-FFF2-40B4-BE49-F238E27FC236}">
              <a16:creationId xmlns:a16="http://schemas.microsoft.com/office/drawing/2014/main" id="{F2DEA78B-7DE6-4E02-AA19-030759309BDA}"/>
            </a:ext>
          </a:extLst>
        </xdr:cNvPr>
        <xdr:cNvSpPr/>
      </xdr:nvSpPr>
      <xdr:spPr>
        <a:xfrm rot="10800000">
          <a:off x="3619500" y="295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162</xdr:row>
      <xdr:rowOff>0</xdr:rowOff>
    </xdr:from>
    <xdr:to>
      <xdr:col>5</xdr:col>
      <xdr:colOff>83820</xdr:colOff>
      <xdr:row>162</xdr:row>
      <xdr:rowOff>114300</xdr:rowOff>
    </xdr:to>
    <xdr:sp macro="" textlink="">
      <xdr:nvSpPr>
        <xdr:cNvPr id="1122" name="Arrow: Down 1121">
          <a:extLst>
            <a:ext uri="{FF2B5EF4-FFF2-40B4-BE49-F238E27FC236}">
              <a16:creationId xmlns:a16="http://schemas.microsoft.com/office/drawing/2014/main" id="{1ECB3950-B0C2-439B-B0EC-FB5A4C5D2FD4}"/>
            </a:ext>
          </a:extLst>
        </xdr:cNvPr>
        <xdr:cNvSpPr/>
      </xdr:nvSpPr>
      <xdr:spPr>
        <a:xfrm rot="10800000">
          <a:off x="1927860" y="295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162</xdr:row>
      <xdr:rowOff>0</xdr:rowOff>
    </xdr:from>
    <xdr:to>
      <xdr:col>45</xdr:col>
      <xdr:colOff>83820</xdr:colOff>
      <xdr:row>162</xdr:row>
      <xdr:rowOff>114300</xdr:rowOff>
    </xdr:to>
    <xdr:sp macro="" textlink="">
      <xdr:nvSpPr>
        <xdr:cNvPr id="1123" name="Arrow: Down 1122">
          <a:extLst>
            <a:ext uri="{FF2B5EF4-FFF2-40B4-BE49-F238E27FC236}">
              <a16:creationId xmlns:a16="http://schemas.microsoft.com/office/drawing/2014/main" id="{CC3C7D40-EE05-4838-9CF3-A85ED11E5C25}"/>
            </a:ext>
          </a:extLst>
        </xdr:cNvPr>
        <xdr:cNvSpPr/>
      </xdr:nvSpPr>
      <xdr:spPr>
        <a:xfrm rot="10800000">
          <a:off x="1075944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162</xdr:row>
      <xdr:rowOff>0</xdr:rowOff>
    </xdr:from>
    <xdr:to>
      <xdr:col>24</xdr:col>
      <xdr:colOff>83820</xdr:colOff>
      <xdr:row>162</xdr:row>
      <xdr:rowOff>114300</xdr:rowOff>
    </xdr:to>
    <xdr:sp macro="" textlink="">
      <xdr:nvSpPr>
        <xdr:cNvPr id="1126" name="Arrow: Down 1125">
          <a:extLst>
            <a:ext uri="{FF2B5EF4-FFF2-40B4-BE49-F238E27FC236}">
              <a16:creationId xmlns:a16="http://schemas.microsoft.com/office/drawing/2014/main" id="{EB734A16-8F49-44A0-9DF6-D9C33C0DF3AF}"/>
            </a:ext>
          </a:extLst>
        </xdr:cNvPr>
        <xdr:cNvSpPr/>
      </xdr:nvSpPr>
      <xdr:spPr>
        <a:xfrm>
          <a:off x="579120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162</xdr:row>
      <xdr:rowOff>0</xdr:rowOff>
    </xdr:from>
    <xdr:to>
      <xdr:col>39</xdr:col>
      <xdr:colOff>83820</xdr:colOff>
      <xdr:row>162</xdr:row>
      <xdr:rowOff>114300</xdr:rowOff>
    </xdr:to>
    <xdr:sp macro="" textlink="">
      <xdr:nvSpPr>
        <xdr:cNvPr id="1132" name="Arrow: Down 1131">
          <a:extLst>
            <a:ext uri="{FF2B5EF4-FFF2-40B4-BE49-F238E27FC236}">
              <a16:creationId xmlns:a16="http://schemas.microsoft.com/office/drawing/2014/main" id="{6152C410-7656-45FC-933F-5F9D3B1BEC3C}"/>
            </a:ext>
          </a:extLst>
        </xdr:cNvPr>
        <xdr:cNvSpPr/>
      </xdr:nvSpPr>
      <xdr:spPr>
        <a:xfrm>
          <a:off x="895350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162</xdr:row>
      <xdr:rowOff>0</xdr:rowOff>
    </xdr:from>
    <xdr:to>
      <xdr:col>60</xdr:col>
      <xdr:colOff>83820</xdr:colOff>
      <xdr:row>162</xdr:row>
      <xdr:rowOff>114300</xdr:rowOff>
    </xdr:to>
    <xdr:sp macro="" textlink="">
      <xdr:nvSpPr>
        <xdr:cNvPr id="1133" name="Arrow: Down 1132">
          <a:extLst>
            <a:ext uri="{FF2B5EF4-FFF2-40B4-BE49-F238E27FC236}">
              <a16:creationId xmlns:a16="http://schemas.microsoft.com/office/drawing/2014/main" id="{0929BEB7-3699-4CFD-BD6E-020B36F2128E}"/>
            </a:ext>
          </a:extLst>
        </xdr:cNvPr>
        <xdr:cNvSpPr/>
      </xdr:nvSpPr>
      <xdr:spPr>
        <a:xfrm rot="10800000">
          <a:off x="1552194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163</xdr:row>
      <xdr:rowOff>0</xdr:rowOff>
    </xdr:from>
    <xdr:to>
      <xdr:col>71</xdr:col>
      <xdr:colOff>83820</xdr:colOff>
      <xdr:row>163</xdr:row>
      <xdr:rowOff>114300</xdr:rowOff>
    </xdr:to>
    <xdr:sp macro="" textlink="">
      <xdr:nvSpPr>
        <xdr:cNvPr id="1134" name="Arrow: Down 1133">
          <a:extLst>
            <a:ext uri="{FF2B5EF4-FFF2-40B4-BE49-F238E27FC236}">
              <a16:creationId xmlns:a16="http://schemas.microsoft.com/office/drawing/2014/main" id="{8858F650-233C-4625-BEC3-B8FE267A8055}"/>
            </a:ext>
          </a:extLst>
        </xdr:cNvPr>
        <xdr:cNvSpPr/>
      </xdr:nvSpPr>
      <xdr:spPr>
        <a:xfrm>
          <a:off x="17838420" y="297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163</xdr:row>
      <xdr:rowOff>0</xdr:rowOff>
    </xdr:from>
    <xdr:to>
      <xdr:col>11</xdr:col>
      <xdr:colOff>83820</xdr:colOff>
      <xdr:row>163</xdr:row>
      <xdr:rowOff>114300</xdr:rowOff>
    </xdr:to>
    <xdr:sp macro="" textlink="">
      <xdr:nvSpPr>
        <xdr:cNvPr id="1135" name="Arrow: Down 1134">
          <a:extLst>
            <a:ext uri="{FF2B5EF4-FFF2-40B4-BE49-F238E27FC236}">
              <a16:creationId xmlns:a16="http://schemas.microsoft.com/office/drawing/2014/main" id="{7F86C737-23CE-43FB-BD82-56BECF12BF3E}"/>
            </a:ext>
          </a:extLst>
        </xdr:cNvPr>
        <xdr:cNvSpPr/>
      </xdr:nvSpPr>
      <xdr:spPr>
        <a:xfrm rot="10800000">
          <a:off x="361950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83820</xdr:colOff>
      <xdr:row>163</xdr:row>
      <xdr:rowOff>114300</xdr:rowOff>
    </xdr:to>
    <xdr:sp macro="" textlink="">
      <xdr:nvSpPr>
        <xdr:cNvPr id="1136" name="Arrow: Down 1135">
          <a:extLst>
            <a:ext uri="{FF2B5EF4-FFF2-40B4-BE49-F238E27FC236}">
              <a16:creationId xmlns:a16="http://schemas.microsoft.com/office/drawing/2014/main" id="{0D304866-0974-4130-85D9-6DBCCF0F4123}"/>
            </a:ext>
          </a:extLst>
        </xdr:cNvPr>
        <xdr:cNvSpPr/>
      </xdr:nvSpPr>
      <xdr:spPr>
        <a:xfrm rot="10800000">
          <a:off x="192786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163</xdr:row>
      <xdr:rowOff>0</xdr:rowOff>
    </xdr:from>
    <xdr:to>
      <xdr:col>45</xdr:col>
      <xdr:colOff>83820</xdr:colOff>
      <xdr:row>163</xdr:row>
      <xdr:rowOff>114300</xdr:rowOff>
    </xdr:to>
    <xdr:sp macro="" textlink="">
      <xdr:nvSpPr>
        <xdr:cNvPr id="1144" name="Arrow: Down 1143">
          <a:extLst>
            <a:ext uri="{FF2B5EF4-FFF2-40B4-BE49-F238E27FC236}">
              <a16:creationId xmlns:a16="http://schemas.microsoft.com/office/drawing/2014/main" id="{B2035F93-2278-4191-9AAF-5318485CF858}"/>
            </a:ext>
          </a:extLst>
        </xdr:cNvPr>
        <xdr:cNvSpPr/>
      </xdr:nvSpPr>
      <xdr:spPr>
        <a:xfrm rot="10800000">
          <a:off x="10759440" y="297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163</xdr:row>
      <xdr:rowOff>0</xdr:rowOff>
    </xdr:from>
    <xdr:to>
      <xdr:col>39</xdr:col>
      <xdr:colOff>83820</xdr:colOff>
      <xdr:row>163</xdr:row>
      <xdr:rowOff>114300</xdr:rowOff>
    </xdr:to>
    <xdr:sp macro="" textlink="">
      <xdr:nvSpPr>
        <xdr:cNvPr id="1146" name="Arrow: Down 1145">
          <a:extLst>
            <a:ext uri="{FF2B5EF4-FFF2-40B4-BE49-F238E27FC236}">
              <a16:creationId xmlns:a16="http://schemas.microsoft.com/office/drawing/2014/main" id="{36F3D4CA-2ACF-453D-9D1E-53946262C02D}"/>
            </a:ext>
          </a:extLst>
        </xdr:cNvPr>
        <xdr:cNvSpPr/>
      </xdr:nvSpPr>
      <xdr:spPr>
        <a:xfrm>
          <a:off x="895350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163</xdr:row>
      <xdr:rowOff>0</xdr:rowOff>
    </xdr:from>
    <xdr:to>
      <xdr:col>24</xdr:col>
      <xdr:colOff>83820</xdr:colOff>
      <xdr:row>163</xdr:row>
      <xdr:rowOff>114300</xdr:rowOff>
    </xdr:to>
    <xdr:sp macro="" textlink="">
      <xdr:nvSpPr>
        <xdr:cNvPr id="1150" name="Arrow: Down 1149">
          <a:extLst>
            <a:ext uri="{FF2B5EF4-FFF2-40B4-BE49-F238E27FC236}">
              <a16:creationId xmlns:a16="http://schemas.microsoft.com/office/drawing/2014/main" id="{00475573-BCEF-496B-BB5B-70DF21F9CE61}"/>
            </a:ext>
          </a:extLst>
        </xdr:cNvPr>
        <xdr:cNvSpPr/>
      </xdr:nvSpPr>
      <xdr:spPr>
        <a:xfrm rot="10800000">
          <a:off x="5829300" y="2990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163</xdr:row>
      <xdr:rowOff>0</xdr:rowOff>
    </xdr:from>
    <xdr:to>
      <xdr:col>60</xdr:col>
      <xdr:colOff>83820</xdr:colOff>
      <xdr:row>163</xdr:row>
      <xdr:rowOff>114300</xdr:rowOff>
    </xdr:to>
    <xdr:sp macro="" textlink="">
      <xdr:nvSpPr>
        <xdr:cNvPr id="1156" name="Arrow: Down 1155">
          <a:extLst>
            <a:ext uri="{FF2B5EF4-FFF2-40B4-BE49-F238E27FC236}">
              <a16:creationId xmlns:a16="http://schemas.microsoft.com/office/drawing/2014/main" id="{7F624657-DAD8-4AC0-8D88-EDF2076B177D}"/>
            </a:ext>
          </a:extLst>
        </xdr:cNvPr>
        <xdr:cNvSpPr/>
      </xdr:nvSpPr>
      <xdr:spPr>
        <a:xfrm>
          <a:off x="1556004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164</xdr:row>
      <xdr:rowOff>0</xdr:rowOff>
    </xdr:from>
    <xdr:to>
      <xdr:col>71</xdr:col>
      <xdr:colOff>83820</xdr:colOff>
      <xdr:row>164</xdr:row>
      <xdr:rowOff>114300</xdr:rowOff>
    </xdr:to>
    <xdr:sp macro="" textlink="">
      <xdr:nvSpPr>
        <xdr:cNvPr id="1091" name="Arrow: Down 1090">
          <a:extLst>
            <a:ext uri="{FF2B5EF4-FFF2-40B4-BE49-F238E27FC236}">
              <a16:creationId xmlns:a16="http://schemas.microsoft.com/office/drawing/2014/main" id="{5BE205EE-AD33-4FF8-8CA7-5BC46B854D1C}"/>
            </a:ext>
          </a:extLst>
        </xdr:cNvPr>
        <xdr:cNvSpPr/>
      </xdr:nvSpPr>
      <xdr:spPr>
        <a:xfrm>
          <a:off x="1834134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164</xdr:row>
      <xdr:rowOff>0</xdr:rowOff>
    </xdr:from>
    <xdr:to>
      <xdr:col>45</xdr:col>
      <xdr:colOff>83820</xdr:colOff>
      <xdr:row>164</xdr:row>
      <xdr:rowOff>114300</xdr:rowOff>
    </xdr:to>
    <xdr:sp macro="" textlink="">
      <xdr:nvSpPr>
        <xdr:cNvPr id="1130" name="Arrow: Down 1129">
          <a:extLst>
            <a:ext uri="{FF2B5EF4-FFF2-40B4-BE49-F238E27FC236}">
              <a16:creationId xmlns:a16="http://schemas.microsoft.com/office/drawing/2014/main" id="{DC0869DD-C708-47AB-853C-32CB54FF1E0F}"/>
            </a:ext>
          </a:extLst>
        </xdr:cNvPr>
        <xdr:cNvSpPr/>
      </xdr:nvSpPr>
      <xdr:spPr>
        <a:xfrm rot="10800000">
          <a:off x="1126236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164</xdr:row>
      <xdr:rowOff>0</xdr:rowOff>
    </xdr:from>
    <xdr:to>
      <xdr:col>39</xdr:col>
      <xdr:colOff>83820</xdr:colOff>
      <xdr:row>164</xdr:row>
      <xdr:rowOff>114300</xdr:rowOff>
    </xdr:to>
    <xdr:sp macro="" textlink="">
      <xdr:nvSpPr>
        <xdr:cNvPr id="1131" name="Arrow: Down 1130">
          <a:extLst>
            <a:ext uri="{FF2B5EF4-FFF2-40B4-BE49-F238E27FC236}">
              <a16:creationId xmlns:a16="http://schemas.microsoft.com/office/drawing/2014/main" id="{B24CEF47-5E91-434F-AE16-9FE115EE9978}"/>
            </a:ext>
          </a:extLst>
        </xdr:cNvPr>
        <xdr:cNvSpPr/>
      </xdr:nvSpPr>
      <xdr:spPr>
        <a:xfrm>
          <a:off x="9456420" y="2990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164</xdr:row>
      <xdr:rowOff>0</xdr:rowOff>
    </xdr:from>
    <xdr:to>
      <xdr:col>60</xdr:col>
      <xdr:colOff>83820</xdr:colOff>
      <xdr:row>164</xdr:row>
      <xdr:rowOff>114300</xdr:rowOff>
    </xdr:to>
    <xdr:sp macro="" textlink="">
      <xdr:nvSpPr>
        <xdr:cNvPr id="1147" name="Arrow: Down 1146">
          <a:extLst>
            <a:ext uri="{FF2B5EF4-FFF2-40B4-BE49-F238E27FC236}">
              <a16:creationId xmlns:a16="http://schemas.microsoft.com/office/drawing/2014/main" id="{C9E437E0-59AE-4ADB-B500-381CE3FABB24}"/>
            </a:ext>
          </a:extLst>
        </xdr:cNvPr>
        <xdr:cNvSpPr/>
      </xdr:nvSpPr>
      <xdr:spPr>
        <a:xfrm>
          <a:off x="1602486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164</xdr:row>
      <xdr:rowOff>0</xdr:rowOff>
    </xdr:from>
    <xdr:to>
      <xdr:col>5</xdr:col>
      <xdr:colOff>83820</xdr:colOff>
      <xdr:row>164</xdr:row>
      <xdr:rowOff>114300</xdr:rowOff>
    </xdr:to>
    <xdr:sp macro="" textlink="">
      <xdr:nvSpPr>
        <xdr:cNvPr id="1158" name="Arrow: Down 1157">
          <a:extLst>
            <a:ext uri="{FF2B5EF4-FFF2-40B4-BE49-F238E27FC236}">
              <a16:creationId xmlns:a16="http://schemas.microsoft.com/office/drawing/2014/main" id="{6945B24E-8196-4EF1-A78E-BF0EC8CB86A8}"/>
            </a:ext>
          </a:extLst>
        </xdr:cNvPr>
        <xdr:cNvSpPr/>
      </xdr:nvSpPr>
      <xdr:spPr>
        <a:xfrm>
          <a:off x="192786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164</xdr:row>
      <xdr:rowOff>0</xdr:rowOff>
    </xdr:from>
    <xdr:to>
      <xdr:col>11</xdr:col>
      <xdr:colOff>83820</xdr:colOff>
      <xdr:row>164</xdr:row>
      <xdr:rowOff>114300</xdr:rowOff>
    </xdr:to>
    <xdr:sp macro="" textlink="">
      <xdr:nvSpPr>
        <xdr:cNvPr id="1162" name="Arrow: Down 1161">
          <a:extLst>
            <a:ext uri="{FF2B5EF4-FFF2-40B4-BE49-F238E27FC236}">
              <a16:creationId xmlns:a16="http://schemas.microsoft.com/office/drawing/2014/main" id="{17402F47-58BB-4545-AFC5-0AB9B17517F5}"/>
            </a:ext>
          </a:extLst>
        </xdr:cNvPr>
        <xdr:cNvSpPr/>
      </xdr:nvSpPr>
      <xdr:spPr>
        <a:xfrm>
          <a:off x="361950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83820</xdr:colOff>
      <xdr:row>164</xdr:row>
      <xdr:rowOff>114300</xdr:rowOff>
    </xdr:to>
    <xdr:sp macro="" textlink="">
      <xdr:nvSpPr>
        <xdr:cNvPr id="1164" name="Arrow: Down 1163">
          <a:extLst>
            <a:ext uri="{FF2B5EF4-FFF2-40B4-BE49-F238E27FC236}">
              <a16:creationId xmlns:a16="http://schemas.microsoft.com/office/drawing/2014/main" id="{5464AED0-E514-4274-8A87-3D6AEACB68E2}"/>
            </a:ext>
          </a:extLst>
        </xdr:cNvPr>
        <xdr:cNvSpPr/>
      </xdr:nvSpPr>
      <xdr:spPr>
        <a:xfrm>
          <a:off x="629412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165</xdr:row>
      <xdr:rowOff>0</xdr:rowOff>
    </xdr:from>
    <xdr:to>
      <xdr:col>71</xdr:col>
      <xdr:colOff>83820</xdr:colOff>
      <xdr:row>165</xdr:row>
      <xdr:rowOff>114300</xdr:rowOff>
    </xdr:to>
    <xdr:sp macro="" textlink="">
      <xdr:nvSpPr>
        <xdr:cNvPr id="1165" name="Arrow: Down 1164">
          <a:extLst>
            <a:ext uri="{FF2B5EF4-FFF2-40B4-BE49-F238E27FC236}">
              <a16:creationId xmlns:a16="http://schemas.microsoft.com/office/drawing/2014/main" id="{56F7DFF8-433B-43F4-A994-3920A326EF0A}"/>
            </a:ext>
          </a:extLst>
        </xdr:cNvPr>
        <xdr:cNvSpPr/>
      </xdr:nvSpPr>
      <xdr:spPr>
        <a:xfrm>
          <a:off x="1898142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165</xdr:row>
      <xdr:rowOff>0</xdr:rowOff>
    </xdr:from>
    <xdr:to>
      <xdr:col>45</xdr:col>
      <xdr:colOff>83820</xdr:colOff>
      <xdr:row>165</xdr:row>
      <xdr:rowOff>114300</xdr:rowOff>
    </xdr:to>
    <xdr:sp macro="" textlink="">
      <xdr:nvSpPr>
        <xdr:cNvPr id="1166" name="Arrow: Down 1165">
          <a:extLst>
            <a:ext uri="{FF2B5EF4-FFF2-40B4-BE49-F238E27FC236}">
              <a16:creationId xmlns:a16="http://schemas.microsoft.com/office/drawing/2014/main" id="{57581B03-5160-480E-9D65-A2FDBA35A662}"/>
            </a:ext>
          </a:extLst>
        </xdr:cNvPr>
        <xdr:cNvSpPr/>
      </xdr:nvSpPr>
      <xdr:spPr>
        <a:xfrm rot="10800000">
          <a:off x="1190244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165</xdr:row>
      <xdr:rowOff>0</xdr:rowOff>
    </xdr:from>
    <xdr:to>
      <xdr:col>39</xdr:col>
      <xdr:colOff>83820</xdr:colOff>
      <xdr:row>165</xdr:row>
      <xdr:rowOff>114300</xdr:rowOff>
    </xdr:to>
    <xdr:sp macro="" textlink="">
      <xdr:nvSpPr>
        <xdr:cNvPr id="1167" name="Arrow: Down 1166">
          <a:extLst>
            <a:ext uri="{FF2B5EF4-FFF2-40B4-BE49-F238E27FC236}">
              <a16:creationId xmlns:a16="http://schemas.microsoft.com/office/drawing/2014/main" id="{C785001D-418C-4B67-90FD-2F6A7575FA28}"/>
            </a:ext>
          </a:extLst>
        </xdr:cNvPr>
        <xdr:cNvSpPr/>
      </xdr:nvSpPr>
      <xdr:spPr>
        <a:xfrm>
          <a:off x="10096500" y="3009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165</xdr:row>
      <xdr:rowOff>0</xdr:rowOff>
    </xdr:from>
    <xdr:to>
      <xdr:col>60</xdr:col>
      <xdr:colOff>83820</xdr:colOff>
      <xdr:row>165</xdr:row>
      <xdr:rowOff>114300</xdr:rowOff>
    </xdr:to>
    <xdr:sp macro="" textlink="">
      <xdr:nvSpPr>
        <xdr:cNvPr id="1168" name="Arrow: Down 1167">
          <a:extLst>
            <a:ext uri="{FF2B5EF4-FFF2-40B4-BE49-F238E27FC236}">
              <a16:creationId xmlns:a16="http://schemas.microsoft.com/office/drawing/2014/main" id="{17ACB60F-2957-4A9A-AC4B-66856428BE8C}"/>
            </a:ext>
          </a:extLst>
        </xdr:cNvPr>
        <xdr:cNvSpPr/>
      </xdr:nvSpPr>
      <xdr:spPr>
        <a:xfrm>
          <a:off x="1666494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165</xdr:row>
      <xdr:rowOff>0</xdr:rowOff>
    </xdr:from>
    <xdr:to>
      <xdr:col>5</xdr:col>
      <xdr:colOff>83820</xdr:colOff>
      <xdr:row>165</xdr:row>
      <xdr:rowOff>114300</xdr:rowOff>
    </xdr:to>
    <xdr:sp macro="" textlink="">
      <xdr:nvSpPr>
        <xdr:cNvPr id="1169" name="Arrow: Down 1168">
          <a:extLst>
            <a:ext uri="{FF2B5EF4-FFF2-40B4-BE49-F238E27FC236}">
              <a16:creationId xmlns:a16="http://schemas.microsoft.com/office/drawing/2014/main" id="{A7D72BD9-5A8D-4A91-81D6-9BBD99B5AC58}"/>
            </a:ext>
          </a:extLst>
        </xdr:cNvPr>
        <xdr:cNvSpPr/>
      </xdr:nvSpPr>
      <xdr:spPr>
        <a:xfrm>
          <a:off x="192786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165</xdr:row>
      <xdr:rowOff>0</xdr:rowOff>
    </xdr:from>
    <xdr:to>
      <xdr:col>11</xdr:col>
      <xdr:colOff>83820</xdr:colOff>
      <xdr:row>165</xdr:row>
      <xdr:rowOff>114300</xdr:rowOff>
    </xdr:to>
    <xdr:sp macro="" textlink="">
      <xdr:nvSpPr>
        <xdr:cNvPr id="1170" name="Arrow: Down 1169">
          <a:extLst>
            <a:ext uri="{FF2B5EF4-FFF2-40B4-BE49-F238E27FC236}">
              <a16:creationId xmlns:a16="http://schemas.microsoft.com/office/drawing/2014/main" id="{3C36D6CC-71FF-446F-A47F-BB05A45C54DF}"/>
            </a:ext>
          </a:extLst>
        </xdr:cNvPr>
        <xdr:cNvSpPr/>
      </xdr:nvSpPr>
      <xdr:spPr>
        <a:xfrm>
          <a:off x="361950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165</xdr:row>
      <xdr:rowOff>0</xdr:rowOff>
    </xdr:from>
    <xdr:to>
      <xdr:col>24</xdr:col>
      <xdr:colOff>83820</xdr:colOff>
      <xdr:row>165</xdr:row>
      <xdr:rowOff>114300</xdr:rowOff>
    </xdr:to>
    <xdr:sp macro="" textlink="">
      <xdr:nvSpPr>
        <xdr:cNvPr id="1171" name="Arrow: Down 1170">
          <a:extLst>
            <a:ext uri="{FF2B5EF4-FFF2-40B4-BE49-F238E27FC236}">
              <a16:creationId xmlns:a16="http://schemas.microsoft.com/office/drawing/2014/main" id="{B066B333-4900-4F59-B6C7-72FFF559D321}"/>
            </a:ext>
          </a:extLst>
        </xdr:cNvPr>
        <xdr:cNvSpPr/>
      </xdr:nvSpPr>
      <xdr:spPr>
        <a:xfrm>
          <a:off x="693420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166</xdr:row>
      <xdr:rowOff>0</xdr:rowOff>
    </xdr:from>
    <xdr:to>
      <xdr:col>71</xdr:col>
      <xdr:colOff>83820</xdr:colOff>
      <xdr:row>166</xdr:row>
      <xdr:rowOff>114300</xdr:rowOff>
    </xdr:to>
    <xdr:sp macro="" textlink="">
      <xdr:nvSpPr>
        <xdr:cNvPr id="1172" name="Arrow: Down 1171">
          <a:extLst>
            <a:ext uri="{FF2B5EF4-FFF2-40B4-BE49-F238E27FC236}">
              <a16:creationId xmlns:a16="http://schemas.microsoft.com/office/drawing/2014/main" id="{125ABA56-21E6-42D5-8058-49DAD59B2652}"/>
            </a:ext>
          </a:extLst>
        </xdr:cNvPr>
        <xdr:cNvSpPr/>
      </xdr:nvSpPr>
      <xdr:spPr>
        <a:xfrm>
          <a:off x="17861280" y="302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166</xdr:row>
      <xdr:rowOff>0</xdr:rowOff>
    </xdr:from>
    <xdr:to>
      <xdr:col>45</xdr:col>
      <xdr:colOff>83820</xdr:colOff>
      <xdr:row>166</xdr:row>
      <xdr:rowOff>114300</xdr:rowOff>
    </xdr:to>
    <xdr:sp macro="" textlink="">
      <xdr:nvSpPr>
        <xdr:cNvPr id="1173" name="Arrow: Down 1172">
          <a:extLst>
            <a:ext uri="{FF2B5EF4-FFF2-40B4-BE49-F238E27FC236}">
              <a16:creationId xmlns:a16="http://schemas.microsoft.com/office/drawing/2014/main" id="{8D2BE5C6-8B40-414D-AB85-966BC2269854}"/>
            </a:ext>
          </a:extLst>
        </xdr:cNvPr>
        <xdr:cNvSpPr/>
      </xdr:nvSpPr>
      <xdr:spPr>
        <a:xfrm rot="10800000">
          <a:off x="10782300" y="302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166</xdr:row>
      <xdr:rowOff>0</xdr:rowOff>
    </xdr:from>
    <xdr:to>
      <xdr:col>5</xdr:col>
      <xdr:colOff>83820</xdr:colOff>
      <xdr:row>166</xdr:row>
      <xdr:rowOff>114300</xdr:rowOff>
    </xdr:to>
    <xdr:sp macro="" textlink="">
      <xdr:nvSpPr>
        <xdr:cNvPr id="1179" name="Arrow: Down 1178">
          <a:extLst>
            <a:ext uri="{FF2B5EF4-FFF2-40B4-BE49-F238E27FC236}">
              <a16:creationId xmlns:a16="http://schemas.microsoft.com/office/drawing/2014/main" id="{38D5B2E0-6763-4801-80A4-7F1304E54A24}"/>
            </a:ext>
          </a:extLst>
        </xdr:cNvPr>
        <xdr:cNvSpPr/>
      </xdr:nvSpPr>
      <xdr:spPr>
        <a:xfrm rot="10800000">
          <a:off x="1927860" y="304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166</xdr:row>
      <xdr:rowOff>0</xdr:rowOff>
    </xdr:from>
    <xdr:to>
      <xdr:col>11</xdr:col>
      <xdr:colOff>83820</xdr:colOff>
      <xdr:row>166</xdr:row>
      <xdr:rowOff>114300</xdr:rowOff>
    </xdr:to>
    <xdr:sp macro="" textlink="">
      <xdr:nvSpPr>
        <xdr:cNvPr id="1181" name="Arrow: Down 1180">
          <a:extLst>
            <a:ext uri="{FF2B5EF4-FFF2-40B4-BE49-F238E27FC236}">
              <a16:creationId xmlns:a16="http://schemas.microsoft.com/office/drawing/2014/main" id="{171660A7-4D15-4D5A-999F-F5E40C3BE3AC}"/>
            </a:ext>
          </a:extLst>
        </xdr:cNvPr>
        <xdr:cNvSpPr/>
      </xdr:nvSpPr>
      <xdr:spPr>
        <a:xfrm rot="10800000">
          <a:off x="3619500" y="304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166</xdr:row>
      <xdr:rowOff>0</xdr:rowOff>
    </xdr:from>
    <xdr:to>
      <xdr:col>24</xdr:col>
      <xdr:colOff>83820</xdr:colOff>
      <xdr:row>166</xdr:row>
      <xdr:rowOff>114300</xdr:rowOff>
    </xdr:to>
    <xdr:sp macro="" textlink="">
      <xdr:nvSpPr>
        <xdr:cNvPr id="1183" name="Arrow: Down 1182">
          <a:extLst>
            <a:ext uri="{FF2B5EF4-FFF2-40B4-BE49-F238E27FC236}">
              <a16:creationId xmlns:a16="http://schemas.microsoft.com/office/drawing/2014/main" id="{0E236C20-9BD4-490D-A435-5CF7EE9F29C9}"/>
            </a:ext>
          </a:extLst>
        </xdr:cNvPr>
        <xdr:cNvSpPr/>
      </xdr:nvSpPr>
      <xdr:spPr>
        <a:xfrm rot="10800000">
          <a:off x="5814060" y="30457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161</xdr:row>
      <xdr:rowOff>0</xdr:rowOff>
    </xdr:from>
    <xdr:to>
      <xdr:col>39</xdr:col>
      <xdr:colOff>83820</xdr:colOff>
      <xdr:row>161</xdr:row>
      <xdr:rowOff>114300</xdr:rowOff>
    </xdr:to>
    <xdr:sp macro="" textlink="">
      <xdr:nvSpPr>
        <xdr:cNvPr id="1184" name="Arrow: Down 1183">
          <a:extLst>
            <a:ext uri="{FF2B5EF4-FFF2-40B4-BE49-F238E27FC236}">
              <a16:creationId xmlns:a16="http://schemas.microsoft.com/office/drawing/2014/main" id="{72BCC6FB-5CD0-429C-BF31-210E40712A53}"/>
            </a:ext>
          </a:extLst>
        </xdr:cNvPr>
        <xdr:cNvSpPr/>
      </xdr:nvSpPr>
      <xdr:spPr>
        <a:xfrm rot="10800000">
          <a:off x="897636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166</xdr:row>
      <xdr:rowOff>0</xdr:rowOff>
    </xdr:from>
    <xdr:to>
      <xdr:col>39</xdr:col>
      <xdr:colOff>83820</xdr:colOff>
      <xdr:row>166</xdr:row>
      <xdr:rowOff>114300</xdr:rowOff>
    </xdr:to>
    <xdr:sp macro="" textlink="">
      <xdr:nvSpPr>
        <xdr:cNvPr id="1186" name="Arrow: Down 1185">
          <a:extLst>
            <a:ext uri="{FF2B5EF4-FFF2-40B4-BE49-F238E27FC236}">
              <a16:creationId xmlns:a16="http://schemas.microsoft.com/office/drawing/2014/main" id="{FA5BD723-D643-424F-AB2C-0D4B49C154A7}"/>
            </a:ext>
          </a:extLst>
        </xdr:cNvPr>
        <xdr:cNvSpPr/>
      </xdr:nvSpPr>
      <xdr:spPr>
        <a:xfrm rot="10800000">
          <a:off x="8976360" y="304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166</xdr:row>
      <xdr:rowOff>0</xdr:rowOff>
    </xdr:from>
    <xdr:to>
      <xdr:col>60</xdr:col>
      <xdr:colOff>83820</xdr:colOff>
      <xdr:row>166</xdr:row>
      <xdr:rowOff>114300</xdr:rowOff>
    </xdr:to>
    <xdr:sp macro="" textlink="">
      <xdr:nvSpPr>
        <xdr:cNvPr id="1188" name="Arrow: Down 1187">
          <a:extLst>
            <a:ext uri="{FF2B5EF4-FFF2-40B4-BE49-F238E27FC236}">
              <a16:creationId xmlns:a16="http://schemas.microsoft.com/office/drawing/2014/main" id="{71674335-8095-4C15-9C59-F2C80095BE2C}"/>
            </a:ext>
          </a:extLst>
        </xdr:cNvPr>
        <xdr:cNvSpPr/>
      </xdr:nvSpPr>
      <xdr:spPr>
        <a:xfrm rot="10800000">
          <a:off x="15544800" y="304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167</xdr:row>
      <xdr:rowOff>0</xdr:rowOff>
    </xdr:from>
    <xdr:to>
      <xdr:col>71</xdr:col>
      <xdr:colOff>83820</xdr:colOff>
      <xdr:row>167</xdr:row>
      <xdr:rowOff>114300</xdr:rowOff>
    </xdr:to>
    <xdr:sp macro="" textlink="">
      <xdr:nvSpPr>
        <xdr:cNvPr id="1189" name="Arrow: Down 1188">
          <a:extLst>
            <a:ext uri="{FF2B5EF4-FFF2-40B4-BE49-F238E27FC236}">
              <a16:creationId xmlns:a16="http://schemas.microsoft.com/office/drawing/2014/main" id="{8B5A6BF3-DEDD-4905-8ACC-0EA8AE95DF11}"/>
            </a:ext>
          </a:extLst>
        </xdr:cNvPr>
        <xdr:cNvSpPr/>
      </xdr:nvSpPr>
      <xdr:spPr>
        <a:xfrm>
          <a:off x="17861280" y="304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167</xdr:row>
      <xdr:rowOff>0</xdr:rowOff>
    </xdr:from>
    <xdr:to>
      <xdr:col>45</xdr:col>
      <xdr:colOff>83820</xdr:colOff>
      <xdr:row>167</xdr:row>
      <xdr:rowOff>114300</xdr:rowOff>
    </xdr:to>
    <xdr:sp macro="" textlink="">
      <xdr:nvSpPr>
        <xdr:cNvPr id="1190" name="Arrow: Down 1189">
          <a:extLst>
            <a:ext uri="{FF2B5EF4-FFF2-40B4-BE49-F238E27FC236}">
              <a16:creationId xmlns:a16="http://schemas.microsoft.com/office/drawing/2014/main" id="{AE5BDFB8-025A-4DAF-B91A-BED165063E20}"/>
            </a:ext>
          </a:extLst>
        </xdr:cNvPr>
        <xdr:cNvSpPr/>
      </xdr:nvSpPr>
      <xdr:spPr>
        <a:xfrm rot="10800000">
          <a:off x="10782300" y="304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167</xdr:row>
      <xdr:rowOff>0</xdr:rowOff>
    </xdr:from>
    <xdr:to>
      <xdr:col>24</xdr:col>
      <xdr:colOff>83820</xdr:colOff>
      <xdr:row>167</xdr:row>
      <xdr:rowOff>114300</xdr:rowOff>
    </xdr:to>
    <xdr:sp macro="" textlink="">
      <xdr:nvSpPr>
        <xdr:cNvPr id="1193" name="Arrow: Down 1192">
          <a:extLst>
            <a:ext uri="{FF2B5EF4-FFF2-40B4-BE49-F238E27FC236}">
              <a16:creationId xmlns:a16="http://schemas.microsoft.com/office/drawing/2014/main" id="{C6BBBCC2-42E3-4006-A355-E26D78F7845F}"/>
            </a:ext>
          </a:extLst>
        </xdr:cNvPr>
        <xdr:cNvSpPr/>
      </xdr:nvSpPr>
      <xdr:spPr>
        <a:xfrm rot="10800000">
          <a:off x="5814060" y="30457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167</xdr:row>
      <xdr:rowOff>0</xdr:rowOff>
    </xdr:from>
    <xdr:to>
      <xdr:col>60</xdr:col>
      <xdr:colOff>83820</xdr:colOff>
      <xdr:row>167</xdr:row>
      <xdr:rowOff>114300</xdr:rowOff>
    </xdr:to>
    <xdr:sp macro="" textlink="">
      <xdr:nvSpPr>
        <xdr:cNvPr id="1196" name="Arrow: Down 1195">
          <a:extLst>
            <a:ext uri="{FF2B5EF4-FFF2-40B4-BE49-F238E27FC236}">
              <a16:creationId xmlns:a16="http://schemas.microsoft.com/office/drawing/2014/main" id="{11DCB4F4-2198-4A54-8A61-442E7A3ACB56}"/>
            </a:ext>
          </a:extLst>
        </xdr:cNvPr>
        <xdr:cNvSpPr/>
      </xdr:nvSpPr>
      <xdr:spPr>
        <a:xfrm>
          <a:off x="1554480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167</xdr:row>
      <xdr:rowOff>0</xdr:rowOff>
    </xdr:from>
    <xdr:to>
      <xdr:col>11</xdr:col>
      <xdr:colOff>83820</xdr:colOff>
      <xdr:row>167</xdr:row>
      <xdr:rowOff>114300</xdr:rowOff>
    </xdr:to>
    <xdr:sp macro="" textlink="">
      <xdr:nvSpPr>
        <xdr:cNvPr id="1197" name="Arrow: Down 1196">
          <a:extLst>
            <a:ext uri="{FF2B5EF4-FFF2-40B4-BE49-F238E27FC236}">
              <a16:creationId xmlns:a16="http://schemas.microsoft.com/office/drawing/2014/main" id="{9758619B-A76E-45D7-8515-BC9A92BB4C62}"/>
            </a:ext>
          </a:extLst>
        </xdr:cNvPr>
        <xdr:cNvSpPr/>
      </xdr:nvSpPr>
      <xdr:spPr>
        <a:xfrm>
          <a:off x="361950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167</xdr:row>
      <xdr:rowOff>0</xdr:rowOff>
    </xdr:from>
    <xdr:to>
      <xdr:col>39</xdr:col>
      <xdr:colOff>83820</xdr:colOff>
      <xdr:row>167</xdr:row>
      <xdr:rowOff>114300</xdr:rowOff>
    </xdr:to>
    <xdr:sp macro="" textlink="">
      <xdr:nvSpPr>
        <xdr:cNvPr id="1198" name="Arrow: Down 1197">
          <a:extLst>
            <a:ext uri="{FF2B5EF4-FFF2-40B4-BE49-F238E27FC236}">
              <a16:creationId xmlns:a16="http://schemas.microsoft.com/office/drawing/2014/main" id="{145611A0-3D63-4142-955D-15B59F0BE7C7}"/>
            </a:ext>
          </a:extLst>
        </xdr:cNvPr>
        <xdr:cNvSpPr/>
      </xdr:nvSpPr>
      <xdr:spPr>
        <a:xfrm>
          <a:off x="9006840" y="3064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167</xdr:row>
      <xdr:rowOff>0</xdr:rowOff>
    </xdr:from>
    <xdr:to>
      <xdr:col>5</xdr:col>
      <xdr:colOff>83820</xdr:colOff>
      <xdr:row>167</xdr:row>
      <xdr:rowOff>114300</xdr:rowOff>
    </xdr:to>
    <xdr:sp macro="" textlink="">
      <xdr:nvSpPr>
        <xdr:cNvPr id="1199" name="Arrow: Down 1198">
          <a:extLst>
            <a:ext uri="{FF2B5EF4-FFF2-40B4-BE49-F238E27FC236}">
              <a16:creationId xmlns:a16="http://schemas.microsoft.com/office/drawing/2014/main" id="{B5B6355C-A09C-4E7B-86B7-658C990DC919}"/>
            </a:ext>
          </a:extLst>
        </xdr:cNvPr>
        <xdr:cNvSpPr/>
      </xdr:nvSpPr>
      <xdr:spPr>
        <a:xfrm>
          <a:off x="192786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168</xdr:row>
      <xdr:rowOff>0</xdr:rowOff>
    </xdr:from>
    <xdr:to>
      <xdr:col>71</xdr:col>
      <xdr:colOff>83820</xdr:colOff>
      <xdr:row>168</xdr:row>
      <xdr:rowOff>114300</xdr:rowOff>
    </xdr:to>
    <xdr:sp macro="" textlink="">
      <xdr:nvSpPr>
        <xdr:cNvPr id="1207" name="Arrow: Down 1206">
          <a:extLst>
            <a:ext uri="{FF2B5EF4-FFF2-40B4-BE49-F238E27FC236}">
              <a16:creationId xmlns:a16="http://schemas.microsoft.com/office/drawing/2014/main" id="{F05840C9-7350-4F4B-B616-194C45AE168A}"/>
            </a:ext>
          </a:extLst>
        </xdr:cNvPr>
        <xdr:cNvSpPr/>
      </xdr:nvSpPr>
      <xdr:spPr>
        <a:xfrm>
          <a:off x="1788414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168</xdr:row>
      <xdr:rowOff>0</xdr:rowOff>
    </xdr:from>
    <xdr:to>
      <xdr:col>45</xdr:col>
      <xdr:colOff>83820</xdr:colOff>
      <xdr:row>168</xdr:row>
      <xdr:rowOff>114300</xdr:rowOff>
    </xdr:to>
    <xdr:sp macro="" textlink="">
      <xdr:nvSpPr>
        <xdr:cNvPr id="1208" name="Arrow: Down 1207">
          <a:extLst>
            <a:ext uri="{FF2B5EF4-FFF2-40B4-BE49-F238E27FC236}">
              <a16:creationId xmlns:a16="http://schemas.microsoft.com/office/drawing/2014/main" id="{E11CE8C8-FE76-44F1-BF26-1090BE47F92B}"/>
            </a:ext>
          </a:extLst>
        </xdr:cNvPr>
        <xdr:cNvSpPr/>
      </xdr:nvSpPr>
      <xdr:spPr>
        <a:xfrm rot="10800000">
          <a:off x="1080516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168</xdr:row>
      <xdr:rowOff>0</xdr:rowOff>
    </xdr:from>
    <xdr:to>
      <xdr:col>24</xdr:col>
      <xdr:colOff>83820</xdr:colOff>
      <xdr:row>168</xdr:row>
      <xdr:rowOff>114300</xdr:rowOff>
    </xdr:to>
    <xdr:sp macro="" textlink="">
      <xdr:nvSpPr>
        <xdr:cNvPr id="1113" name="Arrow: Down 1112">
          <a:extLst>
            <a:ext uri="{FF2B5EF4-FFF2-40B4-BE49-F238E27FC236}">
              <a16:creationId xmlns:a16="http://schemas.microsoft.com/office/drawing/2014/main" id="{A79F99D7-5701-48B4-A812-583D14C32B78}"/>
            </a:ext>
          </a:extLst>
        </xdr:cNvPr>
        <xdr:cNvSpPr/>
      </xdr:nvSpPr>
      <xdr:spPr>
        <a:xfrm>
          <a:off x="583692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168</xdr:row>
      <xdr:rowOff>0</xdr:rowOff>
    </xdr:from>
    <xdr:to>
      <xdr:col>39</xdr:col>
      <xdr:colOff>83820</xdr:colOff>
      <xdr:row>168</xdr:row>
      <xdr:rowOff>114300</xdr:rowOff>
    </xdr:to>
    <xdr:sp macro="" textlink="">
      <xdr:nvSpPr>
        <xdr:cNvPr id="1129" name="Arrow: Down 1128">
          <a:extLst>
            <a:ext uri="{FF2B5EF4-FFF2-40B4-BE49-F238E27FC236}">
              <a16:creationId xmlns:a16="http://schemas.microsoft.com/office/drawing/2014/main" id="{C245B274-74AC-409F-A39A-8168261DA45A}"/>
            </a:ext>
          </a:extLst>
        </xdr:cNvPr>
        <xdr:cNvSpPr/>
      </xdr:nvSpPr>
      <xdr:spPr>
        <a:xfrm rot="10800000">
          <a:off x="899922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168</xdr:row>
      <xdr:rowOff>0</xdr:rowOff>
    </xdr:from>
    <xdr:to>
      <xdr:col>11</xdr:col>
      <xdr:colOff>83820</xdr:colOff>
      <xdr:row>168</xdr:row>
      <xdr:rowOff>114300</xdr:rowOff>
    </xdr:to>
    <xdr:sp macro="" textlink="">
      <xdr:nvSpPr>
        <xdr:cNvPr id="1174" name="Arrow: Down 1173">
          <a:extLst>
            <a:ext uri="{FF2B5EF4-FFF2-40B4-BE49-F238E27FC236}">
              <a16:creationId xmlns:a16="http://schemas.microsoft.com/office/drawing/2014/main" id="{54F4A0C1-C09E-4319-8D04-B54D6345DABE}"/>
            </a:ext>
          </a:extLst>
        </xdr:cNvPr>
        <xdr:cNvSpPr/>
      </xdr:nvSpPr>
      <xdr:spPr>
        <a:xfrm rot="10800000">
          <a:off x="361950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168</xdr:row>
      <xdr:rowOff>0</xdr:rowOff>
    </xdr:from>
    <xdr:to>
      <xdr:col>5</xdr:col>
      <xdr:colOff>83820</xdr:colOff>
      <xdr:row>168</xdr:row>
      <xdr:rowOff>114300</xdr:rowOff>
    </xdr:to>
    <xdr:sp macro="" textlink="">
      <xdr:nvSpPr>
        <xdr:cNvPr id="1175" name="Arrow: Down 1174">
          <a:extLst>
            <a:ext uri="{FF2B5EF4-FFF2-40B4-BE49-F238E27FC236}">
              <a16:creationId xmlns:a16="http://schemas.microsoft.com/office/drawing/2014/main" id="{88287415-97B4-4FF5-8E7F-F6487A182233}"/>
            </a:ext>
          </a:extLst>
        </xdr:cNvPr>
        <xdr:cNvSpPr/>
      </xdr:nvSpPr>
      <xdr:spPr>
        <a:xfrm rot="10800000">
          <a:off x="192786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169</xdr:row>
      <xdr:rowOff>0</xdr:rowOff>
    </xdr:from>
    <xdr:to>
      <xdr:col>71</xdr:col>
      <xdr:colOff>83820</xdr:colOff>
      <xdr:row>169</xdr:row>
      <xdr:rowOff>114300</xdr:rowOff>
    </xdr:to>
    <xdr:sp macro="" textlink="">
      <xdr:nvSpPr>
        <xdr:cNvPr id="1176" name="Arrow: Down 1175">
          <a:extLst>
            <a:ext uri="{FF2B5EF4-FFF2-40B4-BE49-F238E27FC236}">
              <a16:creationId xmlns:a16="http://schemas.microsoft.com/office/drawing/2014/main" id="{04229778-0C61-43C6-851F-64D37B8D1C3E}"/>
            </a:ext>
          </a:extLst>
        </xdr:cNvPr>
        <xdr:cNvSpPr/>
      </xdr:nvSpPr>
      <xdr:spPr>
        <a:xfrm>
          <a:off x="1849374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169</xdr:row>
      <xdr:rowOff>0</xdr:rowOff>
    </xdr:from>
    <xdr:to>
      <xdr:col>45</xdr:col>
      <xdr:colOff>83820</xdr:colOff>
      <xdr:row>169</xdr:row>
      <xdr:rowOff>114300</xdr:rowOff>
    </xdr:to>
    <xdr:sp macro="" textlink="">
      <xdr:nvSpPr>
        <xdr:cNvPr id="1177" name="Arrow: Down 1176">
          <a:extLst>
            <a:ext uri="{FF2B5EF4-FFF2-40B4-BE49-F238E27FC236}">
              <a16:creationId xmlns:a16="http://schemas.microsoft.com/office/drawing/2014/main" id="{A3A67A64-B35C-4358-A2E0-EB63BF014B3E}"/>
            </a:ext>
          </a:extLst>
        </xdr:cNvPr>
        <xdr:cNvSpPr/>
      </xdr:nvSpPr>
      <xdr:spPr>
        <a:xfrm rot="10800000">
          <a:off x="1141476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169</xdr:row>
      <xdr:rowOff>0</xdr:rowOff>
    </xdr:from>
    <xdr:to>
      <xdr:col>24</xdr:col>
      <xdr:colOff>83820</xdr:colOff>
      <xdr:row>169</xdr:row>
      <xdr:rowOff>114300</xdr:rowOff>
    </xdr:to>
    <xdr:sp macro="" textlink="">
      <xdr:nvSpPr>
        <xdr:cNvPr id="1180" name="Arrow: Down 1179">
          <a:extLst>
            <a:ext uri="{FF2B5EF4-FFF2-40B4-BE49-F238E27FC236}">
              <a16:creationId xmlns:a16="http://schemas.microsoft.com/office/drawing/2014/main" id="{258B44C0-DF9A-4002-AACE-06CC51C2F366}"/>
            </a:ext>
          </a:extLst>
        </xdr:cNvPr>
        <xdr:cNvSpPr/>
      </xdr:nvSpPr>
      <xdr:spPr>
        <a:xfrm>
          <a:off x="644652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169</xdr:row>
      <xdr:rowOff>0</xdr:rowOff>
    </xdr:from>
    <xdr:to>
      <xdr:col>11</xdr:col>
      <xdr:colOff>83820</xdr:colOff>
      <xdr:row>169</xdr:row>
      <xdr:rowOff>114300</xdr:rowOff>
    </xdr:to>
    <xdr:sp macro="" textlink="">
      <xdr:nvSpPr>
        <xdr:cNvPr id="1185" name="Arrow: Down 1184">
          <a:extLst>
            <a:ext uri="{FF2B5EF4-FFF2-40B4-BE49-F238E27FC236}">
              <a16:creationId xmlns:a16="http://schemas.microsoft.com/office/drawing/2014/main" id="{757CA62E-B831-43DD-9722-FC40EEA915BE}"/>
            </a:ext>
          </a:extLst>
        </xdr:cNvPr>
        <xdr:cNvSpPr/>
      </xdr:nvSpPr>
      <xdr:spPr>
        <a:xfrm rot="10800000">
          <a:off x="361950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169</xdr:row>
      <xdr:rowOff>0</xdr:rowOff>
    </xdr:from>
    <xdr:to>
      <xdr:col>5</xdr:col>
      <xdr:colOff>83820</xdr:colOff>
      <xdr:row>169</xdr:row>
      <xdr:rowOff>114300</xdr:rowOff>
    </xdr:to>
    <xdr:sp macro="" textlink="">
      <xdr:nvSpPr>
        <xdr:cNvPr id="1187" name="Arrow: Down 1186">
          <a:extLst>
            <a:ext uri="{FF2B5EF4-FFF2-40B4-BE49-F238E27FC236}">
              <a16:creationId xmlns:a16="http://schemas.microsoft.com/office/drawing/2014/main" id="{317DA41D-9535-49EA-B007-F311578401C9}"/>
            </a:ext>
          </a:extLst>
        </xdr:cNvPr>
        <xdr:cNvSpPr/>
      </xdr:nvSpPr>
      <xdr:spPr>
        <a:xfrm rot="10800000">
          <a:off x="192786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169</xdr:row>
      <xdr:rowOff>0</xdr:rowOff>
    </xdr:from>
    <xdr:to>
      <xdr:col>39</xdr:col>
      <xdr:colOff>83820</xdr:colOff>
      <xdr:row>169</xdr:row>
      <xdr:rowOff>114300</xdr:rowOff>
    </xdr:to>
    <xdr:sp macro="" textlink="">
      <xdr:nvSpPr>
        <xdr:cNvPr id="1194" name="Arrow: Down 1193">
          <a:extLst>
            <a:ext uri="{FF2B5EF4-FFF2-40B4-BE49-F238E27FC236}">
              <a16:creationId xmlns:a16="http://schemas.microsoft.com/office/drawing/2014/main" id="{18BD2910-7DC7-4883-93B5-A2788FCA534B}"/>
            </a:ext>
          </a:extLst>
        </xdr:cNvPr>
        <xdr:cNvSpPr/>
      </xdr:nvSpPr>
      <xdr:spPr>
        <a:xfrm>
          <a:off x="960882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169</xdr:row>
      <xdr:rowOff>0</xdr:rowOff>
    </xdr:from>
    <xdr:to>
      <xdr:col>60</xdr:col>
      <xdr:colOff>83820</xdr:colOff>
      <xdr:row>169</xdr:row>
      <xdr:rowOff>114300</xdr:rowOff>
    </xdr:to>
    <xdr:sp macro="" textlink="">
      <xdr:nvSpPr>
        <xdr:cNvPr id="1201" name="Arrow: Down 1200">
          <a:extLst>
            <a:ext uri="{FF2B5EF4-FFF2-40B4-BE49-F238E27FC236}">
              <a16:creationId xmlns:a16="http://schemas.microsoft.com/office/drawing/2014/main" id="{658B009E-D383-446E-976D-4634B64E11EC}"/>
            </a:ext>
          </a:extLst>
        </xdr:cNvPr>
        <xdr:cNvSpPr/>
      </xdr:nvSpPr>
      <xdr:spPr>
        <a:xfrm>
          <a:off x="1617726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168</xdr:row>
      <xdr:rowOff>0</xdr:rowOff>
    </xdr:from>
    <xdr:to>
      <xdr:col>60</xdr:col>
      <xdr:colOff>83820</xdr:colOff>
      <xdr:row>168</xdr:row>
      <xdr:rowOff>114300</xdr:rowOff>
    </xdr:to>
    <xdr:sp macro="" textlink="">
      <xdr:nvSpPr>
        <xdr:cNvPr id="1203" name="Arrow: Down 1202">
          <a:extLst>
            <a:ext uri="{FF2B5EF4-FFF2-40B4-BE49-F238E27FC236}">
              <a16:creationId xmlns:a16="http://schemas.microsoft.com/office/drawing/2014/main" id="{54BC4051-1BDB-485C-982C-613572FDBDE7}"/>
            </a:ext>
          </a:extLst>
        </xdr:cNvPr>
        <xdr:cNvSpPr/>
      </xdr:nvSpPr>
      <xdr:spPr>
        <a:xfrm rot="10800000">
          <a:off x="1617726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170</xdr:row>
      <xdr:rowOff>0</xdr:rowOff>
    </xdr:from>
    <xdr:to>
      <xdr:col>71</xdr:col>
      <xdr:colOff>83820</xdr:colOff>
      <xdr:row>170</xdr:row>
      <xdr:rowOff>114300</xdr:rowOff>
    </xdr:to>
    <xdr:sp macro="" textlink="">
      <xdr:nvSpPr>
        <xdr:cNvPr id="1204" name="Arrow: Down 1203">
          <a:extLst>
            <a:ext uri="{FF2B5EF4-FFF2-40B4-BE49-F238E27FC236}">
              <a16:creationId xmlns:a16="http://schemas.microsoft.com/office/drawing/2014/main" id="{9A501C3B-99D7-4387-95EC-9BAD75294ED3}"/>
            </a:ext>
          </a:extLst>
        </xdr:cNvPr>
        <xdr:cNvSpPr/>
      </xdr:nvSpPr>
      <xdr:spPr>
        <a:xfrm>
          <a:off x="1849374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170</xdr:row>
      <xdr:rowOff>0</xdr:rowOff>
    </xdr:from>
    <xdr:to>
      <xdr:col>45</xdr:col>
      <xdr:colOff>83820</xdr:colOff>
      <xdr:row>170</xdr:row>
      <xdr:rowOff>114300</xdr:rowOff>
    </xdr:to>
    <xdr:sp macro="" textlink="">
      <xdr:nvSpPr>
        <xdr:cNvPr id="1205" name="Arrow: Down 1204">
          <a:extLst>
            <a:ext uri="{FF2B5EF4-FFF2-40B4-BE49-F238E27FC236}">
              <a16:creationId xmlns:a16="http://schemas.microsoft.com/office/drawing/2014/main" id="{9A6B7F34-CB72-4C59-A852-471C06106297}"/>
            </a:ext>
          </a:extLst>
        </xdr:cNvPr>
        <xdr:cNvSpPr/>
      </xdr:nvSpPr>
      <xdr:spPr>
        <a:xfrm rot="10800000">
          <a:off x="1141476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170</xdr:row>
      <xdr:rowOff>0</xdr:rowOff>
    </xdr:from>
    <xdr:to>
      <xdr:col>24</xdr:col>
      <xdr:colOff>83820</xdr:colOff>
      <xdr:row>170</xdr:row>
      <xdr:rowOff>114300</xdr:rowOff>
    </xdr:to>
    <xdr:sp macro="" textlink="">
      <xdr:nvSpPr>
        <xdr:cNvPr id="1206" name="Arrow: Down 1205">
          <a:extLst>
            <a:ext uri="{FF2B5EF4-FFF2-40B4-BE49-F238E27FC236}">
              <a16:creationId xmlns:a16="http://schemas.microsoft.com/office/drawing/2014/main" id="{03C085B4-37F2-4F52-B3BD-8C5D4D3641CC}"/>
            </a:ext>
          </a:extLst>
        </xdr:cNvPr>
        <xdr:cNvSpPr/>
      </xdr:nvSpPr>
      <xdr:spPr>
        <a:xfrm>
          <a:off x="644652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170</xdr:row>
      <xdr:rowOff>0</xdr:rowOff>
    </xdr:from>
    <xdr:to>
      <xdr:col>11</xdr:col>
      <xdr:colOff>83820</xdr:colOff>
      <xdr:row>170</xdr:row>
      <xdr:rowOff>114300</xdr:rowOff>
    </xdr:to>
    <xdr:sp macro="" textlink="">
      <xdr:nvSpPr>
        <xdr:cNvPr id="1214" name="Arrow: Down 1213">
          <a:extLst>
            <a:ext uri="{FF2B5EF4-FFF2-40B4-BE49-F238E27FC236}">
              <a16:creationId xmlns:a16="http://schemas.microsoft.com/office/drawing/2014/main" id="{54A6D369-D02F-47A3-80B7-A48DE59836E4}"/>
            </a:ext>
          </a:extLst>
        </xdr:cNvPr>
        <xdr:cNvSpPr/>
      </xdr:nvSpPr>
      <xdr:spPr>
        <a:xfrm rot="10800000">
          <a:off x="361950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170</xdr:row>
      <xdr:rowOff>0</xdr:rowOff>
    </xdr:from>
    <xdr:to>
      <xdr:col>5</xdr:col>
      <xdr:colOff>83820</xdr:colOff>
      <xdr:row>170</xdr:row>
      <xdr:rowOff>114300</xdr:rowOff>
    </xdr:to>
    <xdr:sp macro="" textlink="">
      <xdr:nvSpPr>
        <xdr:cNvPr id="1215" name="Arrow: Down 1214">
          <a:extLst>
            <a:ext uri="{FF2B5EF4-FFF2-40B4-BE49-F238E27FC236}">
              <a16:creationId xmlns:a16="http://schemas.microsoft.com/office/drawing/2014/main" id="{AE41E2DB-6A6C-4C80-B9A8-BEFB1CD9AA4A}"/>
            </a:ext>
          </a:extLst>
        </xdr:cNvPr>
        <xdr:cNvSpPr/>
      </xdr:nvSpPr>
      <xdr:spPr>
        <a:xfrm rot="10800000">
          <a:off x="192786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170</xdr:row>
      <xdr:rowOff>0</xdr:rowOff>
    </xdr:from>
    <xdr:to>
      <xdr:col>39</xdr:col>
      <xdr:colOff>83820</xdr:colOff>
      <xdr:row>170</xdr:row>
      <xdr:rowOff>114300</xdr:rowOff>
    </xdr:to>
    <xdr:sp macro="" textlink="">
      <xdr:nvSpPr>
        <xdr:cNvPr id="1216" name="Arrow: Down 1215">
          <a:extLst>
            <a:ext uri="{FF2B5EF4-FFF2-40B4-BE49-F238E27FC236}">
              <a16:creationId xmlns:a16="http://schemas.microsoft.com/office/drawing/2014/main" id="{FF3E1A33-A8D9-4660-9C92-BB678ACA6BE5}"/>
            </a:ext>
          </a:extLst>
        </xdr:cNvPr>
        <xdr:cNvSpPr/>
      </xdr:nvSpPr>
      <xdr:spPr>
        <a:xfrm>
          <a:off x="960882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170</xdr:row>
      <xdr:rowOff>0</xdr:rowOff>
    </xdr:from>
    <xdr:to>
      <xdr:col>60</xdr:col>
      <xdr:colOff>83820</xdr:colOff>
      <xdr:row>170</xdr:row>
      <xdr:rowOff>114300</xdr:rowOff>
    </xdr:to>
    <xdr:sp macro="" textlink="">
      <xdr:nvSpPr>
        <xdr:cNvPr id="1218" name="Arrow: Down 1217">
          <a:extLst>
            <a:ext uri="{FF2B5EF4-FFF2-40B4-BE49-F238E27FC236}">
              <a16:creationId xmlns:a16="http://schemas.microsoft.com/office/drawing/2014/main" id="{B3DE5F06-6C63-476B-B49D-55E6DD861526}"/>
            </a:ext>
          </a:extLst>
        </xdr:cNvPr>
        <xdr:cNvSpPr/>
      </xdr:nvSpPr>
      <xdr:spPr>
        <a:xfrm rot="10800000">
          <a:off x="16177260" y="3118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171</xdr:row>
      <xdr:rowOff>0</xdr:rowOff>
    </xdr:from>
    <xdr:to>
      <xdr:col>71</xdr:col>
      <xdr:colOff>83820</xdr:colOff>
      <xdr:row>171</xdr:row>
      <xdr:rowOff>114300</xdr:rowOff>
    </xdr:to>
    <xdr:sp macro="" textlink="">
      <xdr:nvSpPr>
        <xdr:cNvPr id="1219" name="Arrow: Down 1218">
          <a:extLst>
            <a:ext uri="{FF2B5EF4-FFF2-40B4-BE49-F238E27FC236}">
              <a16:creationId xmlns:a16="http://schemas.microsoft.com/office/drawing/2014/main" id="{91AB96E3-0714-4B62-9C68-06CE1D1B1C53}"/>
            </a:ext>
          </a:extLst>
        </xdr:cNvPr>
        <xdr:cNvSpPr/>
      </xdr:nvSpPr>
      <xdr:spPr>
        <a:xfrm>
          <a:off x="18493740" y="311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171</xdr:row>
      <xdr:rowOff>0</xdr:rowOff>
    </xdr:from>
    <xdr:to>
      <xdr:col>45</xdr:col>
      <xdr:colOff>83820</xdr:colOff>
      <xdr:row>171</xdr:row>
      <xdr:rowOff>114300</xdr:rowOff>
    </xdr:to>
    <xdr:sp macro="" textlink="">
      <xdr:nvSpPr>
        <xdr:cNvPr id="1220" name="Arrow: Down 1219">
          <a:extLst>
            <a:ext uri="{FF2B5EF4-FFF2-40B4-BE49-F238E27FC236}">
              <a16:creationId xmlns:a16="http://schemas.microsoft.com/office/drawing/2014/main" id="{E3E2F63C-0888-4918-A39B-2D93E7833CB7}"/>
            </a:ext>
          </a:extLst>
        </xdr:cNvPr>
        <xdr:cNvSpPr/>
      </xdr:nvSpPr>
      <xdr:spPr>
        <a:xfrm rot="10800000">
          <a:off x="11414760" y="311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171</xdr:row>
      <xdr:rowOff>0</xdr:rowOff>
    </xdr:from>
    <xdr:to>
      <xdr:col>24</xdr:col>
      <xdr:colOff>83820</xdr:colOff>
      <xdr:row>171</xdr:row>
      <xdr:rowOff>114300</xdr:rowOff>
    </xdr:to>
    <xdr:sp macro="" textlink="">
      <xdr:nvSpPr>
        <xdr:cNvPr id="1221" name="Arrow: Down 1220">
          <a:extLst>
            <a:ext uri="{FF2B5EF4-FFF2-40B4-BE49-F238E27FC236}">
              <a16:creationId xmlns:a16="http://schemas.microsoft.com/office/drawing/2014/main" id="{438B9432-06A9-4345-A060-0107A106A21A}"/>
            </a:ext>
          </a:extLst>
        </xdr:cNvPr>
        <xdr:cNvSpPr/>
      </xdr:nvSpPr>
      <xdr:spPr>
        <a:xfrm>
          <a:off x="6446520" y="311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171</xdr:row>
      <xdr:rowOff>0</xdr:rowOff>
    </xdr:from>
    <xdr:to>
      <xdr:col>5</xdr:col>
      <xdr:colOff>83820</xdr:colOff>
      <xdr:row>171</xdr:row>
      <xdr:rowOff>114300</xdr:rowOff>
    </xdr:to>
    <xdr:sp macro="" textlink="">
      <xdr:nvSpPr>
        <xdr:cNvPr id="1227" name="Arrow: Down 1226">
          <a:extLst>
            <a:ext uri="{FF2B5EF4-FFF2-40B4-BE49-F238E27FC236}">
              <a16:creationId xmlns:a16="http://schemas.microsoft.com/office/drawing/2014/main" id="{3479F9CF-852F-4FC9-8C98-7474285BE513}"/>
            </a:ext>
          </a:extLst>
        </xdr:cNvPr>
        <xdr:cNvSpPr/>
      </xdr:nvSpPr>
      <xdr:spPr>
        <a:xfrm>
          <a:off x="192786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171</xdr:row>
      <xdr:rowOff>0</xdr:rowOff>
    </xdr:from>
    <xdr:to>
      <xdr:col>11</xdr:col>
      <xdr:colOff>83820</xdr:colOff>
      <xdr:row>171</xdr:row>
      <xdr:rowOff>114300</xdr:rowOff>
    </xdr:to>
    <xdr:sp macro="" textlink="">
      <xdr:nvSpPr>
        <xdr:cNvPr id="1229" name="Arrow: Down 1228">
          <a:extLst>
            <a:ext uri="{FF2B5EF4-FFF2-40B4-BE49-F238E27FC236}">
              <a16:creationId xmlns:a16="http://schemas.microsoft.com/office/drawing/2014/main" id="{AEC12D64-7BBD-4F54-9288-ACF1EAA3EBA0}"/>
            </a:ext>
          </a:extLst>
        </xdr:cNvPr>
        <xdr:cNvSpPr/>
      </xdr:nvSpPr>
      <xdr:spPr>
        <a:xfrm>
          <a:off x="361950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171</xdr:row>
      <xdr:rowOff>0</xdr:rowOff>
    </xdr:from>
    <xdr:to>
      <xdr:col>60</xdr:col>
      <xdr:colOff>83820</xdr:colOff>
      <xdr:row>171</xdr:row>
      <xdr:rowOff>114300</xdr:rowOff>
    </xdr:to>
    <xdr:sp macro="" textlink="">
      <xdr:nvSpPr>
        <xdr:cNvPr id="1231" name="Arrow: Down 1230">
          <a:extLst>
            <a:ext uri="{FF2B5EF4-FFF2-40B4-BE49-F238E27FC236}">
              <a16:creationId xmlns:a16="http://schemas.microsoft.com/office/drawing/2014/main" id="{7E7A6FB0-5219-4743-B52E-B11F9F580E3E}"/>
            </a:ext>
          </a:extLst>
        </xdr:cNvPr>
        <xdr:cNvSpPr/>
      </xdr:nvSpPr>
      <xdr:spPr>
        <a:xfrm>
          <a:off x="1620012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171</xdr:row>
      <xdr:rowOff>0</xdr:rowOff>
    </xdr:from>
    <xdr:to>
      <xdr:col>39</xdr:col>
      <xdr:colOff>83820</xdr:colOff>
      <xdr:row>171</xdr:row>
      <xdr:rowOff>114300</xdr:rowOff>
    </xdr:to>
    <xdr:sp macro="" textlink="">
      <xdr:nvSpPr>
        <xdr:cNvPr id="1232" name="Arrow: Down 1231">
          <a:extLst>
            <a:ext uri="{FF2B5EF4-FFF2-40B4-BE49-F238E27FC236}">
              <a16:creationId xmlns:a16="http://schemas.microsoft.com/office/drawing/2014/main" id="{19E449A9-0499-41FC-A9E0-4D45A5A3C819}"/>
            </a:ext>
          </a:extLst>
        </xdr:cNvPr>
        <xdr:cNvSpPr/>
      </xdr:nvSpPr>
      <xdr:spPr>
        <a:xfrm rot="10800000">
          <a:off x="963168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172</xdr:row>
      <xdr:rowOff>0</xdr:rowOff>
    </xdr:from>
    <xdr:to>
      <xdr:col>71</xdr:col>
      <xdr:colOff>83820</xdr:colOff>
      <xdr:row>172</xdr:row>
      <xdr:rowOff>114300</xdr:rowOff>
    </xdr:to>
    <xdr:sp macro="" textlink="">
      <xdr:nvSpPr>
        <xdr:cNvPr id="1233" name="Arrow: Down 1232">
          <a:extLst>
            <a:ext uri="{FF2B5EF4-FFF2-40B4-BE49-F238E27FC236}">
              <a16:creationId xmlns:a16="http://schemas.microsoft.com/office/drawing/2014/main" id="{179F4C67-D1AE-44DE-A31F-637264706A35}"/>
            </a:ext>
          </a:extLst>
        </xdr:cNvPr>
        <xdr:cNvSpPr/>
      </xdr:nvSpPr>
      <xdr:spPr>
        <a:xfrm>
          <a:off x="2018538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172</xdr:row>
      <xdr:rowOff>0</xdr:rowOff>
    </xdr:from>
    <xdr:to>
      <xdr:col>24</xdr:col>
      <xdr:colOff>83820</xdr:colOff>
      <xdr:row>172</xdr:row>
      <xdr:rowOff>114300</xdr:rowOff>
    </xdr:to>
    <xdr:sp macro="" textlink="">
      <xdr:nvSpPr>
        <xdr:cNvPr id="1235" name="Arrow: Down 1234">
          <a:extLst>
            <a:ext uri="{FF2B5EF4-FFF2-40B4-BE49-F238E27FC236}">
              <a16:creationId xmlns:a16="http://schemas.microsoft.com/office/drawing/2014/main" id="{CFA28A94-7B73-41DC-B321-E35A0887325D}"/>
            </a:ext>
          </a:extLst>
        </xdr:cNvPr>
        <xdr:cNvSpPr/>
      </xdr:nvSpPr>
      <xdr:spPr>
        <a:xfrm>
          <a:off x="646938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172</xdr:row>
      <xdr:rowOff>0</xdr:rowOff>
    </xdr:from>
    <xdr:to>
      <xdr:col>5</xdr:col>
      <xdr:colOff>83820</xdr:colOff>
      <xdr:row>172</xdr:row>
      <xdr:rowOff>114300</xdr:rowOff>
    </xdr:to>
    <xdr:sp macro="" textlink="">
      <xdr:nvSpPr>
        <xdr:cNvPr id="1236" name="Arrow: Down 1235">
          <a:extLst>
            <a:ext uri="{FF2B5EF4-FFF2-40B4-BE49-F238E27FC236}">
              <a16:creationId xmlns:a16="http://schemas.microsoft.com/office/drawing/2014/main" id="{60EFABB4-18CC-4A55-B470-7F0CE052CE4C}"/>
            </a:ext>
          </a:extLst>
        </xdr:cNvPr>
        <xdr:cNvSpPr/>
      </xdr:nvSpPr>
      <xdr:spPr>
        <a:xfrm>
          <a:off x="192786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172</xdr:row>
      <xdr:rowOff>0</xdr:rowOff>
    </xdr:from>
    <xdr:to>
      <xdr:col>11</xdr:col>
      <xdr:colOff>83820</xdr:colOff>
      <xdr:row>172</xdr:row>
      <xdr:rowOff>114300</xdr:rowOff>
    </xdr:to>
    <xdr:sp macro="" textlink="">
      <xdr:nvSpPr>
        <xdr:cNvPr id="1237" name="Arrow: Down 1236">
          <a:extLst>
            <a:ext uri="{FF2B5EF4-FFF2-40B4-BE49-F238E27FC236}">
              <a16:creationId xmlns:a16="http://schemas.microsoft.com/office/drawing/2014/main" id="{4A571F86-ADBA-447B-85A2-8A113BE37C60}"/>
            </a:ext>
          </a:extLst>
        </xdr:cNvPr>
        <xdr:cNvSpPr/>
      </xdr:nvSpPr>
      <xdr:spPr>
        <a:xfrm>
          <a:off x="361950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172</xdr:row>
      <xdr:rowOff>0</xdr:rowOff>
    </xdr:from>
    <xdr:to>
      <xdr:col>60</xdr:col>
      <xdr:colOff>83820</xdr:colOff>
      <xdr:row>172</xdr:row>
      <xdr:rowOff>114300</xdr:rowOff>
    </xdr:to>
    <xdr:sp macro="" textlink="">
      <xdr:nvSpPr>
        <xdr:cNvPr id="1238" name="Arrow: Down 1237">
          <a:extLst>
            <a:ext uri="{FF2B5EF4-FFF2-40B4-BE49-F238E27FC236}">
              <a16:creationId xmlns:a16="http://schemas.microsoft.com/office/drawing/2014/main" id="{903C114B-5F8A-406B-B7DB-79A99A9895B5}"/>
            </a:ext>
          </a:extLst>
        </xdr:cNvPr>
        <xdr:cNvSpPr/>
      </xdr:nvSpPr>
      <xdr:spPr>
        <a:xfrm>
          <a:off x="1620012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172</xdr:row>
      <xdr:rowOff>0</xdr:rowOff>
    </xdr:from>
    <xdr:to>
      <xdr:col>39</xdr:col>
      <xdr:colOff>83820</xdr:colOff>
      <xdr:row>172</xdr:row>
      <xdr:rowOff>114300</xdr:rowOff>
    </xdr:to>
    <xdr:sp macro="" textlink="">
      <xdr:nvSpPr>
        <xdr:cNvPr id="1242" name="Arrow: Down 1241">
          <a:extLst>
            <a:ext uri="{FF2B5EF4-FFF2-40B4-BE49-F238E27FC236}">
              <a16:creationId xmlns:a16="http://schemas.microsoft.com/office/drawing/2014/main" id="{B41B6D56-6093-4973-B6D6-EAA2B12DB33E}"/>
            </a:ext>
          </a:extLst>
        </xdr:cNvPr>
        <xdr:cNvSpPr/>
      </xdr:nvSpPr>
      <xdr:spPr>
        <a:xfrm>
          <a:off x="9631680" y="3155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172</xdr:row>
      <xdr:rowOff>0</xdr:rowOff>
    </xdr:from>
    <xdr:to>
      <xdr:col>45</xdr:col>
      <xdr:colOff>83820</xdr:colOff>
      <xdr:row>172</xdr:row>
      <xdr:rowOff>114300</xdr:rowOff>
    </xdr:to>
    <xdr:sp macro="" textlink="">
      <xdr:nvSpPr>
        <xdr:cNvPr id="1243" name="Arrow: Down 1242">
          <a:extLst>
            <a:ext uri="{FF2B5EF4-FFF2-40B4-BE49-F238E27FC236}">
              <a16:creationId xmlns:a16="http://schemas.microsoft.com/office/drawing/2014/main" id="{745DFAE3-C781-42EB-A433-42D0EAE34D02}"/>
            </a:ext>
          </a:extLst>
        </xdr:cNvPr>
        <xdr:cNvSpPr/>
      </xdr:nvSpPr>
      <xdr:spPr>
        <a:xfrm>
          <a:off x="11437620" y="3155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173</xdr:row>
      <xdr:rowOff>0</xdr:rowOff>
    </xdr:from>
    <xdr:to>
      <xdr:col>71</xdr:col>
      <xdr:colOff>83820</xdr:colOff>
      <xdr:row>173</xdr:row>
      <xdr:rowOff>114300</xdr:rowOff>
    </xdr:to>
    <xdr:sp macro="" textlink="">
      <xdr:nvSpPr>
        <xdr:cNvPr id="1244" name="Arrow: Down 1243">
          <a:extLst>
            <a:ext uri="{FF2B5EF4-FFF2-40B4-BE49-F238E27FC236}">
              <a16:creationId xmlns:a16="http://schemas.microsoft.com/office/drawing/2014/main" id="{79C2634B-EC26-4B91-84E8-696F121EE051}"/>
            </a:ext>
          </a:extLst>
        </xdr:cNvPr>
        <xdr:cNvSpPr/>
      </xdr:nvSpPr>
      <xdr:spPr>
        <a:xfrm>
          <a:off x="17960340" y="3155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173</xdr:row>
      <xdr:rowOff>0</xdr:rowOff>
    </xdr:from>
    <xdr:to>
      <xdr:col>45</xdr:col>
      <xdr:colOff>83820</xdr:colOff>
      <xdr:row>173</xdr:row>
      <xdr:rowOff>114300</xdr:rowOff>
    </xdr:to>
    <xdr:sp macro="" textlink="">
      <xdr:nvSpPr>
        <xdr:cNvPr id="1252" name="Arrow: Down 1251">
          <a:extLst>
            <a:ext uri="{FF2B5EF4-FFF2-40B4-BE49-F238E27FC236}">
              <a16:creationId xmlns:a16="http://schemas.microsoft.com/office/drawing/2014/main" id="{D3CEE987-C075-4060-9923-19B281729701}"/>
            </a:ext>
          </a:extLst>
        </xdr:cNvPr>
        <xdr:cNvSpPr/>
      </xdr:nvSpPr>
      <xdr:spPr>
        <a:xfrm rot="10800000">
          <a:off x="1088136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173</xdr:row>
      <xdr:rowOff>0</xdr:rowOff>
    </xdr:from>
    <xdr:to>
      <xdr:col>39</xdr:col>
      <xdr:colOff>83820</xdr:colOff>
      <xdr:row>173</xdr:row>
      <xdr:rowOff>114300</xdr:rowOff>
    </xdr:to>
    <xdr:sp macro="" textlink="">
      <xdr:nvSpPr>
        <xdr:cNvPr id="1254" name="Arrow: Down 1253">
          <a:extLst>
            <a:ext uri="{FF2B5EF4-FFF2-40B4-BE49-F238E27FC236}">
              <a16:creationId xmlns:a16="http://schemas.microsoft.com/office/drawing/2014/main" id="{129931A5-F68C-447E-BB00-90312D031D4A}"/>
            </a:ext>
          </a:extLst>
        </xdr:cNvPr>
        <xdr:cNvSpPr/>
      </xdr:nvSpPr>
      <xdr:spPr>
        <a:xfrm rot="10800000">
          <a:off x="907542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173</xdr:row>
      <xdr:rowOff>0</xdr:rowOff>
    </xdr:from>
    <xdr:to>
      <xdr:col>11</xdr:col>
      <xdr:colOff>83820</xdr:colOff>
      <xdr:row>173</xdr:row>
      <xdr:rowOff>114300</xdr:rowOff>
    </xdr:to>
    <xdr:sp macro="" textlink="">
      <xdr:nvSpPr>
        <xdr:cNvPr id="1256" name="Arrow: Down 1255">
          <a:extLst>
            <a:ext uri="{FF2B5EF4-FFF2-40B4-BE49-F238E27FC236}">
              <a16:creationId xmlns:a16="http://schemas.microsoft.com/office/drawing/2014/main" id="{9986C4CD-5848-4568-8CFE-AC45F5EA951A}"/>
            </a:ext>
          </a:extLst>
        </xdr:cNvPr>
        <xdr:cNvSpPr/>
      </xdr:nvSpPr>
      <xdr:spPr>
        <a:xfrm rot="10800000">
          <a:off x="361950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173</xdr:row>
      <xdr:rowOff>0</xdr:rowOff>
    </xdr:from>
    <xdr:to>
      <xdr:col>24</xdr:col>
      <xdr:colOff>83820</xdr:colOff>
      <xdr:row>173</xdr:row>
      <xdr:rowOff>114300</xdr:rowOff>
    </xdr:to>
    <xdr:sp macro="" textlink="">
      <xdr:nvSpPr>
        <xdr:cNvPr id="1257" name="Arrow: Down 1256">
          <a:extLst>
            <a:ext uri="{FF2B5EF4-FFF2-40B4-BE49-F238E27FC236}">
              <a16:creationId xmlns:a16="http://schemas.microsoft.com/office/drawing/2014/main" id="{A068FFC5-10C9-4EA8-9C26-C658BB70C709}"/>
            </a:ext>
          </a:extLst>
        </xdr:cNvPr>
        <xdr:cNvSpPr/>
      </xdr:nvSpPr>
      <xdr:spPr>
        <a:xfrm rot="10800000">
          <a:off x="591312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173</xdr:row>
      <xdr:rowOff>0</xdr:rowOff>
    </xdr:from>
    <xdr:to>
      <xdr:col>5</xdr:col>
      <xdr:colOff>83820</xdr:colOff>
      <xdr:row>173</xdr:row>
      <xdr:rowOff>114300</xdr:rowOff>
    </xdr:to>
    <xdr:sp macro="" textlink="">
      <xdr:nvSpPr>
        <xdr:cNvPr id="1259" name="Arrow: Down 1258">
          <a:extLst>
            <a:ext uri="{FF2B5EF4-FFF2-40B4-BE49-F238E27FC236}">
              <a16:creationId xmlns:a16="http://schemas.microsoft.com/office/drawing/2014/main" id="{6B1661B0-7ACA-4985-BE54-290472C57437}"/>
            </a:ext>
          </a:extLst>
        </xdr:cNvPr>
        <xdr:cNvSpPr/>
      </xdr:nvSpPr>
      <xdr:spPr>
        <a:xfrm rot="10800000">
          <a:off x="1927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173</xdr:row>
      <xdr:rowOff>0</xdr:rowOff>
    </xdr:from>
    <xdr:to>
      <xdr:col>60</xdr:col>
      <xdr:colOff>83820</xdr:colOff>
      <xdr:row>173</xdr:row>
      <xdr:rowOff>114300</xdr:rowOff>
    </xdr:to>
    <xdr:sp macro="" textlink="">
      <xdr:nvSpPr>
        <xdr:cNvPr id="1261" name="Arrow: Down 1260">
          <a:extLst>
            <a:ext uri="{FF2B5EF4-FFF2-40B4-BE49-F238E27FC236}">
              <a16:creationId xmlns:a16="http://schemas.microsoft.com/office/drawing/2014/main" id="{57D9F07F-9044-45DB-A7B4-73300BCAECB8}"/>
            </a:ext>
          </a:extLst>
        </xdr:cNvPr>
        <xdr:cNvSpPr/>
      </xdr:nvSpPr>
      <xdr:spPr>
        <a:xfrm rot="10800000">
          <a:off x="15643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174</xdr:row>
      <xdr:rowOff>0</xdr:rowOff>
    </xdr:from>
    <xdr:to>
      <xdr:col>71</xdr:col>
      <xdr:colOff>83820</xdr:colOff>
      <xdr:row>174</xdr:row>
      <xdr:rowOff>114300</xdr:rowOff>
    </xdr:to>
    <xdr:sp macro="" textlink="">
      <xdr:nvSpPr>
        <xdr:cNvPr id="1269" name="Arrow: Down 1268">
          <a:extLst>
            <a:ext uri="{FF2B5EF4-FFF2-40B4-BE49-F238E27FC236}">
              <a16:creationId xmlns:a16="http://schemas.microsoft.com/office/drawing/2014/main" id="{96DEA6FE-7104-4230-9815-3CAC1AD1C8C0}"/>
            </a:ext>
          </a:extLst>
        </xdr:cNvPr>
        <xdr:cNvSpPr/>
      </xdr:nvSpPr>
      <xdr:spPr>
        <a:xfrm>
          <a:off x="1796034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174</xdr:row>
      <xdr:rowOff>0</xdr:rowOff>
    </xdr:from>
    <xdr:to>
      <xdr:col>45</xdr:col>
      <xdr:colOff>83820</xdr:colOff>
      <xdr:row>174</xdr:row>
      <xdr:rowOff>114300</xdr:rowOff>
    </xdr:to>
    <xdr:sp macro="" textlink="">
      <xdr:nvSpPr>
        <xdr:cNvPr id="1270" name="Arrow: Down 1269">
          <a:extLst>
            <a:ext uri="{FF2B5EF4-FFF2-40B4-BE49-F238E27FC236}">
              <a16:creationId xmlns:a16="http://schemas.microsoft.com/office/drawing/2014/main" id="{5DEC72C7-A7DA-462C-B580-598151639655}"/>
            </a:ext>
          </a:extLst>
        </xdr:cNvPr>
        <xdr:cNvSpPr/>
      </xdr:nvSpPr>
      <xdr:spPr>
        <a:xfrm rot="10800000">
          <a:off x="1088136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174</xdr:row>
      <xdr:rowOff>0</xdr:rowOff>
    </xdr:from>
    <xdr:to>
      <xdr:col>39</xdr:col>
      <xdr:colOff>83820</xdr:colOff>
      <xdr:row>174</xdr:row>
      <xdr:rowOff>114300</xdr:rowOff>
    </xdr:to>
    <xdr:sp macro="" textlink="">
      <xdr:nvSpPr>
        <xdr:cNvPr id="1271" name="Arrow: Down 1270">
          <a:extLst>
            <a:ext uri="{FF2B5EF4-FFF2-40B4-BE49-F238E27FC236}">
              <a16:creationId xmlns:a16="http://schemas.microsoft.com/office/drawing/2014/main" id="{23D4FF8E-AB77-41EA-9D2D-261A4F473EBF}"/>
            </a:ext>
          </a:extLst>
        </xdr:cNvPr>
        <xdr:cNvSpPr/>
      </xdr:nvSpPr>
      <xdr:spPr>
        <a:xfrm rot="10800000">
          <a:off x="907542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174</xdr:row>
      <xdr:rowOff>0</xdr:rowOff>
    </xdr:from>
    <xdr:to>
      <xdr:col>11</xdr:col>
      <xdr:colOff>83820</xdr:colOff>
      <xdr:row>174</xdr:row>
      <xdr:rowOff>114300</xdr:rowOff>
    </xdr:to>
    <xdr:sp macro="" textlink="">
      <xdr:nvSpPr>
        <xdr:cNvPr id="1272" name="Arrow: Down 1271">
          <a:extLst>
            <a:ext uri="{FF2B5EF4-FFF2-40B4-BE49-F238E27FC236}">
              <a16:creationId xmlns:a16="http://schemas.microsoft.com/office/drawing/2014/main" id="{F2A85568-8B70-4598-887B-B81AB18A9648}"/>
            </a:ext>
          </a:extLst>
        </xdr:cNvPr>
        <xdr:cNvSpPr/>
      </xdr:nvSpPr>
      <xdr:spPr>
        <a:xfrm rot="10800000">
          <a:off x="361950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174</xdr:row>
      <xdr:rowOff>0</xdr:rowOff>
    </xdr:from>
    <xdr:to>
      <xdr:col>24</xdr:col>
      <xdr:colOff>83820</xdr:colOff>
      <xdr:row>174</xdr:row>
      <xdr:rowOff>114300</xdr:rowOff>
    </xdr:to>
    <xdr:sp macro="" textlink="">
      <xdr:nvSpPr>
        <xdr:cNvPr id="1273" name="Arrow: Down 1272">
          <a:extLst>
            <a:ext uri="{FF2B5EF4-FFF2-40B4-BE49-F238E27FC236}">
              <a16:creationId xmlns:a16="http://schemas.microsoft.com/office/drawing/2014/main" id="{1B588769-9ED2-4B09-A6F5-1E5E2C2C1A24}"/>
            </a:ext>
          </a:extLst>
        </xdr:cNvPr>
        <xdr:cNvSpPr/>
      </xdr:nvSpPr>
      <xdr:spPr>
        <a:xfrm rot="10800000">
          <a:off x="591312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174</xdr:row>
      <xdr:rowOff>0</xdr:rowOff>
    </xdr:from>
    <xdr:to>
      <xdr:col>5</xdr:col>
      <xdr:colOff>83820</xdr:colOff>
      <xdr:row>174</xdr:row>
      <xdr:rowOff>114300</xdr:rowOff>
    </xdr:to>
    <xdr:sp macro="" textlink="">
      <xdr:nvSpPr>
        <xdr:cNvPr id="1274" name="Arrow: Down 1273">
          <a:extLst>
            <a:ext uri="{FF2B5EF4-FFF2-40B4-BE49-F238E27FC236}">
              <a16:creationId xmlns:a16="http://schemas.microsoft.com/office/drawing/2014/main" id="{4E7B8F9E-767F-46A8-9FFC-4ECDDDFB0502}"/>
            </a:ext>
          </a:extLst>
        </xdr:cNvPr>
        <xdr:cNvSpPr/>
      </xdr:nvSpPr>
      <xdr:spPr>
        <a:xfrm rot="10800000">
          <a:off x="1927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174</xdr:row>
      <xdr:rowOff>0</xdr:rowOff>
    </xdr:from>
    <xdr:to>
      <xdr:col>60</xdr:col>
      <xdr:colOff>83820</xdr:colOff>
      <xdr:row>174</xdr:row>
      <xdr:rowOff>114300</xdr:rowOff>
    </xdr:to>
    <xdr:sp macro="" textlink="">
      <xdr:nvSpPr>
        <xdr:cNvPr id="1275" name="Arrow: Down 1274">
          <a:extLst>
            <a:ext uri="{FF2B5EF4-FFF2-40B4-BE49-F238E27FC236}">
              <a16:creationId xmlns:a16="http://schemas.microsoft.com/office/drawing/2014/main" id="{B71B9B81-F9A7-4323-BE20-77AFF7670C32}"/>
            </a:ext>
          </a:extLst>
        </xdr:cNvPr>
        <xdr:cNvSpPr/>
      </xdr:nvSpPr>
      <xdr:spPr>
        <a:xfrm rot="10800000">
          <a:off x="15643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175</xdr:row>
      <xdr:rowOff>0</xdr:rowOff>
    </xdr:from>
    <xdr:to>
      <xdr:col>71</xdr:col>
      <xdr:colOff>83820</xdr:colOff>
      <xdr:row>175</xdr:row>
      <xdr:rowOff>114300</xdr:rowOff>
    </xdr:to>
    <xdr:sp macro="" textlink="">
      <xdr:nvSpPr>
        <xdr:cNvPr id="1276" name="Arrow: Down 1275">
          <a:extLst>
            <a:ext uri="{FF2B5EF4-FFF2-40B4-BE49-F238E27FC236}">
              <a16:creationId xmlns:a16="http://schemas.microsoft.com/office/drawing/2014/main" id="{10FDF5F4-9CAD-4710-A657-BBF73FCAA78C}"/>
            </a:ext>
          </a:extLst>
        </xdr:cNvPr>
        <xdr:cNvSpPr/>
      </xdr:nvSpPr>
      <xdr:spPr>
        <a:xfrm>
          <a:off x="18409920" y="319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175</xdr:row>
      <xdr:rowOff>0</xdr:rowOff>
    </xdr:from>
    <xdr:to>
      <xdr:col>45</xdr:col>
      <xdr:colOff>83820</xdr:colOff>
      <xdr:row>175</xdr:row>
      <xdr:rowOff>114300</xdr:rowOff>
    </xdr:to>
    <xdr:sp macro="" textlink="">
      <xdr:nvSpPr>
        <xdr:cNvPr id="1277" name="Arrow: Down 1276">
          <a:extLst>
            <a:ext uri="{FF2B5EF4-FFF2-40B4-BE49-F238E27FC236}">
              <a16:creationId xmlns:a16="http://schemas.microsoft.com/office/drawing/2014/main" id="{3265590E-E39E-4FC1-AD28-118A7060DB06}"/>
            </a:ext>
          </a:extLst>
        </xdr:cNvPr>
        <xdr:cNvSpPr/>
      </xdr:nvSpPr>
      <xdr:spPr>
        <a:xfrm rot="10800000">
          <a:off x="11330940" y="319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175</xdr:row>
      <xdr:rowOff>0</xdr:rowOff>
    </xdr:from>
    <xdr:to>
      <xdr:col>39</xdr:col>
      <xdr:colOff>83820</xdr:colOff>
      <xdr:row>175</xdr:row>
      <xdr:rowOff>114300</xdr:rowOff>
    </xdr:to>
    <xdr:sp macro="" textlink="">
      <xdr:nvSpPr>
        <xdr:cNvPr id="1278" name="Arrow: Down 1277">
          <a:extLst>
            <a:ext uri="{FF2B5EF4-FFF2-40B4-BE49-F238E27FC236}">
              <a16:creationId xmlns:a16="http://schemas.microsoft.com/office/drawing/2014/main" id="{DE5318AD-7DD2-4656-A1D8-045246EF4E8E}"/>
            </a:ext>
          </a:extLst>
        </xdr:cNvPr>
        <xdr:cNvSpPr/>
      </xdr:nvSpPr>
      <xdr:spPr>
        <a:xfrm rot="10800000">
          <a:off x="9525000" y="319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175</xdr:row>
      <xdr:rowOff>0</xdr:rowOff>
    </xdr:from>
    <xdr:to>
      <xdr:col>5</xdr:col>
      <xdr:colOff>83820</xdr:colOff>
      <xdr:row>175</xdr:row>
      <xdr:rowOff>114300</xdr:rowOff>
    </xdr:to>
    <xdr:sp macro="" textlink="">
      <xdr:nvSpPr>
        <xdr:cNvPr id="1283" name="Arrow: Down 1282">
          <a:extLst>
            <a:ext uri="{FF2B5EF4-FFF2-40B4-BE49-F238E27FC236}">
              <a16:creationId xmlns:a16="http://schemas.microsoft.com/office/drawing/2014/main" id="{933129C3-E64E-4B5D-B17A-EFE6AC00DC22}"/>
            </a:ext>
          </a:extLst>
        </xdr:cNvPr>
        <xdr:cNvSpPr/>
      </xdr:nvSpPr>
      <xdr:spPr>
        <a:xfrm>
          <a:off x="192786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175</xdr:row>
      <xdr:rowOff>0</xdr:rowOff>
    </xdr:from>
    <xdr:to>
      <xdr:col>11</xdr:col>
      <xdr:colOff>83820</xdr:colOff>
      <xdr:row>175</xdr:row>
      <xdr:rowOff>114300</xdr:rowOff>
    </xdr:to>
    <xdr:sp macro="" textlink="">
      <xdr:nvSpPr>
        <xdr:cNvPr id="1284" name="Arrow: Down 1283">
          <a:extLst>
            <a:ext uri="{FF2B5EF4-FFF2-40B4-BE49-F238E27FC236}">
              <a16:creationId xmlns:a16="http://schemas.microsoft.com/office/drawing/2014/main" id="{F56DACE5-D6E5-4ADD-A6A8-1F5B5C08AB40}"/>
            </a:ext>
          </a:extLst>
        </xdr:cNvPr>
        <xdr:cNvSpPr/>
      </xdr:nvSpPr>
      <xdr:spPr>
        <a:xfrm>
          <a:off x="361950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175</xdr:row>
      <xdr:rowOff>0</xdr:rowOff>
    </xdr:from>
    <xdr:to>
      <xdr:col>24</xdr:col>
      <xdr:colOff>83820</xdr:colOff>
      <xdr:row>175</xdr:row>
      <xdr:rowOff>114300</xdr:rowOff>
    </xdr:to>
    <xdr:sp macro="" textlink="">
      <xdr:nvSpPr>
        <xdr:cNvPr id="1285" name="Arrow: Down 1284">
          <a:extLst>
            <a:ext uri="{FF2B5EF4-FFF2-40B4-BE49-F238E27FC236}">
              <a16:creationId xmlns:a16="http://schemas.microsoft.com/office/drawing/2014/main" id="{F1C79D48-082C-49C9-82CB-611C2DDC39C8}"/>
            </a:ext>
          </a:extLst>
        </xdr:cNvPr>
        <xdr:cNvSpPr/>
      </xdr:nvSpPr>
      <xdr:spPr>
        <a:xfrm>
          <a:off x="636270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175</xdr:row>
      <xdr:rowOff>0</xdr:rowOff>
    </xdr:from>
    <xdr:to>
      <xdr:col>60</xdr:col>
      <xdr:colOff>45719</xdr:colOff>
      <xdr:row>175</xdr:row>
      <xdr:rowOff>76200</xdr:rowOff>
    </xdr:to>
    <xdr:sp macro="" textlink="">
      <xdr:nvSpPr>
        <xdr:cNvPr id="1286" name="Arrow: Down 1285">
          <a:extLst>
            <a:ext uri="{FF2B5EF4-FFF2-40B4-BE49-F238E27FC236}">
              <a16:creationId xmlns:a16="http://schemas.microsoft.com/office/drawing/2014/main" id="{80F7C502-58DE-42F1-9213-1D329FC275E2}"/>
            </a:ext>
          </a:extLst>
        </xdr:cNvPr>
        <xdr:cNvSpPr/>
      </xdr:nvSpPr>
      <xdr:spPr>
        <a:xfrm>
          <a:off x="16093440" y="32103060"/>
          <a:ext cx="45719" cy="762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176</xdr:row>
      <xdr:rowOff>0</xdr:rowOff>
    </xdr:from>
    <xdr:to>
      <xdr:col>71</xdr:col>
      <xdr:colOff>83820</xdr:colOff>
      <xdr:row>176</xdr:row>
      <xdr:rowOff>114300</xdr:rowOff>
    </xdr:to>
    <xdr:sp macro="" textlink="">
      <xdr:nvSpPr>
        <xdr:cNvPr id="1287" name="Arrow: Down 1286">
          <a:extLst>
            <a:ext uri="{FF2B5EF4-FFF2-40B4-BE49-F238E27FC236}">
              <a16:creationId xmlns:a16="http://schemas.microsoft.com/office/drawing/2014/main" id="{A5458EE3-3EDD-4039-B202-383F2EE59A9E}"/>
            </a:ext>
          </a:extLst>
        </xdr:cNvPr>
        <xdr:cNvSpPr/>
      </xdr:nvSpPr>
      <xdr:spPr>
        <a:xfrm>
          <a:off x="1840992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176</xdr:row>
      <xdr:rowOff>0</xdr:rowOff>
    </xdr:from>
    <xdr:to>
      <xdr:col>45</xdr:col>
      <xdr:colOff>83820</xdr:colOff>
      <xdr:row>176</xdr:row>
      <xdr:rowOff>114300</xdr:rowOff>
    </xdr:to>
    <xdr:sp macro="" textlink="">
      <xdr:nvSpPr>
        <xdr:cNvPr id="1288" name="Arrow: Down 1287">
          <a:extLst>
            <a:ext uri="{FF2B5EF4-FFF2-40B4-BE49-F238E27FC236}">
              <a16:creationId xmlns:a16="http://schemas.microsoft.com/office/drawing/2014/main" id="{AD521DCA-B0ED-4B8A-9452-AF379217AD03}"/>
            </a:ext>
          </a:extLst>
        </xdr:cNvPr>
        <xdr:cNvSpPr/>
      </xdr:nvSpPr>
      <xdr:spPr>
        <a:xfrm rot="10800000">
          <a:off x="1133094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176</xdr:row>
      <xdr:rowOff>0</xdr:rowOff>
    </xdr:from>
    <xdr:to>
      <xdr:col>11</xdr:col>
      <xdr:colOff>83820</xdr:colOff>
      <xdr:row>176</xdr:row>
      <xdr:rowOff>114300</xdr:rowOff>
    </xdr:to>
    <xdr:sp macro="" textlink="">
      <xdr:nvSpPr>
        <xdr:cNvPr id="1295" name="Arrow: Down 1294">
          <a:extLst>
            <a:ext uri="{FF2B5EF4-FFF2-40B4-BE49-F238E27FC236}">
              <a16:creationId xmlns:a16="http://schemas.microsoft.com/office/drawing/2014/main" id="{7C410A07-6308-4881-8AB3-6A775D2D06B4}"/>
            </a:ext>
          </a:extLst>
        </xdr:cNvPr>
        <xdr:cNvSpPr/>
      </xdr:nvSpPr>
      <xdr:spPr>
        <a:xfrm rot="10800000">
          <a:off x="36195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176</xdr:row>
      <xdr:rowOff>0</xdr:rowOff>
    </xdr:from>
    <xdr:to>
      <xdr:col>5</xdr:col>
      <xdr:colOff>83820</xdr:colOff>
      <xdr:row>176</xdr:row>
      <xdr:rowOff>114300</xdr:rowOff>
    </xdr:to>
    <xdr:sp macro="" textlink="">
      <xdr:nvSpPr>
        <xdr:cNvPr id="1297" name="Arrow: Down 1296">
          <a:extLst>
            <a:ext uri="{FF2B5EF4-FFF2-40B4-BE49-F238E27FC236}">
              <a16:creationId xmlns:a16="http://schemas.microsoft.com/office/drawing/2014/main" id="{D6FC2B43-B686-4CED-B1C7-02D1180B93A7}"/>
            </a:ext>
          </a:extLst>
        </xdr:cNvPr>
        <xdr:cNvSpPr/>
      </xdr:nvSpPr>
      <xdr:spPr>
        <a:xfrm rot="10800000">
          <a:off x="192786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176</xdr:row>
      <xdr:rowOff>0</xdr:rowOff>
    </xdr:from>
    <xdr:to>
      <xdr:col>24</xdr:col>
      <xdr:colOff>83820</xdr:colOff>
      <xdr:row>176</xdr:row>
      <xdr:rowOff>114300</xdr:rowOff>
    </xdr:to>
    <xdr:sp macro="" textlink="">
      <xdr:nvSpPr>
        <xdr:cNvPr id="1298" name="Arrow: Down 1297">
          <a:extLst>
            <a:ext uri="{FF2B5EF4-FFF2-40B4-BE49-F238E27FC236}">
              <a16:creationId xmlns:a16="http://schemas.microsoft.com/office/drawing/2014/main" id="{692B6E32-D8A2-41A6-9DF5-D09AB2F99A09}"/>
            </a:ext>
          </a:extLst>
        </xdr:cNvPr>
        <xdr:cNvSpPr/>
      </xdr:nvSpPr>
      <xdr:spPr>
        <a:xfrm rot="10800000">
          <a:off x="63627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176</xdr:row>
      <xdr:rowOff>0</xdr:rowOff>
    </xdr:from>
    <xdr:to>
      <xdr:col>60</xdr:col>
      <xdr:colOff>83820</xdr:colOff>
      <xdr:row>176</xdr:row>
      <xdr:rowOff>114300</xdr:rowOff>
    </xdr:to>
    <xdr:sp macro="" textlink="">
      <xdr:nvSpPr>
        <xdr:cNvPr id="1299" name="Arrow: Down 1298">
          <a:extLst>
            <a:ext uri="{FF2B5EF4-FFF2-40B4-BE49-F238E27FC236}">
              <a16:creationId xmlns:a16="http://schemas.microsoft.com/office/drawing/2014/main" id="{3D693766-27C5-4E1B-ACB1-FEC601CA2606}"/>
            </a:ext>
          </a:extLst>
        </xdr:cNvPr>
        <xdr:cNvSpPr/>
      </xdr:nvSpPr>
      <xdr:spPr>
        <a:xfrm rot="10800000">
          <a:off x="1609344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176</xdr:row>
      <xdr:rowOff>0</xdr:rowOff>
    </xdr:from>
    <xdr:to>
      <xdr:col>39</xdr:col>
      <xdr:colOff>83820</xdr:colOff>
      <xdr:row>176</xdr:row>
      <xdr:rowOff>114300</xdr:rowOff>
    </xdr:to>
    <xdr:sp macro="" textlink="">
      <xdr:nvSpPr>
        <xdr:cNvPr id="1301" name="Arrow: Down 1300">
          <a:extLst>
            <a:ext uri="{FF2B5EF4-FFF2-40B4-BE49-F238E27FC236}">
              <a16:creationId xmlns:a16="http://schemas.microsoft.com/office/drawing/2014/main" id="{0CF8FC81-63FD-49BF-9241-E4A2DA2F427E}"/>
            </a:ext>
          </a:extLst>
        </xdr:cNvPr>
        <xdr:cNvSpPr/>
      </xdr:nvSpPr>
      <xdr:spPr>
        <a:xfrm>
          <a:off x="95250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177</xdr:row>
      <xdr:rowOff>0</xdr:rowOff>
    </xdr:from>
    <xdr:to>
      <xdr:col>71</xdr:col>
      <xdr:colOff>83820</xdr:colOff>
      <xdr:row>177</xdr:row>
      <xdr:rowOff>114300</xdr:rowOff>
    </xdr:to>
    <xdr:sp macro="" textlink="">
      <xdr:nvSpPr>
        <xdr:cNvPr id="1302" name="Arrow: Down 1301">
          <a:extLst>
            <a:ext uri="{FF2B5EF4-FFF2-40B4-BE49-F238E27FC236}">
              <a16:creationId xmlns:a16="http://schemas.microsoft.com/office/drawing/2014/main" id="{09B1B329-C41D-408D-A95D-EAB6F30EB3B8}"/>
            </a:ext>
          </a:extLst>
        </xdr:cNvPr>
        <xdr:cNvSpPr/>
      </xdr:nvSpPr>
      <xdr:spPr>
        <a:xfrm>
          <a:off x="18409920" y="322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177</xdr:row>
      <xdr:rowOff>0</xdr:rowOff>
    </xdr:from>
    <xdr:to>
      <xdr:col>45</xdr:col>
      <xdr:colOff>83820</xdr:colOff>
      <xdr:row>177</xdr:row>
      <xdr:rowOff>114300</xdr:rowOff>
    </xdr:to>
    <xdr:sp macro="" textlink="">
      <xdr:nvSpPr>
        <xdr:cNvPr id="1303" name="Arrow: Down 1302">
          <a:extLst>
            <a:ext uri="{FF2B5EF4-FFF2-40B4-BE49-F238E27FC236}">
              <a16:creationId xmlns:a16="http://schemas.microsoft.com/office/drawing/2014/main" id="{3B0E9BBD-61D4-42A5-BCEB-63A0D78CA2A4}"/>
            </a:ext>
          </a:extLst>
        </xdr:cNvPr>
        <xdr:cNvSpPr/>
      </xdr:nvSpPr>
      <xdr:spPr>
        <a:xfrm rot="10800000">
          <a:off x="11330940" y="322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177</xdr:row>
      <xdr:rowOff>0</xdr:rowOff>
    </xdr:from>
    <xdr:to>
      <xdr:col>11</xdr:col>
      <xdr:colOff>83820</xdr:colOff>
      <xdr:row>177</xdr:row>
      <xdr:rowOff>114300</xdr:rowOff>
    </xdr:to>
    <xdr:sp macro="" textlink="">
      <xdr:nvSpPr>
        <xdr:cNvPr id="1304" name="Arrow: Down 1303">
          <a:extLst>
            <a:ext uri="{FF2B5EF4-FFF2-40B4-BE49-F238E27FC236}">
              <a16:creationId xmlns:a16="http://schemas.microsoft.com/office/drawing/2014/main" id="{5F97164A-A090-448B-A26B-B4847E917C50}"/>
            </a:ext>
          </a:extLst>
        </xdr:cNvPr>
        <xdr:cNvSpPr/>
      </xdr:nvSpPr>
      <xdr:spPr>
        <a:xfrm rot="10800000">
          <a:off x="36195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177</xdr:row>
      <xdr:rowOff>0</xdr:rowOff>
    </xdr:from>
    <xdr:to>
      <xdr:col>5</xdr:col>
      <xdr:colOff>83820</xdr:colOff>
      <xdr:row>177</xdr:row>
      <xdr:rowOff>114300</xdr:rowOff>
    </xdr:to>
    <xdr:sp macro="" textlink="">
      <xdr:nvSpPr>
        <xdr:cNvPr id="1305" name="Arrow: Down 1304">
          <a:extLst>
            <a:ext uri="{FF2B5EF4-FFF2-40B4-BE49-F238E27FC236}">
              <a16:creationId xmlns:a16="http://schemas.microsoft.com/office/drawing/2014/main" id="{58334E99-D024-4AF3-86FD-D99D805E0F27}"/>
            </a:ext>
          </a:extLst>
        </xdr:cNvPr>
        <xdr:cNvSpPr/>
      </xdr:nvSpPr>
      <xdr:spPr>
        <a:xfrm rot="10800000">
          <a:off x="192786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175</xdr:row>
      <xdr:rowOff>0</xdr:rowOff>
    </xdr:from>
    <xdr:to>
      <xdr:col>60</xdr:col>
      <xdr:colOff>83820</xdr:colOff>
      <xdr:row>175</xdr:row>
      <xdr:rowOff>114300</xdr:rowOff>
    </xdr:to>
    <xdr:sp macro="" textlink="">
      <xdr:nvSpPr>
        <xdr:cNvPr id="1311" name="Arrow: Down 1310">
          <a:extLst>
            <a:ext uri="{FF2B5EF4-FFF2-40B4-BE49-F238E27FC236}">
              <a16:creationId xmlns:a16="http://schemas.microsoft.com/office/drawing/2014/main" id="{86988D28-AD60-4FC4-A13B-0AB7966B13A0}"/>
            </a:ext>
          </a:extLst>
        </xdr:cNvPr>
        <xdr:cNvSpPr/>
      </xdr:nvSpPr>
      <xdr:spPr>
        <a:xfrm>
          <a:off x="1609344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177</xdr:row>
      <xdr:rowOff>0</xdr:rowOff>
    </xdr:from>
    <xdr:to>
      <xdr:col>24</xdr:col>
      <xdr:colOff>83820</xdr:colOff>
      <xdr:row>177</xdr:row>
      <xdr:rowOff>114300</xdr:rowOff>
    </xdr:to>
    <xdr:sp macro="" textlink="">
      <xdr:nvSpPr>
        <xdr:cNvPr id="1313" name="Arrow: Down 1312">
          <a:extLst>
            <a:ext uri="{FF2B5EF4-FFF2-40B4-BE49-F238E27FC236}">
              <a16:creationId xmlns:a16="http://schemas.microsoft.com/office/drawing/2014/main" id="{2BF9049A-585F-46F0-8A4C-345F314330B5}"/>
            </a:ext>
          </a:extLst>
        </xdr:cNvPr>
        <xdr:cNvSpPr/>
      </xdr:nvSpPr>
      <xdr:spPr>
        <a:xfrm>
          <a:off x="636270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177</xdr:row>
      <xdr:rowOff>0</xdr:rowOff>
    </xdr:from>
    <xdr:to>
      <xdr:col>39</xdr:col>
      <xdr:colOff>83820</xdr:colOff>
      <xdr:row>177</xdr:row>
      <xdr:rowOff>114300</xdr:rowOff>
    </xdr:to>
    <xdr:sp macro="" textlink="">
      <xdr:nvSpPr>
        <xdr:cNvPr id="1315" name="Arrow: Down 1314">
          <a:extLst>
            <a:ext uri="{FF2B5EF4-FFF2-40B4-BE49-F238E27FC236}">
              <a16:creationId xmlns:a16="http://schemas.microsoft.com/office/drawing/2014/main" id="{AA8AA4B4-BBDC-418C-9DB2-09E9F742B3B3}"/>
            </a:ext>
          </a:extLst>
        </xdr:cNvPr>
        <xdr:cNvSpPr/>
      </xdr:nvSpPr>
      <xdr:spPr>
        <a:xfrm rot="10800000">
          <a:off x="952500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178</xdr:row>
      <xdr:rowOff>0</xdr:rowOff>
    </xdr:from>
    <xdr:to>
      <xdr:col>71</xdr:col>
      <xdr:colOff>83820</xdr:colOff>
      <xdr:row>178</xdr:row>
      <xdr:rowOff>114300</xdr:rowOff>
    </xdr:to>
    <xdr:sp macro="" textlink="">
      <xdr:nvSpPr>
        <xdr:cNvPr id="1316" name="Arrow: Down 1315">
          <a:extLst>
            <a:ext uri="{FF2B5EF4-FFF2-40B4-BE49-F238E27FC236}">
              <a16:creationId xmlns:a16="http://schemas.microsoft.com/office/drawing/2014/main" id="{AE9C56D1-6282-41FB-BFE3-6892911E507E}"/>
            </a:ext>
          </a:extLst>
        </xdr:cNvPr>
        <xdr:cNvSpPr/>
      </xdr:nvSpPr>
      <xdr:spPr>
        <a:xfrm>
          <a:off x="1840992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178</xdr:row>
      <xdr:rowOff>0</xdr:rowOff>
    </xdr:from>
    <xdr:to>
      <xdr:col>45</xdr:col>
      <xdr:colOff>83820</xdr:colOff>
      <xdr:row>178</xdr:row>
      <xdr:rowOff>114300</xdr:rowOff>
    </xdr:to>
    <xdr:sp macro="" textlink="">
      <xdr:nvSpPr>
        <xdr:cNvPr id="1317" name="Arrow: Down 1316">
          <a:extLst>
            <a:ext uri="{FF2B5EF4-FFF2-40B4-BE49-F238E27FC236}">
              <a16:creationId xmlns:a16="http://schemas.microsoft.com/office/drawing/2014/main" id="{2F22888B-729A-44C5-A1E2-163B26419ACE}"/>
            </a:ext>
          </a:extLst>
        </xdr:cNvPr>
        <xdr:cNvSpPr/>
      </xdr:nvSpPr>
      <xdr:spPr>
        <a:xfrm rot="10800000">
          <a:off x="1133094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178</xdr:row>
      <xdr:rowOff>0</xdr:rowOff>
    </xdr:from>
    <xdr:to>
      <xdr:col>24</xdr:col>
      <xdr:colOff>83820</xdr:colOff>
      <xdr:row>178</xdr:row>
      <xdr:rowOff>114300</xdr:rowOff>
    </xdr:to>
    <xdr:sp macro="" textlink="">
      <xdr:nvSpPr>
        <xdr:cNvPr id="1322" name="Arrow: Down 1321">
          <a:extLst>
            <a:ext uri="{FF2B5EF4-FFF2-40B4-BE49-F238E27FC236}">
              <a16:creationId xmlns:a16="http://schemas.microsoft.com/office/drawing/2014/main" id="{BB085E4B-F663-42FA-96CC-E078D153801D}"/>
            </a:ext>
          </a:extLst>
        </xdr:cNvPr>
        <xdr:cNvSpPr/>
      </xdr:nvSpPr>
      <xdr:spPr>
        <a:xfrm>
          <a:off x="636270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179</xdr:row>
      <xdr:rowOff>0</xdr:rowOff>
    </xdr:from>
    <xdr:to>
      <xdr:col>71</xdr:col>
      <xdr:colOff>83820</xdr:colOff>
      <xdr:row>179</xdr:row>
      <xdr:rowOff>114300</xdr:rowOff>
    </xdr:to>
    <xdr:sp macro="" textlink="">
      <xdr:nvSpPr>
        <xdr:cNvPr id="1332" name="Arrow: Down 1331">
          <a:extLst>
            <a:ext uri="{FF2B5EF4-FFF2-40B4-BE49-F238E27FC236}">
              <a16:creationId xmlns:a16="http://schemas.microsoft.com/office/drawing/2014/main" id="{66B7BBA9-BA1E-4676-811A-2CC2E80815FD}"/>
            </a:ext>
          </a:extLst>
        </xdr:cNvPr>
        <xdr:cNvSpPr/>
      </xdr:nvSpPr>
      <xdr:spPr>
        <a:xfrm>
          <a:off x="1840992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179</xdr:row>
      <xdr:rowOff>0</xdr:rowOff>
    </xdr:from>
    <xdr:to>
      <xdr:col>45</xdr:col>
      <xdr:colOff>83820</xdr:colOff>
      <xdr:row>179</xdr:row>
      <xdr:rowOff>114300</xdr:rowOff>
    </xdr:to>
    <xdr:sp macro="" textlink="">
      <xdr:nvSpPr>
        <xdr:cNvPr id="1333" name="Arrow: Down 1332">
          <a:extLst>
            <a:ext uri="{FF2B5EF4-FFF2-40B4-BE49-F238E27FC236}">
              <a16:creationId xmlns:a16="http://schemas.microsoft.com/office/drawing/2014/main" id="{B88C0E6B-4B95-4518-906D-C614A56D4310}"/>
            </a:ext>
          </a:extLst>
        </xdr:cNvPr>
        <xdr:cNvSpPr/>
      </xdr:nvSpPr>
      <xdr:spPr>
        <a:xfrm rot="10800000">
          <a:off x="1133094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179</xdr:row>
      <xdr:rowOff>0</xdr:rowOff>
    </xdr:from>
    <xdr:to>
      <xdr:col>24</xdr:col>
      <xdr:colOff>83820</xdr:colOff>
      <xdr:row>179</xdr:row>
      <xdr:rowOff>114300</xdr:rowOff>
    </xdr:to>
    <xdr:sp macro="" textlink="">
      <xdr:nvSpPr>
        <xdr:cNvPr id="1338" name="Arrow: Down 1337">
          <a:extLst>
            <a:ext uri="{FF2B5EF4-FFF2-40B4-BE49-F238E27FC236}">
              <a16:creationId xmlns:a16="http://schemas.microsoft.com/office/drawing/2014/main" id="{A9356C00-7CD1-4EE2-B142-BC4D6954E195}"/>
            </a:ext>
          </a:extLst>
        </xdr:cNvPr>
        <xdr:cNvSpPr/>
      </xdr:nvSpPr>
      <xdr:spPr>
        <a:xfrm>
          <a:off x="636270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179</xdr:row>
      <xdr:rowOff>0</xdr:rowOff>
    </xdr:from>
    <xdr:to>
      <xdr:col>71</xdr:col>
      <xdr:colOff>83820</xdr:colOff>
      <xdr:row>179</xdr:row>
      <xdr:rowOff>114300</xdr:rowOff>
    </xdr:to>
    <xdr:sp macro="" textlink="">
      <xdr:nvSpPr>
        <xdr:cNvPr id="1342" name="Arrow: Down 1341">
          <a:extLst>
            <a:ext uri="{FF2B5EF4-FFF2-40B4-BE49-F238E27FC236}">
              <a16:creationId xmlns:a16="http://schemas.microsoft.com/office/drawing/2014/main" id="{6E0AF029-31D2-4FF0-AA5B-A74DE816B95B}"/>
            </a:ext>
          </a:extLst>
        </xdr:cNvPr>
        <xdr:cNvSpPr/>
      </xdr:nvSpPr>
      <xdr:spPr>
        <a:xfrm>
          <a:off x="1840992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179</xdr:row>
      <xdr:rowOff>0</xdr:rowOff>
    </xdr:from>
    <xdr:to>
      <xdr:col>45</xdr:col>
      <xdr:colOff>83820</xdr:colOff>
      <xdr:row>179</xdr:row>
      <xdr:rowOff>114300</xdr:rowOff>
    </xdr:to>
    <xdr:sp macro="" textlink="">
      <xdr:nvSpPr>
        <xdr:cNvPr id="1343" name="Arrow: Down 1342">
          <a:extLst>
            <a:ext uri="{FF2B5EF4-FFF2-40B4-BE49-F238E27FC236}">
              <a16:creationId xmlns:a16="http://schemas.microsoft.com/office/drawing/2014/main" id="{7F63AB99-5CF7-44B2-8638-312ABB5F228B}"/>
            </a:ext>
          </a:extLst>
        </xdr:cNvPr>
        <xdr:cNvSpPr/>
      </xdr:nvSpPr>
      <xdr:spPr>
        <a:xfrm rot="10800000">
          <a:off x="1133094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179</xdr:row>
      <xdr:rowOff>0</xdr:rowOff>
    </xdr:from>
    <xdr:to>
      <xdr:col>24</xdr:col>
      <xdr:colOff>83820</xdr:colOff>
      <xdr:row>179</xdr:row>
      <xdr:rowOff>114300</xdr:rowOff>
    </xdr:to>
    <xdr:sp macro="" textlink="">
      <xdr:nvSpPr>
        <xdr:cNvPr id="1348" name="Arrow: Down 1347">
          <a:extLst>
            <a:ext uri="{FF2B5EF4-FFF2-40B4-BE49-F238E27FC236}">
              <a16:creationId xmlns:a16="http://schemas.microsoft.com/office/drawing/2014/main" id="{A736AE0A-9CDA-42E3-B9D3-247F6A3FA45A}"/>
            </a:ext>
          </a:extLst>
        </xdr:cNvPr>
        <xdr:cNvSpPr/>
      </xdr:nvSpPr>
      <xdr:spPr>
        <a:xfrm>
          <a:off x="636270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178</xdr:row>
      <xdr:rowOff>0</xdr:rowOff>
    </xdr:from>
    <xdr:to>
      <xdr:col>5</xdr:col>
      <xdr:colOff>83820</xdr:colOff>
      <xdr:row>178</xdr:row>
      <xdr:rowOff>114300</xdr:rowOff>
    </xdr:to>
    <xdr:sp macro="" textlink="">
      <xdr:nvSpPr>
        <xdr:cNvPr id="1350" name="Arrow: Down 1349">
          <a:extLst>
            <a:ext uri="{FF2B5EF4-FFF2-40B4-BE49-F238E27FC236}">
              <a16:creationId xmlns:a16="http://schemas.microsoft.com/office/drawing/2014/main" id="{5D03976B-9480-491D-A806-E2612042FC12}"/>
            </a:ext>
          </a:extLst>
        </xdr:cNvPr>
        <xdr:cNvSpPr/>
      </xdr:nvSpPr>
      <xdr:spPr>
        <a:xfrm>
          <a:off x="192786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178</xdr:row>
      <xdr:rowOff>0</xdr:rowOff>
    </xdr:from>
    <xdr:to>
      <xdr:col>11</xdr:col>
      <xdr:colOff>83820</xdr:colOff>
      <xdr:row>178</xdr:row>
      <xdr:rowOff>114300</xdr:rowOff>
    </xdr:to>
    <xdr:sp macro="" textlink="">
      <xdr:nvSpPr>
        <xdr:cNvPr id="1352" name="Arrow: Down 1351">
          <a:extLst>
            <a:ext uri="{FF2B5EF4-FFF2-40B4-BE49-F238E27FC236}">
              <a16:creationId xmlns:a16="http://schemas.microsoft.com/office/drawing/2014/main" id="{5E30F1CA-AED3-4017-A6FB-1D907B95E4D4}"/>
            </a:ext>
          </a:extLst>
        </xdr:cNvPr>
        <xdr:cNvSpPr/>
      </xdr:nvSpPr>
      <xdr:spPr>
        <a:xfrm>
          <a:off x="361950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178</xdr:row>
      <xdr:rowOff>0</xdr:rowOff>
    </xdr:from>
    <xdr:to>
      <xdr:col>39</xdr:col>
      <xdr:colOff>83820</xdr:colOff>
      <xdr:row>178</xdr:row>
      <xdr:rowOff>114300</xdr:rowOff>
    </xdr:to>
    <xdr:sp macro="" textlink="">
      <xdr:nvSpPr>
        <xdr:cNvPr id="1353" name="Arrow: Down 1352">
          <a:extLst>
            <a:ext uri="{FF2B5EF4-FFF2-40B4-BE49-F238E27FC236}">
              <a16:creationId xmlns:a16="http://schemas.microsoft.com/office/drawing/2014/main" id="{2899258A-D704-470C-BBB5-EB0790FA7241}"/>
            </a:ext>
          </a:extLst>
        </xdr:cNvPr>
        <xdr:cNvSpPr/>
      </xdr:nvSpPr>
      <xdr:spPr>
        <a:xfrm>
          <a:off x="9525000" y="3265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179</xdr:row>
      <xdr:rowOff>0</xdr:rowOff>
    </xdr:from>
    <xdr:to>
      <xdr:col>5</xdr:col>
      <xdr:colOff>83820</xdr:colOff>
      <xdr:row>179</xdr:row>
      <xdr:rowOff>114300</xdr:rowOff>
    </xdr:to>
    <xdr:sp macro="" textlink="">
      <xdr:nvSpPr>
        <xdr:cNvPr id="1354" name="Arrow: Down 1353">
          <a:extLst>
            <a:ext uri="{FF2B5EF4-FFF2-40B4-BE49-F238E27FC236}">
              <a16:creationId xmlns:a16="http://schemas.microsoft.com/office/drawing/2014/main" id="{4F8446BD-33F8-4F00-B9E3-2CA36B742D7B}"/>
            </a:ext>
          </a:extLst>
        </xdr:cNvPr>
        <xdr:cNvSpPr/>
      </xdr:nvSpPr>
      <xdr:spPr>
        <a:xfrm>
          <a:off x="192786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179</xdr:row>
      <xdr:rowOff>0</xdr:rowOff>
    </xdr:from>
    <xdr:to>
      <xdr:col>11</xdr:col>
      <xdr:colOff>83820</xdr:colOff>
      <xdr:row>179</xdr:row>
      <xdr:rowOff>114300</xdr:rowOff>
    </xdr:to>
    <xdr:sp macro="" textlink="">
      <xdr:nvSpPr>
        <xdr:cNvPr id="1355" name="Arrow: Down 1354">
          <a:extLst>
            <a:ext uri="{FF2B5EF4-FFF2-40B4-BE49-F238E27FC236}">
              <a16:creationId xmlns:a16="http://schemas.microsoft.com/office/drawing/2014/main" id="{37265FFC-9212-40F8-8B8D-31B32ADED0B1}"/>
            </a:ext>
          </a:extLst>
        </xdr:cNvPr>
        <xdr:cNvSpPr/>
      </xdr:nvSpPr>
      <xdr:spPr>
        <a:xfrm>
          <a:off x="36195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179</xdr:row>
      <xdr:rowOff>0</xdr:rowOff>
    </xdr:from>
    <xdr:to>
      <xdr:col>39</xdr:col>
      <xdr:colOff>83820</xdr:colOff>
      <xdr:row>179</xdr:row>
      <xdr:rowOff>114300</xdr:rowOff>
    </xdr:to>
    <xdr:sp macro="" textlink="">
      <xdr:nvSpPr>
        <xdr:cNvPr id="1359" name="Arrow: Down 1358">
          <a:extLst>
            <a:ext uri="{FF2B5EF4-FFF2-40B4-BE49-F238E27FC236}">
              <a16:creationId xmlns:a16="http://schemas.microsoft.com/office/drawing/2014/main" id="{C7D9CC64-89FE-4D4E-9F53-479E810B6A5D}"/>
            </a:ext>
          </a:extLst>
        </xdr:cNvPr>
        <xdr:cNvSpPr/>
      </xdr:nvSpPr>
      <xdr:spPr>
        <a:xfrm>
          <a:off x="9525000" y="328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180</xdr:row>
      <xdr:rowOff>0</xdr:rowOff>
    </xdr:from>
    <xdr:to>
      <xdr:col>71</xdr:col>
      <xdr:colOff>83820</xdr:colOff>
      <xdr:row>180</xdr:row>
      <xdr:rowOff>114300</xdr:rowOff>
    </xdr:to>
    <xdr:sp macro="" textlink="">
      <xdr:nvSpPr>
        <xdr:cNvPr id="1360" name="Arrow: Down 1359">
          <a:extLst>
            <a:ext uri="{FF2B5EF4-FFF2-40B4-BE49-F238E27FC236}">
              <a16:creationId xmlns:a16="http://schemas.microsoft.com/office/drawing/2014/main" id="{114F6087-F7D4-4B68-A44A-9B171BDEB580}"/>
            </a:ext>
          </a:extLst>
        </xdr:cNvPr>
        <xdr:cNvSpPr/>
      </xdr:nvSpPr>
      <xdr:spPr>
        <a:xfrm>
          <a:off x="1840992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180</xdr:row>
      <xdr:rowOff>0</xdr:rowOff>
    </xdr:from>
    <xdr:to>
      <xdr:col>45</xdr:col>
      <xdr:colOff>83820</xdr:colOff>
      <xdr:row>180</xdr:row>
      <xdr:rowOff>114300</xdr:rowOff>
    </xdr:to>
    <xdr:sp macro="" textlink="">
      <xdr:nvSpPr>
        <xdr:cNvPr id="1361" name="Arrow: Down 1360">
          <a:extLst>
            <a:ext uri="{FF2B5EF4-FFF2-40B4-BE49-F238E27FC236}">
              <a16:creationId xmlns:a16="http://schemas.microsoft.com/office/drawing/2014/main" id="{7DC53530-3487-4F98-A3D5-CF2798340BB7}"/>
            </a:ext>
          </a:extLst>
        </xdr:cNvPr>
        <xdr:cNvSpPr/>
      </xdr:nvSpPr>
      <xdr:spPr>
        <a:xfrm rot="10800000">
          <a:off x="1133094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180</xdr:row>
      <xdr:rowOff>0</xdr:rowOff>
    </xdr:from>
    <xdr:to>
      <xdr:col>24</xdr:col>
      <xdr:colOff>83820</xdr:colOff>
      <xdr:row>180</xdr:row>
      <xdr:rowOff>114300</xdr:rowOff>
    </xdr:to>
    <xdr:sp macro="" textlink="">
      <xdr:nvSpPr>
        <xdr:cNvPr id="1364" name="Arrow: Down 1363">
          <a:extLst>
            <a:ext uri="{FF2B5EF4-FFF2-40B4-BE49-F238E27FC236}">
              <a16:creationId xmlns:a16="http://schemas.microsoft.com/office/drawing/2014/main" id="{EA5A433E-2083-46A0-8EC9-95955B630B60}"/>
            </a:ext>
          </a:extLst>
        </xdr:cNvPr>
        <xdr:cNvSpPr/>
      </xdr:nvSpPr>
      <xdr:spPr>
        <a:xfrm>
          <a:off x="63627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180</xdr:row>
      <xdr:rowOff>0</xdr:rowOff>
    </xdr:from>
    <xdr:to>
      <xdr:col>71</xdr:col>
      <xdr:colOff>83820</xdr:colOff>
      <xdr:row>180</xdr:row>
      <xdr:rowOff>114300</xdr:rowOff>
    </xdr:to>
    <xdr:sp macro="" textlink="">
      <xdr:nvSpPr>
        <xdr:cNvPr id="1365" name="Arrow: Down 1364">
          <a:extLst>
            <a:ext uri="{FF2B5EF4-FFF2-40B4-BE49-F238E27FC236}">
              <a16:creationId xmlns:a16="http://schemas.microsoft.com/office/drawing/2014/main" id="{82E506FE-AA3E-433A-A3F1-BB9C06F335D0}"/>
            </a:ext>
          </a:extLst>
        </xdr:cNvPr>
        <xdr:cNvSpPr/>
      </xdr:nvSpPr>
      <xdr:spPr>
        <a:xfrm>
          <a:off x="1840992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180</xdr:row>
      <xdr:rowOff>0</xdr:rowOff>
    </xdr:from>
    <xdr:to>
      <xdr:col>45</xdr:col>
      <xdr:colOff>83820</xdr:colOff>
      <xdr:row>180</xdr:row>
      <xdr:rowOff>114300</xdr:rowOff>
    </xdr:to>
    <xdr:sp macro="" textlink="">
      <xdr:nvSpPr>
        <xdr:cNvPr id="1366" name="Arrow: Down 1365">
          <a:extLst>
            <a:ext uri="{FF2B5EF4-FFF2-40B4-BE49-F238E27FC236}">
              <a16:creationId xmlns:a16="http://schemas.microsoft.com/office/drawing/2014/main" id="{E9274C81-43D1-4A9E-81AF-D3FB162091FD}"/>
            </a:ext>
          </a:extLst>
        </xdr:cNvPr>
        <xdr:cNvSpPr/>
      </xdr:nvSpPr>
      <xdr:spPr>
        <a:xfrm rot="10800000">
          <a:off x="1133094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180</xdr:row>
      <xdr:rowOff>0</xdr:rowOff>
    </xdr:from>
    <xdr:to>
      <xdr:col>24</xdr:col>
      <xdr:colOff>83820</xdr:colOff>
      <xdr:row>180</xdr:row>
      <xdr:rowOff>114300</xdr:rowOff>
    </xdr:to>
    <xdr:sp macro="" textlink="">
      <xdr:nvSpPr>
        <xdr:cNvPr id="1369" name="Arrow: Down 1368">
          <a:extLst>
            <a:ext uri="{FF2B5EF4-FFF2-40B4-BE49-F238E27FC236}">
              <a16:creationId xmlns:a16="http://schemas.microsoft.com/office/drawing/2014/main" id="{2605EE34-F15B-48FF-8B51-F9A3A968816B}"/>
            </a:ext>
          </a:extLst>
        </xdr:cNvPr>
        <xdr:cNvSpPr/>
      </xdr:nvSpPr>
      <xdr:spPr>
        <a:xfrm>
          <a:off x="63627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180</xdr:row>
      <xdr:rowOff>0</xdr:rowOff>
    </xdr:from>
    <xdr:to>
      <xdr:col>5</xdr:col>
      <xdr:colOff>83820</xdr:colOff>
      <xdr:row>180</xdr:row>
      <xdr:rowOff>114300</xdr:rowOff>
    </xdr:to>
    <xdr:sp macro="" textlink="">
      <xdr:nvSpPr>
        <xdr:cNvPr id="1370" name="Arrow: Down 1369">
          <a:extLst>
            <a:ext uri="{FF2B5EF4-FFF2-40B4-BE49-F238E27FC236}">
              <a16:creationId xmlns:a16="http://schemas.microsoft.com/office/drawing/2014/main" id="{364493B0-884C-49A7-BE01-6CC5282B1C12}"/>
            </a:ext>
          </a:extLst>
        </xdr:cNvPr>
        <xdr:cNvSpPr/>
      </xdr:nvSpPr>
      <xdr:spPr>
        <a:xfrm>
          <a:off x="192786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180</xdr:row>
      <xdr:rowOff>0</xdr:rowOff>
    </xdr:from>
    <xdr:to>
      <xdr:col>11</xdr:col>
      <xdr:colOff>83820</xdr:colOff>
      <xdr:row>180</xdr:row>
      <xdr:rowOff>114300</xdr:rowOff>
    </xdr:to>
    <xdr:sp macro="" textlink="">
      <xdr:nvSpPr>
        <xdr:cNvPr id="1371" name="Arrow: Down 1370">
          <a:extLst>
            <a:ext uri="{FF2B5EF4-FFF2-40B4-BE49-F238E27FC236}">
              <a16:creationId xmlns:a16="http://schemas.microsoft.com/office/drawing/2014/main" id="{0C7DB04A-969E-41A4-AF1F-C9FE90DCC61F}"/>
            </a:ext>
          </a:extLst>
        </xdr:cNvPr>
        <xdr:cNvSpPr/>
      </xdr:nvSpPr>
      <xdr:spPr>
        <a:xfrm>
          <a:off x="36195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180</xdr:row>
      <xdr:rowOff>0</xdr:rowOff>
    </xdr:from>
    <xdr:to>
      <xdr:col>39</xdr:col>
      <xdr:colOff>83820</xdr:colOff>
      <xdr:row>180</xdr:row>
      <xdr:rowOff>114300</xdr:rowOff>
    </xdr:to>
    <xdr:sp macro="" textlink="">
      <xdr:nvSpPr>
        <xdr:cNvPr id="1374" name="Arrow: Down 1373">
          <a:extLst>
            <a:ext uri="{FF2B5EF4-FFF2-40B4-BE49-F238E27FC236}">
              <a16:creationId xmlns:a16="http://schemas.microsoft.com/office/drawing/2014/main" id="{94304846-5AA6-4C8E-8A26-E8C0A9764CE7}"/>
            </a:ext>
          </a:extLst>
        </xdr:cNvPr>
        <xdr:cNvSpPr/>
      </xdr:nvSpPr>
      <xdr:spPr>
        <a:xfrm rot="10800000">
          <a:off x="952500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181</xdr:row>
      <xdr:rowOff>0</xdr:rowOff>
    </xdr:from>
    <xdr:to>
      <xdr:col>71</xdr:col>
      <xdr:colOff>83820</xdr:colOff>
      <xdr:row>181</xdr:row>
      <xdr:rowOff>114300</xdr:rowOff>
    </xdr:to>
    <xdr:sp macro="" textlink="">
      <xdr:nvSpPr>
        <xdr:cNvPr id="1375" name="Arrow: Down 1374">
          <a:extLst>
            <a:ext uri="{FF2B5EF4-FFF2-40B4-BE49-F238E27FC236}">
              <a16:creationId xmlns:a16="http://schemas.microsoft.com/office/drawing/2014/main" id="{D227938A-97A1-4821-96CF-75AA3260AE7F}"/>
            </a:ext>
          </a:extLst>
        </xdr:cNvPr>
        <xdr:cNvSpPr/>
      </xdr:nvSpPr>
      <xdr:spPr>
        <a:xfrm>
          <a:off x="1840992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181</xdr:row>
      <xdr:rowOff>0</xdr:rowOff>
    </xdr:from>
    <xdr:to>
      <xdr:col>45</xdr:col>
      <xdr:colOff>83820</xdr:colOff>
      <xdr:row>181</xdr:row>
      <xdr:rowOff>114300</xdr:rowOff>
    </xdr:to>
    <xdr:sp macro="" textlink="">
      <xdr:nvSpPr>
        <xdr:cNvPr id="1376" name="Arrow: Down 1375">
          <a:extLst>
            <a:ext uri="{FF2B5EF4-FFF2-40B4-BE49-F238E27FC236}">
              <a16:creationId xmlns:a16="http://schemas.microsoft.com/office/drawing/2014/main" id="{7D20DA28-8798-41D8-A9BB-109E0ADEC793}"/>
            </a:ext>
          </a:extLst>
        </xdr:cNvPr>
        <xdr:cNvSpPr/>
      </xdr:nvSpPr>
      <xdr:spPr>
        <a:xfrm rot="10800000">
          <a:off x="1133094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181</xdr:row>
      <xdr:rowOff>0</xdr:rowOff>
    </xdr:from>
    <xdr:to>
      <xdr:col>71</xdr:col>
      <xdr:colOff>83820</xdr:colOff>
      <xdr:row>181</xdr:row>
      <xdr:rowOff>114300</xdr:rowOff>
    </xdr:to>
    <xdr:sp macro="" textlink="">
      <xdr:nvSpPr>
        <xdr:cNvPr id="1380" name="Arrow: Down 1379">
          <a:extLst>
            <a:ext uri="{FF2B5EF4-FFF2-40B4-BE49-F238E27FC236}">
              <a16:creationId xmlns:a16="http://schemas.microsoft.com/office/drawing/2014/main" id="{6C0BD1F4-D865-41A4-8EF3-553463F58C65}"/>
            </a:ext>
          </a:extLst>
        </xdr:cNvPr>
        <xdr:cNvSpPr/>
      </xdr:nvSpPr>
      <xdr:spPr>
        <a:xfrm>
          <a:off x="1840992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181</xdr:row>
      <xdr:rowOff>0</xdr:rowOff>
    </xdr:from>
    <xdr:to>
      <xdr:col>45</xdr:col>
      <xdr:colOff>83820</xdr:colOff>
      <xdr:row>181</xdr:row>
      <xdr:rowOff>114300</xdr:rowOff>
    </xdr:to>
    <xdr:sp macro="" textlink="">
      <xdr:nvSpPr>
        <xdr:cNvPr id="1381" name="Arrow: Down 1380">
          <a:extLst>
            <a:ext uri="{FF2B5EF4-FFF2-40B4-BE49-F238E27FC236}">
              <a16:creationId xmlns:a16="http://schemas.microsoft.com/office/drawing/2014/main" id="{4194267B-06C7-4498-9C25-91AE9FCA241A}"/>
            </a:ext>
          </a:extLst>
        </xdr:cNvPr>
        <xdr:cNvSpPr/>
      </xdr:nvSpPr>
      <xdr:spPr>
        <a:xfrm rot="10800000">
          <a:off x="1133094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181</xdr:row>
      <xdr:rowOff>0</xdr:rowOff>
    </xdr:from>
    <xdr:to>
      <xdr:col>39</xdr:col>
      <xdr:colOff>83820</xdr:colOff>
      <xdr:row>181</xdr:row>
      <xdr:rowOff>114300</xdr:rowOff>
    </xdr:to>
    <xdr:sp macro="" textlink="">
      <xdr:nvSpPr>
        <xdr:cNvPr id="1387" name="Arrow: Down 1386">
          <a:extLst>
            <a:ext uri="{FF2B5EF4-FFF2-40B4-BE49-F238E27FC236}">
              <a16:creationId xmlns:a16="http://schemas.microsoft.com/office/drawing/2014/main" id="{9024D6C1-A605-40B6-AFE8-732317B8CFB0}"/>
            </a:ext>
          </a:extLst>
        </xdr:cNvPr>
        <xdr:cNvSpPr/>
      </xdr:nvSpPr>
      <xdr:spPr>
        <a:xfrm rot="10800000">
          <a:off x="952500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181</xdr:row>
      <xdr:rowOff>0</xdr:rowOff>
    </xdr:from>
    <xdr:to>
      <xdr:col>24</xdr:col>
      <xdr:colOff>83820</xdr:colOff>
      <xdr:row>181</xdr:row>
      <xdr:rowOff>114300</xdr:rowOff>
    </xdr:to>
    <xdr:sp macro="" textlink="">
      <xdr:nvSpPr>
        <xdr:cNvPr id="1389" name="Arrow: Down 1388">
          <a:extLst>
            <a:ext uri="{FF2B5EF4-FFF2-40B4-BE49-F238E27FC236}">
              <a16:creationId xmlns:a16="http://schemas.microsoft.com/office/drawing/2014/main" id="{0018E46C-5FD8-45BB-9BA3-15F5F23118C8}"/>
            </a:ext>
          </a:extLst>
        </xdr:cNvPr>
        <xdr:cNvSpPr/>
      </xdr:nvSpPr>
      <xdr:spPr>
        <a:xfrm rot="10800000">
          <a:off x="63627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181</xdr:row>
      <xdr:rowOff>0</xdr:rowOff>
    </xdr:from>
    <xdr:to>
      <xdr:col>11</xdr:col>
      <xdr:colOff>83820</xdr:colOff>
      <xdr:row>181</xdr:row>
      <xdr:rowOff>114300</xdr:rowOff>
    </xdr:to>
    <xdr:sp macro="" textlink="">
      <xdr:nvSpPr>
        <xdr:cNvPr id="1213" name="Arrow: Down 1212">
          <a:extLst>
            <a:ext uri="{FF2B5EF4-FFF2-40B4-BE49-F238E27FC236}">
              <a16:creationId xmlns:a16="http://schemas.microsoft.com/office/drawing/2014/main" id="{F198BB0D-AE11-43B8-8BB8-A493FC18D081}"/>
            </a:ext>
          </a:extLst>
        </xdr:cNvPr>
        <xdr:cNvSpPr/>
      </xdr:nvSpPr>
      <xdr:spPr>
        <a:xfrm rot="10800000">
          <a:off x="36195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181</xdr:row>
      <xdr:rowOff>0</xdr:rowOff>
    </xdr:from>
    <xdr:to>
      <xdr:col>5</xdr:col>
      <xdr:colOff>83820</xdr:colOff>
      <xdr:row>181</xdr:row>
      <xdr:rowOff>114300</xdr:rowOff>
    </xdr:to>
    <xdr:sp macro="" textlink="">
      <xdr:nvSpPr>
        <xdr:cNvPr id="1222" name="Arrow: Down 1221">
          <a:extLst>
            <a:ext uri="{FF2B5EF4-FFF2-40B4-BE49-F238E27FC236}">
              <a16:creationId xmlns:a16="http://schemas.microsoft.com/office/drawing/2014/main" id="{DEDCDE00-8702-43D5-AB22-D060A8CC49A7}"/>
            </a:ext>
          </a:extLst>
        </xdr:cNvPr>
        <xdr:cNvSpPr/>
      </xdr:nvSpPr>
      <xdr:spPr>
        <a:xfrm rot="10800000">
          <a:off x="192786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181</xdr:row>
      <xdr:rowOff>0</xdr:rowOff>
    </xdr:from>
    <xdr:to>
      <xdr:col>60</xdr:col>
      <xdr:colOff>83820</xdr:colOff>
      <xdr:row>181</xdr:row>
      <xdr:rowOff>114300</xdr:rowOff>
    </xdr:to>
    <xdr:sp macro="" textlink="">
      <xdr:nvSpPr>
        <xdr:cNvPr id="1224" name="Arrow: Down 1223">
          <a:extLst>
            <a:ext uri="{FF2B5EF4-FFF2-40B4-BE49-F238E27FC236}">
              <a16:creationId xmlns:a16="http://schemas.microsoft.com/office/drawing/2014/main" id="{1281001D-5060-4680-81FF-4E89CF48AD2C}"/>
            </a:ext>
          </a:extLst>
        </xdr:cNvPr>
        <xdr:cNvSpPr/>
      </xdr:nvSpPr>
      <xdr:spPr>
        <a:xfrm rot="10800000">
          <a:off x="1609344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182</xdr:row>
      <xdr:rowOff>0</xdr:rowOff>
    </xdr:from>
    <xdr:to>
      <xdr:col>71</xdr:col>
      <xdr:colOff>83820</xdr:colOff>
      <xdr:row>182</xdr:row>
      <xdr:rowOff>114300</xdr:rowOff>
    </xdr:to>
    <xdr:sp macro="" textlink="">
      <xdr:nvSpPr>
        <xdr:cNvPr id="1225" name="Arrow: Down 1224">
          <a:extLst>
            <a:ext uri="{FF2B5EF4-FFF2-40B4-BE49-F238E27FC236}">
              <a16:creationId xmlns:a16="http://schemas.microsoft.com/office/drawing/2014/main" id="{5BB0EE02-E884-49EA-BEC4-49462ACD1B70}"/>
            </a:ext>
          </a:extLst>
        </xdr:cNvPr>
        <xdr:cNvSpPr/>
      </xdr:nvSpPr>
      <xdr:spPr>
        <a:xfrm>
          <a:off x="1840992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182</xdr:row>
      <xdr:rowOff>0</xdr:rowOff>
    </xdr:from>
    <xdr:to>
      <xdr:col>45</xdr:col>
      <xdr:colOff>83820</xdr:colOff>
      <xdr:row>182</xdr:row>
      <xdr:rowOff>114300</xdr:rowOff>
    </xdr:to>
    <xdr:sp macro="" textlink="">
      <xdr:nvSpPr>
        <xdr:cNvPr id="1226" name="Arrow: Down 1225">
          <a:extLst>
            <a:ext uri="{FF2B5EF4-FFF2-40B4-BE49-F238E27FC236}">
              <a16:creationId xmlns:a16="http://schemas.microsoft.com/office/drawing/2014/main" id="{4B3F9918-4361-424D-ADDB-2D13129B6CF4}"/>
            </a:ext>
          </a:extLst>
        </xdr:cNvPr>
        <xdr:cNvSpPr/>
      </xdr:nvSpPr>
      <xdr:spPr>
        <a:xfrm rot="10800000">
          <a:off x="1133094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182</xdr:row>
      <xdr:rowOff>0</xdr:rowOff>
    </xdr:from>
    <xdr:to>
      <xdr:col>71</xdr:col>
      <xdr:colOff>83820</xdr:colOff>
      <xdr:row>182</xdr:row>
      <xdr:rowOff>114300</xdr:rowOff>
    </xdr:to>
    <xdr:sp macro="" textlink="">
      <xdr:nvSpPr>
        <xdr:cNvPr id="1228" name="Arrow: Down 1227">
          <a:extLst>
            <a:ext uri="{FF2B5EF4-FFF2-40B4-BE49-F238E27FC236}">
              <a16:creationId xmlns:a16="http://schemas.microsoft.com/office/drawing/2014/main" id="{A23105EC-AE4E-44DE-A7ED-815ECD7C26A3}"/>
            </a:ext>
          </a:extLst>
        </xdr:cNvPr>
        <xdr:cNvSpPr/>
      </xdr:nvSpPr>
      <xdr:spPr>
        <a:xfrm>
          <a:off x="1840992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182</xdr:row>
      <xdr:rowOff>0</xdr:rowOff>
    </xdr:from>
    <xdr:to>
      <xdr:col>45</xdr:col>
      <xdr:colOff>83820</xdr:colOff>
      <xdr:row>182</xdr:row>
      <xdr:rowOff>114300</xdr:rowOff>
    </xdr:to>
    <xdr:sp macro="" textlink="">
      <xdr:nvSpPr>
        <xdr:cNvPr id="1230" name="Arrow: Down 1229">
          <a:extLst>
            <a:ext uri="{FF2B5EF4-FFF2-40B4-BE49-F238E27FC236}">
              <a16:creationId xmlns:a16="http://schemas.microsoft.com/office/drawing/2014/main" id="{298218F5-FF64-45E8-8C5A-CBC664DFC709}"/>
            </a:ext>
          </a:extLst>
        </xdr:cNvPr>
        <xdr:cNvSpPr/>
      </xdr:nvSpPr>
      <xdr:spPr>
        <a:xfrm rot="10800000">
          <a:off x="1133094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182</xdr:row>
      <xdr:rowOff>0</xdr:rowOff>
    </xdr:from>
    <xdr:to>
      <xdr:col>39</xdr:col>
      <xdr:colOff>83820</xdr:colOff>
      <xdr:row>182</xdr:row>
      <xdr:rowOff>114300</xdr:rowOff>
    </xdr:to>
    <xdr:sp macro="" textlink="">
      <xdr:nvSpPr>
        <xdr:cNvPr id="1234" name="Arrow: Down 1233">
          <a:extLst>
            <a:ext uri="{FF2B5EF4-FFF2-40B4-BE49-F238E27FC236}">
              <a16:creationId xmlns:a16="http://schemas.microsoft.com/office/drawing/2014/main" id="{C5705C6E-399A-4C21-B3F2-837CA21DAE51}"/>
            </a:ext>
          </a:extLst>
        </xdr:cNvPr>
        <xdr:cNvSpPr/>
      </xdr:nvSpPr>
      <xdr:spPr>
        <a:xfrm rot="10800000">
          <a:off x="952500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182</xdr:row>
      <xdr:rowOff>0</xdr:rowOff>
    </xdr:from>
    <xdr:to>
      <xdr:col>24</xdr:col>
      <xdr:colOff>83820</xdr:colOff>
      <xdr:row>182</xdr:row>
      <xdr:rowOff>114300</xdr:rowOff>
    </xdr:to>
    <xdr:sp macro="" textlink="">
      <xdr:nvSpPr>
        <xdr:cNvPr id="1239" name="Arrow: Down 1238">
          <a:extLst>
            <a:ext uri="{FF2B5EF4-FFF2-40B4-BE49-F238E27FC236}">
              <a16:creationId xmlns:a16="http://schemas.microsoft.com/office/drawing/2014/main" id="{1E3CD1A1-FA5A-4982-A3D9-50FE18FBC262}"/>
            </a:ext>
          </a:extLst>
        </xdr:cNvPr>
        <xdr:cNvSpPr/>
      </xdr:nvSpPr>
      <xdr:spPr>
        <a:xfrm rot="10800000">
          <a:off x="63627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182</xdr:row>
      <xdr:rowOff>0</xdr:rowOff>
    </xdr:from>
    <xdr:to>
      <xdr:col>11</xdr:col>
      <xdr:colOff>83820</xdr:colOff>
      <xdr:row>182</xdr:row>
      <xdr:rowOff>114300</xdr:rowOff>
    </xdr:to>
    <xdr:sp macro="" textlink="">
      <xdr:nvSpPr>
        <xdr:cNvPr id="1240" name="Arrow: Down 1239">
          <a:extLst>
            <a:ext uri="{FF2B5EF4-FFF2-40B4-BE49-F238E27FC236}">
              <a16:creationId xmlns:a16="http://schemas.microsoft.com/office/drawing/2014/main" id="{54C21806-F3CF-4E14-A9C3-4460DA92B454}"/>
            </a:ext>
          </a:extLst>
        </xdr:cNvPr>
        <xdr:cNvSpPr/>
      </xdr:nvSpPr>
      <xdr:spPr>
        <a:xfrm rot="10800000">
          <a:off x="36195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83820</xdr:colOff>
      <xdr:row>182</xdr:row>
      <xdr:rowOff>114300</xdr:rowOff>
    </xdr:to>
    <xdr:sp macro="" textlink="">
      <xdr:nvSpPr>
        <xdr:cNvPr id="1241" name="Arrow: Down 1240">
          <a:extLst>
            <a:ext uri="{FF2B5EF4-FFF2-40B4-BE49-F238E27FC236}">
              <a16:creationId xmlns:a16="http://schemas.microsoft.com/office/drawing/2014/main" id="{58345699-9ECB-4E53-B699-E27699E1B5F8}"/>
            </a:ext>
          </a:extLst>
        </xdr:cNvPr>
        <xdr:cNvSpPr/>
      </xdr:nvSpPr>
      <xdr:spPr>
        <a:xfrm rot="10800000">
          <a:off x="192786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182</xdr:row>
      <xdr:rowOff>0</xdr:rowOff>
    </xdr:from>
    <xdr:to>
      <xdr:col>60</xdr:col>
      <xdr:colOff>83820</xdr:colOff>
      <xdr:row>182</xdr:row>
      <xdr:rowOff>114300</xdr:rowOff>
    </xdr:to>
    <xdr:sp macro="" textlink="">
      <xdr:nvSpPr>
        <xdr:cNvPr id="1245" name="Arrow: Down 1244">
          <a:extLst>
            <a:ext uri="{FF2B5EF4-FFF2-40B4-BE49-F238E27FC236}">
              <a16:creationId xmlns:a16="http://schemas.microsoft.com/office/drawing/2014/main" id="{F9602CE5-2A4B-40B7-AEB0-662FF9A8E322}"/>
            </a:ext>
          </a:extLst>
        </xdr:cNvPr>
        <xdr:cNvSpPr/>
      </xdr:nvSpPr>
      <xdr:spPr>
        <a:xfrm rot="10800000">
          <a:off x="1609344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183</xdr:row>
      <xdr:rowOff>0</xdr:rowOff>
    </xdr:from>
    <xdr:to>
      <xdr:col>11</xdr:col>
      <xdr:colOff>83820</xdr:colOff>
      <xdr:row>183</xdr:row>
      <xdr:rowOff>114300</xdr:rowOff>
    </xdr:to>
    <xdr:sp macro="" textlink="">
      <xdr:nvSpPr>
        <xdr:cNvPr id="1248" name="Arrow: Down 1247">
          <a:extLst>
            <a:ext uri="{FF2B5EF4-FFF2-40B4-BE49-F238E27FC236}">
              <a16:creationId xmlns:a16="http://schemas.microsoft.com/office/drawing/2014/main" id="{18FAE01B-BFF7-4EA0-9AC4-EFD9AFD62DD0}"/>
            </a:ext>
          </a:extLst>
        </xdr:cNvPr>
        <xdr:cNvSpPr/>
      </xdr:nvSpPr>
      <xdr:spPr>
        <a:xfrm rot="10800000">
          <a:off x="3619500" y="333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183</xdr:row>
      <xdr:rowOff>0</xdr:rowOff>
    </xdr:from>
    <xdr:to>
      <xdr:col>5</xdr:col>
      <xdr:colOff>83820</xdr:colOff>
      <xdr:row>183</xdr:row>
      <xdr:rowOff>114300</xdr:rowOff>
    </xdr:to>
    <xdr:sp macro="" textlink="">
      <xdr:nvSpPr>
        <xdr:cNvPr id="1249" name="Arrow: Down 1248">
          <a:extLst>
            <a:ext uri="{FF2B5EF4-FFF2-40B4-BE49-F238E27FC236}">
              <a16:creationId xmlns:a16="http://schemas.microsoft.com/office/drawing/2014/main" id="{6FE8B25E-2C8A-4CD2-B24C-5E7205EFD775}"/>
            </a:ext>
          </a:extLst>
        </xdr:cNvPr>
        <xdr:cNvSpPr/>
      </xdr:nvSpPr>
      <xdr:spPr>
        <a:xfrm rot="10800000">
          <a:off x="1927860" y="333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183</xdr:row>
      <xdr:rowOff>0</xdr:rowOff>
    </xdr:from>
    <xdr:to>
      <xdr:col>71</xdr:col>
      <xdr:colOff>83820</xdr:colOff>
      <xdr:row>183</xdr:row>
      <xdr:rowOff>114300</xdr:rowOff>
    </xdr:to>
    <xdr:sp macro="" textlink="">
      <xdr:nvSpPr>
        <xdr:cNvPr id="1265" name="Arrow: Down 1264">
          <a:extLst>
            <a:ext uri="{FF2B5EF4-FFF2-40B4-BE49-F238E27FC236}">
              <a16:creationId xmlns:a16="http://schemas.microsoft.com/office/drawing/2014/main" id="{2B51D3DD-4DDF-4AB7-9515-3A6F4E5F77C1}"/>
            </a:ext>
          </a:extLst>
        </xdr:cNvPr>
        <xdr:cNvSpPr/>
      </xdr:nvSpPr>
      <xdr:spPr>
        <a:xfrm>
          <a:off x="1840992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183</xdr:row>
      <xdr:rowOff>0</xdr:rowOff>
    </xdr:from>
    <xdr:to>
      <xdr:col>45</xdr:col>
      <xdr:colOff>83820</xdr:colOff>
      <xdr:row>183</xdr:row>
      <xdr:rowOff>114300</xdr:rowOff>
    </xdr:to>
    <xdr:sp macro="" textlink="">
      <xdr:nvSpPr>
        <xdr:cNvPr id="1266" name="Arrow: Down 1265">
          <a:extLst>
            <a:ext uri="{FF2B5EF4-FFF2-40B4-BE49-F238E27FC236}">
              <a16:creationId xmlns:a16="http://schemas.microsoft.com/office/drawing/2014/main" id="{6F6C53FB-92A2-435E-A8A7-DDE6AAA896EE}"/>
            </a:ext>
          </a:extLst>
        </xdr:cNvPr>
        <xdr:cNvSpPr/>
      </xdr:nvSpPr>
      <xdr:spPr>
        <a:xfrm rot="10800000">
          <a:off x="1133094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183</xdr:row>
      <xdr:rowOff>0</xdr:rowOff>
    </xdr:from>
    <xdr:to>
      <xdr:col>71</xdr:col>
      <xdr:colOff>83820</xdr:colOff>
      <xdr:row>183</xdr:row>
      <xdr:rowOff>114300</xdr:rowOff>
    </xdr:to>
    <xdr:sp macro="" textlink="">
      <xdr:nvSpPr>
        <xdr:cNvPr id="1267" name="Arrow: Down 1266">
          <a:extLst>
            <a:ext uri="{FF2B5EF4-FFF2-40B4-BE49-F238E27FC236}">
              <a16:creationId xmlns:a16="http://schemas.microsoft.com/office/drawing/2014/main" id="{82B5998C-1EA2-4F16-92CB-65A8E4814A51}"/>
            </a:ext>
          </a:extLst>
        </xdr:cNvPr>
        <xdr:cNvSpPr/>
      </xdr:nvSpPr>
      <xdr:spPr>
        <a:xfrm>
          <a:off x="1840992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183</xdr:row>
      <xdr:rowOff>0</xdr:rowOff>
    </xdr:from>
    <xdr:to>
      <xdr:col>45</xdr:col>
      <xdr:colOff>83820</xdr:colOff>
      <xdr:row>183</xdr:row>
      <xdr:rowOff>114300</xdr:rowOff>
    </xdr:to>
    <xdr:sp macro="" textlink="">
      <xdr:nvSpPr>
        <xdr:cNvPr id="1268" name="Arrow: Down 1267">
          <a:extLst>
            <a:ext uri="{FF2B5EF4-FFF2-40B4-BE49-F238E27FC236}">
              <a16:creationId xmlns:a16="http://schemas.microsoft.com/office/drawing/2014/main" id="{8F756252-963B-4D50-9298-389888E163B4}"/>
            </a:ext>
          </a:extLst>
        </xdr:cNvPr>
        <xdr:cNvSpPr/>
      </xdr:nvSpPr>
      <xdr:spPr>
        <a:xfrm rot="10800000">
          <a:off x="1133094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183</xdr:row>
      <xdr:rowOff>0</xdr:rowOff>
    </xdr:from>
    <xdr:to>
      <xdr:col>60</xdr:col>
      <xdr:colOff>83820</xdr:colOff>
      <xdr:row>183</xdr:row>
      <xdr:rowOff>114300</xdr:rowOff>
    </xdr:to>
    <xdr:sp macro="" textlink="">
      <xdr:nvSpPr>
        <xdr:cNvPr id="1291" name="Arrow: Down 1290">
          <a:extLst>
            <a:ext uri="{FF2B5EF4-FFF2-40B4-BE49-F238E27FC236}">
              <a16:creationId xmlns:a16="http://schemas.microsoft.com/office/drawing/2014/main" id="{4590A6E6-BA82-4B8A-B1AC-C888DD2999BE}"/>
            </a:ext>
          </a:extLst>
        </xdr:cNvPr>
        <xdr:cNvSpPr/>
      </xdr:nvSpPr>
      <xdr:spPr>
        <a:xfrm>
          <a:off x="160934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177</xdr:row>
      <xdr:rowOff>0</xdr:rowOff>
    </xdr:from>
    <xdr:to>
      <xdr:col>60</xdr:col>
      <xdr:colOff>83820</xdr:colOff>
      <xdr:row>177</xdr:row>
      <xdr:rowOff>114300</xdr:rowOff>
    </xdr:to>
    <xdr:sp macro="" textlink="">
      <xdr:nvSpPr>
        <xdr:cNvPr id="1293" name="Arrow: Down 1292">
          <a:extLst>
            <a:ext uri="{FF2B5EF4-FFF2-40B4-BE49-F238E27FC236}">
              <a16:creationId xmlns:a16="http://schemas.microsoft.com/office/drawing/2014/main" id="{ECE9B72A-4658-417F-BC43-3A966AA97CAB}"/>
            </a:ext>
          </a:extLst>
        </xdr:cNvPr>
        <xdr:cNvSpPr/>
      </xdr:nvSpPr>
      <xdr:spPr>
        <a:xfrm>
          <a:off x="1609344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180</xdr:row>
      <xdr:rowOff>0</xdr:rowOff>
    </xdr:from>
    <xdr:to>
      <xdr:col>60</xdr:col>
      <xdr:colOff>83820</xdr:colOff>
      <xdr:row>180</xdr:row>
      <xdr:rowOff>114300</xdr:rowOff>
    </xdr:to>
    <xdr:sp macro="" textlink="">
      <xdr:nvSpPr>
        <xdr:cNvPr id="1296" name="Arrow: Down 1295">
          <a:extLst>
            <a:ext uri="{FF2B5EF4-FFF2-40B4-BE49-F238E27FC236}">
              <a16:creationId xmlns:a16="http://schemas.microsoft.com/office/drawing/2014/main" id="{8F8B2D7E-EC51-4086-B742-7A02C4C91C44}"/>
            </a:ext>
          </a:extLst>
        </xdr:cNvPr>
        <xdr:cNvSpPr/>
      </xdr:nvSpPr>
      <xdr:spPr>
        <a:xfrm>
          <a:off x="1609344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179</xdr:row>
      <xdr:rowOff>0</xdr:rowOff>
    </xdr:from>
    <xdr:to>
      <xdr:col>60</xdr:col>
      <xdr:colOff>83820</xdr:colOff>
      <xdr:row>179</xdr:row>
      <xdr:rowOff>114300</xdr:rowOff>
    </xdr:to>
    <xdr:sp macro="" textlink="">
      <xdr:nvSpPr>
        <xdr:cNvPr id="1300" name="Arrow: Down 1299">
          <a:extLst>
            <a:ext uri="{FF2B5EF4-FFF2-40B4-BE49-F238E27FC236}">
              <a16:creationId xmlns:a16="http://schemas.microsoft.com/office/drawing/2014/main" id="{0DEB24B9-219D-43F2-B65B-5E527942BB9B}"/>
            </a:ext>
          </a:extLst>
        </xdr:cNvPr>
        <xdr:cNvSpPr/>
      </xdr:nvSpPr>
      <xdr:spPr>
        <a:xfrm>
          <a:off x="1609344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178</xdr:row>
      <xdr:rowOff>0</xdr:rowOff>
    </xdr:from>
    <xdr:to>
      <xdr:col>60</xdr:col>
      <xdr:colOff>83820</xdr:colOff>
      <xdr:row>178</xdr:row>
      <xdr:rowOff>114300</xdr:rowOff>
    </xdr:to>
    <xdr:sp macro="" textlink="">
      <xdr:nvSpPr>
        <xdr:cNvPr id="1306" name="Arrow: Down 1305">
          <a:extLst>
            <a:ext uri="{FF2B5EF4-FFF2-40B4-BE49-F238E27FC236}">
              <a16:creationId xmlns:a16="http://schemas.microsoft.com/office/drawing/2014/main" id="{2E962AAB-E4A5-4CBF-891D-00F02E74CD6D}"/>
            </a:ext>
          </a:extLst>
        </xdr:cNvPr>
        <xdr:cNvSpPr/>
      </xdr:nvSpPr>
      <xdr:spPr>
        <a:xfrm>
          <a:off x="1609344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183</xdr:row>
      <xdr:rowOff>0</xdr:rowOff>
    </xdr:from>
    <xdr:to>
      <xdr:col>39</xdr:col>
      <xdr:colOff>83820</xdr:colOff>
      <xdr:row>183</xdr:row>
      <xdr:rowOff>114300</xdr:rowOff>
    </xdr:to>
    <xdr:sp macro="" textlink="">
      <xdr:nvSpPr>
        <xdr:cNvPr id="1307" name="Arrow: Down 1306">
          <a:extLst>
            <a:ext uri="{FF2B5EF4-FFF2-40B4-BE49-F238E27FC236}">
              <a16:creationId xmlns:a16="http://schemas.microsoft.com/office/drawing/2014/main" id="{96CD3228-35F1-439C-B22F-7D9D92E4C2B3}"/>
            </a:ext>
          </a:extLst>
        </xdr:cNvPr>
        <xdr:cNvSpPr/>
      </xdr:nvSpPr>
      <xdr:spPr>
        <a:xfrm>
          <a:off x="9525000" y="335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183</xdr:row>
      <xdr:rowOff>0</xdr:rowOff>
    </xdr:from>
    <xdr:to>
      <xdr:col>24</xdr:col>
      <xdr:colOff>83820</xdr:colOff>
      <xdr:row>183</xdr:row>
      <xdr:rowOff>114300</xdr:rowOff>
    </xdr:to>
    <xdr:sp macro="" textlink="">
      <xdr:nvSpPr>
        <xdr:cNvPr id="1310" name="Arrow: Down 1309">
          <a:extLst>
            <a:ext uri="{FF2B5EF4-FFF2-40B4-BE49-F238E27FC236}">
              <a16:creationId xmlns:a16="http://schemas.microsoft.com/office/drawing/2014/main" id="{73A259B0-3FDD-4431-BAC0-22B4FD196CD2}"/>
            </a:ext>
          </a:extLst>
        </xdr:cNvPr>
        <xdr:cNvSpPr/>
      </xdr:nvSpPr>
      <xdr:spPr>
        <a:xfrm>
          <a:off x="636270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184</xdr:row>
      <xdr:rowOff>0</xdr:rowOff>
    </xdr:from>
    <xdr:to>
      <xdr:col>11</xdr:col>
      <xdr:colOff>83820</xdr:colOff>
      <xdr:row>184</xdr:row>
      <xdr:rowOff>114300</xdr:rowOff>
    </xdr:to>
    <xdr:sp macro="" textlink="">
      <xdr:nvSpPr>
        <xdr:cNvPr id="1324" name="Arrow: Down 1323">
          <a:extLst>
            <a:ext uri="{FF2B5EF4-FFF2-40B4-BE49-F238E27FC236}">
              <a16:creationId xmlns:a16="http://schemas.microsoft.com/office/drawing/2014/main" id="{4E91505E-FD0F-4DCD-8812-157547304857}"/>
            </a:ext>
          </a:extLst>
        </xdr:cNvPr>
        <xdr:cNvSpPr/>
      </xdr:nvSpPr>
      <xdr:spPr>
        <a:xfrm rot="10800000">
          <a:off x="3619500" y="335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184</xdr:row>
      <xdr:rowOff>0</xdr:rowOff>
    </xdr:from>
    <xdr:to>
      <xdr:col>5</xdr:col>
      <xdr:colOff>83820</xdr:colOff>
      <xdr:row>184</xdr:row>
      <xdr:rowOff>114300</xdr:rowOff>
    </xdr:to>
    <xdr:sp macro="" textlink="">
      <xdr:nvSpPr>
        <xdr:cNvPr id="1325" name="Arrow: Down 1324">
          <a:extLst>
            <a:ext uri="{FF2B5EF4-FFF2-40B4-BE49-F238E27FC236}">
              <a16:creationId xmlns:a16="http://schemas.microsoft.com/office/drawing/2014/main" id="{9F481CB9-0391-4C06-AFEC-8277390C09FD}"/>
            </a:ext>
          </a:extLst>
        </xdr:cNvPr>
        <xdr:cNvSpPr/>
      </xdr:nvSpPr>
      <xdr:spPr>
        <a:xfrm rot="10800000">
          <a:off x="1927860" y="335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184</xdr:row>
      <xdr:rowOff>0</xdr:rowOff>
    </xdr:from>
    <xdr:to>
      <xdr:col>71</xdr:col>
      <xdr:colOff>83820</xdr:colOff>
      <xdr:row>184</xdr:row>
      <xdr:rowOff>114300</xdr:rowOff>
    </xdr:to>
    <xdr:sp macro="" textlink="">
      <xdr:nvSpPr>
        <xdr:cNvPr id="1330" name="Arrow: Down 1329">
          <a:extLst>
            <a:ext uri="{FF2B5EF4-FFF2-40B4-BE49-F238E27FC236}">
              <a16:creationId xmlns:a16="http://schemas.microsoft.com/office/drawing/2014/main" id="{1F484FCD-CEE5-448E-AD98-B5478B5B13C2}"/>
            </a:ext>
          </a:extLst>
        </xdr:cNvPr>
        <xdr:cNvSpPr/>
      </xdr:nvSpPr>
      <xdr:spPr>
        <a:xfrm>
          <a:off x="1840992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184</xdr:row>
      <xdr:rowOff>0</xdr:rowOff>
    </xdr:from>
    <xdr:to>
      <xdr:col>45</xdr:col>
      <xdr:colOff>83820</xdr:colOff>
      <xdr:row>184</xdr:row>
      <xdr:rowOff>114300</xdr:rowOff>
    </xdr:to>
    <xdr:sp macro="" textlink="">
      <xdr:nvSpPr>
        <xdr:cNvPr id="1331" name="Arrow: Down 1330">
          <a:extLst>
            <a:ext uri="{FF2B5EF4-FFF2-40B4-BE49-F238E27FC236}">
              <a16:creationId xmlns:a16="http://schemas.microsoft.com/office/drawing/2014/main" id="{EADB781E-5D4A-4299-AC3E-2A2858C44D38}"/>
            </a:ext>
          </a:extLst>
        </xdr:cNvPr>
        <xdr:cNvSpPr/>
      </xdr:nvSpPr>
      <xdr:spPr>
        <a:xfrm rot="10800000">
          <a:off x="113309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184</xdr:row>
      <xdr:rowOff>0</xdr:rowOff>
    </xdr:from>
    <xdr:to>
      <xdr:col>71</xdr:col>
      <xdr:colOff>83820</xdr:colOff>
      <xdr:row>184</xdr:row>
      <xdr:rowOff>114300</xdr:rowOff>
    </xdr:to>
    <xdr:sp macro="" textlink="">
      <xdr:nvSpPr>
        <xdr:cNvPr id="1334" name="Arrow: Down 1333">
          <a:extLst>
            <a:ext uri="{FF2B5EF4-FFF2-40B4-BE49-F238E27FC236}">
              <a16:creationId xmlns:a16="http://schemas.microsoft.com/office/drawing/2014/main" id="{199F933D-01A7-4244-AFBA-7AE276A7C8F4}"/>
            </a:ext>
          </a:extLst>
        </xdr:cNvPr>
        <xdr:cNvSpPr/>
      </xdr:nvSpPr>
      <xdr:spPr>
        <a:xfrm>
          <a:off x="1840992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184</xdr:row>
      <xdr:rowOff>0</xdr:rowOff>
    </xdr:from>
    <xdr:to>
      <xdr:col>45</xdr:col>
      <xdr:colOff>83820</xdr:colOff>
      <xdr:row>184</xdr:row>
      <xdr:rowOff>114300</xdr:rowOff>
    </xdr:to>
    <xdr:sp macro="" textlink="">
      <xdr:nvSpPr>
        <xdr:cNvPr id="1335" name="Arrow: Down 1334">
          <a:extLst>
            <a:ext uri="{FF2B5EF4-FFF2-40B4-BE49-F238E27FC236}">
              <a16:creationId xmlns:a16="http://schemas.microsoft.com/office/drawing/2014/main" id="{5604F4D9-6B1C-4F7A-90B6-2DC1AB88FF08}"/>
            </a:ext>
          </a:extLst>
        </xdr:cNvPr>
        <xdr:cNvSpPr/>
      </xdr:nvSpPr>
      <xdr:spPr>
        <a:xfrm rot="10800000">
          <a:off x="113309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184</xdr:row>
      <xdr:rowOff>0</xdr:rowOff>
    </xdr:from>
    <xdr:to>
      <xdr:col>60</xdr:col>
      <xdr:colOff>83820</xdr:colOff>
      <xdr:row>184</xdr:row>
      <xdr:rowOff>114300</xdr:rowOff>
    </xdr:to>
    <xdr:sp macro="" textlink="">
      <xdr:nvSpPr>
        <xdr:cNvPr id="1341" name="Arrow: Down 1340">
          <a:extLst>
            <a:ext uri="{FF2B5EF4-FFF2-40B4-BE49-F238E27FC236}">
              <a16:creationId xmlns:a16="http://schemas.microsoft.com/office/drawing/2014/main" id="{7C2C11A6-246D-4F0F-8DBB-4155E744FE10}"/>
            </a:ext>
          </a:extLst>
        </xdr:cNvPr>
        <xdr:cNvSpPr/>
      </xdr:nvSpPr>
      <xdr:spPr>
        <a:xfrm>
          <a:off x="160934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184</xdr:row>
      <xdr:rowOff>0</xdr:rowOff>
    </xdr:from>
    <xdr:to>
      <xdr:col>24</xdr:col>
      <xdr:colOff>83820</xdr:colOff>
      <xdr:row>184</xdr:row>
      <xdr:rowOff>114300</xdr:rowOff>
    </xdr:to>
    <xdr:sp macro="" textlink="">
      <xdr:nvSpPr>
        <xdr:cNvPr id="1351" name="Arrow: Down 1350">
          <a:extLst>
            <a:ext uri="{FF2B5EF4-FFF2-40B4-BE49-F238E27FC236}">
              <a16:creationId xmlns:a16="http://schemas.microsoft.com/office/drawing/2014/main" id="{5BFA8D22-6A1A-4180-A816-4A709360AE48}"/>
            </a:ext>
          </a:extLst>
        </xdr:cNvPr>
        <xdr:cNvSpPr/>
      </xdr:nvSpPr>
      <xdr:spPr>
        <a:xfrm rot="10800000">
          <a:off x="6362700" y="3374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184</xdr:row>
      <xdr:rowOff>0</xdr:rowOff>
    </xdr:from>
    <xdr:to>
      <xdr:col>39</xdr:col>
      <xdr:colOff>83820</xdr:colOff>
      <xdr:row>184</xdr:row>
      <xdr:rowOff>114300</xdr:rowOff>
    </xdr:to>
    <xdr:sp macro="" textlink="">
      <xdr:nvSpPr>
        <xdr:cNvPr id="1356" name="Arrow: Down 1355">
          <a:extLst>
            <a:ext uri="{FF2B5EF4-FFF2-40B4-BE49-F238E27FC236}">
              <a16:creationId xmlns:a16="http://schemas.microsoft.com/office/drawing/2014/main" id="{E31B96A6-FC51-4407-BCDD-A3DE3292F866}"/>
            </a:ext>
          </a:extLst>
        </xdr:cNvPr>
        <xdr:cNvSpPr/>
      </xdr:nvSpPr>
      <xdr:spPr>
        <a:xfrm rot="10800000">
          <a:off x="952500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185</xdr:row>
      <xdr:rowOff>0</xdr:rowOff>
    </xdr:from>
    <xdr:to>
      <xdr:col>71</xdr:col>
      <xdr:colOff>83820</xdr:colOff>
      <xdr:row>185</xdr:row>
      <xdr:rowOff>114300</xdr:rowOff>
    </xdr:to>
    <xdr:sp macro="" textlink="">
      <xdr:nvSpPr>
        <xdr:cNvPr id="1420" name="Arrow: Down 1419">
          <a:extLst>
            <a:ext uri="{FF2B5EF4-FFF2-40B4-BE49-F238E27FC236}">
              <a16:creationId xmlns:a16="http://schemas.microsoft.com/office/drawing/2014/main" id="{F7FA0156-628E-43EC-BE62-A1E8C3C0A5D1}"/>
            </a:ext>
          </a:extLst>
        </xdr:cNvPr>
        <xdr:cNvSpPr/>
      </xdr:nvSpPr>
      <xdr:spPr>
        <a:xfrm>
          <a:off x="1840992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185</xdr:row>
      <xdr:rowOff>0</xdr:rowOff>
    </xdr:from>
    <xdr:to>
      <xdr:col>45</xdr:col>
      <xdr:colOff>83820</xdr:colOff>
      <xdr:row>185</xdr:row>
      <xdr:rowOff>114300</xdr:rowOff>
    </xdr:to>
    <xdr:sp macro="" textlink="">
      <xdr:nvSpPr>
        <xdr:cNvPr id="1421" name="Arrow: Down 1420">
          <a:extLst>
            <a:ext uri="{FF2B5EF4-FFF2-40B4-BE49-F238E27FC236}">
              <a16:creationId xmlns:a16="http://schemas.microsoft.com/office/drawing/2014/main" id="{9B8F2210-BB00-4FFA-BFB4-AB50E1AB3EFA}"/>
            </a:ext>
          </a:extLst>
        </xdr:cNvPr>
        <xdr:cNvSpPr/>
      </xdr:nvSpPr>
      <xdr:spPr>
        <a:xfrm rot="10800000">
          <a:off x="1133094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185</xdr:row>
      <xdr:rowOff>0</xdr:rowOff>
    </xdr:from>
    <xdr:to>
      <xdr:col>71</xdr:col>
      <xdr:colOff>83820</xdr:colOff>
      <xdr:row>185</xdr:row>
      <xdr:rowOff>114300</xdr:rowOff>
    </xdr:to>
    <xdr:sp macro="" textlink="">
      <xdr:nvSpPr>
        <xdr:cNvPr id="1422" name="Arrow: Down 1421">
          <a:extLst>
            <a:ext uri="{FF2B5EF4-FFF2-40B4-BE49-F238E27FC236}">
              <a16:creationId xmlns:a16="http://schemas.microsoft.com/office/drawing/2014/main" id="{DC600B31-9F7C-4A29-BF47-CD2F3CF00A4C}"/>
            </a:ext>
          </a:extLst>
        </xdr:cNvPr>
        <xdr:cNvSpPr/>
      </xdr:nvSpPr>
      <xdr:spPr>
        <a:xfrm>
          <a:off x="1840992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185</xdr:row>
      <xdr:rowOff>0</xdr:rowOff>
    </xdr:from>
    <xdr:to>
      <xdr:col>45</xdr:col>
      <xdr:colOff>83820</xdr:colOff>
      <xdr:row>185</xdr:row>
      <xdr:rowOff>114300</xdr:rowOff>
    </xdr:to>
    <xdr:sp macro="" textlink="">
      <xdr:nvSpPr>
        <xdr:cNvPr id="1423" name="Arrow: Down 1422">
          <a:extLst>
            <a:ext uri="{FF2B5EF4-FFF2-40B4-BE49-F238E27FC236}">
              <a16:creationId xmlns:a16="http://schemas.microsoft.com/office/drawing/2014/main" id="{53445DC6-1885-43B9-BAC1-76337F18B4EE}"/>
            </a:ext>
          </a:extLst>
        </xdr:cNvPr>
        <xdr:cNvSpPr/>
      </xdr:nvSpPr>
      <xdr:spPr>
        <a:xfrm rot="10800000">
          <a:off x="1133094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185</xdr:row>
      <xdr:rowOff>0</xdr:rowOff>
    </xdr:from>
    <xdr:to>
      <xdr:col>60</xdr:col>
      <xdr:colOff>83820</xdr:colOff>
      <xdr:row>185</xdr:row>
      <xdr:rowOff>114300</xdr:rowOff>
    </xdr:to>
    <xdr:sp macro="" textlink="">
      <xdr:nvSpPr>
        <xdr:cNvPr id="1426" name="Arrow: Down 1425">
          <a:extLst>
            <a:ext uri="{FF2B5EF4-FFF2-40B4-BE49-F238E27FC236}">
              <a16:creationId xmlns:a16="http://schemas.microsoft.com/office/drawing/2014/main" id="{89450ABA-7AD3-416B-B9D5-05B08597C197}"/>
            </a:ext>
          </a:extLst>
        </xdr:cNvPr>
        <xdr:cNvSpPr/>
      </xdr:nvSpPr>
      <xdr:spPr>
        <a:xfrm>
          <a:off x="1609344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185</xdr:row>
      <xdr:rowOff>0</xdr:rowOff>
    </xdr:from>
    <xdr:to>
      <xdr:col>39</xdr:col>
      <xdr:colOff>83820</xdr:colOff>
      <xdr:row>185</xdr:row>
      <xdr:rowOff>114300</xdr:rowOff>
    </xdr:to>
    <xdr:sp macro="" textlink="">
      <xdr:nvSpPr>
        <xdr:cNvPr id="1429" name="Arrow: Down 1428">
          <a:extLst>
            <a:ext uri="{FF2B5EF4-FFF2-40B4-BE49-F238E27FC236}">
              <a16:creationId xmlns:a16="http://schemas.microsoft.com/office/drawing/2014/main" id="{780317CE-1880-4F97-A836-7EC10BC4DAD4}"/>
            </a:ext>
          </a:extLst>
        </xdr:cNvPr>
        <xdr:cNvSpPr/>
      </xdr:nvSpPr>
      <xdr:spPr>
        <a:xfrm>
          <a:off x="9525000" y="339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185</xdr:row>
      <xdr:rowOff>0</xdr:rowOff>
    </xdr:from>
    <xdr:to>
      <xdr:col>5</xdr:col>
      <xdr:colOff>83820</xdr:colOff>
      <xdr:row>185</xdr:row>
      <xdr:rowOff>114300</xdr:rowOff>
    </xdr:to>
    <xdr:sp macro="" textlink="">
      <xdr:nvSpPr>
        <xdr:cNvPr id="1430" name="Arrow: Down 1429">
          <a:extLst>
            <a:ext uri="{FF2B5EF4-FFF2-40B4-BE49-F238E27FC236}">
              <a16:creationId xmlns:a16="http://schemas.microsoft.com/office/drawing/2014/main" id="{087ECDE7-DBBE-46BF-996A-CF6111DD3E09}"/>
            </a:ext>
          </a:extLst>
        </xdr:cNvPr>
        <xdr:cNvSpPr/>
      </xdr:nvSpPr>
      <xdr:spPr>
        <a:xfrm>
          <a:off x="192786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185</xdr:row>
      <xdr:rowOff>0</xdr:rowOff>
    </xdr:from>
    <xdr:to>
      <xdr:col>11</xdr:col>
      <xdr:colOff>83820</xdr:colOff>
      <xdr:row>185</xdr:row>
      <xdr:rowOff>114300</xdr:rowOff>
    </xdr:to>
    <xdr:sp macro="" textlink="">
      <xdr:nvSpPr>
        <xdr:cNvPr id="1431" name="Arrow: Down 1430">
          <a:extLst>
            <a:ext uri="{FF2B5EF4-FFF2-40B4-BE49-F238E27FC236}">
              <a16:creationId xmlns:a16="http://schemas.microsoft.com/office/drawing/2014/main" id="{12DE6EA4-2BAA-4865-A795-661A1D27CEB8}"/>
            </a:ext>
          </a:extLst>
        </xdr:cNvPr>
        <xdr:cNvSpPr/>
      </xdr:nvSpPr>
      <xdr:spPr>
        <a:xfrm>
          <a:off x="36195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185</xdr:row>
      <xdr:rowOff>0</xdr:rowOff>
    </xdr:from>
    <xdr:to>
      <xdr:col>24</xdr:col>
      <xdr:colOff>83820</xdr:colOff>
      <xdr:row>185</xdr:row>
      <xdr:rowOff>114300</xdr:rowOff>
    </xdr:to>
    <xdr:sp macro="" textlink="">
      <xdr:nvSpPr>
        <xdr:cNvPr id="1433" name="Arrow: Down 1432">
          <a:extLst>
            <a:ext uri="{FF2B5EF4-FFF2-40B4-BE49-F238E27FC236}">
              <a16:creationId xmlns:a16="http://schemas.microsoft.com/office/drawing/2014/main" id="{3FF8E31C-CB06-499A-B725-B532AC3E4B6B}"/>
            </a:ext>
          </a:extLst>
        </xdr:cNvPr>
        <xdr:cNvSpPr/>
      </xdr:nvSpPr>
      <xdr:spPr>
        <a:xfrm>
          <a:off x="63627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186</xdr:row>
      <xdr:rowOff>0</xdr:rowOff>
    </xdr:from>
    <xdr:to>
      <xdr:col>5</xdr:col>
      <xdr:colOff>83820</xdr:colOff>
      <xdr:row>186</xdr:row>
      <xdr:rowOff>114300</xdr:rowOff>
    </xdr:to>
    <xdr:sp macro="" textlink="">
      <xdr:nvSpPr>
        <xdr:cNvPr id="1434" name="Arrow: Down 1433">
          <a:extLst>
            <a:ext uri="{FF2B5EF4-FFF2-40B4-BE49-F238E27FC236}">
              <a16:creationId xmlns:a16="http://schemas.microsoft.com/office/drawing/2014/main" id="{EF8BF3BE-C5D7-45BF-93F6-BF97726A9307}"/>
            </a:ext>
          </a:extLst>
        </xdr:cNvPr>
        <xdr:cNvSpPr/>
      </xdr:nvSpPr>
      <xdr:spPr>
        <a:xfrm>
          <a:off x="192786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186</xdr:row>
      <xdr:rowOff>0</xdr:rowOff>
    </xdr:from>
    <xdr:to>
      <xdr:col>11</xdr:col>
      <xdr:colOff>83820</xdr:colOff>
      <xdr:row>186</xdr:row>
      <xdr:rowOff>114300</xdr:rowOff>
    </xdr:to>
    <xdr:sp macro="" textlink="">
      <xdr:nvSpPr>
        <xdr:cNvPr id="1435" name="Arrow: Down 1434">
          <a:extLst>
            <a:ext uri="{FF2B5EF4-FFF2-40B4-BE49-F238E27FC236}">
              <a16:creationId xmlns:a16="http://schemas.microsoft.com/office/drawing/2014/main" id="{11ACFFF9-6FC9-43B1-B30A-4E3393EEFD79}"/>
            </a:ext>
          </a:extLst>
        </xdr:cNvPr>
        <xdr:cNvSpPr/>
      </xdr:nvSpPr>
      <xdr:spPr>
        <a:xfrm>
          <a:off x="36195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186</xdr:row>
      <xdr:rowOff>0</xdr:rowOff>
    </xdr:from>
    <xdr:to>
      <xdr:col>5</xdr:col>
      <xdr:colOff>83820</xdr:colOff>
      <xdr:row>186</xdr:row>
      <xdr:rowOff>114300</xdr:rowOff>
    </xdr:to>
    <xdr:sp macro="" textlink="">
      <xdr:nvSpPr>
        <xdr:cNvPr id="1438" name="Arrow: Down 1437">
          <a:extLst>
            <a:ext uri="{FF2B5EF4-FFF2-40B4-BE49-F238E27FC236}">
              <a16:creationId xmlns:a16="http://schemas.microsoft.com/office/drawing/2014/main" id="{AC4910B3-5780-4078-BE7C-4E471EEE6938}"/>
            </a:ext>
          </a:extLst>
        </xdr:cNvPr>
        <xdr:cNvSpPr/>
      </xdr:nvSpPr>
      <xdr:spPr>
        <a:xfrm>
          <a:off x="192786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186</xdr:row>
      <xdr:rowOff>0</xdr:rowOff>
    </xdr:from>
    <xdr:to>
      <xdr:col>11</xdr:col>
      <xdr:colOff>83820</xdr:colOff>
      <xdr:row>186</xdr:row>
      <xdr:rowOff>114300</xdr:rowOff>
    </xdr:to>
    <xdr:sp macro="" textlink="">
      <xdr:nvSpPr>
        <xdr:cNvPr id="1439" name="Arrow: Down 1438">
          <a:extLst>
            <a:ext uri="{FF2B5EF4-FFF2-40B4-BE49-F238E27FC236}">
              <a16:creationId xmlns:a16="http://schemas.microsoft.com/office/drawing/2014/main" id="{3D9E194B-4A0E-4F58-B416-B740600D9ACD}"/>
            </a:ext>
          </a:extLst>
        </xdr:cNvPr>
        <xdr:cNvSpPr/>
      </xdr:nvSpPr>
      <xdr:spPr>
        <a:xfrm>
          <a:off x="36195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186</xdr:row>
      <xdr:rowOff>0</xdr:rowOff>
    </xdr:from>
    <xdr:to>
      <xdr:col>71</xdr:col>
      <xdr:colOff>83820</xdr:colOff>
      <xdr:row>186</xdr:row>
      <xdr:rowOff>114300</xdr:rowOff>
    </xdr:to>
    <xdr:sp macro="" textlink="">
      <xdr:nvSpPr>
        <xdr:cNvPr id="1440" name="Arrow: Down 1439">
          <a:extLst>
            <a:ext uri="{FF2B5EF4-FFF2-40B4-BE49-F238E27FC236}">
              <a16:creationId xmlns:a16="http://schemas.microsoft.com/office/drawing/2014/main" id="{95B025A5-8AD3-44CA-80D3-6DCBEE8842CE}"/>
            </a:ext>
          </a:extLst>
        </xdr:cNvPr>
        <xdr:cNvSpPr/>
      </xdr:nvSpPr>
      <xdr:spPr>
        <a:xfrm>
          <a:off x="1840992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186</xdr:row>
      <xdr:rowOff>0</xdr:rowOff>
    </xdr:from>
    <xdr:to>
      <xdr:col>45</xdr:col>
      <xdr:colOff>83820</xdr:colOff>
      <xdr:row>186</xdr:row>
      <xdr:rowOff>114300</xdr:rowOff>
    </xdr:to>
    <xdr:sp macro="" textlink="">
      <xdr:nvSpPr>
        <xdr:cNvPr id="1441" name="Arrow: Down 1440">
          <a:extLst>
            <a:ext uri="{FF2B5EF4-FFF2-40B4-BE49-F238E27FC236}">
              <a16:creationId xmlns:a16="http://schemas.microsoft.com/office/drawing/2014/main" id="{6DD311F1-F698-4B03-AD47-0C29825F16DC}"/>
            </a:ext>
          </a:extLst>
        </xdr:cNvPr>
        <xdr:cNvSpPr/>
      </xdr:nvSpPr>
      <xdr:spPr>
        <a:xfrm rot="10800000">
          <a:off x="1133094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186</xdr:row>
      <xdr:rowOff>0</xdr:rowOff>
    </xdr:from>
    <xdr:to>
      <xdr:col>71</xdr:col>
      <xdr:colOff>83820</xdr:colOff>
      <xdr:row>186</xdr:row>
      <xdr:rowOff>114300</xdr:rowOff>
    </xdr:to>
    <xdr:sp macro="" textlink="">
      <xdr:nvSpPr>
        <xdr:cNvPr id="1442" name="Arrow: Down 1441">
          <a:extLst>
            <a:ext uri="{FF2B5EF4-FFF2-40B4-BE49-F238E27FC236}">
              <a16:creationId xmlns:a16="http://schemas.microsoft.com/office/drawing/2014/main" id="{11176638-CCCD-4D0C-9A2D-A9183DF4B500}"/>
            </a:ext>
          </a:extLst>
        </xdr:cNvPr>
        <xdr:cNvSpPr/>
      </xdr:nvSpPr>
      <xdr:spPr>
        <a:xfrm>
          <a:off x="1840992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186</xdr:row>
      <xdr:rowOff>0</xdr:rowOff>
    </xdr:from>
    <xdr:to>
      <xdr:col>45</xdr:col>
      <xdr:colOff>83820</xdr:colOff>
      <xdr:row>186</xdr:row>
      <xdr:rowOff>114300</xdr:rowOff>
    </xdr:to>
    <xdr:sp macro="" textlink="">
      <xdr:nvSpPr>
        <xdr:cNvPr id="1443" name="Arrow: Down 1442">
          <a:extLst>
            <a:ext uri="{FF2B5EF4-FFF2-40B4-BE49-F238E27FC236}">
              <a16:creationId xmlns:a16="http://schemas.microsoft.com/office/drawing/2014/main" id="{4D8A5A68-EFE0-45A8-9450-60779CDC76F8}"/>
            </a:ext>
          </a:extLst>
        </xdr:cNvPr>
        <xdr:cNvSpPr/>
      </xdr:nvSpPr>
      <xdr:spPr>
        <a:xfrm rot="10800000">
          <a:off x="1133094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186</xdr:row>
      <xdr:rowOff>0</xdr:rowOff>
    </xdr:from>
    <xdr:to>
      <xdr:col>60</xdr:col>
      <xdr:colOff>83820</xdr:colOff>
      <xdr:row>186</xdr:row>
      <xdr:rowOff>114300</xdr:rowOff>
    </xdr:to>
    <xdr:sp macro="" textlink="">
      <xdr:nvSpPr>
        <xdr:cNvPr id="1444" name="Arrow: Down 1443">
          <a:extLst>
            <a:ext uri="{FF2B5EF4-FFF2-40B4-BE49-F238E27FC236}">
              <a16:creationId xmlns:a16="http://schemas.microsoft.com/office/drawing/2014/main" id="{88673488-B06C-43F0-B136-447848E469CA}"/>
            </a:ext>
          </a:extLst>
        </xdr:cNvPr>
        <xdr:cNvSpPr/>
      </xdr:nvSpPr>
      <xdr:spPr>
        <a:xfrm>
          <a:off x="1609344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186</xdr:row>
      <xdr:rowOff>0</xdr:rowOff>
    </xdr:from>
    <xdr:to>
      <xdr:col>39</xdr:col>
      <xdr:colOff>83820</xdr:colOff>
      <xdr:row>186</xdr:row>
      <xdr:rowOff>114300</xdr:rowOff>
    </xdr:to>
    <xdr:sp macro="" textlink="">
      <xdr:nvSpPr>
        <xdr:cNvPr id="1445" name="Arrow: Down 1444">
          <a:extLst>
            <a:ext uri="{FF2B5EF4-FFF2-40B4-BE49-F238E27FC236}">
              <a16:creationId xmlns:a16="http://schemas.microsoft.com/office/drawing/2014/main" id="{EBC0CA19-7C17-42F1-804E-070D28A5CBF6}"/>
            </a:ext>
          </a:extLst>
        </xdr:cNvPr>
        <xdr:cNvSpPr/>
      </xdr:nvSpPr>
      <xdr:spPr>
        <a:xfrm>
          <a:off x="9525000" y="339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186</xdr:row>
      <xdr:rowOff>0</xdr:rowOff>
    </xdr:from>
    <xdr:to>
      <xdr:col>24</xdr:col>
      <xdr:colOff>83820</xdr:colOff>
      <xdr:row>186</xdr:row>
      <xdr:rowOff>114300</xdr:rowOff>
    </xdr:to>
    <xdr:sp macro="" textlink="">
      <xdr:nvSpPr>
        <xdr:cNvPr id="1446" name="Arrow: Down 1445">
          <a:extLst>
            <a:ext uri="{FF2B5EF4-FFF2-40B4-BE49-F238E27FC236}">
              <a16:creationId xmlns:a16="http://schemas.microsoft.com/office/drawing/2014/main" id="{6D512690-137A-4816-A42D-C87D9CE48089}"/>
            </a:ext>
          </a:extLst>
        </xdr:cNvPr>
        <xdr:cNvSpPr/>
      </xdr:nvSpPr>
      <xdr:spPr>
        <a:xfrm>
          <a:off x="63627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187</xdr:row>
      <xdr:rowOff>0</xdr:rowOff>
    </xdr:from>
    <xdr:to>
      <xdr:col>71</xdr:col>
      <xdr:colOff>83820</xdr:colOff>
      <xdr:row>187</xdr:row>
      <xdr:rowOff>114300</xdr:rowOff>
    </xdr:to>
    <xdr:sp macro="" textlink="">
      <xdr:nvSpPr>
        <xdr:cNvPr id="1258" name="Arrow: Down 1257">
          <a:extLst>
            <a:ext uri="{FF2B5EF4-FFF2-40B4-BE49-F238E27FC236}">
              <a16:creationId xmlns:a16="http://schemas.microsoft.com/office/drawing/2014/main" id="{D498D22E-F8B6-4287-A217-B640A1B6A393}"/>
            </a:ext>
          </a:extLst>
        </xdr:cNvPr>
        <xdr:cNvSpPr/>
      </xdr:nvSpPr>
      <xdr:spPr>
        <a:xfrm>
          <a:off x="1840992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187</xdr:row>
      <xdr:rowOff>0</xdr:rowOff>
    </xdr:from>
    <xdr:to>
      <xdr:col>45</xdr:col>
      <xdr:colOff>83820</xdr:colOff>
      <xdr:row>187</xdr:row>
      <xdr:rowOff>114300</xdr:rowOff>
    </xdr:to>
    <xdr:sp macro="" textlink="">
      <xdr:nvSpPr>
        <xdr:cNvPr id="1260" name="Arrow: Down 1259">
          <a:extLst>
            <a:ext uri="{FF2B5EF4-FFF2-40B4-BE49-F238E27FC236}">
              <a16:creationId xmlns:a16="http://schemas.microsoft.com/office/drawing/2014/main" id="{66514041-B29E-486B-AB6E-0C0DB3F6912C}"/>
            </a:ext>
          </a:extLst>
        </xdr:cNvPr>
        <xdr:cNvSpPr/>
      </xdr:nvSpPr>
      <xdr:spPr>
        <a:xfrm rot="10800000">
          <a:off x="1133094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187</xdr:row>
      <xdr:rowOff>0</xdr:rowOff>
    </xdr:from>
    <xdr:to>
      <xdr:col>71</xdr:col>
      <xdr:colOff>83820</xdr:colOff>
      <xdr:row>187</xdr:row>
      <xdr:rowOff>114300</xdr:rowOff>
    </xdr:to>
    <xdr:sp macro="" textlink="">
      <xdr:nvSpPr>
        <xdr:cNvPr id="1262" name="Arrow: Down 1261">
          <a:extLst>
            <a:ext uri="{FF2B5EF4-FFF2-40B4-BE49-F238E27FC236}">
              <a16:creationId xmlns:a16="http://schemas.microsoft.com/office/drawing/2014/main" id="{F77B8867-3973-4F14-BAFF-9FC728A6CF78}"/>
            </a:ext>
          </a:extLst>
        </xdr:cNvPr>
        <xdr:cNvSpPr/>
      </xdr:nvSpPr>
      <xdr:spPr>
        <a:xfrm>
          <a:off x="1840992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187</xdr:row>
      <xdr:rowOff>0</xdr:rowOff>
    </xdr:from>
    <xdr:to>
      <xdr:col>45</xdr:col>
      <xdr:colOff>83820</xdr:colOff>
      <xdr:row>187</xdr:row>
      <xdr:rowOff>114300</xdr:rowOff>
    </xdr:to>
    <xdr:sp macro="" textlink="">
      <xdr:nvSpPr>
        <xdr:cNvPr id="1263" name="Arrow: Down 1262">
          <a:extLst>
            <a:ext uri="{FF2B5EF4-FFF2-40B4-BE49-F238E27FC236}">
              <a16:creationId xmlns:a16="http://schemas.microsoft.com/office/drawing/2014/main" id="{CC1164CB-190C-4EED-92A1-2E850490E42B}"/>
            </a:ext>
          </a:extLst>
        </xdr:cNvPr>
        <xdr:cNvSpPr/>
      </xdr:nvSpPr>
      <xdr:spPr>
        <a:xfrm rot="10800000">
          <a:off x="1133094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187</xdr:row>
      <xdr:rowOff>0</xdr:rowOff>
    </xdr:from>
    <xdr:to>
      <xdr:col>39</xdr:col>
      <xdr:colOff>83820</xdr:colOff>
      <xdr:row>187</xdr:row>
      <xdr:rowOff>114300</xdr:rowOff>
    </xdr:to>
    <xdr:sp macro="" textlink="">
      <xdr:nvSpPr>
        <xdr:cNvPr id="1282" name="Arrow: Down 1281">
          <a:extLst>
            <a:ext uri="{FF2B5EF4-FFF2-40B4-BE49-F238E27FC236}">
              <a16:creationId xmlns:a16="http://schemas.microsoft.com/office/drawing/2014/main" id="{1210ACD0-39EF-4AEC-9706-E309E4408337}"/>
            </a:ext>
          </a:extLst>
        </xdr:cNvPr>
        <xdr:cNvSpPr/>
      </xdr:nvSpPr>
      <xdr:spPr>
        <a:xfrm rot="10800000">
          <a:off x="952500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187</xdr:row>
      <xdr:rowOff>0</xdr:rowOff>
    </xdr:from>
    <xdr:to>
      <xdr:col>5</xdr:col>
      <xdr:colOff>83820</xdr:colOff>
      <xdr:row>187</xdr:row>
      <xdr:rowOff>114300</xdr:rowOff>
    </xdr:to>
    <xdr:sp macro="" textlink="">
      <xdr:nvSpPr>
        <xdr:cNvPr id="1290" name="Arrow: Down 1289">
          <a:extLst>
            <a:ext uri="{FF2B5EF4-FFF2-40B4-BE49-F238E27FC236}">
              <a16:creationId xmlns:a16="http://schemas.microsoft.com/office/drawing/2014/main" id="{5108F5B8-91BF-42C2-A93E-1CF5CB846AEF}"/>
            </a:ext>
          </a:extLst>
        </xdr:cNvPr>
        <xdr:cNvSpPr/>
      </xdr:nvSpPr>
      <xdr:spPr>
        <a:xfrm rot="10800000">
          <a:off x="192786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187</xdr:row>
      <xdr:rowOff>0</xdr:rowOff>
    </xdr:from>
    <xdr:to>
      <xdr:col>11</xdr:col>
      <xdr:colOff>83820</xdr:colOff>
      <xdr:row>187</xdr:row>
      <xdr:rowOff>114300</xdr:rowOff>
    </xdr:to>
    <xdr:sp macro="" textlink="">
      <xdr:nvSpPr>
        <xdr:cNvPr id="1294" name="Arrow: Down 1293">
          <a:extLst>
            <a:ext uri="{FF2B5EF4-FFF2-40B4-BE49-F238E27FC236}">
              <a16:creationId xmlns:a16="http://schemas.microsoft.com/office/drawing/2014/main" id="{7CE8D358-C34C-4782-96E4-C98962C6F23E}"/>
            </a:ext>
          </a:extLst>
        </xdr:cNvPr>
        <xdr:cNvSpPr/>
      </xdr:nvSpPr>
      <xdr:spPr>
        <a:xfrm rot="10800000">
          <a:off x="361950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187</xdr:row>
      <xdr:rowOff>0</xdr:rowOff>
    </xdr:from>
    <xdr:to>
      <xdr:col>24</xdr:col>
      <xdr:colOff>83820</xdr:colOff>
      <xdr:row>187</xdr:row>
      <xdr:rowOff>114300</xdr:rowOff>
    </xdr:to>
    <xdr:sp macro="" textlink="">
      <xdr:nvSpPr>
        <xdr:cNvPr id="1308" name="Arrow: Down 1307">
          <a:extLst>
            <a:ext uri="{FF2B5EF4-FFF2-40B4-BE49-F238E27FC236}">
              <a16:creationId xmlns:a16="http://schemas.microsoft.com/office/drawing/2014/main" id="{CF459BAB-0580-4102-9EF7-BFA8F394359D}"/>
            </a:ext>
          </a:extLst>
        </xdr:cNvPr>
        <xdr:cNvSpPr/>
      </xdr:nvSpPr>
      <xdr:spPr>
        <a:xfrm rot="10800000">
          <a:off x="636270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188</xdr:row>
      <xdr:rowOff>0</xdr:rowOff>
    </xdr:from>
    <xdr:to>
      <xdr:col>71</xdr:col>
      <xdr:colOff>83820</xdr:colOff>
      <xdr:row>188</xdr:row>
      <xdr:rowOff>114300</xdr:rowOff>
    </xdr:to>
    <xdr:sp macro="" textlink="">
      <xdr:nvSpPr>
        <xdr:cNvPr id="1309" name="Arrow: Down 1308">
          <a:extLst>
            <a:ext uri="{FF2B5EF4-FFF2-40B4-BE49-F238E27FC236}">
              <a16:creationId xmlns:a16="http://schemas.microsoft.com/office/drawing/2014/main" id="{9FA9AB71-AB90-4671-B03C-21B676536832}"/>
            </a:ext>
          </a:extLst>
        </xdr:cNvPr>
        <xdr:cNvSpPr/>
      </xdr:nvSpPr>
      <xdr:spPr>
        <a:xfrm>
          <a:off x="1840992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188</xdr:row>
      <xdr:rowOff>0</xdr:rowOff>
    </xdr:from>
    <xdr:to>
      <xdr:col>45</xdr:col>
      <xdr:colOff>83820</xdr:colOff>
      <xdr:row>188</xdr:row>
      <xdr:rowOff>114300</xdr:rowOff>
    </xdr:to>
    <xdr:sp macro="" textlink="">
      <xdr:nvSpPr>
        <xdr:cNvPr id="1312" name="Arrow: Down 1311">
          <a:extLst>
            <a:ext uri="{FF2B5EF4-FFF2-40B4-BE49-F238E27FC236}">
              <a16:creationId xmlns:a16="http://schemas.microsoft.com/office/drawing/2014/main" id="{D98C67EA-A67E-4719-994E-FC7E283A222E}"/>
            </a:ext>
          </a:extLst>
        </xdr:cNvPr>
        <xdr:cNvSpPr/>
      </xdr:nvSpPr>
      <xdr:spPr>
        <a:xfrm rot="10800000">
          <a:off x="1133094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188</xdr:row>
      <xdr:rowOff>0</xdr:rowOff>
    </xdr:from>
    <xdr:to>
      <xdr:col>71</xdr:col>
      <xdr:colOff>83820</xdr:colOff>
      <xdr:row>188</xdr:row>
      <xdr:rowOff>114300</xdr:rowOff>
    </xdr:to>
    <xdr:sp macro="" textlink="">
      <xdr:nvSpPr>
        <xdr:cNvPr id="1314" name="Arrow: Down 1313">
          <a:extLst>
            <a:ext uri="{FF2B5EF4-FFF2-40B4-BE49-F238E27FC236}">
              <a16:creationId xmlns:a16="http://schemas.microsoft.com/office/drawing/2014/main" id="{1D942934-1FD9-4056-BDAE-95A51E26FF48}"/>
            </a:ext>
          </a:extLst>
        </xdr:cNvPr>
        <xdr:cNvSpPr/>
      </xdr:nvSpPr>
      <xdr:spPr>
        <a:xfrm>
          <a:off x="1840992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188</xdr:row>
      <xdr:rowOff>0</xdr:rowOff>
    </xdr:from>
    <xdr:to>
      <xdr:col>45</xdr:col>
      <xdr:colOff>83820</xdr:colOff>
      <xdr:row>188</xdr:row>
      <xdr:rowOff>114300</xdr:rowOff>
    </xdr:to>
    <xdr:sp macro="" textlink="">
      <xdr:nvSpPr>
        <xdr:cNvPr id="1318" name="Arrow: Down 1317">
          <a:extLst>
            <a:ext uri="{FF2B5EF4-FFF2-40B4-BE49-F238E27FC236}">
              <a16:creationId xmlns:a16="http://schemas.microsoft.com/office/drawing/2014/main" id="{24CC723A-9DF6-440D-B78F-228CE0775FA1}"/>
            </a:ext>
          </a:extLst>
        </xdr:cNvPr>
        <xdr:cNvSpPr/>
      </xdr:nvSpPr>
      <xdr:spPr>
        <a:xfrm rot="10800000">
          <a:off x="1133094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188</xdr:row>
      <xdr:rowOff>0</xdr:rowOff>
    </xdr:from>
    <xdr:to>
      <xdr:col>60</xdr:col>
      <xdr:colOff>83820</xdr:colOff>
      <xdr:row>188</xdr:row>
      <xdr:rowOff>114300</xdr:rowOff>
    </xdr:to>
    <xdr:sp macro="" textlink="">
      <xdr:nvSpPr>
        <xdr:cNvPr id="1319" name="Arrow: Down 1318">
          <a:extLst>
            <a:ext uri="{FF2B5EF4-FFF2-40B4-BE49-F238E27FC236}">
              <a16:creationId xmlns:a16="http://schemas.microsoft.com/office/drawing/2014/main" id="{1BE05BBF-13BF-4EF0-AD84-FE0D2D2DD7A2}"/>
            </a:ext>
          </a:extLst>
        </xdr:cNvPr>
        <xdr:cNvSpPr/>
      </xdr:nvSpPr>
      <xdr:spPr>
        <a:xfrm>
          <a:off x="1609344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188</xdr:row>
      <xdr:rowOff>0</xdr:rowOff>
    </xdr:from>
    <xdr:to>
      <xdr:col>39</xdr:col>
      <xdr:colOff>83820</xdr:colOff>
      <xdr:row>188</xdr:row>
      <xdr:rowOff>114300</xdr:rowOff>
    </xdr:to>
    <xdr:sp macro="" textlink="">
      <xdr:nvSpPr>
        <xdr:cNvPr id="1320" name="Arrow: Down 1319">
          <a:extLst>
            <a:ext uri="{FF2B5EF4-FFF2-40B4-BE49-F238E27FC236}">
              <a16:creationId xmlns:a16="http://schemas.microsoft.com/office/drawing/2014/main" id="{D1F55339-B887-4EB9-853E-A3F70FDE26D5}"/>
            </a:ext>
          </a:extLst>
        </xdr:cNvPr>
        <xdr:cNvSpPr/>
      </xdr:nvSpPr>
      <xdr:spPr>
        <a:xfrm rot="10800000">
          <a:off x="952500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188</xdr:row>
      <xdr:rowOff>0</xdr:rowOff>
    </xdr:from>
    <xdr:to>
      <xdr:col>24</xdr:col>
      <xdr:colOff>83820</xdr:colOff>
      <xdr:row>188</xdr:row>
      <xdr:rowOff>114300</xdr:rowOff>
    </xdr:to>
    <xdr:sp macro="" textlink="">
      <xdr:nvSpPr>
        <xdr:cNvPr id="1326" name="Arrow: Down 1325">
          <a:extLst>
            <a:ext uri="{FF2B5EF4-FFF2-40B4-BE49-F238E27FC236}">
              <a16:creationId xmlns:a16="http://schemas.microsoft.com/office/drawing/2014/main" id="{440843A8-8A28-46CA-8049-DC9E969C424E}"/>
            </a:ext>
          </a:extLst>
        </xdr:cNvPr>
        <xdr:cNvSpPr/>
      </xdr:nvSpPr>
      <xdr:spPr>
        <a:xfrm rot="10800000">
          <a:off x="636270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187</xdr:row>
      <xdr:rowOff>0</xdr:rowOff>
    </xdr:from>
    <xdr:to>
      <xdr:col>60</xdr:col>
      <xdr:colOff>83820</xdr:colOff>
      <xdr:row>187</xdr:row>
      <xdr:rowOff>114300</xdr:rowOff>
    </xdr:to>
    <xdr:sp macro="" textlink="">
      <xdr:nvSpPr>
        <xdr:cNvPr id="1327" name="Arrow: Down 1326">
          <a:extLst>
            <a:ext uri="{FF2B5EF4-FFF2-40B4-BE49-F238E27FC236}">
              <a16:creationId xmlns:a16="http://schemas.microsoft.com/office/drawing/2014/main" id="{0D2F68F5-27F2-4426-B1D6-C0B160A383DE}"/>
            </a:ext>
          </a:extLst>
        </xdr:cNvPr>
        <xdr:cNvSpPr/>
      </xdr:nvSpPr>
      <xdr:spPr>
        <a:xfrm rot="10800000">
          <a:off x="1609344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188</xdr:row>
      <xdr:rowOff>0</xdr:rowOff>
    </xdr:from>
    <xdr:to>
      <xdr:col>5</xdr:col>
      <xdr:colOff>83820</xdr:colOff>
      <xdr:row>188</xdr:row>
      <xdr:rowOff>114300</xdr:rowOff>
    </xdr:to>
    <xdr:sp macro="" textlink="">
      <xdr:nvSpPr>
        <xdr:cNvPr id="1328" name="Arrow: Down 1327">
          <a:extLst>
            <a:ext uri="{FF2B5EF4-FFF2-40B4-BE49-F238E27FC236}">
              <a16:creationId xmlns:a16="http://schemas.microsoft.com/office/drawing/2014/main" id="{0151764B-E3D7-474E-AB33-F08E28E474C2}"/>
            </a:ext>
          </a:extLst>
        </xdr:cNvPr>
        <xdr:cNvSpPr/>
      </xdr:nvSpPr>
      <xdr:spPr>
        <a:xfrm>
          <a:off x="192786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188</xdr:row>
      <xdr:rowOff>0</xdr:rowOff>
    </xdr:from>
    <xdr:to>
      <xdr:col>11</xdr:col>
      <xdr:colOff>83820</xdr:colOff>
      <xdr:row>188</xdr:row>
      <xdr:rowOff>114300</xdr:rowOff>
    </xdr:to>
    <xdr:sp macro="" textlink="">
      <xdr:nvSpPr>
        <xdr:cNvPr id="1329" name="Arrow: Down 1328">
          <a:extLst>
            <a:ext uri="{FF2B5EF4-FFF2-40B4-BE49-F238E27FC236}">
              <a16:creationId xmlns:a16="http://schemas.microsoft.com/office/drawing/2014/main" id="{20059EB3-C410-4253-B26B-C169953456B7}"/>
            </a:ext>
          </a:extLst>
        </xdr:cNvPr>
        <xdr:cNvSpPr/>
      </xdr:nvSpPr>
      <xdr:spPr>
        <a:xfrm>
          <a:off x="361950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189</xdr:row>
      <xdr:rowOff>0</xdr:rowOff>
    </xdr:from>
    <xdr:to>
      <xdr:col>71</xdr:col>
      <xdr:colOff>83820</xdr:colOff>
      <xdr:row>189</xdr:row>
      <xdr:rowOff>114300</xdr:rowOff>
    </xdr:to>
    <xdr:sp macro="" textlink="">
      <xdr:nvSpPr>
        <xdr:cNvPr id="1279" name="Arrow: Down 1278">
          <a:extLst>
            <a:ext uri="{FF2B5EF4-FFF2-40B4-BE49-F238E27FC236}">
              <a16:creationId xmlns:a16="http://schemas.microsoft.com/office/drawing/2014/main" id="{F5AD2A64-AFF9-4235-B8E2-7A89BBE8CED3}"/>
            </a:ext>
          </a:extLst>
        </xdr:cNvPr>
        <xdr:cNvSpPr/>
      </xdr:nvSpPr>
      <xdr:spPr>
        <a:xfrm>
          <a:off x="1840992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189</xdr:row>
      <xdr:rowOff>0</xdr:rowOff>
    </xdr:from>
    <xdr:to>
      <xdr:col>45</xdr:col>
      <xdr:colOff>83820</xdr:colOff>
      <xdr:row>189</xdr:row>
      <xdr:rowOff>114300</xdr:rowOff>
    </xdr:to>
    <xdr:sp macro="" textlink="">
      <xdr:nvSpPr>
        <xdr:cNvPr id="1280" name="Arrow: Down 1279">
          <a:extLst>
            <a:ext uri="{FF2B5EF4-FFF2-40B4-BE49-F238E27FC236}">
              <a16:creationId xmlns:a16="http://schemas.microsoft.com/office/drawing/2014/main" id="{34EE0DBD-DF1C-4F68-A8E0-CC05E6EA5C67}"/>
            </a:ext>
          </a:extLst>
        </xdr:cNvPr>
        <xdr:cNvSpPr/>
      </xdr:nvSpPr>
      <xdr:spPr>
        <a:xfrm rot="10800000">
          <a:off x="1133094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189</xdr:row>
      <xdr:rowOff>0</xdr:rowOff>
    </xdr:from>
    <xdr:to>
      <xdr:col>71</xdr:col>
      <xdr:colOff>83820</xdr:colOff>
      <xdr:row>189</xdr:row>
      <xdr:rowOff>114300</xdr:rowOff>
    </xdr:to>
    <xdr:sp macro="" textlink="">
      <xdr:nvSpPr>
        <xdr:cNvPr id="1281" name="Arrow: Down 1280">
          <a:extLst>
            <a:ext uri="{FF2B5EF4-FFF2-40B4-BE49-F238E27FC236}">
              <a16:creationId xmlns:a16="http://schemas.microsoft.com/office/drawing/2014/main" id="{4CE683F9-5591-4AEC-A663-B55C862A5DAC}"/>
            </a:ext>
          </a:extLst>
        </xdr:cNvPr>
        <xdr:cNvSpPr/>
      </xdr:nvSpPr>
      <xdr:spPr>
        <a:xfrm>
          <a:off x="1840992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189</xdr:row>
      <xdr:rowOff>0</xdr:rowOff>
    </xdr:from>
    <xdr:to>
      <xdr:col>45</xdr:col>
      <xdr:colOff>83820</xdr:colOff>
      <xdr:row>189</xdr:row>
      <xdr:rowOff>114300</xdr:rowOff>
    </xdr:to>
    <xdr:sp macro="" textlink="">
      <xdr:nvSpPr>
        <xdr:cNvPr id="1289" name="Arrow: Down 1288">
          <a:extLst>
            <a:ext uri="{FF2B5EF4-FFF2-40B4-BE49-F238E27FC236}">
              <a16:creationId xmlns:a16="http://schemas.microsoft.com/office/drawing/2014/main" id="{085F8844-0E8B-464F-B616-5F8929E78AD4}"/>
            </a:ext>
          </a:extLst>
        </xdr:cNvPr>
        <xdr:cNvSpPr/>
      </xdr:nvSpPr>
      <xdr:spPr>
        <a:xfrm rot="10800000">
          <a:off x="1133094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189</xdr:row>
      <xdr:rowOff>0</xdr:rowOff>
    </xdr:from>
    <xdr:to>
      <xdr:col>39</xdr:col>
      <xdr:colOff>83820</xdr:colOff>
      <xdr:row>189</xdr:row>
      <xdr:rowOff>114300</xdr:rowOff>
    </xdr:to>
    <xdr:sp macro="" textlink="">
      <xdr:nvSpPr>
        <xdr:cNvPr id="1321" name="Arrow: Down 1320">
          <a:extLst>
            <a:ext uri="{FF2B5EF4-FFF2-40B4-BE49-F238E27FC236}">
              <a16:creationId xmlns:a16="http://schemas.microsoft.com/office/drawing/2014/main" id="{91ABD96E-B48E-43E0-80CB-909D2A647508}"/>
            </a:ext>
          </a:extLst>
        </xdr:cNvPr>
        <xdr:cNvSpPr/>
      </xdr:nvSpPr>
      <xdr:spPr>
        <a:xfrm rot="10800000">
          <a:off x="952500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189</xdr:row>
      <xdr:rowOff>0</xdr:rowOff>
    </xdr:from>
    <xdr:to>
      <xdr:col>11</xdr:col>
      <xdr:colOff>83820</xdr:colOff>
      <xdr:row>189</xdr:row>
      <xdr:rowOff>114300</xdr:rowOff>
    </xdr:to>
    <xdr:sp macro="" textlink="">
      <xdr:nvSpPr>
        <xdr:cNvPr id="1339" name="Arrow: Down 1338">
          <a:extLst>
            <a:ext uri="{FF2B5EF4-FFF2-40B4-BE49-F238E27FC236}">
              <a16:creationId xmlns:a16="http://schemas.microsoft.com/office/drawing/2014/main" id="{4DD576E1-CC43-449B-A5AB-A469523B3EE0}"/>
            </a:ext>
          </a:extLst>
        </xdr:cNvPr>
        <xdr:cNvSpPr/>
      </xdr:nvSpPr>
      <xdr:spPr>
        <a:xfrm rot="10800000">
          <a:off x="361950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189</xdr:row>
      <xdr:rowOff>0</xdr:rowOff>
    </xdr:from>
    <xdr:to>
      <xdr:col>5</xdr:col>
      <xdr:colOff>83820</xdr:colOff>
      <xdr:row>189</xdr:row>
      <xdr:rowOff>114300</xdr:rowOff>
    </xdr:to>
    <xdr:sp macro="" textlink="">
      <xdr:nvSpPr>
        <xdr:cNvPr id="1340" name="Arrow: Down 1339">
          <a:extLst>
            <a:ext uri="{FF2B5EF4-FFF2-40B4-BE49-F238E27FC236}">
              <a16:creationId xmlns:a16="http://schemas.microsoft.com/office/drawing/2014/main" id="{B0860EFE-46D1-4792-B5DD-E138EFFE743A}"/>
            </a:ext>
          </a:extLst>
        </xdr:cNvPr>
        <xdr:cNvSpPr/>
      </xdr:nvSpPr>
      <xdr:spPr>
        <a:xfrm rot="10800000">
          <a:off x="192786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189</xdr:row>
      <xdr:rowOff>0</xdr:rowOff>
    </xdr:from>
    <xdr:to>
      <xdr:col>24</xdr:col>
      <xdr:colOff>83820</xdr:colOff>
      <xdr:row>189</xdr:row>
      <xdr:rowOff>114300</xdr:rowOff>
    </xdr:to>
    <xdr:sp macro="" textlink="">
      <xdr:nvSpPr>
        <xdr:cNvPr id="1344" name="Arrow: Down 1343">
          <a:extLst>
            <a:ext uri="{FF2B5EF4-FFF2-40B4-BE49-F238E27FC236}">
              <a16:creationId xmlns:a16="http://schemas.microsoft.com/office/drawing/2014/main" id="{E8E5788A-D4B0-49EB-B1DA-97571CCA0104}"/>
            </a:ext>
          </a:extLst>
        </xdr:cNvPr>
        <xdr:cNvSpPr/>
      </xdr:nvSpPr>
      <xdr:spPr>
        <a:xfrm>
          <a:off x="636270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189</xdr:row>
      <xdr:rowOff>0</xdr:rowOff>
    </xdr:from>
    <xdr:to>
      <xdr:col>60</xdr:col>
      <xdr:colOff>83820</xdr:colOff>
      <xdr:row>189</xdr:row>
      <xdr:rowOff>114300</xdr:rowOff>
    </xdr:to>
    <xdr:sp macro="" textlink="">
      <xdr:nvSpPr>
        <xdr:cNvPr id="1345" name="Arrow: Down 1344">
          <a:extLst>
            <a:ext uri="{FF2B5EF4-FFF2-40B4-BE49-F238E27FC236}">
              <a16:creationId xmlns:a16="http://schemas.microsoft.com/office/drawing/2014/main" id="{8C969F08-6DCE-4056-9066-285137E7830C}"/>
            </a:ext>
          </a:extLst>
        </xdr:cNvPr>
        <xdr:cNvSpPr/>
      </xdr:nvSpPr>
      <xdr:spPr>
        <a:xfrm rot="10800000">
          <a:off x="1609344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190</xdr:row>
      <xdr:rowOff>0</xdr:rowOff>
    </xdr:from>
    <xdr:to>
      <xdr:col>71</xdr:col>
      <xdr:colOff>83820</xdr:colOff>
      <xdr:row>190</xdr:row>
      <xdr:rowOff>114300</xdr:rowOff>
    </xdr:to>
    <xdr:sp macro="" textlink="">
      <xdr:nvSpPr>
        <xdr:cNvPr id="1346" name="Arrow: Down 1345">
          <a:extLst>
            <a:ext uri="{FF2B5EF4-FFF2-40B4-BE49-F238E27FC236}">
              <a16:creationId xmlns:a16="http://schemas.microsoft.com/office/drawing/2014/main" id="{141D9F04-3A3F-497A-A4A6-A444F6761A2E}"/>
            </a:ext>
          </a:extLst>
        </xdr:cNvPr>
        <xdr:cNvSpPr/>
      </xdr:nvSpPr>
      <xdr:spPr>
        <a:xfrm>
          <a:off x="1840992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190</xdr:row>
      <xdr:rowOff>0</xdr:rowOff>
    </xdr:from>
    <xdr:to>
      <xdr:col>45</xdr:col>
      <xdr:colOff>83820</xdr:colOff>
      <xdr:row>190</xdr:row>
      <xdr:rowOff>114300</xdr:rowOff>
    </xdr:to>
    <xdr:sp macro="" textlink="">
      <xdr:nvSpPr>
        <xdr:cNvPr id="1347" name="Arrow: Down 1346">
          <a:extLst>
            <a:ext uri="{FF2B5EF4-FFF2-40B4-BE49-F238E27FC236}">
              <a16:creationId xmlns:a16="http://schemas.microsoft.com/office/drawing/2014/main" id="{A18B8E6E-8D4A-4639-A9E4-686598A58AE1}"/>
            </a:ext>
          </a:extLst>
        </xdr:cNvPr>
        <xdr:cNvSpPr/>
      </xdr:nvSpPr>
      <xdr:spPr>
        <a:xfrm rot="10800000">
          <a:off x="1133094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190</xdr:row>
      <xdr:rowOff>0</xdr:rowOff>
    </xdr:from>
    <xdr:to>
      <xdr:col>71</xdr:col>
      <xdr:colOff>83820</xdr:colOff>
      <xdr:row>190</xdr:row>
      <xdr:rowOff>114300</xdr:rowOff>
    </xdr:to>
    <xdr:sp macro="" textlink="">
      <xdr:nvSpPr>
        <xdr:cNvPr id="1349" name="Arrow: Down 1348">
          <a:extLst>
            <a:ext uri="{FF2B5EF4-FFF2-40B4-BE49-F238E27FC236}">
              <a16:creationId xmlns:a16="http://schemas.microsoft.com/office/drawing/2014/main" id="{EA5A6CC0-8DF4-4FBB-B780-A8CC58B911FF}"/>
            </a:ext>
          </a:extLst>
        </xdr:cNvPr>
        <xdr:cNvSpPr/>
      </xdr:nvSpPr>
      <xdr:spPr>
        <a:xfrm>
          <a:off x="1840992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190</xdr:row>
      <xdr:rowOff>0</xdr:rowOff>
    </xdr:from>
    <xdr:to>
      <xdr:col>45</xdr:col>
      <xdr:colOff>83820</xdr:colOff>
      <xdr:row>190</xdr:row>
      <xdr:rowOff>114300</xdr:rowOff>
    </xdr:to>
    <xdr:sp macro="" textlink="">
      <xdr:nvSpPr>
        <xdr:cNvPr id="1357" name="Arrow: Down 1356">
          <a:extLst>
            <a:ext uri="{FF2B5EF4-FFF2-40B4-BE49-F238E27FC236}">
              <a16:creationId xmlns:a16="http://schemas.microsoft.com/office/drawing/2014/main" id="{072DE80E-E2CF-4293-B0DE-1F924EB54F48}"/>
            </a:ext>
          </a:extLst>
        </xdr:cNvPr>
        <xdr:cNvSpPr/>
      </xdr:nvSpPr>
      <xdr:spPr>
        <a:xfrm rot="10800000">
          <a:off x="1133094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190</xdr:row>
      <xdr:rowOff>0</xdr:rowOff>
    </xdr:from>
    <xdr:to>
      <xdr:col>11</xdr:col>
      <xdr:colOff>83820</xdr:colOff>
      <xdr:row>190</xdr:row>
      <xdr:rowOff>114300</xdr:rowOff>
    </xdr:to>
    <xdr:sp macro="" textlink="">
      <xdr:nvSpPr>
        <xdr:cNvPr id="1362" name="Arrow: Down 1361">
          <a:extLst>
            <a:ext uri="{FF2B5EF4-FFF2-40B4-BE49-F238E27FC236}">
              <a16:creationId xmlns:a16="http://schemas.microsoft.com/office/drawing/2014/main" id="{D264ACE2-BE42-430A-A96A-22AA81888017}"/>
            </a:ext>
          </a:extLst>
        </xdr:cNvPr>
        <xdr:cNvSpPr/>
      </xdr:nvSpPr>
      <xdr:spPr>
        <a:xfrm rot="10800000">
          <a:off x="361950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190</xdr:row>
      <xdr:rowOff>0</xdr:rowOff>
    </xdr:from>
    <xdr:to>
      <xdr:col>5</xdr:col>
      <xdr:colOff>83820</xdr:colOff>
      <xdr:row>190</xdr:row>
      <xdr:rowOff>114300</xdr:rowOff>
    </xdr:to>
    <xdr:sp macro="" textlink="">
      <xdr:nvSpPr>
        <xdr:cNvPr id="1363" name="Arrow: Down 1362">
          <a:extLst>
            <a:ext uri="{FF2B5EF4-FFF2-40B4-BE49-F238E27FC236}">
              <a16:creationId xmlns:a16="http://schemas.microsoft.com/office/drawing/2014/main" id="{425DE884-F368-4536-ACB1-98FDBA0DB8AA}"/>
            </a:ext>
          </a:extLst>
        </xdr:cNvPr>
        <xdr:cNvSpPr/>
      </xdr:nvSpPr>
      <xdr:spPr>
        <a:xfrm rot="10800000">
          <a:off x="192786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190</xdr:row>
      <xdr:rowOff>0</xdr:rowOff>
    </xdr:from>
    <xdr:to>
      <xdr:col>24</xdr:col>
      <xdr:colOff>83820</xdr:colOff>
      <xdr:row>190</xdr:row>
      <xdr:rowOff>114300</xdr:rowOff>
    </xdr:to>
    <xdr:sp macro="" textlink="">
      <xdr:nvSpPr>
        <xdr:cNvPr id="1367" name="Arrow: Down 1366">
          <a:extLst>
            <a:ext uri="{FF2B5EF4-FFF2-40B4-BE49-F238E27FC236}">
              <a16:creationId xmlns:a16="http://schemas.microsoft.com/office/drawing/2014/main" id="{7CB5975A-2933-4AB7-BD97-F64E22CBD42F}"/>
            </a:ext>
          </a:extLst>
        </xdr:cNvPr>
        <xdr:cNvSpPr/>
      </xdr:nvSpPr>
      <xdr:spPr>
        <a:xfrm>
          <a:off x="636270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190</xdr:row>
      <xdr:rowOff>0</xdr:rowOff>
    </xdr:from>
    <xdr:to>
      <xdr:col>39</xdr:col>
      <xdr:colOff>83820</xdr:colOff>
      <xdr:row>190</xdr:row>
      <xdr:rowOff>114300</xdr:rowOff>
    </xdr:to>
    <xdr:sp macro="" textlink="">
      <xdr:nvSpPr>
        <xdr:cNvPr id="1323" name="Arrow: Down 1322">
          <a:extLst>
            <a:ext uri="{FF2B5EF4-FFF2-40B4-BE49-F238E27FC236}">
              <a16:creationId xmlns:a16="http://schemas.microsoft.com/office/drawing/2014/main" id="{8DD57977-6E0B-4E4C-8093-3C7E9D5A63E1}"/>
            </a:ext>
          </a:extLst>
        </xdr:cNvPr>
        <xdr:cNvSpPr/>
      </xdr:nvSpPr>
      <xdr:spPr>
        <a:xfrm>
          <a:off x="9525000" y="348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190</xdr:row>
      <xdr:rowOff>0</xdr:rowOff>
    </xdr:from>
    <xdr:to>
      <xdr:col>60</xdr:col>
      <xdr:colOff>83820</xdr:colOff>
      <xdr:row>190</xdr:row>
      <xdr:rowOff>114300</xdr:rowOff>
    </xdr:to>
    <xdr:sp macro="" textlink="">
      <xdr:nvSpPr>
        <xdr:cNvPr id="1337" name="Arrow: Down 1336">
          <a:extLst>
            <a:ext uri="{FF2B5EF4-FFF2-40B4-BE49-F238E27FC236}">
              <a16:creationId xmlns:a16="http://schemas.microsoft.com/office/drawing/2014/main" id="{6933E24F-4461-40C9-BAD3-ED01BCCB4FDC}"/>
            </a:ext>
          </a:extLst>
        </xdr:cNvPr>
        <xdr:cNvSpPr/>
      </xdr:nvSpPr>
      <xdr:spPr>
        <a:xfrm>
          <a:off x="160934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191</xdr:row>
      <xdr:rowOff>0</xdr:rowOff>
    </xdr:from>
    <xdr:to>
      <xdr:col>11</xdr:col>
      <xdr:colOff>83820</xdr:colOff>
      <xdr:row>191</xdr:row>
      <xdr:rowOff>114300</xdr:rowOff>
    </xdr:to>
    <xdr:sp macro="" textlink="">
      <xdr:nvSpPr>
        <xdr:cNvPr id="1372" name="Arrow: Down 1371">
          <a:extLst>
            <a:ext uri="{FF2B5EF4-FFF2-40B4-BE49-F238E27FC236}">
              <a16:creationId xmlns:a16="http://schemas.microsoft.com/office/drawing/2014/main" id="{7EDF0788-6EE6-4EE7-A6EF-C227115A79D7}"/>
            </a:ext>
          </a:extLst>
        </xdr:cNvPr>
        <xdr:cNvSpPr/>
      </xdr:nvSpPr>
      <xdr:spPr>
        <a:xfrm rot="10800000">
          <a:off x="3619500" y="348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191</xdr:row>
      <xdr:rowOff>0</xdr:rowOff>
    </xdr:from>
    <xdr:to>
      <xdr:col>71</xdr:col>
      <xdr:colOff>83820</xdr:colOff>
      <xdr:row>191</xdr:row>
      <xdr:rowOff>114300</xdr:rowOff>
    </xdr:to>
    <xdr:sp macro="" textlink="">
      <xdr:nvSpPr>
        <xdr:cNvPr id="1377" name="Arrow: Down 1376">
          <a:extLst>
            <a:ext uri="{FF2B5EF4-FFF2-40B4-BE49-F238E27FC236}">
              <a16:creationId xmlns:a16="http://schemas.microsoft.com/office/drawing/2014/main" id="{2B780AE0-9116-41B4-B273-17B0245ECBC5}"/>
            </a:ext>
          </a:extLst>
        </xdr:cNvPr>
        <xdr:cNvSpPr/>
      </xdr:nvSpPr>
      <xdr:spPr>
        <a:xfrm>
          <a:off x="1840992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191</xdr:row>
      <xdr:rowOff>0</xdr:rowOff>
    </xdr:from>
    <xdr:to>
      <xdr:col>45</xdr:col>
      <xdr:colOff>83820</xdr:colOff>
      <xdr:row>191</xdr:row>
      <xdr:rowOff>114300</xdr:rowOff>
    </xdr:to>
    <xdr:sp macro="" textlink="">
      <xdr:nvSpPr>
        <xdr:cNvPr id="1378" name="Arrow: Down 1377">
          <a:extLst>
            <a:ext uri="{FF2B5EF4-FFF2-40B4-BE49-F238E27FC236}">
              <a16:creationId xmlns:a16="http://schemas.microsoft.com/office/drawing/2014/main" id="{1D69156C-58C5-4A59-9B35-13B774DEFE3E}"/>
            </a:ext>
          </a:extLst>
        </xdr:cNvPr>
        <xdr:cNvSpPr/>
      </xdr:nvSpPr>
      <xdr:spPr>
        <a:xfrm rot="10800000">
          <a:off x="113309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191</xdr:row>
      <xdr:rowOff>0</xdr:rowOff>
    </xdr:from>
    <xdr:to>
      <xdr:col>71</xdr:col>
      <xdr:colOff>83820</xdr:colOff>
      <xdr:row>191</xdr:row>
      <xdr:rowOff>114300</xdr:rowOff>
    </xdr:to>
    <xdr:sp macro="" textlink="">
      <xdr:nvSpPr>
        <xdr:cNvPr id="1379" name="Arrow: Down 1378">
          <a:extLst>
            <a:ext uri="{FF2B5EF4-FFF2-40B4-BE49-F238E27FC236}">
              <a16:creationId xmlns:a16="http://schemas.microsoft.com/office/drawing/2014/main" id="{DA4C2536-3751-4333-9AF9-96FA0FA75A61}"/>
            </a:ext>
          </a:extLst>
        </xdr:cNvPr>
        <xdr:cNvSpPr/>
      </xdr:nvSpPr>
      <xdr:spPr>
        <a:xfrm>
          <a:off x="1840992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191</xdr:row>
      <xdr:rowOff>0</xdr:rowOff>
    </xdr:from>
    <xdr:to>
      <xdr:col>45</xdr:col>
      <xdr:colOff>83820</xdr:colOff>
      <xdr:row>191</xdr:row>
      <xdr:rowOff>114300</xdr:rowOff>
    </xdr:to>
    <xdr:sp macro="" textlink="">
      <xdr:nvSpPr>
        <xdr:cNvPr id="1382" name="Arrow: Down 1381">
          <a:extLst>
            <a:ext uri="{FF2B5EF4-FFF2-40B4-BE49-F238E27FC236}">
              <a16:creationId xmlns:a16="http://schemas.microsoft.com/office/drawing/2014/main" id="{7BE252DA-F02E-4E6E-8469-8A4EA9F538C7}"/>
            </a:ext>
          </a:extLst>
        </xdr:cNvPr>
        <xdr:cNvSpPr/>
      </xdr:nvSpPr>
      <xdr:spPr>
        <a:xfrm rot="10800000">
          <a:off x="113309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191</xdr:row>
      <xdr:rowOff>0</xdr:rowOff>
    </xdr:from>
    <xdr:to>
      <xdr:col>11</xdr:col>
      <xdr:colOff>83820</xdr:colOff>
      <xdr:row>191</xdr:row>
      <xdr:rowOff>114300</xdr:rowOff>
    </xdr:to>
    <xdr:sp macro="" textlink="">
      <xdr:nvSpPr>
        <xdr:cNvPr id="1383" name="Arrow: Down 1382">
          <a:extLst>
            <a:ext uri="{FF2B5EF4-FFF2-40B4-BE49-F238E27FC236}">
              <a16:creationId xmlns:a16="http://schemas.microsoft.com/office/drawing/2014/main" id="{0636F7AF-1516-4FC7-A4A0-70C4113D8211}"/>
            </a:ext>
          </a:extLst>
        </xdr:cNvPr>
        <xdr:cNvSpPr/>
      </xdr:nvSpPr>
      <xdr:spPr>
        <a:xfrm rot="10800000">
          <a:off x="3619500" y="348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191</xdr:row>
      <xdr:rowOff>0</xdr:rowOff>
    </xdr:from>
    <xdr:to>
      <xdr:col>60</xdr:col>
      <xdr:colOff>83820</xdr:colOff>
      <xdr:row>191</xdr:row>
      <xdr:rowOff>114300</xdr:rowOff>
    </xdr:to>
    <xdr:sp macro="" textlink="">
      <xdr:nvSpPr>
        <xdr:cNvPr id="1388" name="Arrow: Down 1387">
          <a:extLst>
            <a:ext uri="{FF2B5EF4-FFF2-40B4-BE49-F238E27FC236}">
              <a16:creationId xmlns:a16="http://schemas.microsoft.com/office/drawing/2014/main" id="{7E2183F0-5FA3-456C-967B-326314847C1A}"/>
            </a:ext>
          </a:extLst>
        </xdr:cNvPr>
        <xdr:cNvSpPr/>
      </xdr:nvSpPr>
      <xdr:spPr>
        <a:xfrm>
          <a:off x="160934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191</xdr:row>
      <xdr:rowOff>0</xdr:rowOff>
    </xdr:from>
    <xdr:to>
      <xdr:col>39</xdr:col>
      <xdr:colOff>83820</xdr:colOff>
      <xdr:row>191</xdr:row>
      <xdr:rowOff>114300</xdr:rowOff>
    </xdr:to>
    <xdr:sp macro="" textlink="">
      <xdr:nvSpPr>
        <xdr:cNvPr id="1390" name="Arrow: Down 1389">
          <a:extLst>
            <a:ext uri="{FF2B5EF4-FFF2-40B4-BE49-F238E27FC236}">
              <a16:creationId xmlns:a16="http://schemas.microsoft.com/office/drawing/2014/main" id="{F3D00C1D-9EF5-40E8-AF86-C8198F6EFCFC}"/>
            </a:ext>
          </a:extLst>
        </xdr:cNvPr>
        <xdr:cNvSpPr/>
      </xdr:nvSpPr>
      <xdr:spPr>
        <a:xfrm rot="10800000">
          <a:off x="952500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191</xdr:row>
      <xdr:rowOff>0</xdr:rowOff>
    </xdr:from>
    <xdr:to>
      <xdr:col>24</xdr:col>
      <xdr:colOff>83820</xdr:colOff>
      <xdr:row>191</xdr:row>
      <xdr:rowOff>114300</xdr:rowOff>
    </xdr:to>
    <xdr:sp macro="" textlink="">
      <xdr:nvSpPr>
        <xdr:cNvPr id="1391" name="Arrow: Down 1390">
          <a:extLst>
            <a:ext uri="{FF2B5EF4-FFF2-40B4-BE49-F238E27FC236}">
              <a16:creationId xmlns:a16="http://schemas.microsoft.com/office/drawing/2014/main" id="{668DC9C0-8B12-4484-AFD0-825BCEB007BA}"/>
            </a:ext>
          </a:extLst>
        </xdr:cNvPr>
        <xdr:cNvSpPr/>
      </xdr:nvSpPr>
      <xdr:spPr>
        <a:xfrm rot="10800000">
          <a:off x="6362700" y="3502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192</xdr:row>
      <xdr:rowOff>0</xdr:rowOff>
    </xdr:from>
    <xdr:to>
      <xdr:col>71</xdr:col>
      <xdr:colOff>83820</xdr:colOff>
      <xdr:row>192</xdr:row>
      <xdr:rowOff>114300</xdr:rowOff>
    </xdr:to>
    <xdr:sp macro="" textlink="">
      <xdr:nvSpPr>
        <xdr:cNvPr id="1394" name="Arrow: Down 1393">
          <a:extLst>
            <a:ext uri="{FF2B5EF4-FFF2-40B4-BE49-F238E27FC236}">
              <a16:creationId xmlns:a16="http://schemas.microsoft.com/office/drawing/2014/main" id="{C02F5A6F-14B8-4C6F-8653-E71FF66D7B44}"/>
            </a:ext>
          </a:extLst>
        </xdr:cNvPr>
        <xdr:cNvSpPr/>
      </xdr:nvSpPr>
      <xdr:spPr>
        <a:xfrm>
          <a:off x="1840992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192</xdr:row>
      <xdr:rowOff>0</xdr:rowOff>
    </xdr:from>
    <xdr:to>
      <xdr:col>45</xdr:col>
      <xdr:colOff>83820</xdr:colOff>
      <xdr:row>192</xdr:row>
      <xdr:rowOff>114300</xdr:rowOff>
    </xdr:to>
    <xdr:sp macro="" textlink="">
      <xdr:nvSpPr>
        <xdr:cNvPr id="1395" name="Arrow: Down 1394">
          <a:extLst>
            <a:ext uri="{FF2B5EF4-FFF2-40B4-BE49-F238E27FC236}">
              <a16:creationId xmlns:a16="http://schemas.microsoft.com/office/drawing/2014/main" id="{92410203-CD65-45ED-BCAD-C3ABAF1C4FB4}"/>
            </a:ext>
          </a:extLst>
        </xdr:cNvPr>
        <xdr:cNvSpPr/>
      </xdr:nvSpPr>
      <xdr:spPr>
        <a:xfrm rot="10800000">
          <a:off x="1133094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192</xdr:row>
      <xdr:rowOff>0</xdr:rowOff>
    </xdr:from>
    <xdr:to>
      <xdr:col>71</xdr:col>
      <xdr:colOff>83820</xdr:colOff>
      <xdr:row>192</xdr:row>
      <xdr:rowOff>114300</xdr:rowOff>
    </xdr:to>
    <xdr:sp macro="" textlink="">
      <xdr:nvSpPr>
        <xdr:cNvPr id="1396" name="Arrow: Down 1395">
          <a:extLst>
            <a:ext uri="{FF2B5EF4-FFF2-40B4-BE49-F238E27FC236}">
              <a16:creationId xmlns:a16="http://schemas.microsoft.com/office/drawing/2014/main" id="{BBBE952D-1FCD-4F31-95DA-25DB0634DEF2}"/>
            </a:ext>
          </a:extLst>
        </xdr:cNvPr>
        <xdr:cNvSpPr/>
      </xdr:nvSpPr>
      <xdr:spPr>
        <a:xfrm>
          <a:off x="1840992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192</xdr:row>
      <xdr:rowOff>0</xdr:rowOff>
    </xdr:from>
    <xdr:to>
      <xdr:col>45</xdr:col>
      <xdr:colOff>83820</xdr:colOff>
      <xdr:row>192</xdr:row>
      <xdr:rowOff>114300</xdr:rowOff>
    </xdr:to>
    <xdr:sp macro="" textlink="">
      <xdr:nvSpPr>
        <xdr:cNvPr id="1397" name="Arrow: Down 1396">
          <a:extLst>
            <a:ext uri="{FF2B5EF4-FFF2-40B4-BE49-F238E27FC236}">
              <a16:creationId xmlns:a16="http://schemas.microsoft.com/office/drawing/2014/main" id="{A8E190F9-2DC9-42DF-9AFC-AFCE822ADBB6}"/>
            </a:ext>
          </a:extLst>
        </xdr:cNvPr>
        <xdr:cNvSpPr/>
      </xdr:nvSpPr>
      <xdr:spPr>
        <a:xfrm rot="10800000">
          <a:off x="1133094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192</xdr:row>
      <xdr:rowOff>0</xdr:rowOff>
    </xdr:from>
    <xdr:to>
      <xdr:col>60</xdr:col>
      <xdr:colOff>83820</xdr:colOff>
      <xdr:row>192</xdr:row>
      <xdr:rowOff>114300</xdr:rowOff>
    </xdr:to>
    <xdr:sp macro="" textlink="">
      <xdr:nvSpPr>
        <xdr:cNvPr id="1400" name="Arrow: Down 1399">
          <a:extLst>
            <a:ext uri="{FF2B5EF4-FFF2-40B4-BE49-F238E27FC236}">
              <a16:creationId xmlns:a16="http://schemas.microsoft.com/office/drawing/2014/main" id="{CCEDB59A-8189-45D5-97C7-5951AEC63437}"/>
            </a:ext>
          </a:extLst>
        </xdr:cNvPr>
        <xdr:cNvSpPr/>
      </xdr:nvSpPr>
      <xdr:spPr>
        <a:xfrm>
          <a:off x="1609344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192</xdr:row>
      <xdr:rowOff>0</xdr:rowOff>
    </xdr:from>
    <xdr:to>
      <xdr:col>39</xdr:col>
      <xdr:colOff>83820</xdr:colOff>
      <xdr:row>192</xdr:row>
      <xdr:rowOff>114300</xdr:rowOff>
    </xdr:to>
    <xdr:sp macro="" textlink="">
      <xdr:nvSpPr>
        <xdr:cNvPr id="1403" name="Arrow: Down 1402">
          <a:extLst>
            <a:ext uri="{FF2B5EF4-FFF2-40B4-BE49-F238E27FC236}">
              <a16:creationId xmlns:a16="http://schemas.microsoft.com/office/drawing/2014/main" id="{A729CCC1-2BA5-4A9C-9E4E-EC701F3B037C}"/>
            </a:ext>
          </a:extLst>
        </xdr:cNvPr>
        <xdr:cNvSpPr/>
      </xdr:nvSpPr>
      <xdr:spPr>
        <a:xfrm>
          <a:off x="9525000" y="3521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192</xdr:row>
      <xdr:rowOff>0</xdr:rowOff>
    </xdr:from>
    <xdr:to>
      <xdr:col>24</xdr:col>
      <xdr:colOff>83820</xdr:colOff>
      <xdr:row>192</xdr:row>
      <xdr:rowOff>114300</xdr:rowOff>
    </xdr:to>
    <xdr:sp macro="" textlink="">
      <xdr:nvSpPr>
        <xdr:cNvPr id="1404" name="Arrow: Down 1403">
          <a:extLst>
            <a:ext uri="{FF2B5EF4-FFF2-40B4-BE49-F238E27FC236}">
              <a16:creationId xmlns:a16="http://schemas.microsoft.com/office/drawing/2014/main" id="{79E4909F-3996-44EA-91EE-119E97A5B126}"/>
            </a:ext>
          </a:extLst>
        </xdr:cNvPr>
        <xdr:cNvSpPr/>
      </xdr:nvSpPr>
      <xdr:spPr>
        <a:xfrm>
          <a:off x="63627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192</xdr:row>
      <xdr:rowOff>0</xdr:rowOff>
    </xdr:from>
    <xdr:to>
      <xdr:col>11</xdr:col>
      <xdr:colOff>83820</xdr:colOff>
      <xdr:row>192</xdr:row>
      <xdr:rowOff>114300</xdr:rowOff>
    </xdr:to>
    <xdr:sp macro="" textlink="">
      <xdr:nvSpPr>
        <xdr:cNvPr id="1405" name="Arrow: Down 1404">
          <a:extLst>
            <a:ext uri="{FF2B5EF4-FFF2-40B4-BE49-F238E27FC236}">
              <a16:creationId xmlns:a16="http://schemas.microsoft.com/office/drawing/2014/main" id="{5702541E-D9B1-4C9A-887C-4D65DAE12B56}"/>
            </a:ext>
          </a:extLst>
        </xdr:cNvPr>
        <xdr:cNvSpPr/>
      </xdr:nvSpPr>
      <xdr:spPr>
        <a:xfrm>
          <a:off x="36195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192</xdr:row>
      <xdr:rowOff>0</xdr:rowOff>
    </xdr:from>
    <xdr:to>
      <xdr:col>5</xdr:col>
      <xdr:colOff>83820</xdr:colOff>
      <xdr:row>192</xdr:row>
      <xdr:rowOff>114300</xdr:rowOff>
    </xdr:to>
    <xdr:sp macro="" textlink="">
      <xdr:nvSpPr>
        <xdr:cNvPr id="1406" name="Arrow: Down 1405">
          <a:extLst>
            <a:ext uri="{FF2B5EF4-FFF2-40B4-BE49-F238E27FC236}">
              <a16:creationId xmlns:a16="http://schemas.microsoft.com/office/drawing/2014/main" id="{C37084FB-8028-4668-A014-C0FEC0A940CE}"/>
            </a:ext>
          </a:extLst>
        </xdr:cNvPr>
        <xdr:cNvSpPr/>
      </xdr:nvSpPr>
      <xdr:spPr>
        <a:xfrm>
          <a:off x="192786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191</xdr:row>
      <xdr:rowOff>0</xdr:rowOff>
    </xdr:from>
    <xdr:to>
      <xdr:col>5</xdr:col>
      <xdr:colOff>83820</xdr:colOff>
      <xdr:row>191</xdr:row>
      <xdr:rowOff>114300</xdr:rowOff>
    </xdr:to>
    <xdr:sp macro="" textlink="">
      <xdr:nvSpPr>
        <xdr:cNvPr id="1407" name="Arrow: Down 1406">
          <a:extLst>
            <a:ext uri="{FF2B5EF4-FFF2-40B4-BE49-F238E27FC236}">
              <a16:creationId xmlns:a16="http://schemas.microsoft.com/office/drawing/2014/main" id="{06B7204D-EC0A-4BCB-92DB-BF2D720A8DA1}"/>
            </a:ext>
          </a:extLst>
        </xdr:cNvPr>
        <xdr:cNvSpPr/>
      </xdr:nvSpPr>
      <xdr:spPr>
        <a:xfrm rot="10800000">
          <a:off x="1927860" y="3502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193</xdr:row>
      <xdr:rowOff>0</xdr:rowOff>
    </xdr:from>
    <xdr:to>
      <xdr:col>11</xdr:col>
      <xdr:colOff>83820</xdr:colOff>
      <xdr:row>193</xdr:row>
      <xdr:rowOff>114300</xdr:rowOff>
    </xdr:to>
    <xdr:sp macro="" textlink="">
      <xdr:nvSpPr>
        <xdr:cNvPr id="1408" name="Arrow: Down 1407">
          <a:extLst>
            <a:ext uri="{FF2B5EF4-FFF2-40B4-BE49-F238E27FC236}">
              <a16:creationId xmlns:a16="http://schemas.microsoft.com/office/drawing/2014/main" id="{0F84E102-E9D0-49C4-AACD-B9E127083A66}"/>
            </a:ext>
          </a:extLst>
        </xdr:cNvPr>
        <xdr:cNvSpPr/>
      </xdr:nvSpPr>
      <xdr:spPr>
        <a:xfrm>
          <a:off x="36195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193</xdr:row>
      <xdr:rowOff>0</xdr:rowOff>
    </xdr:from>
    <xdr:to>
      <xdr:col>5</xdr:col>
      <xdr:colOff>83820</xdr:colOff>
      <xdr:row>193</xdr:row>
      <xdr:rowOff>114300</xdr:rowOff>
    </xdr:to>
    <xdr:sp macro="" textlink="">
      <xdr:nvSpPr>
        <xdr:cNvPr id="1409" name="Arrow: Down 1408">
          <a:extLst>
            <a:ext uri="{FF2B5EF4-FFF2-40B4-BE49-F238E27FC236}">
              <a16:creationId xmlns:a16="http://schemas.microsoft.com/office/drawing/2014/main" id="{39EE4EE9-8585-4D03-AC2D-B340719AC254}"/>
            </a:ext>
          </a:extLst>
        </xdr:cNvPr>
        <xdr:cNvSpPr/>
      </xdr:nvSpPr>
      <xdr:spPr>
        <a:xfrm>
          <a:off x="192786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193</xdr:row>
      <xdr:rowOff>0</xdr:rowOff>
    </xdr:from>
    <xdr:to>
      <xdr:col>71</xdr:col>
      <xdr:colOff>83820</xdr:colOff>
      <xdr:row>193</xdr:row>
      <xdr:rowOff>114300</xdr:rowOff>
    </xdr:to>
    <xdr:sp macro="" textlink="">
      <xdr:nvSpPr>
        <xdr:cNvPr id="1336" name="Arrow: Down 1335">
          <a:extLst>
            <a:ext uri="{FF2B5EF4-FFF2-40B4-BE49-F238E27FC236}">
              <a16:creationId xmlns:a16="http://schemas.microsoft.com/office/drawing/2014/main" id="{7CF104BA-129D-4076-8A65-C11320AA39F4}"/>
            </a:ext>
          </a:extLst>
        </xdr:cNvPr>
        <xdr:cNvSpPr/>
      </xdr:nvSpPr>
      <xdr:spPr>
        <a:xfrm>
          <a:off x="1840992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193</xdr:row>
      <xdr:rowOff>0</xdr:rowOff>
    </xdr:from>
    <xdr:to>
      <xdr:col>45</xdr:col>
      <xdr:colOff>83820</xdr:colOff>
      <xdr:row>193</xdr:row>
      <xdr:rowOff>114300</xdr:rowOff>
    </xdr:to>
    <xdr:sp macro="" textlink="">
      <xdr:nvSpPr>
        <xdr:cNvPr id="1358" name="Arrow: Down 1357">
          <a:extLst>
            <a:ext uri="{FF2B5EF4-FFF2-40B4-BE49-F238E27FC236}">
              <a16:creationId xmlns:a16="http://schemas.microsoft.com/office/drawing/2014/main" id="{F20B9FE2-6129-4C54-9976-453DB7E4545B}"/>
            </a:ext>
          </a:extLst>
        </xdr:cNvPr>
        <xdr:cNvSpPr/>
      </xdr:nvSpPr>
      <xdr:spPr>
        <a:xfrm rot="10800000">
          <a:off x="1133094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193</xdr:row>
      <xdr:rowOff>0</xdr:rowOff>
    </xdr:from>
    <xdr:to>
      <xdr:col>71</xdr:col>
      <xdr:colOff>83820</xdr:colOff>
      <xdr:row>193</xdr:row>
      <xdr:rowOff>114300</xdr:rowOff>
    </xdr:to>
    <xdr:sp macro="" textlink="">
      <xdr:nvSpPr>
        <xdr:cNvPr id="1368" name="Arrow: Down 1367">
          <a:extLst>
            <a:ext uri="{FF2B5EF4-FFF2-40B4-BE49-F238E27FC236}">
              <a16:creationId xmlns:a16="http://schemas.microsoft.com/office/drawing/2014/main" id="{8E825DD3-9E3E-4D6E-A0C9-933F5BE59CE3}"/>
            </a:ext>
          </a:extLst>
        </xdr:cNvPr>
        <xdr:cNvSpPr/>
      </xdr:nvSpPr>
      <xdr:spPr>
        <a:xfrm>
          <a:off x="1840992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193</xdr:row>
      <xdr:rowOff>0</xdr:rowOff>
    </xdr:from>
    <xdr:to>
      <xdr:col>45</xdr:col>
      <xdr:colOff>83820</xdr:colOff>
      <xdr:row>193</xdr:row>
      <xdr:rowOff>114300</xdr:rowOff>
    </xdr:to>
    <xdr:sp macro="" textlink="">
      <xdr:nvSpPr>
        <xdr:cNvPr id="1373" name="Arrow: Down 1372">
          <a:extLst>
            <a:ext uri="{FF2B5EF4-FFF2-40B4-BE49-F238E27FC236}">
              <a16:creationId xmlns:a16="http://schemas.microsoft.com/office/drawing/2014/main" id="{DD596FD6-7587-4ED5-A580-797C33EEBEDD}"/>
            </a:ext>
          </a:extLst>
        </xdr:cNvPr>
        <xdr:cNvSpPr/>
      </xdr:nvSpPr>
      <xdr:spPr>
        <a:xfrm rot="10800000">
          <a:off x="1133094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193</xdr:row>
      <xdr:rowOff>0</xdr:rowOff>
    </xdr:from>
    <xdr:to>
      <xdr:col>60</xdr:col>
      <xdr:colOff>83820</xdr:colOff>
      <xdr:row>193</xdr:row>
      <xdr:rowOff>114300</xdr:rowOff>
    </xdr:to>
    <xdr:sp macro="" textlink="">
      <xdr:nvSpPr>
        <xdr:cNvPr id="1384" name="Arrow: Down 1383">
          <a:extLst>
            <a:ext uri="{FF2B5EF4-FFF2-40B4-BE49-F238E27FC236}">
              <a16:creationId xmlns:a16="http://schemas.microsoft.com/office/drawing/2014/main" id="{35ABE1C6-08E2-4313-BF57-0890CCFDDEA9}"/>
            </a:ext>
          </a:extLst>
        </xdr:cNvPr>
        <xdr:cNvSpPr/>
      </xdr:nvSpPr>
      <xdr:spPr>
        <a:xfrm>
          <a:off x="1609344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193</xdr:row>
      <xdr:rowOff>0</xdr:rowOff>
    </xdr:from>
    <xdr:to>
      <xdr:col>39</xdr:col>
      <xdr:colOff>83820</xdr:colOff>
      <xdr:row>193</xdr:row>
      <xdr:rowOff>114300</xdr:rowOff>
    </xdr:to>
    <xdr:sp macro="" textlink="">
      <xdr:nvSpPr>
        <xdr:cNvPr id="1385" name="Arrow: Down 1384">
          <a:extLst>
            <a:ext uri="{FF2B5EF4-FFF2-40B4-BE49-F238E27FC236}">
              <a16:creationId xmlns:a16="http://schemas.microsoft.com/office/drawing/2014/main" id="{19C64DA9-9C65-4EA7-A61B-15BF24561169}"/>
            </a:ext>
          </a:extLst>
        </xdr:cNvPr>
        <xdr:cNvSpPr/>
      </xdr:nvSpPr>
      <xdr:spPr>
        <a:xfrm>
          <a:off x="9525000" y="3521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193</xdr:row>
      <xdr:rowOff>0</xdr:rowOff>
    </xdr:from>
    <xdr:to>
      <xdr:col>24</xdr:col>
      <xdr:colOff>83820</xdr:colOff>
      <xdr:row>193</xdr:row>
      <xdr:rowOff>114300</xdr:rowOff>
    </xdr:to>
    <xdr:sp macro="" textlink="">
      <xdr:nvSpPr>
        <xdr:cNvPr id="1386" name="Arrow: Down 1385">
          <a:extLst>
            <a:ext uri="{FF2B5EF4-FFF2-40B4-BE49-F238E27FC236}">
              <a16:creationId xmlns:a16="http://schemas.microsoft.com/office/drawing/2014/main" id="{BA30C9EE-4D55-4A2D-8F23-81598AAEECB6}"/>
            </a:ext>
          </a:extLst>
        </xdr:cNvPr>
        <xdr:cNvSpPr/>
      </xdr:nvSpPr>
      <xdr:spPr>
        <a:xfrm>
          <a:off x="63627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193</xdr:row>
      <xdr:rowOff>0</xdr:rowOff>
    </xdr:from>
    <xdr:to>
      <xdr:col>11</xdr:col>
      <xdr:colOff>83820</xdr:colOff>
      <xdr:row>193</xdr:row>
      <xdr:rowOff>114300</xdr:rowOff>
    </xdr:to>
    <xdr:sp macro="" textlink="">
      <xdr:nvSpPr>
        <xdr:cNvPr id="1392" name="Arrow: Down 1391">
          <a:extLst>
            <a:ext uri="{FF2B5EF4-FFF2-40B4-BE49-F238E27FC236}">
              <a16:creationId xmlns:a16="http://schemas.microsoft.com/office/drawing/2014/main" id="{DF710637-E6FC-4BE5-9F22-786EBF0C74F2}"/>
            </a:ext>
          </a:extLst>
        </xdr:cNvPr>
        <xdr:cNvSpPr/>
      </xdr:nvSpPr>
      <xdr:spPr>
        <a:xfrm>
          <a:off x="36195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193</xdr:row>
      <xdr:rowOff>0</xdr:rowOff>
    </xdr:from>
    <xdr:to>
      <xdr:col>5</xdr:col>
      <xdr:colOff>83820</xdr:colOff>
      <xdr:row>193</xdr:row>
      <xdr:rowOff>114300</xdr:rowOff>
    </xdr:to>
    <xdr:sp macro="" textlink="">
      <xdr:nvSpPr>
        <xdr:cNvPr id="1393" name="Arrow: Down 1392">
          <a:extLst>
            <a:ext uri="{FF2B5EF4-FFF2-40B4-BE49-F238E27FC236}">
              <a16:creationId xmlns:a16="http://schemas.microsoft.com/office/drawing/2014/main" id="{A8D04284-13CA-496C-8877-4C19F49E3953}"/>
            </a:ext>
          </a:extLst>
        </xdr:cNvPr>
        <xdr:cNvSpPr/>
      </xdr:nvSpPr>
      <xdr:spPr>
        <a:xfrm>
          <a:off x="192786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194</xdr:row>
      <xdr:rowOff>0</xdr:rowOff>
    </xdr:from>
    <xdr:to>
      <xdr:col>71</xdr:col>
      <xdr:colOff>83820</xdr:colOff>
      <xdr:row>194</xdr:row>
      <xdr:rowOff>114300</xdr:rowOff>
    </xdr:to>
    <xdr:sp macro="" textlink="">
      <xdr:nvSpPr>
        <xdr:cNvPr id="1419" name="Arrow: Down 1418">
          <a:extLst>
            <a:ext uri="{FF2B5EF4-FFF2-40B4-BE49-F238E27FC236}">
              <a16:creationId xmlns:a16="http://schemas.microsoft.com/office/drawing/2014/main" id="{3C9FAF8C-073B-4A1D-926B-8F9CC52B1C27}"/>
            </a:ext>
          </a:extLst>
        </xdr:cNvPr>
        <xdr:cNvSpPr/>
      </xdr:nvSpPr>
      <xdr:spPr>
        <a:xfrm>
          <a:off x="1840992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194</xdr:row>
      <xdr:rowOff>0</xdr:rowOff>
    </xdr:from>
    <xdr:to>
      <xdr:col>45</xdr:col>
      <xdr:colOff>83820</xdr:colOff>
      <xdr:row>194</xdr:row>
      <xdr:rowOff>114300</xdr:rowOff>
    </xdr:to>
    <xdr:sp macro="" textlink="">
      <xdr:nvSpPr>
        <xdr:cNvPr id="1424" name="Arrow: Down 1423">
          <a:extLst>
            <a:ext uri="{FF2B5EF4-FFF2-40B4-BE49-F238E27FC236}">
              <a16:creationId xmlns:a16="http://schemas.microsoft.com/office/drawing/2014/main" id="{568CFDA5-EC12-4BEC-9B09-C00EA402DF70}"/>
            </a:ext>
          </a:extLst>
        </xdr:cNvPr>
        <xdr:cNvSpPr/>
      </xdr:nvSpPr>
      <xdr:spPr>
        <a:xfrm rot="10800000">
          <a:off x="1133094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194</xdr:row>
      <xdr:rowOff>0</xdr:rowOff>
    </xdr:from>
    <xdr:to>
      <xdr:col>71</xdr:col>
      <xdr:colOff>83820</xdr:colOff>
      <xdr:row>194</xdr:row>
      <xdr:rowOff>114300</xdr:rowOff>
    </xdr:to>
    <xdr:sp macro="" textlink="">
      <xdr:nvSpPr>
        <xdr:cNvPr id="1425" name="Arrow: Down 1424">
          <a:extLst>
            <a:ext uri="{FF2B5EF4-FFF2-40B4-BE49-F238E27FC236}">
              <a16:creationId xmlns:a16="http://schemas.microsoft.com/office/drawing/2014/main" id="{5F776C9B-6830-4335-BD0E-A6A3705A450F}"/>
            </a:ext>
          </a:extLst>
        </xdr:cNvPr>
        <xdr:cNvSpPr/>
      </xdr:nvSpPr>
      <xdr:spPr>
        <a:xfrm>
          <a:off x="1840992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194</xdr:row>
      <xdr:rowOff>0</xdr:rowOff>
    </xdr:from>
    <xdr:to>
      <xdr:col>45</xdr:col>
      <xdr:colOff>83820</xdr:colOff>
      <xdr:row>194</xdr:row>
      <xdr:rowOff>114300</xdr:rowOff>
    </xdr:to>
    <xdr:sp macro="" textlink="">
      <xdr:nvSpPr>
        <xdr:cNvPr id="1427" name="Arrow: Down 1426">
          <a:extLst>
            <a:ext uri="{FF2B5EF4-FFF2-40B4-BE49-F238E27FC236}">
              <a16:creationId xmlns:a16="http://schemas.microsoft.com/office/drawing/2014/main" id="{1896BEEF-177D-4F5D-9B38-56D429C78E1B}"/>
            </a:ext>
          </a:extLst>
        </xdr:cNvPr>
        <xdr:cNvSpPr/>
      </xdr:nvSpPr>
      <xdr:spPr>
        <a:xfrm rot="10800000">
          <a:off x="1133094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194</xdr:row>
      <xdr:rowOff>0</xdr:rowOff>
    </xdr:from>
    <xdr:to>
      <xdr:col>60</xdr:col>
      <xdr:colOff>83820</xdr:colOff>
      <xdr:row>194</xdr:row>
      <xdr:rowOff>114300</xdr:rowOff>
    </xdr:to>
    <xdr:sp macro="" textlink="">
      <xdr:nvSpPr>
        <xdr:cNvPr id="1448" name="Arrow: Down 1447">
          <a:extLst>
            <a:ext uri="{FF2B5EF4-FFF2-40B4-BE49-F238E27FC236}">
              <a16:creationId xmlns:a16="http://schemas.microsoft.com/office/drawing/2014/main" id="{E3567C6C-1DBC-46F4-845C-2C06C9A576B1}"/>
            </a:ext>
          </a:extLst>
        </xdr:cNvPr>
        <xdr:cNvSpPr/>
      </xdr:nvSpPr>
      <xdr:spPr>
        <a:xfrm rot="10800000">
          <a:off x="1609344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194</xdr:row>
      <xdr:rowOff>0</xdr:rowOff>
    </xdr:from>
    <xdr:to>
      <xdr:col>39</xdr:col>
      <xdr:colOff>83820</xdr:colOff>
      <xdr:row>194</xdr:row>
      <xdr:rowOff>114300</xdr:rowOff>
    </xdr:to>
    <xdr:sp macro="" textlink="">
      <xdr:nvSpPr>
        <xdr:cNvPr id="1450" name="Arrow: Down 1449">
          <a:extLst>
            <a:ext uri="{FF2B5EF4-FFF2-40B4-BE49-F238E27FC236}">
              <a16:creationId xmlns:a16="http://schemas.microsoft.com/office/drawing/2014/main" id="{F80F5A38-7393-4D8E-9189-D198B5966C44}"/>
            </a:ext>
          </a:extLst>
        </xdr:cNvPr>
        <xdr:cNvSpPr/>
      </xdr:nvSpPr>
      <xdr:spPr>
        <a:xfrm rot="10800000">
          <a:off x="952500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194</xdr:row>
      <xdr:rowOff>0</xdr:rowOff>
    </xdr:from>
    <xdr:to>
      <xdr:col>24</xdr:col>
      <xdr:colOff>83820</xdr:colOff>
      <xdr:row>194</xdr:row>
      <xdr:rowOff>114300</xdr:rowOff>
    </xdr:to>
    <xdr:sp macro="" textlink="">
      <xdr:nvSpPr>
        <xdr:cNvPr id="1451" name="Arrow: Down 1450">
          <a:extLst>
            <a:ext uri="{FF2B5EF4-FFF2-40B4-BE49-F238E27FC236}">
              <a16:creationId xmlns:a16="http://schemas.microsoft.com/office/drawing/2014/main" id="{77D782D1-FDBC-4B05-B2FF-11C20A11C24B}"/>
            </a:ext>
          </a:extLst>
        </xdr:cNvPr>
        <xdr:cNvSpPr/>
      </xdr:nvSpPr>
      <xdr:spPr>
        <a:xfrm rot="10800000">
          <a:off x="636270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194</xdr:row>
      <xdr:rowOff>0</xdr:rowOff>
    </xdr:from>
    <xdr:to>
      <xdr:col>5</xdr:col>
      <xdr:colOff>83820</xdr:colOff>
      <xdr:row>194</xdr:row>
      <xdr:rowOff>114300</xdr:rowOff>
    </xdr:to>
    <xdr:sp macro="" textlink="">
      <xdr:nvSpPr>
        <xdr:cNvPr id="1453" name="Arrow: Down 1452">
          <a:extLst>
            <a:ext uri="{FF2B5EF4-FFF2-40B4-BE49-F238E27FC236}">
              <a16:creationId xmlns:a16="http://schemas.microsoft.com/office/drawing/2014/main" id="{7398FAEE-3E7D-4B76-BF73-04C95DC039A1}"/>
            </a:ext>
          </a:extLst>
        </xdr:cNvPr>
        <xdr:cNvSpPr/>
      </xdr:nvSpPr>
      <xdr:spPr>
        <a:xfrm rot="10800000">
          <a:off x="192786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194</xdr:row>
      <xdr:rowOff>0</xdr:rowOff>
    </xdr:from>
    <xdr:to>
      <xdr:col>11</xdr:col>
      <xdr:colOff>83820</xdr:colOff>
      <xdr:row>194</xdr:row>
      <xdr:rowOff>114300</xdr:rowOff>
    </xdr:to>
    <xdr:sp macro="" textlink="">
      <xdr:nvSpPr>
        <xdr:cNvPr id="1454" name="Arrow: Down 1453">
          <a:extLst>
            <a:ext uri="{FF2B5EF4-FFF2-40B4-BE49-F238E27FC236}">
              <a16:creationId xmlns:a16="http://schemas.microsoft.com/office/drawing/2014/main" id="{D3813916-3F76-445A-848F-A57B0E88538C}"/>
            </a:ext>
          </a:extLst>
        </xdr:cNvPr>
        <xdr:cNvSpPr/>
      </xdr:nvSpPr>
      <xdr:spPr>
        <a:xfrm rot="10800000">
          <a:off x="361950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195</xdr:row>
      <xdr:rowOff>0</xdr:rowOff>
    </xdr:from>
    <xdr:to>
      <xdr:col>71</xdr:col>
      <xdr:colOff>83820</xdr:colOff>
      <xdr:row>195</xdr:row>
      <xdr:rowOff>114300</xdr:rowOff>
    </xdr:to>
    <xdr:sp macro="" textlink="">
      <xdr:nvSpPr>
        <xdr:cNvPr id="1415" name="Arrow: Down 1414">
          <a:extLst>
            <a:ext uri="{FF2B5EF4-FFF2-40B4-BE49-F238E27FC236}">
              <a16:creationId xmlns:a16="http://schemas.microsoft.com/office/drawing/2014/main" id="{69C13B5D-FD2F-49E2-A5FE-51FC8508862E}"/>
            </a:ext>
          </a:extLst>
        </xdr:cNvPr>
        <xdr:cNvSpPr/>
      </xdr:nvSpPr>
      <xdr:spPr>
        <a:xfrm>
          <a:off x="1840992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195</xdr:row>
      <xdr:rowOff>0</xdr:rowOff>
    </xdr:from>
    <xdr:to>
      <xdr:col>45</xdr:col>
      <xdr:colOff>83820</xdr:colOff>
      <xdr:row>195</xdr:row>
      <xdr:rowOff>114300</xdr:rowOff>
    </xdr:to>
    <xdr:sp macro="" textlink="">
      <xdr:nvSpPr>
        <xdr:cNvPr id="1416" name="Arrow: Down 1415">
          <a:extLst>
            <a:ext uri="{FF2B5EF4-FFF2-40B4-BE49-F238E27FC236}">
              <a16:creationId xmlns:a16="http://schemas.microsoft.com/office/drawing/2014/main" id="{254C8C3B-D0FF-4C26-9C62-922271450E2B}"/>
            </a:ext>
          </a:extLst>
        </xdr:cNvPr>
        <xdr:cNvSpPr/>
      </xdr:nvSpPr>
      <xdr:spPr>
        <a:xfrm rot="10800000">
          <a:off x="1133094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195</xdr:row>
      <xdr:rowOff>0</xdr:rowOff>
    </xdr:from>
    <xdr:to>
      <xdr:col>71</xdr:col>
      <xdr:colOff>83820</xdr:colOff>
      <xdr:row>195</xdr:row>
      <xdr:rowOff>114300</xdr:rowOff>
    </xdr:to>
    <xdr:sp macro="" textlink="">
      <xdr:nvSpPr>
        <xdr:cNvPr id="1417" name="Arrow: Down 1416">
          <a:extLst>
            <a:ext uri="{FF2B5EF4-FFF2-40B4-BE49-F238E27FC236}">
              <a16:creationId xmlns:a16="http://schemas.microsoft.com/office/drawing/2014/main" id="{EDDE4C1A-E115-4226-9A37-1CF1BCBC80AF}"/>
            </a:ext>
          </a:extLst>
        </xdr:cNvPr>
        <xdr:cNvSpPr/>
      </xdr:nvSpPr>
      <xdr:spPr>
        <a:xfrm>
          <a:off x="1840992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195</xdr:row>
      <xdr:rowOff>0</xdr:rowOff>
    </xdr:from>
    <xdr:to>
      <xdr:col>45</xdr:col>
      <xdr:colOff>83820</xdr:colOff>
      <xdr:row>195</xdr:row>
      <xdr:rowOff>114300</xdr:rowOff>
    </xdr:to>
    <xdr:sp macro="" textlink="">
      <xdr:nvSpPr>
        <xdr:cNvPr id="1418" name="Arrow: Down 1417">
          <a:extLst>
            <a:ext uri="{FF2B5EF4-FFF2-40B4-BE49-F238E27FC236}">
              <a16:creationId xmlns:a16="http://schemas.microsoft.com/office/drawing/2014/main" id="{07B9EC51-47F0-47F2-996E-99805868B83F}"/>
            </a:ext>
          </a:extLst>
        </xdr:cNvPr>
        <xdr:cNvSpPr/>
      </xdr:nvSpPr>
      <xdr:spPr>
        <a:xfrm rot="10800000">
          <a:off x="1133094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195</xdr:row>
      <xdr:rowOff>0</xdr:rowOff>
    </xdr:from>
    <xdr:to>
      <xdr:col>24</xdr:col>
      <xdr:colOff>83820</xdr:colOff>
      <xdr:row>195</xdr:row>
      <xdr:rowOff>114300</xdr:rowOff>
    </xdr:to>
    <xdr:sp macro="" textlink="">
      <xdr:nvSpPr>
        <xdr:cNvPr id="1436" name="Arrow: Down 1435">
          <a:extLst>
            <a:ext uri="{FF2B5EF4-FFF2-40B4-BE49-F238E27FC236}">
              <a16:creationId xmlns:a16="http://schemas.microsoft.com/office/drawing/2014/main" id="{2305382A-F04E-40BF-A969-53B69FBF3D44}"/>
            </a:ext>
          </a:extLst>
        </xdr:cNvPr>
        <xdr:cNvSpPr/>
      </xdr:nvSpPr>
      <xdr:spPr>
        <a:xfrm rot="10800000">
          <a:off x="636270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195</xdr:row>
      <xdr:rowOff>0</xdr:rowOff>
    </xdr:from>
    <xdr:to>
      <xdr:col>5</xdr:col>
      <xdr:colOff>83820</xdr:colOff>
      <xdr:row>195</xdr:row>
      <xdr:rowOff>114300</xdr:rowOff>
    </xdr:to>
    <xdr:sp macro="" textlink="">
      <xdr:nvSpPr>
        <xdr:cNvPr id="1449" name="Arrow: Down 1448">
          <a:extLst>
            <a:ext uri="{FF2B5EF4-FFF2-40B4-BE49-F238E27FC236}">
              <a16:creationId xmlns:a16="http://schemas.microsoft.com/office/drawing/2014/main" id="{2E5560A5-0C7A-431F-87AB-5E1928DB56B2}"/>
            </a:ext>
          </a:extLst>
        </xdr:cNvPr>
        <xdr:cNvSpPr/>
      </xdr:nvSpPr>
      <xdr:spPr>
        <a:xfrm>
          <a:off x="192786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195</xdr:row>
      <xdr:rowOff>0</xdr:rowOff>
    </xdr:from>
    <xdr:to>
      <xdr:col>11</xdr:col>
      <xdr:colOff>83820</xdr:colOff>
      <xdr:row>195</xdr:row>
      <xdr:rowOff>114300</xdr:rowOff>
    </xdr:to>
    <xdr:sp macro="" textlink="">
      <xdr:nvSpPr>
        <xdr:cNvPr id="1452" name="Arrow: Down 1451">
          <a:extLst>
            <a:ext uri="{FF2B5EF4-FFF2-40B4-BE49-F238E27FC236}">
              <a16:creationId xmlns:a16="http://schemas.microsoft.com/office/drawing/2014/main" id="{F1277F4C-6728-41CE-9AA4-0557F935C29A}"/>
            </a:ext>
          </a:extLst>
        </xdr:cNvPr>
        <xdr:cNvSpPr/>
      </xdr:nvSpPr>
      <xdr:spPr>
        <a:xfrm>
          <a:off x="361950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195</xdr:row>
      <xdr:rowOff>0</xdr:rowOff>
    </xdr:from>
    <xdr:to>
      <xdr:col>39</xdr:col>
      <xdr:colOff>83820</xdr:colOff>
      <xdr:row>195</xdr:row>
      <xdr:rowOff>114300</xdr:rowOff>
    </xdr:to>
    <xdr:sp macro="" textlink="">
      <xdr:nvSpPr>
        <xdr:cNvPr id="1455" name="Arrow: Down 1454">
          <a:extLst>
            <a:ext uri="{FF2B5EF4-FFF2-40B4-BE49-F238E27FC236}">
              <a16:creationId xmlns:a16="http://schemas.microsoft.com/office/drawing/2014/main" id="{B398C1FB-1482-4292-BC55-20545B174E6D}"/>
            </a:ext>
          </a:extLst>
        </xdr:cNvPr>
        <xdr:cNvSpPr/>
      </xdr:nvSpPr>
      <xdr:spPr>
        <a:xfrm>
          <a:off x="11803380" y="3576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195</xdr:row>
      <xdr:rowOff>0</xdr:rowOff>
    </xdr:from>
    <xdr:to>
      <xdr:col>60</xdr:col>
      <xdr:colOff>83820</xdr:colOff>
      <xdr:row>195</xdr:row>
      <xdr:rowOff>114300</xdr:rowOff>
    </xdr:to>
    <xdr:sp macro="" textlink="">
      <xdr:nvSpPr>
        <xdr:cNvPr id="1457" name="Arrow: Down 1456">
          <a:extLst>
            <a:ext uri="{FF2B5EF4-FFF2-40B4-BE49-F238E27FC236}">
              <a16:creationId xmlns:a16="http://schemas.microsoft.com/office/drawing/2014/main" id="{F9F43A51-E045-4DF9-B590-0043C317B751}"/>
            </a:ext>
          </a:extLst>
        </xdr:cNvPr>
        <xdr:cNvSpPr/>
      </xdr:nvSpPr>
      <xdr:spPr>
        <a:xfrm>
          <a:off x="1837182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196</xdr:row>
      <xdr:rowOff>0</xdr:rowOff>
    </xdr:from>
    <xdr:to>
      <xdr:col>71</xdr:col>
      <xdr:colOff>83820</xdr:colOff>
      <xdr:row>196</xdr:row>
      <xdr:rowOff>114300</xdr:rowOff>
    </xdr:to>
    <xdr:sp macro="" textlink="">
      <xdr:nvSpPr>
        <xdr:cNvPr id="1458" name="Arrow: Down 1457">
          <a:extLst>
            <a:ext uri="{FF2B5EF4-FFF2-40B4-BE49-F238E27FC236}">
              <a16:creationId xmlns:a16="http://schemas.microsoft.com/office/drawing/2014/main" id="{499002BF-AD07-4081-B2BE-9EC90A596534}"/>
            </a:ext>
          </a:extLst>
        </xdr:cNvPr>
        <xdr:cNvSpPr/>
      </xdr:nvSpPr>
      <xdr:spPr>
        <a:xfrm>
          <a:off x="1840992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196</xdr:row>
      <xdr:rowOff>0</xdr:rowOff>
    </xdr:from>
    <xdr:to>
      <xdr:col>45</xdr:col>
      <xdr:colOff>83820</xdr:colOff>
      <xdr:row>196</xdr:row>
      <xdr:rowOff>114300</xdr:rowOff>
    </xdr:to>
    <xdr:sp macro="" textlink="">
      <xdr:nvSpPr>
        <xdr:cNvPr id="1459" name="Arrow: Down 1458">
          <a:extLst>
            <a:ext uri="{FF2B5EF4-FFF2-40B4-BE49-F238E27FC236}">
              <a16:creationId xmlns:a16="http://schemas.microsoft.com/office/drawing/2014/main" id="{BD3BF816-EA51-4809-9148-2BAD4B6B92A1}"/>
            </a:ext>
          </a:extLst>
        </xdr:cNvPr>
        <xdr:cNvSpPr/>
      </xdr:nvSpPr>
      <xdr:spPr>
        <a:xfrm rot="10800000">
          <a:off x="1133094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196</xdr:row>
      <xdr:rowOff>0</xdr:rowOff>
    </xdr:from>
    <xdr:to>
      <xdr:col>71</xdr:col>
      <xdr:colOff>83820</xdr:colOff>
      <xdr:row>196</xdr:row>
      <xdr:rowOff>114300</xdr:rowOff>
    </xdr:to>
    <xdr:sp macro="" textlink="">
      <xdr:nvSpPr>
        <xdr:cNvPr id="1460" name="Arrow: Down 1459">
          <a:extLst>
            <a:ext uri="{FF2B5EF4-FFF2-40B4-BE49-F238E27FC236}">
              <a16:creationId xmlns:a16="http://schemas.microsoft.com/office/drawing/2014/main" id="{813BE744-BD10-4679-8CE7-3BB40DCCE67A}"/>
            </a:ext>
          </a:extLst>
        </xdr:cNvPr>
        <xdr:cNvSpPr/>
      </xdr:nvSpPr>
      <xdr:spPr>
        <a:xfrm>
          <a:off x="1840992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196</xdr:row>
      <xdr:rowOff>0</xdr:rowOff>
    </xdr:from>
    <xdr:to>
      <xdr:col>45</xdr:col>
      <xdr:colOff>83820</xdr:colOff>
      <xdr:row>196</xdr:row>
      <xdr:rowOff>114300</xdr:rowOff>
    </xdr:to>
    <xdr:sp macro="" textlink="">
      <xdr:nvSpPr>
        <xdr:cNvPr id="1461" name="Arrow: Down 1460">
          <a:extLst>
            <a:ext uri="{FF2B5EF4-FFF2-40B4-BE49-F238E27FC236}">
              <a16:creationId xmlns:a16="http://schemas.microsoft.com/office/drawing/2014/main" id="{9CB702DB-FE2C-43B2-8469-9BFCA1B60971}"/>
            </a:ext>
          </a:extLst>
        </xdr:cNvPr>
        <xdr:cNvSpPr/>
      </xdr:nvSpPr>
      <xdr:spPr>
        <a:xfrm rot="10800000">
          <a:off x="1133094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196</xdr:row>
      <xdr:rowOff>0</xdr:rowOff>
    </xdr:from>
    <xdr:to>
      <xdr:col>24</xdr:col>
      <xdr:colOff>83820</xdr:colOff>
      <xdr:row>196</xdr:row>
      <xdr:rowOff>114300</xdr:rowOff>
    </xdr:to>
    <xdr:sp macro="" textlink="">
      <xdr:nvSpPr>
        <xdr:cNvPr id="1462" name="Arrow: Down 1461">
          <a:extLst>
            <a:ext uri="{FF2B5EF4-FFF2-40B4-BE49-F238E27FC236}">
              <a16:creationId xmlns:a16="http://schemas.microsoft.com/office/drawing/2014/main" id="{C00C4BE7-C3D0-420B-9EB0-77F6580A13D0}"/>
            </a:ext>
          </a:extLst>
        </xdr:cNvPr>
        <xdr:cNvSpPr/>
      </xdr:nvSpPr>
      <xdr:spPr>
        <a:xfrm rot="10800000">
          <a:off x="6362700" y="3576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196</xdr:row>
      <xdr:rowOff>0</xdr:rowOff>
    </xdr:from>
    <xdr:to>
      <xdr:col>60</xdr:col>
      <xdr:colOff>83820</xdr:colOff>
      <xdr:row>196</xdr:row>
      <xdr:rowOff>114300</xdr:rowOff>
    </xdr:to>
    <xdr:sp macro="" textlink="">
      <xdr:nvSpPr>
        <xdr:cNvPr id="1466" name="Arrow: Down 1465">
          <a:extLst>
            <a:ext uri="{FF2B5EF4-FFF2-40B4-BE49-F238E27FC236}">
              <a16:creationId xmlns:a16="http://schemas.microsoft.com/office/drawing/2014/main" id="{882C9745-DB24-449A-87D2-71CF8B12571B}"/>
            </a:ext>
          </a:extLst>
        </xdr:cNvPr>
        <xdr:cNvSpPr/>
      </xdr:nvSpPr>
      <xdr:spPr>
        <a:xfrm>
          <a:off x="1609344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83820</xdr:colOff>
      <xdr:row>196</xdr:row>
      <xdr:rowOff>114300</xdr:rowOff>
    </xdr:to>
    <xdr:sp macro="" textlink="">
      <xdr:nvSpPr>
        <xdr:cNvPr id="1467" name="Arrow: Down 1466">
          <a:extLst>
            <a:ext uri="{FF2B5EF4-FFF2-40B4-BE49-F238E27FC236}">
              <a16:creationId xmlns:a16="http://schemas.microsoft.com/office/drawing/2014/main" id="{A59D0A2F-5E32-47D7-9B2D-23896D517919}"/>
            </a:ext>
          </a:extLst>
        </xdr:cNvPr>
        <xdr:cNvSpPr/>
      </xdr:nvSpPr>
      <xdr:spPr>
        <a:xfrm rot="10800000">
          <a:off x="192786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196</xdr:row>
      <xdr:rowOff>0</xdr:rowOff>
    </xdr:from>
    <xdr:to>
      <xdr:col>11</xdr:col>
      <xdr:colOff>83820</xdr:colOff>
      <xdr:row>196</xdr:row>
      <xdr:rowOff>114300</xdr:rowOff>
    </xdr:to>
    <xdr:sp macro="" textlink="">
      <xdr:nvSpPr>
        <xdr:cNvPr id="1468" name="Arrow: Down 1467">
          <a:extLst>
            <a:ext uri="{FF2B5EF4-FFF2-40B4-BE49-F238E27FC236}">
              <a16:creationId xmlns:a16="http://schemas.microsoft.com/office/drawing/2014/main" id="{71CFCFAD-6E13-48A0-839F-ABBD7F997E7A}"/>
            </a:ext>
          </a:extLst>
        </xdr:cNvPr>
        <xdr:cNvSpPr/>
      </xdr:nvSpPr>
      <xdr:spPr>
        <a:xfrm rot="10800000">
          <a:off x="361950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196</xdr:row>
      <xdr:rowOff>0</xdr:rowOff>
    </xdr:from>
    <xdr:to>
      <xdr:col>39</xdr:col>
      <xdr:colOff>83820</xdr:colOff>
      <xdr:row>196</xdr:row>
      <xdr:rowOff>114300</xdr:rowOff>
    </xdr:to>
    <xdr:sp macro="" textlink="">
      <xdr:nvSpPr>
        <xdr:cNvPr id="1469" name="Arrow: Down 1468">
          <a:extLst>
            <a:ext uri="{FF2B5EF4-FFF2-40B4-BE49-F238E27FC236}">
              <a16:creationId xmlns:a16="http://schemas.microsoft.com/office/drawing/2014/main" id="{7B04FF91-D40C-41A6-94D6-59651D69B9F6}"/>
            </a:ext>
          </a:extLst>
        </xdr:cNvPr>
        <xdr:cNvSpPr/>
      </xdr:nvSpPr>
      <xdr:spPr>
        <a:xfrm rot="10800000">
          <a:off x="952500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197</xdr:row>
      <xdr:rowOff>0</xdr:rowOff>
    </xdr:from>
    <xdr:to>
      <xdr:col>71</xdr:col>
      <xdr:colOff>83820</xdr:colOff>
      <xdr:row>197</xdr:row>
      <xdr:rowOff>114300</xdr:rowOff>
    </xdr:to>
    <xdr:sp macro="" textlink="">
      <xdr:nvSpPr>
        <xdr:cNvPr id="1470" name="Arrow: Down 1469">
          <a:extLst>
            <a:ext uri="{FF2B5EF4-FFF2-40B4-BE49-F238E27FC236}">
              <a16:creationId xmlns:a16="http://schemas.microsoft.com/office/drawing/2014/main" id="{FB5A24B4-0E3C-4E32-BBE1-022528B644C3}"/>
            </a:ext>
          </a:extLst>
        </xdr:cNvPr>
        <xdr:cNvSpPr/>
      </xdr:nvSpPr>
      <xdr:spPr>
        <a:xfrm>
          <a:off x="184556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197</xdr:row>
      <xdr:rowOff>0</xdr:rowOff>
    </xdr:from>
    <xdr:to>
      <xdr:col>45</xdr:col>
      <xdr:colOff>83820</xdr:colOff>
      <xdr:row>197</xdr:row>
      <xdr:rowOff>114300</xdr:rowOff>
    </xdr:to>
    <xdr:sp macro="" textlink="">
      <xdr:nvSpPr>
        <xdr:cNvPr id="1471" name="Arrow: Down 1470">
          <a:extLst>
            <a:ext uri="{FF2B5EF4-FFF2-40B4-BE49-F238E27FC236}">
              <a16:creationId xmlns:a16="http://schemas.microsoft.com/office/drawing/2014/main" id="{606732C1-035D-418E-B291-D066ED6A3693}"/>
            </a:ext>
          </a:extLst>
        </xdr:cNvPr>
        <xdr:cNvSpPr/>
      </xdr:nvSpPr>
      <xdr:spPr>
        <a:xfrm rot="10800000">
          <a:off x="113309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197</xdr:row>
      <xdr:rowOff>0</xdr:rowOff>
    </xdr:from>
    <xdr:to>
      <xdr:col>71</xdr:col>
      <xdr:colOff>83820</xdr:colOff>
      <xdr:row>197</xdr:row>
      <xdr:rowOff>114300</xdr:rowOff>
    </xdr:to>
    <xdr:sp macro="" textlink="">
      <xdr:nvSpPr>
        <xdr:cNvPr id="1472" name="Arrow: Down 1471">
          <a:extLst>
            <a:ext uri="{FF2B5EF4-FFF2-40B4-BE49-F238E27FC236}">
              <a16:creationId xmlns:a16="http://schemas.microsoft.com/office/drawing/2014/main" id="{6CB10B81-A25C-492A-9083-BA96B5F993F8}"/>
            </a:ext>
          </a:extLst>
        </xdr:cNvPr>
        <xdr:cNvSpPr/>
      </xdr:nvSpPr>
      <xdr:spPr>
        <a:xfrm>
          <a:off x="184556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197</xdr:row>
      <xdr:rowOff>0</xdr:rowOff>
    </xdr:from>
    <xdr:to>
      <xdr:col>45</xdr:col>
      <xdr:colOff>83820</xdr:colOff>
      <xdr:row>197</xdr:row>
      <xdr:rowOff>114300</xdr:rowOff>
    </xdr:to>
    <xdr:sp macro="" textlink="">
      <xdr:nvSpPr>
        <xdr:cNvPr id="1473" name="Arrow: Down 1472">
          <a:extLst>
            <a:ext uri="{FF2B5EF4-FFF2-40B4-BE49-F238E27FC236}">
              <a16:creationId xmlns:a16="http://schemas.microsoft.com/office/drawing/2014/main" id="{D75B4CA1-7294-4C51-98BA-5A831AD30A6B}"/>
            </a:ext>
          </a:extLst>
        </xdr:cNvPr>
        <xdr:cNvSpPr/>
      </xdr:nvSpPr>
      <xdr:spPr>
        <a:xfrm rot="10800000">
          <a:off x="113309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197</xdr:row>
      <xdr:rowOff>0</xdr:rowOff>
    </xdr:from>
    <xdr:to>
      <xdr:col>60</xdr:col>
      <xdr:colOff>83820</xdr:colOff>
      <xdr:row>197</xdr:row>
      <xdr:rowOff>114300</xdr:rowOff>
    </xdr:to>
    <xdr:sp macro="" textlink="">
      <xdr:nvSpPr>
        <xdr:cNvPr id="1475" name="Arrow: Down 1474">
          <a:extLst>
            <a:ext uri="{FF2B5EF4-FFF2-40B4-BE49-F238E27FC236}">
              <a16:creationId xmlns:a16="http://schemas.microsoft.com/office/drawing/2014/main" id="{74E5F558-4F52-4DBB-9D95-259948F79153}"/>
            </a:ext>
          </a:extLst>
        </xdr:cNvPr>
        <xdr:cNvSpPr/>
      </xdr:nvSpPr>
      <xdr:spPr>
        <a:xfrm>
          <a:off x="1613916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197</xdr:row>
      <xdr:rowOff>0</xdr:rowOff>
    </xdr:from>
    <xdr:to>
      <xdr:col>5</xdr:col>
      <xdr:colOff>83820</xdr:colOff>
      <xdr:row>197</xdr:row>
      <xdr:rowOff>114300</xdr:rowOff>
    </xdr:to>
    <xdr:sp macro="" textlink="">
      <xdr:nvSpPr>
        <xdr:cNvPr id="1476" name="Arrow: Down 1475">
          <a:extLst>
            <a:ext uri="{FF2B5EF4-FFF2-40B4-BE49-F238E27FC236}">
              <a16:creationId xmlns:a16="http://schemas.microsoft.com/office/drawing/2014/main" id="{F709F72C-361B-462F-ADC3-BC501A7F4A1A}"/>
            </a:ext>
          </a:extLst>
        </xdr:cNvPr>
        <xdr:cNvSpPr/>
      </xdr:nvSpPr>
      <xdr:spPr>
        <a:xfrm rot="10800000">
          <a:off x="192786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197</xdr:row>
      <xdr:rowOff>0</xdr:rowOff>
    </xdr:from>
    <xdr:to>
      <xdr:col>11</xdr:col>
      <xdr:colOff>83820</xdr:colOff>
      <xdr:row>197</xdr:row>
      <xdr:rowOff>114300</xdr:rowOff>
    </xdr:to>
    <xdr:sp macro="" textlink="">
      <xdr:nvSpPr>
        <xdr:cNvPr id="1477" name="Arrow: Down 1476">
          <a:extLst>
            <a:ext uri="{FF2B5EF4-FFF2-40B4-BE49-F238E27FC236}">
              <a16:creationId xmlns:a16="http://schemas.microsoft.com/office/drawing/2014/main" id="{810A2499-3D87-4A9C-BFCE-69E7C0E1B2C6}"/>
            </a:ext>
          </a:extLst>
        </xdr:cNvPr>
        <xdr:cNvSpPr/>
      </xdr:nvSpPr>
      <xdr:spPr>
        <a:xfrm rot="10800000">
          <a:off x="361950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197</xdr:row>
      <xdr:rowOff>0</xdr:rowOff>
    </xdr:from>
    <xdr:to>
      <xdr:col>39</xdr:col>
      <xdr:colOff>83820</xdr:colOff>
      <xdr:row>197</xdr:row>
      <xdr:rowOff>114300</xdr:rowOff>
    </xdr:to>
    <xdr:sp macro="" textlink="">
      <xdr:nvSpPr>
        <xdr:cNvPr id="1478" name="Arrow: Down 1477">
          <a:extLst>
            <a:ext uri="{FF2B5EF4-FFF2-40B4-BE49-F238E27FC236}">
              <a16:creationId xmlns:a16="http://schemas.microsoft.com/office/drawing/2014/main" id="{79586BFD-C950-435B-A887-5A6733D6750C}"/>
            </a:ext>
          </a:extLst>
        </xdr:cNvPr>
        <xdr:cNvSpPr/>
      </xdr:nvSpPr>
      <xdr:spPr>
        <a:xfrm rot="10800000">
          <a:off x="952500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197</xdr:row>
      <xdr:rowOff>0</xdr:rowOff>
    </xdr:from>
    <xdr:to>
      <xdr:col>24</xdr:col>
      <xdr:colOff>83820</xdr:colOff>
      <xdr:row>197</xdr:row>
      <xdr:rowOff>114300</xdr:rowOff>
    </xdr:to>
    <xdr:sp macro="" textlink="">
      <xdr:nvSpPr>
        <xdr:cNvPr id="1480" name="Arrow: Down 1479">
          <a:extLst>
            <a:ext uri="{FF2B5EF4-FFF2-40B4-BE49-F238E27FC236}">
              <a16:creationId xmlns:a16="http://schemas.microsoft.com/office/drawing/2014/main" id="{98D9E041-BD6F-40B5-B087-973ABFEFA092}"/>
            </a:ext>
          </a:extLst>
        </xdr:cNvPr>
        <xdr:cNvSpPr/>
      </xdr:nvSpPr>
      <xdr:spPr>
        <a:xfrm>
          <a:off x="636270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198</xdr:row>
      <xdr:rowOff>0</xdr:rowOff>
    </xdr:from>
    <xdr:to>
      <xdr:col>71</xdr:col>
      <xdr:colOff>83820</xdr:colOff>
      <xdr:row>198</xdr:row>
      <xdr:rowOff>114300</xdr:rowOff>
    </xdr:to>
    <xdr:sp macro="" textlink="">
      <xdr:nvSpPr>
        <xdr:cNvPr id="1481" name="Arrow: Down 1480">
          <a:extLst>
            <a:ext uri="{FF2B5EF4-FFF2-40B4-BE49-F238E27FC236}">
              <a16:creationId xmlns:a16="http://schemas.microsoft.com/office/drawing/2014/main" id="{EAFE4103-25D0-4C73-A653-0475BDF640E3}"/>
            </a:ext>
          </a:extLst>
        </xdr:cNvPr>
        <xdr:cNvSpPr/>
      </xdr:nvSpPr>
      <xdr:spPr>
        <a:xfrm>
          <a:off x="184556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198</xdr:row>
      <xdr:rowOff>0</xdr:rowOff>
    </xdr:from>
    <xdr:to>
      <xdr:col>45</xdr:col>
      <xdr:colOff>83820</xdr:colOff>
      <xdr:row>198</xdr:row>
      <xdr:rowOff>114300</xdr:rowOff>
    </xdr:to>
    <xdr:sp macro="" textlink="">
      <xdr:nvSpPr>
        <xdr:cNvPr id="1482" name="Arrow: Down 1481">
          <a:extLst>
            <a:ext uri="{FF2B5EF4-FFF2-40B4-BE49-F238E27FC236}">
              <a16:creationId xmlns:a16="http://schemas.microsoft.com/office/drawing/2014/main" id="{1E172573-C5E9-4623-A4A4-197988BF9A96}"/>
            </a:ext>
          </a:extLst>
        </xdr:cNvPr>
        <xdr:cNvSpPr/>
      </xdr:nvSpPr>
      <xdr:spPr>
        <a:xfrm rot="10800000">
          <a:off x="113309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198</xdr:row>
      <xdr:rowOff>0</xdr:rowOff>
    </xdr:from>
    <xdr:to>
      <xdr:col>71</xdr:col>
      <xdr:colOff>83820</xdr:colOff>
      <xdr:row>198</xdr:row>
      <xdr:rowOff>114300</xdr:rowOff>
    </xdr:to>
    <xdr:sp macro="" textlink="">
      <xdr:nvSpPr>
        <xdr:cNvPr id="1483" name="Arrow: Down 1482">
          <a:extLst>
            <a:ext uri="{FF2B5EF4-FFF2-40B4-BE49-F238E27FC236}">
              <a16:creationId xmlns:a16="http://schemas.microsoft.com/office/drawing/2014/main" id="{8BA04A41-6B42-4ADC-8248-9D33E64BF4B0}"/>
            </a:ext>
          </a:extLst>
        </xdr:cNvPr>
        <xdr:cNvSpPr/>
      </xdr:nvSpPr>
      <xdr:spPr>
        <a:xfrm>
          <a:off x="184556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198</xdr:row>
      <xdr:rowOff>0</xdr:rowOff>
    </xdr:from>
    <xdr:to>
      <xdr:col>45</xdr:col>
      <xdr:colOff>83820</xdr:colOff>
      <xdr:row>198</xdr:row>
      <xdr:rowOff>114300</xdr:rowOff>
    </xdr:to>
    <xdr:sp macro="" textlink="">
      <xdr:nvSpPr>
        <xdr:cNvPr id="1484" name="Arrow: Down 1483">
          <a:extLst>
            <a:ext uri="{FF2B5EF4-FFF2-40B4-BE49-F238E27FC236}">
              <a16:creationId xmlns:a16="http://schemas.microsoft.com/office/drawing/2014/main" id="{20AF39D4-1FD5-4A26-91A9-6DA767BCE547}"/>
            </a:ext>
          </a:extLst>
        </xdr:cNvPr>
        <xdr:cNvSpPr/>
      </xdr:nvSpPr>
      <xdr:spPr>
        <a:xfrm rot="10800000">
          <a:off x="113309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198</xdr:row>
      <xdr:rowOff>0</xdr:rowOff>
    </xdr:from>
    <xdr:to>
      <xdr:col>5</xdr:col>
      <xdr:colOff>83820</xdr:colOff>
      <xdr:row>198</xdr:row>
      <xdr:rowOff>114300</xdr:rowOff>
    </xdr:to>
    <xdr:sp macro="" textlink="">
      <xdr:nvSpPr>
        <xdr:cNvPr id="1486" name="Arrow: Down 1485">
          <a:extLst>
            <a:ext uri="{FF2B5EF4-FFF2-40B4-BE49-F238E27FC236}">
              <a16:creationId xmlns:a16="http://schemas.microsoft.com/office/drawing/2014/main" id="{0BBCD458-9669-430B-8C52-ADF09203020D}"/>
            </a:ext>
          </a:extLst>
        </xdr:cNvPr>
        <xdr:cNvSpPr/>
      </xdr:nvSpPr>
      <xdr:spPr>
        <a:xfrm rot="10800000">
          <a:off x="1927860" y="361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198</xdr:row>
      <xdr:rowOff>0</xdr:rowOff>
    </xdr:from>
    <xdr:to>
      <xdr:col>11</xdr:col>
      <xdr:colOff>83820</xdr:colOff>
      <xdr:row>198</xdr:row>
      <xdr:rowOff>114300</xdr:rowOff>
    </xdr:to>
    <xdr:sp macro="" textlink="">
      <xdr:nvSpPr>
        <xdr:cNvPr id="1487" name="Arrow: Down 1486">
          <a:extLst>
            <a:ext uri="{FF2B5EF4-FFF2-40B4-BE49-F238E27FC236}">
              <a16:creationId xmlns:a16="http://schemas.microsoft.com/office/drawing/2014/main" id="{42FE42B0-FD31-4D60-83D7-F99AA0025F01}"/>
            </a:ext>
          </a:extLst>
        </xdr:cNvPr>
        <xdr:cNvSpPr/>
      </xdr:nvSpPr>
      <xdr:spPr>
        <a:xfrm rot="10800000">
          <a:off x="3619500" y="361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198</xdr:row>
      <xdr:rowOff>0</xdr:rowOff>
    </xdr:from>
    <xdr:to>
      <xdr:col>39</xdr:col>
      <xdr:colOff>83820</xdr:colOff>
      <xdr:row>198</xdr:row>
      <xdr:rowOff>114300</xdr:rowOff>
    </xdr:to>
    <xdr:sp macro="" textlink="">
      <xdr:nvSpPr>
        <xdr:cNvPr id="1488" name="Arrow: Down 1487">
          <a:extLst>
            <a:ext uri="{FF2B5EF4-FFF2-40B4-BE49-F238E27FC236}">
              <a16:creationId xmlns:a16="http://schemas.microsoft.com/office/drawing/2014/main" id="{1963A889-C213-4116-8ECA-606379D29861}"/>
            </a:ext>
          </a:extLst>
        </xdr:cNvPr>
        <xdr:cNvSpPr/>
      </xdr:nvSpPr>
      <xdr:spPr>
        <a:xfrm rot="10800000">
          <a:off x="952500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198</xdr:row>
      <xdr:rowOff>0</xdr:rowOff>
    </xdr:from>
    <xdr:to>
      <xdr:col>24</xdr:col>
      <xdr:colOff>83820</xdr:colOff>
      <xdr:row>198</xdr:row>
      <xdr:rowOff>114300</xdr:rowOff>
    </xdr:to>
    <xdr:sp macro="" textlink="">
      <xdr:nvSpPr>
        <xdr:cNvPr id="1489" name="Arrow: Down 1488">
          <a:extLst>
            <a:ext uri="{FF2B5EF4-FFF2-40B4-BE49-F238E27FC236}">
              <a16:creationId xmlns:a16="http://schemas.microsoft.com/office/drawing/2014/main" id="{03B39E06-B2D1-44E2-A695-42ADBC9E9004}"/>
            </a:ext>
          </a:extLst>
        </xdr:cNvPr>
        <xdr:cNvSpPr/>
      </xdr:nvSpPr>
      <xdr:spPr>
        <a:xfrm>
          <a:off x="636270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198</xdr:row>
      <xdr:rowOff>0</xdr:rowOff>
    </xdr:from>
    <xdr:to>
      <xdr:col>60</xdr:col>
      <xdr:colOff>83820</xdr:colOff>
      <xdr:row>198</xdr:row>
      <xdr:rowOff>114300</xdr:rowOff>
    </xdr:to>
    <xdr:sp macro="" textlink="">
      <xdr:nvSpPr>
        <xdr:cNvPr id="1491" name="Arrow: Down 1490">
          <a:extLst>
            <a:ext uri="{FF2B5EF4-FFF2-40B4-BE49-F238E27FC236}">
              <a16:creationId xmlns:a16="http://schemas.microsoft.com/office/drawing/2014/main" id="{194ED048-BD44-4F5F-B242-8F298F34FCEA}"/>
            </a:ext>
          </a:extLst>
        </xdr:cNvPr>
        <xdr:cNvSpPr/>
      </xdr:nvSpPr>
      <xdr:spPr>
        <a:xfrm rot="10800000">
          <a:off x="16139160" y="3630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199</xdr:row>
      <xdr:rowOff>0</xdr:rowOff>
    </xdr:from>
    <xdr:to>
      <xdr:col>71</xdr:col>
      <xdr:colOff>83820</xdr:colOff>
      <xdr:row>199</xdr:row>
      <xdr:rowOff>114300</xdr:rowOff>
    </xdr:to>
    <xdr:sp macro="" textlink="">
      <xdr:nvSpPr>
        <xdr:cNvPr id="1492" name="Arrow: Down 1491">
          <a:extLst>
            <a:ext uri="{FF2B5EF4-FFF2-40B4-BE49-F238E27FC236}">
              <a16:creationId xmlns:a16="http://schemas.microsoft.com/office/drawing/2014/main" id="{38CC6BD5-E5BC-44F2-9D7F-2A1471C0DD8F}"/>
            </a:ext>
          </a:extLst>
        </xdr:cNvPr>
        <xdr:cNvSpPr/>
      </xdr:nvSpPr>
      <xdr:spPr>
        <a:xfrm>
          <a:off x="184556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199</xdr:row>
      <xdr:rowOff>0</xdr:rowOff>
    </xdr:from>
    <xdr:to>
      <xdr:col>45</xdr:col>
      <xdr:colOff>83820</xdr:colOff>
      <xdr:row>199</xdr:row>
      <xdr:rowOff>114300</xdr:rowOff>
    </xdr:to>
    <xdr:sp macro="" textlink="">
      <xdr:nvSpPr>
        <xdr:cNvPr id="1493" name="Arrow: Down 1492">
          <a:extLst>
            <a:ext uri="{FF2B5EF4-FFF2-40B4-BE49-F238E27FC236}">
              <a16:creationId xmlns:a16="http://schemas.microsoft.com/office/drawing/2014/main" id="{F5AA5589-5547-4657-B280-1E16D8D9636D}"/>
            </a:ext>
          </a:extLst>
        </xdr:cNvPr>
        <xdr:cNvSpPr/>
      </xdr:nvSpPr>
      <xdr:spPr>
        <a:xfrm rot="10800000">
          <a:off x="113309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199</xdr:row>
      <xdr:rowOff>0</xdr:rowOff>
    </xdr:from>
    <xdr:to>
      <xdr:col>71</xdr:col>
      <xdr:colOff>83820</xdr:colOff>
      <xdr:row>199</xdr:row>
      <xdr:rowOff>114300</xdr:rowOff>
    </xdr:to>
    <xdr:sp macro="" textlink="">
      <xdr:nvSpPr>
        <xdr:cNvPr id="1494" name="Arrow: Down 1493">
          <a:extLst>
            <a:ext uri="{FF2B5EF4-FFF2-40B4-BE49-F238E27FC236}">
              <a16:creationId xmlns:a16="http://schemas.microsoft.com/office/drawing/2014/main" id="{F2572DF9-C536-4750-AF74-5063342570B7}"/>
            </a:ext>
          </a:extLst>
        </xdr:cNvPr>
        <xdr:cNvSpPr/>
      </xdr:nvSpPr>
      <xdr:spPr>
        <a:xfrm>
          <a:off x="184556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199</xdr:row>
      <xdr:rowOff>0</xdr:rowOff>
    </xdr:from>
    <xdr:to>
      <xdr:col>45</xdr:col>
      <xdr:colOff>83820</xdr:colOff>
      <xdr:row>199</xdr:row>
      <xdr:rowOff>114300</xdr:rowOff>
    </xdr:to>
    <xdr:sp macro="" textlink="">
      <xdr:nvSpPr>
        <xdr:cNvPr id="1495" name="Arrow: Down 1494">
          <a:extLst>
            <a:ext uri="{FF2B5EF4-FFF2-40B4-BE49-F238E27FC236}">
              <a16:creationId xmlns:a16="http://schemas.microsoft.com/office/drawing/2014/main" id="{A0AACC56-FC5E-40B4-AB87-F8C6AC90E5CC}"/>
            </a:ext>
          </a:extLst>
        </xdr:cNvPr>
        <xdr:cNvSpPr/>
      </xdr:nvSpPr>
      <xdr:spPr>
        <a:xfrm rot="10800000">
          <a:off x="113309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199</xdr:row>
      <xdr:rowOff>0</xdr:rowOff>
    </xdr:from>
    <xdr:to>
      <xdr:col>39</xdr:col>
      <xdr:colOff>83820</xdr:colOff>
      <xdr:row>199</xdr:row>
      <xdr:rowOff>114300</xdr:rowOff>
    </xdr:to>
    <xdr:sp macro="" textlink="">
      <xdr:nvSpPr>
        <xdr:cNvPr id="1498" name="Arrow: Down 1497">
          <a:extLst>
            <a:ext uri="{FF2B5EF4-FFF2-40B4-BE49-F238E27FC236}">
              <a16:creationId xmlns:a16="http://schemas.microsoft.com/office/drawing/2014/main" id="{58ECD722-DE78-4B88-A626-B51EAE75D3F8}"/>
            </a:ext>
          </a:extLst>
        </xdr:cNvPr>
        <xdr:cNvSpPr/>
      </xdr:nvSpPr>
      <xdr:spPr>
        <a:xfrm rot="10800000">
          <a:off x="952500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199</xdr:row>
      <xdr:rowOff>0</xdr:rowOff>
    </xdr:from>
    <xdr:to>
      <xdr:col>24</xdr:col>
      <xdr:colOff>83820</xdr:colOff>
      <xdr:row>199</xdr:row>
      <xdr:rowOff>114300</xdr:rowOff>
    </xdr:to>
    <xdr:sp macro="" textlink="">
      <xdr:nvSpPr>
        <xdr:cNvPr id="1499" name="Arrow: Down 1498">
          <a:extLst>
            <a:ext uri="{FF2B5EF4-FFF2-40B4-BE49-F238E27FC236}">
              <a16:creationId xmlns:a16="http://schemas.microsoft.com/office/drawing/2014/main" id="{8463B461-58CF-495C-B64A-484610B64FB6}"/>
            </a:ext>
          </a:extLst>
        </xdr:cNvPr>
        <xdr:cNvSpPr/>
      </xdr:nvSpPr>
      <xdr:spPr>
        <a:xfrm>
          <a:off x="636270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199</xdr:row>
      <xdr:rowOff>0</xdr:rowOff>
    </xdr:from>
    <xdr:to>
      <xdr:col>5</xdr:col>
      <xdr:colOff>83820</xdr:colOff>
      <xdr:row>199</xdr:row>
      <xdr:rowOff>114300</xdr:rowOff>
    </xdr:to>
    <xdr:sp macro="" textlink="">
      <xdr:nvSpPr>
        <xdr:cNvPr id="1501" name="Arrow: Down 1500">
          <a:extLst>
            <a:ext uri="{FF2B5EF4-FFF2-40B4-BE49-F238E27FC236}">
              <a16:creationId xmlns:a16="http://schemas.microsoft.com/office/drawing/2014/main" id="{C2AF8F5C-464C-45C7-B111-F7677AA18C4F}"/>
            </a:ext>
          </a:extLst>
        </xdr:cNvPr>
        <xdr:cNvSpPr/>
      </xdr:nvSpPr>
      <xdr:spPr>
        <a:xfrm>
          <a:off x="192786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199</xdr:row>
      <xdr:rowOff>0</xdr:rowOff>
    </xdr:from>
    <xdr:to>
      <xdr:col>11</xdr:col>
      <xdr:colOff>83820</xdr:colOff>
      <xdr:row>199</xdr:row>
      <xdr:rowOff>114300</xdr:rowOff>
    </xdr:to>
    <xdr:sp macro="" textlink="">
      <xdr:nvSpPr>
        <xdr:cNvPr id="1503" name="Arrow: Down 1502">
          <a:extLst>
            <a:ext uri="{FF2B5EF4-FFF2-40B4-BE49-F238E27FC236}">
              <a16:creationId xmlns:a16="http://schemas.microsoft.com/office/drawing/2014/main" id="{017DEDC8-0DA3-432F-9A6A-2EB9DD90BF76}"/>
            </a:ext>
          </a:extLst>
        </xdr:cNvPr>
        <xdr:cNvSpPr/>
      </xdr:nvSpPr>
      <xdr:spPr>
        <a:xfrm>
          <a:off x="361950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199</xdr:row>
      <xdr:rowOff>0</xdr:rowOff>
    </xdr:from>
    <xdr:to>
      <xdr:col>60</xdr:col>
      <xdr:colOff>83820</xdr:colOff>
      <xdr:row>199</xdr:row>
      <xdr:rowOff>114300</xdr:rowOff>
    </xdr:to>
    <xdr:sp macro="" textlink="">
      <xdr:nvSpPr>
        <xdr:cNvPr id="1504" name="Arrow: Down 1503">
          <a:extLst>
            <a:ext uri="{FF2B5EF4-FFF2-40B4-BE49-F238E27FC236}">
              <a16:creationId xmlns:a16="http://schemas.microsoft.com/office/drawing/2014/main" id="{DCC554AF-5761-4E51-B049-D5F7BF094AEF}"/>
            </a:ext>
          </a:extLst>
        </xdr:cNvPr>
        <xdr:cNvSpPr/>
      </xdr:nvSpPr>
      <xdr:spPr>
        <a:xfrm>
          <a:off x="1613916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200</xdr:row>
      <xdr:rowOff>0</xdr:rowOff>
    </xdr:from>
    <xdr:to>
      <xdr:col>71</xdr:col>
      <xdr:colOff>83820</xdr:colOff>
      <xdr:row>200</xdr:row>
      <xdr:rowOff>114300</xdr:rowOff>
    </xdr:to>
    <xdr:sp macro="" textlink="">
      <xdr:nvSpPr>
        <xdr:cNvPr id="1515" name="Arrow: Down 1514">
          <a:extLst>
            <a:ext uri="{FF2B5EF4-FFF2-40B4-BE49-F238E27FC236}">
              <a16:creationId xmlns:a16="http://schemas.microsoft.com/office/drawing/2014/main" id="{22FA2283-DD31-4F10-8A8E-C3FCC4E6289C}"/>
            </a:ext>
          </a:extLst>
        </xdr:cNvPr>
        <xdr:cNvSpPr/>
      </xdr:nvSpPr>
      <xdr:spPr>
        <a:xfrm>
          <a:off x="184556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200</xdr:row>
      <xdr:rowOff>0</xdr:rowOff>
    </xdr:from>
    <xdr:to>
      <xdr:col>45</xdr:col>
      <xdr:colOff>83820</xdr:colOff>
      <xdr:row>200</xdr:row>
      <xdr:rowOff>114300</xdr:rowOff>
    </xdr:to>
    <xdr:sp macro="" textlink="">
      <xdr:nvSpPr>
        <xdr:cNvPr id="1516" name="Arrow: Down 1515">
          <a:extLst>
            <a:ext uri="{FF2B5EF4-FFF2-40B4-BE49-F238E27FC236}">
              <a16:creationId xmlns:a16="http://schemas.microsoft.com/office/drawing/2014/main" id="{DCB9369D-D1AD-48DF-B2AA-F5D057C78EAC}"/>
            </a:ext>
          </a:extLst>
        </xdr:cNvPr>
        <xdr:cNvSpPr/>
      </xdr:nvSpPr>
      <xdr:spPr>
        <a:xfrm rot="10800000">
          <a:off x="113309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200</xdr:row>
      <xdr:rowOff>0</xdr:rowOff>
    </xdr:from>
    <xdr:to>
      <xdr:col>71</xdr:col>
      <xdr:colOff>83820</xdr:colOff>
      <xdr:row>200</xdr:row>
      <xdr:rowOff>114300</xdr:rowOff>
    </xdr:to>
    <xdr:sp macro="" textlink="">
      <xdr:nvSpPr>
        <xdr:cNvPr id="1517" name="Arrow: Down 1516">
          <a:extLst>
            <a:ext uri="{FF2B5EF4-FFF2-40B4-BE49-F238E27FC236}">
              <a16:creationId xmlns:a16="http://schemas.microsoft.com/office/drawing/2014/main" id="{00C2BDA2-C340-4B8C-BAF3-B8BF66F7EDB2}"/>
            </a:ext>
          </a:extLst>
        </xdr:cNvPr>
        <xdr:cNvSpPr/>
      </xdr:nvSpPr>
      <xdr:spPr>
        <a:xfrm>
          <a:off x="184556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200</xdr:row>
      <xdr:rowOff>0</xdr:rowOff>
    </xdr:from>
    <xdr:to>
      <xdr:col>45</xdr:col>
      <xdr:colOff>83820</xdr:colOff>
      <xdr:row>200</xdr:row>
      <xdr:rowOff>114300</xdr:rowOff>
    </xdr:to>
    <xdr:sp macro="" textlink="">
      <xdr:nvSpPr>
        <xdr:cNvPr id="1518" name="Arrow: Down 1517">
          <a:extLst>
            <a:ext uri="{FF2B5EF4-FFF2-40B4-BE49-F238E27FC236}">
              <a16:creationId xmlns:a16="http://schemas.microsoft.com/office/drawing/2014/main" id="{F7569B92-36ED-45A6-821C-85EB2070AC1C}"/>
            </a:ext>
          </a:extLst>
        </xdr:cNvPr>
        <xdr:cNvSpPr/>
      </xdr:nvSpPr>
      <xdr:spPr>
        <a:xfrm rot="10800000">
          <a:off x="113309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200</xdr:row>
      <xdr:rowOff>0</xdr:rowOff>
    </xdr:from>
    <xdr:to>
      <xdr:col>24</xdr:col>
      <xdr:colOff>83820</xdr:colOff>
      <xdr:row>200</xdr:row>
      <xdr:rowOff>114300</xdr:rowOff>
    </xdr:to>
    <xdr:sp macro="" textlink="">
      <xdr:nvSpPr>
        <xdr:cNvPr id="1520" name="Arrow: Down 1519">
          <a:extLst>
            <a:ext uri="{FF2B5EF4-FFF2-40B4-BE49-F238E27FC236}">
              <a16:creationId xmlns:a16="http://schemas.microsoft.com/office/drawing/2014/main" id="{469CD98C-25E2-4761-BB68-5B906AB89D31}"/>
            </a:ext>
          </a:extLst>
        </xdr:cNvPr>
        <xdr:cNvSpPr/>
      </xdr:nvSpPr>
      <xdr:spPr>
        <a:xfrm>
          <a:off x="636270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200</xdr:row>
      <xdr:rowOff>0</xdr:rowOff>
    </xdr:from>
    <xdr:to>
      <xdr:col>5</xdr:col>
      <xdr:colOff>83820</xdr:colOff>
      <xdr:row>200</xdr:row>
      <xdr:rowOff>114300</xdr:rowOff>
    </xdr:to>
    <xdr:sp macro="" textlink="">
      <xdr:nvSpPr>
        <xdr:cNvPr id="1521" name="Arrow: Down 1520">
          <a:extLst>
            <a:ext uri="{FF2B5EF4-FFF2-40B4-BE49-F238E27FC236}">
              <a16:creationId xmlns:a16="http://schemas.microsoft.com/office/drawing/2014/main" id="{B11B69DE-BE80-41D7-92FA-F25D02519F30}"/>
            </a:ext>
          </a:extLst>
        </xdr:cNvPr>
        <xdr:cNvSpPr/>
      </xdr:nvSpPr>
      <xdr:spPr>
        <a:xfrm>
          <a:off x="192786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200</xdr:row>
      <xdr:rowOff>0</xdr:rowOff>
    </xdr:from>
    <xdr:to>
      <xdr:col>11</xdr:col>
      <xdr:colOff>83820</xdr:colOff>
      <xdr:row>200</xdr:row>
      <xdr:rowOff>114300</xdr:rowOff>
    </xdr:to>
    <xdr:sp macro="" textlink="">
      <xdr:nvSpPr>
        <xdr:cNvPr id="1522" name="Arrow: Down 1521">
          <a:extLst>
            <a:ext uri="{FF2B5EF4-FFF2-40B4-BE49-F238E27FC236}">
              <a16:creationId xmlns:a16="http://schemas.microsoft.com/office/drawing/2014/main" id="{C30442F3-1F16-45F2-B36A-784520DBBAF9}"/>
            </a:ext>
          </a:extLst>
        </xdr:cNvPr>
        <xdr:cNvSpPr/>
      </xdr:nvSpPr>
      <xdr:spPr>
        <a:xfrm>
          <a:off x="361950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200</xdr:row>
      <xdr:rowOff>0</xdr:rowOff>
    </xdr:from>
    <xdr:to>
      <xdr:col>39</xdr:col>
      <xdr:colOff>83820</xdr:colOff>
      <xdr:row>200</xdr:row>
      <xdr:rowOff>114300</xdr:rowOff>
    </xdr:to>
    <xdr:sp macro="" textlink="">
      <xdr:nvSpPr>
        <xdr:cNvPr id="1524" name="Arrow: Down 1523">
          <a:extLst>
            <a:ext uri="{FF2B5EF4-FFF2-40B4-BE49-F238E27FC236}">
              <a16:creationId xmlns:a16="http://schemas.microsoft.com/office/drawing/2014/main" id="{56482B25-76D2-4924-8CEB-338262AC6285}"/>
            </a:ext>
          </a:extLst>
        </xdr:cNvPr>
        <xdr:cNvSpPr/>
      </xdr:nvSpPr>
      <xdr:spPr>
        <a:xfrm>
          <a:off x="9525000" y="366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200</xdr:row>
      <xdr:rowOff>0</xdr:rowOff>
    </xdr:from>
    <xdr:to>
      <xdr:col>60</xdr:col>
      <xdr:colOff>83820</xdr:colOff>
      <xdr:row>200</xdr:row>
      <xdr:rowOff>114300</xdr:rowOff>
    </xdr:to>
    <xdr:sp macro="" textlink="">
      <xdr:nvSpPr>
        <xdr:cNvPr id="1525" name="Arrow: Down 1524">
          <a:extLst>
            <a:ext uri="{FF2B5EF4-FFF2-40B4-BE49-F238E27FC236}">
              <a16:creationId xmlns:a16="http://schemas.microsoft.com/office/drawing/2014/main" id="{1A702772-5954-4734-84EF-AC7CB5432AC9}"/>
            </a:ext>
          </a:extLst>
        </xdr:cNvPr>
        <xdr:cNvSpPr/>
      </xdr:nvSpPr>
      <xdr:spPr>
        <a:xfrm rot="10800000">
          <a:off x="16139160" y="366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201</xdr:row>
      <xdr:rowOff>0</xdr:rowOff>
    </xdr:from>
    <xdr:to>
      <xdr:col>71</xdr:col>
      <xdr:colOff>83820</xdr:colOff>
      <xdr:row>201</xdr:row>
      <xdr:rowOff>114300</xdr:rowOff>
    </xdr:to>
    <xdr:sp macro="" textlink="">
      <xdr:nvSpPr>
        <xdr:cNvPr id="1526" name="Arrow: Down 1525">
          <a:extLst>
            <a:ext uri="{FF2B5EF4-FFF2-40B4-BE49-F238E27FC236}">
              <a16:creationId xmlns:a16="http://schemas.microsoft.com/office/drawing/2014/main" id="{89AD4741-D139-48D2-B8D8-D17E743448FC}"/>
            </a:ext>
          </a:extLst>
        </xdr:cNvPr>
        <xdr:cNvSpPr/>
      </xdr:nvSpPr>
      <xdr:spPr>
        <a:xfrm>
          <a:off x="2012442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201</xdr:row>
      <xdr:rowOff>0</xdr:rowOff>
    </xdr:from>
    <xdr:to>
      <xdr:col>45</xdr:col>
      <xdr:colOff>83820</xdr:colOff>
      <xdr:row>201</xdr:row>
      <xdr:rowOff>114300</xdr:rowOff>
    </xdr:to>
    <xdr:sp macro="" textlink="">
      <xdr:nvSpPr>
        <xdr:cNvPr id="1527" name="Arrow: Down 1526">
          <a:extLst>
            <a:ext uri="{FF2B5EF4-FFF2-40B4-BE49-F238E27FC236}">
              <a16:creationId xmlns:a16="http://schemas.microsoft.com/office/drawing/2014/main" id="{AD2B9880-0EEA-4A15-9889-E450AFBDC8FA}"/>
            </a:ext>
          </a:extLst>
        </xdr:cNvPr>
        <xdr:cNvSpPr/>
      </xdr:nvSpPr>
      <xdr:spPr>
        <a:xfrm rot="10800000">
          <a:off x="1133094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201</xdr:row>
      <xdr:rowOff>0</xdr:rowOff>
    </xdr:from>
    <xdr:to>
      <xdr:col>71</xdr:col>
      <xdr:colOff>83820</xdr:colOff>
      <xdr:row>201</xdr:row>
      <xdr:rowOff>114300</xdr:rowOff>
    </xdr:to>
    <xdr:sp macro="" textlink="">
      <xdr:nvSpPr>
        <xdr:cNvPr id="1528" name="Arrow: Down 1527">
          <a:extLst>
            <a:ext uri="{FF2B5EF4-FFF2-40B4-BE49-F238E27FC236}">
              <a16:creationId xmlns:a16="http://schemas.microsoft.com/office/drawing/2014/main" id="{DAA8D9FB-4708-4EFC-B13E-CDE3A81468A8}"/>
            </a:ext>
          </a:extLst>
        </xdr:cNvPr>
        <xdr:cNvSpPr/>
      </xdr:nvSpPr>
      <xdr:spPr>
        <a:xfrm>
          <a:off x="2012442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201</xdr:row>
      <xdr:rowOff>0</xdr:rowOff>
    </xdr:from>
    <xdr:to>
      <xdr:col>45</xdr:col>
      <xdr:colOff>83820</xdr:colOff>
      <xdr:row>201</xdr:row>
      <xdr:rowOff>114300</xdr:rowOff>
    </xdr:to>
    <xdr:sp macro="" textlink="">
      <xdr:nvSpPr>
        <xdr:cNvPr id="1529" name="Arrow: Down 1528">
          <a:extLst>
            <a:ext uri="{FF2B5EF4-FFF2-40B4-BE49-F238E27FC236}">
              <a16:creationId xmlns:a16="http://schemas.microsoft.com/office/drawing/2014/main" id="{0E421F5F-7DF7-4037-8A2C-66F0E0D77B6E}"/>
            </a:ext>
          </a:extLst>
        </xdr:cNvPr>
        <xdr:cNvSpPr/>
      </xdr:nvSpPr>
      <xdr:spPr>
        <a:xfrm rot="10800000">
          <a:off x="1133094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201</xdr:row>
      <xdr:rowOff>0</xdr:rowOff>
    </xdr:from>
    <xdr:to>
      <xdr:col>60</xdr:col>
      <xdr:colOff>83820</xdr:colOff>
      <xdr:row>201</xdr:row>
      <xdr:rowOff>114300</xdr:rowOff>
    </xdr:to>
    <xdr:sp macro="" textlink="">
      <xdr:nvSpPr>
        <xdr:cNvPr id="1536" name="Arrow: Down 1535">
          <a:extLst>
            <a:ext uri="{FF2B5EF4-FFF2-40B4-BE49-F238E27FC236}">
              <a16:creationId xmlns:a16="http://schemas.microsoft.com/office/drawing/2014/main" id="{EDE3D347-77DB-4C52-A165-4F20ABDC505A}"/>
            </a:ext>
          </a:extLst>
        </xdr:cNvPr>
        <xdr:cNvSpPr/>
      </xdr:nvSpPr>
      <xdr:spPr>
        <a:xfrm>
          <a:off x="1613916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201</xdr:row>
      <xdr:rowOff>0</xdr:rowOff>
    </xdr:from>
    <xdr:to>
      <xdr:col>39</xdr:col>
      <xdr:colOff>83820</xdr:colOff>
      <xdr:row>201</xdr:row>
      <xdr:rowOff>114300</xdr:rowOff>
    </xdr:to>
    <xdr:sp macro="" textlink="">
      <xdr:nvSpPr>
        <xdr:cNvPr id="1537" name="Arrow: Down 1536">
          <a:extLst>
            <a:ext uri="{FF2B5EF4-FFF2-40B4-BE49-F238E27FC236}">
              <a16:creationId xmlns:a16="http://schemas.microsoft.com/office/drawing/2014/main" id="{2EDEFE2E-B5B1-4175-8E4C-58A0B7E27AA5}"/>
            </a:ext>
          </a:extLst>
        </xdr:cNvPr>
        <xdr:cNvSpPr/>
      </xdr:nvSpPr>
      <xdr:spPr>
        <a:xfrm rot="10800000">
          <a:off x="952500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201</xdr:row>
      <xdr:rowOff>0</xdr:rowOff>
    </xdr:from>
    <xdr:to>
      <xdr:col>5</xdr:col>
      <xdr:colOff>83820</xdr:colOff>
      <xdr:row>201</xdr:row>
      <xdr:rowOff>114300</xdr:rowOff>
    </xdr:to>
    <xdr:sp macro="" textlink="">
      <xdr:nvSpPr>
        <xdr:cNvPr id="1538" name="Arrow: Down 1537">
          <a:extLst>
            <a:ext uri="{FF2B5EF4-FFF2-40B4-BE49-F238E27FC236}">
              <a16:creationId xmlns:a16="http://schemas.microsoft.com/office/drawing/2014/main" id="{F8452C6D-53CA-451C-8779-C4B075E46D22}"/>
            </a:ext>
          </a:extLst>
        </xdr:cNvPr>
        <xdr:cNvSpPr/>
      </xdr:nvSpPr>
      <xdr:spPr>
        <a:xfrm rot="10800000">
          <a:off x="192786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201</xdr:row>
      <xdr:rowOff>0</xdr:rowOff>
    </xdr:from>
    <xdr:to>
      <xdr:col>11</xdr:col>
      <xdr:colOff>83820</xdr:colOff>
      <xdr:row>201</xdr:row>
      <xdr:rowOff>114300</xdr:rowOff>
    </xdr:to>
    <xdr:sp macro="" textlink="">
      <xdr:nvSpPr>
        <xdr:cNvPr id="1540" name="Arrow: Down 1539">
          <a:extLst>
            <a:ext uri="{FF2B5EF4-FFF2-40B4-BE49-F238E27FC236}">
              <a16:creationId xmlns:a16="http://schemas.microsoft.com/office/drawing/2014/main" id="{FCACC174-5CE5-47B6-9790-544EDD9D7A98}"/>
            </a:ext>
          </a:extLst>
        </xdr:cNvPr>
        <xdr:cNvSpPr/>
      </xdr:nvSpPr>
      <xdr:spPr>
        <a:xfrm rot="10800000">
          <a:off x="36195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201</xdr:row>
      <xdr:rowOff>0</xdr:rowOff>
    </xdr:from>
    <xdr:to>
      <xdr:col>24</xdr:col>
      <xdr:colOff>83820</xdr:colOff>
      <xdr:row>201</xdr:row>
      <xdr:rowOff>114300</xdr:rowOff>
    </xdr:to>
    <xdr:sp macro="" textlink="">
      <xdr:nvSpPr>
        <xdr:cNvPr id="1542" name="Arrow: Down 1541">
          <a:extLst>
            <a:ext uri="{FF2B5EF4-FFF2-40B4-BE49-F238E27FC236}">
              <a16:creationId xmlns:a16="http://schemas.microsoft.com/office/drawing/2014/main" id="{80F06599-0A17-4B7D-B31E-7237DFCA1389}"/>
            </a:ext>
          </a:extLst>
        </xdr:cNvPr>
        <xdr:cNvSpPr/>
      </xdr:nvSpPr>
      <xdr:spPr>
        <a:xfrm rot="10800000">
          <a:off x="63627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202</xdr:row>
      <xdr:rowOff>0</xdr:rowOff>
    </xdr:from>
    <xdr:to>
      <xdr:col>71</xdr:col>
      <xdr:colOff>83820</xdr:colOff>
      <xdr:row>202</xdr:row>
      <xdr:rowOff>114300</xdr:rowOff>
    </xdr:to>
    <xdr:sp macro="" textlink="">
      <xdr:nvSpPr>
        <xdr:cNvPr id="1543" name="Arrow: Down 1542">
          <a:extLst>
            <a:ext uri="{FF2B5EF4-FFF2-40B4-BE49-F238E27FC236}">
              <a16:creationId xmlns:a16="http://schemas.microsoft.com/office/drawing/2014/main" id="{754B9A8C-4250-42A9-9BA1-7CB403463399}"/>
            </a:ext>
          </a:extLst>
        </xdr:cNvPr>
        <xdr:cNvSpPr/>
      </xdr:nvSpPr>
      <xdr:spPr>
        <a:xfrm>
          <a:off x="184556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202</xdr:row>
      <xdr:rowOff>0</xdr:rowOff>
    </xdr:from>
    <xdr:to>
      <xdr:col>45</xdr:col>
      <xdr:colOff>83820</xdr:colOff>
      <xdr:row>202</xdr:row>
      <xdr:rowOff>114300</xdr:rowOff>
    </xdr:to>
    <xdr:sp macro="" textlink="">
      <xdr:nvSpPr>
        <xdr:cNvPr id="1544" name="Arrow: Down 1543">
          <a:extLst>
            <a:ext uri="{FF2B5EF4-FFF2-40B4-BE49-F238E27FC236}">
              <a16:creationId xmlns:a16="http://schemas.microsoft.com/office/drawing/2014/main" id="{96487D1D-DC44-4BEB-805E-353986E454AD}"/>
            </a:ext>
          </a:extLst>
        </xdr:cNvPr>
        <xdr:cNvSpPr/>
      </xdr:nvSpPr>
      <xdr:spPr>
        <a:xfrm rot="10800000">
          <a:off x="113309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202</xdr:row>
      <xdr:rowOff>0</xdr:rowOff>
    </xdr:from>
    <xdr:to>
      <xdr:col>71</xdr:col>
      <xdr:colOff>83820</xdr:colOff>
      <xdr:row>202</xdr:row>
      <xdr:rowOff>114300</xdr:rowOff>
    </xdr:to>
    <xdr:sp macro="" textlink="">
      <xdr:nvSpPr>
        <xdr:cNvPr id="1545" name="Arrow: Down 1544">
          <a:extLst>
            <a:ext uri="{FF2B5EF4-FFF2-40B4-BE49-F238E27FC236}">
              <a16:creationId xmlns:a16="http://schemas.microsoft.com/office/drawing/2014/main" id="{331B3736-3005-4EC0-BE54-B5C6D2510B25}"/>
            </a:ext>
          </a:extLst>
        </xdr:cNvPr>
        <xdr:cNvSpPr/>
      </xdr:nvSpPr>
      <xdr:spPr>
        <a:xfrm>
          <a:off x="184556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202</xdr:row>
      <xdr:rowOff>0</xdr:rowOff>
    </xdr:from>
    <xdr:to>
      <xdr:col>45</xdr:col>
      <xdr:colOff>83820</xdr:colOff>
      <xdr:row>202</xdr:row>
      <xdr:rowOff>114300</xdr:rowOff>
    </xdr:to>
    <xdr:sp macro="" textlink="">
      <xdr:nvSpPr>
        <xdr:cNvPr id="1546" name="Arrow: Down 1545">
          <a:extLst>
            <a:ext uri="{FF2B5EF4-FFF2-40B4-BE49-F238E27FC236}">
              <a16:creationId xmlns:a16="http://schemas.microsoft.com/office/drawing/2014/main" id="{D84702AD-2EE7-49D2-933D-30C54438BF3D}"/>
            </a:ext>
          </a:extLst>
        </xdr:cNvPr>
        <xdr:cNvSpPr/>
      </xdr:nvSpPr>
      <xdr:spPr>
        <a:xfrm rot="10800000">
          <a:off x="113309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202</xdr:row>
      <xdr:rowOff>0</xdr:rowOff>
    </xdr:from>
    <xdr:to>
      <xdr:col>5</xdr:col>
      <xdr:colOff>83820</xdr:colOff>
      <xdr:row>202</xdr:row>
      <xdr:rowOff>114300</xdr:rowOff>
    </xdr:to>
    <xdr:sp macro="" textlink="">
      <xdr:nvSpPr>
        <xdr:cNvPr id="1549" name="Arrow: Down 1548">
          <a:extLst>
            <a:ext uri="{FF2B5EF4-FFF2-40B4-BE49-F238E27FC236}">
              <a16:creationId xmlns:a16="http://schemas.microsoft.com/office/drawing/2014/main" id="{964E831A-E9AF-4D50-9E90-05AC043CF507}"/>
            </a:ext>
          </a:extLst>
        </xdr:cNvPr>
        <xdr:cNvSpPr/>
      </xdr:nvSpPr>
      <xdr:spPr>
        <a:xfrm rot="10800000">
          <a:off x="192786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202</xdr:row>
      <xdr:rowOff>0</xdr:rowOff>
    </xdr:from>
    <xdr:to>
      <xdr:col>11</xdr:col>
      <xdr:colOff>83820</xdr:colOff>
      <xdr:row>202</xdr:row>
      <xdr:rowOff>114300</xdr:rowOff>
    </xdr:to>
    <xdr:sp macro="" textlink="">
      <xdr:nvSpPr>
        <xdr:cNvPr id="1550" name="Arrow: Down 1549">
          <a:extLst>
            <a:ext uri="{FF2B5EF4-FFF2-40B4-BE49-F238E27FC236}">
              <a16:creationId xmlns:a16="http://schemas.microsoft.com/office/drawing/2014/main" id="{6A85FA02-9598-48C1-BAC6-DB1D4C6F3AEA}"/>
            </a:ext>
          </a:extLst>
        </xdr:cNvPr>
        <xdr:cNvSpPr/>
      </xdr:nvSpPr>
      <xdr:spPr>
        <a:xfrm rot="10800000">
          <a:off x="36195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202</xdr:row>
      <xdr:rowOff>0</xdr:rowOff>
    </xdr:from>
    <xdr:to>
      <xdr:col>24</xdr:col>
      <xdr:colOff>83820</xdr:colOff>
      <xdr:row>202</xdr:row>
      <xdr:rowOff>114300</xdr:rowOff>
    </xdr:to>
    <xdr:sp macro="" textlink="">
      <xdr:nvSpPr>
        <xdr:cNvPr id="1551" name="Arrow: Down 1550">
          <a:extLst>
            <a:ext uri="{FF2B5EF4-FFF2-40B4-BE49-F238E27FC236}">
              <a16:creationId xmlns:a16="http://schemas.microsoft.com/office/drawing/2014/main" id="{499FA77D-F975-442E-8986-0537AFF744FF}"/>
            </a:ext>
          </a:extLst>
        </xdr:cNvPr>
        <xdr:cNvSpPr/>
      </xdr:nvSpPr>
      <xdr:spPr>
        <a:xfrm rot="10800000">
          <a:off x="63627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202</xdr:row>
      <xdr:rowOff>0</xdr:rowOff>
    </xdr:from>
    <xdr:to>
      <xdr:col>39</xdr:col>
      <xdr:colOff>83820</xdr:colOff>
      <xdr:row>202</xdr:row>
      <xdr:rowOff>114300</xdr:rowOff>
    </xdr:to>
    <xdr:sp macro="" textlink="">
      <xdr:nvSpPr>
        <xdr:cNvPr id="1552" name="Arrow: Down 1551">
          <a:extLst>
            <a:ext uri="{FF2B5EF4-FFF2-40B4-BE49-F238E27FC236}">
              <a16:creationId xmlns:a16="http://schemas.microsoft.com/office/drawing/2014/main" id="{4B1F74AB-D170-4153-B4B6-409400BDADA7}"/>
            </a:ext>
          </a:extLst>
        </xdr:cNvPr>
        <xdr:cNvSpPr/>
      </xdr:nvSpPr>
      <xdr:spPr>
        <a:xfrm>
          <a:off x="11849100" y="3704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202</xdr:row>
      <xdr:rowOff>0</xdr:rowOff>
    </xdr:from>
    <xdr:to>
      <xdr:col>60</xdr:col>
      <xdr:colOff>83820</xdr:colOff>
      <xdr:row>202</xdr:row>
      <xdr:rowOff>114300</xdr:rowOff>
    </xdr:to>
    <xdr:sp macro="" textlink="">
      <xdr:nvSpPr>
        <xdr:cNvPr id="1554" name="Arrow: Down 1553">
          <a:extLst>
            <a:ext uri="{FF2B5EF4-FFF2-40B4-BE49-F238E27FC236}">
              <a16:creationId xmlns:a16="http://schemas.microsoft.com/office/drawing/2014/main" id="{46E65A08-6741-461F-B5E8-B8E10A754CA7}"/>
            </a:ext>
          </a:extLst>
        </xdr:cNvPr>
        <xdr:cNvSpPr/>
      </xdr:nvSpPr>
      <xdr:spPr>
        <a:xfrm rot="10800000">
          <a:off x="18463260" y="3704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203</xdr:row>
      <xdr:rowOff>0</xdr:rowOff>
    </xdr:from>
    <xdr:to>
      <xdr:col>71</xdr:col>
      <xdr:colOff>83820</xdr:colOff>
      <xdr:row>203</xdr:row>
      <xdr:rowOff>114300</xdr:rowOff>
    </xdr:to>
    <xdr:sp macro="" textlink="">
      <xdr:nvSpPr>
        <xdr:cNvPr id="1565" name="Arrow: Down 1564">
          <a:extLst>
            <a:ext uri="{FF2B5EF4-FFF2-40B4-BE49-F238E27FC236}">
              <a16:creationId xmlns:a16="http://schemas.microsoft.com/office/drawing/2014/main" id="{71B4D63D-4780-4AD6-BA21-3B67936DD1E6}"/>
            </a:ext>
          </a:extLst>
        </xdr:cNvPr>
        <xdr:cNvSpPr/>
      </xdr:nvSpPr>
      <xdr:spPr>
        <a:xfrm>
          <a:off x="207797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203</xdr:row>
      <xdr:rowOff>0</xdr:rowOff>
    </xdr:from>
    <xdr:to>
      <xdr:col>45</xdr:col>
      <xdr:colOff>83820</xdr:colOff>
      <xdr:row>203</xdr:row>
      <xdr:rowOff>114300</xdr:rowOff>
    </xdr:to>
    <xdr:sp macro="" textlink="">
      <xdr:nvSpPr>
        <xdr:cNvPr id="1566" name="Arrow: Down 1565">
          <a:extLst>
            <a:ext uri="{FF2B5EF4-FFF2-40B4-BE49-F238E27FC236}">
              <a16:creationId xmlns:a16="http://schemas.microsoft.com/office/drawing/2014/main" id="{74E28FD7-418A-4E31-BD6F-230DE013B4D8}"/>
            </a:ext>
          </a:extLst>
        </xdr:cNvPr>
        <xdr:cNvSpPr/>
      </xdr:nvSpPr>
      <xdr:spPr>
        <a:xfrm rot="10800000">
          <a:off x="136550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203</xdr:row>
      <xdr:rowOff>0</xdr:rowOff>
    </xdr:from>
    <xdr:to>
      <xdr:col>71</xdr:col>
      <xdr:colOff>83820</xdr:colOff>
      <xdr:row>203</xdr:row>
      <xdr:rowOff>114300</xdr:rowOff>
    </xdr:to>
    <xdr:sp macro="" textlink="">
      <xdr:nvSpPr>
        <xdr:cNvPr id="1567" name="Arrow: Down 1566">
          <a:extLst>
            <a:ext uri="{FF2B5EF4-FFF2-40B4-BE49-F238E27FC236}">
              <a16:creationId xmlns:a16="http://schemas.microsoft.com/office/drawing/2014/main" id="{91DB2CD2-1294-462C-9E1B-F463F689FDD3}"/>
            </a:ext>
          </a:extLst>
        </xdr:cNvPr>
        <xdr:cNvSpPr/>
      </xdr:nvSpPr>
      <xdr:spPr>
        <a:xfrm>
          <a:off x="207797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203</xdr:row>
      <xdr:rowOff>0</xdr:rowOff>
    </xdr:from>
    <xdr:to>
      <xdr:col>45</xdr:col>
      <xdr:colOff>83820</xdr:colOff>
      <xdr:row>203</xdr:row>
      <xdr:rowOff>114300</xdr:rowOff>
    </xdr:to>
    <xdr:sp macro="" textlink="">
      <xdr:nvSpPr>
        <xdr:cNvPr id="1568" name="Arrow: Down 1567">
          <a:extLst>
            <a:ext uri="{FF2B5EF4-FFF2-40B4-BE49-F238E27FC236}">
              <a16:creationId xmlns:a16="http://schemas.microsoft.com/office/drawing/2014/main" id="{87F4672A-AC6A-41C8-A655-85337C5CEEC2}"/>
            </a:ext>
          </a:extLst>
        </xdr:cNvPr>
        <xdr:cNvSpPr/>
      </xdr:nvSpPr>
      <xdr:spPr>
        <a:xfrm rot="10800000">
          <a:off x="136550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203</xdr:row>
      <xdr:rowOff>0</xdr:rowOff>
    </xdr:from>
    <xdr:to>
      <xdr:col>5</xdr:col>
      <xdr:colOff>83820</xdr:colOff>
      <xdr:row>203</xdr:row>
      <xdr:rowOff>114300</xdr:rowOff>
    </xdr:to>
    <xdr:sp macro="" textlink="">
      <xdr:nvSpPr>
        <xdr:cNvPr id="1411" name="Arrow: Down 1410">
          <a:extLst>
            <a:ext uri="{FF2B5EF4-FFF2-40B4-BE49-F238E27FC236}">
              <a16:creationId xmlns:a16="http://schemas.microsoft.com/office/drawing/2014/main" id="{4C192A43-192C-402E-99F7-8D14D9B05FE8}"/>
            </a:ext>
          </a:extLst>
        </xdr:cNvPr>
        <xdr:cNvSpPr/>
      </xdr:nvSpPr>
      <xdr:spPr>
        <a:xfrm>
          <a:off x="192786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203</xdr:row>
      <xdr:rowOff>0</xdr:rowOff>
    </xdr:from>
    <xdr:to>
      <xdr:col>11</xdr:col>
      <xdr:colOff>83820</xdr:colOff>
      <xdr:row>203</xdr:row>
      <xdr:rowOff>114300</xdr:rowOff>
    </xdr:to>
    <xdr:sp macro="" textlink="">
      <xdr:nvSpPr>
        <xdr:cNvPr id="1412" name="Arrow: Down 1411">
          <a:extLst>
            <a:ext uri="{FF2B5EF4-FFF2-40B4-BE49-F238E27FC236}">
              <a16:creationId xmlns:a16="http://schemas.microsoft.com/office/drawing/2014/main" id="{00ED1DCC-9F69-4D1B-AFA5-21B7AC2D3D77}"/>
            </a:ext>
          </a:extLst>
        </xdr:cNvPr>
        <xdr:cNvSpPr/>
      </xdr:nvSpPr>
      <xdr:spPr>
        <a:xfrm>
          <a:off x="36195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203</xdr:row>
      <xdr:rowOff>0</xdr:rowOff>
    </xdr:from>
    <xdr:to>
      <xdr:col>24</xdr:col>
      <xdr:colOff>83820</xdr:colOff>
      <xdr:row>203</xdr:row>
      <xdr:rowOff>114300</xdr:rowOff>
    </xdr:to>
    <xdr:sp macro="" textlink="">
      <xdr:nvSpPr>
        <xdr:cNvPr id="1414" name="Arrow: Down 1413">
          <a:extLst>
            <a:ext uri="{FF2B5EF4-FFF2-40B4-BE49-F238E27FC236}">
              <a16:creationId xmlns:a16="http://schemas.microsoft.com/office/drawing/2014/main" id="{84F9A811-1470-4637-B720-CB496DAC9679}"/>
            </a:ext>
          </a:extLst>
        </xdr:cNvPr>
        <xdr:cNvSpPr/>
      </xdr:nvSpPr>
      <xdr:spPr>
        <a:xfrm>
          <a:off x="63627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203</xdr:row>
      <xdr:rowOff>0</xdr:rowOff>
    </xdr:from>
    <xdr:to>
      <xdr:col>60</xdr:col>
      <xdr:colOff>83820</xdr:colOff>
      <xdr:row>203</xdr:row>
      <xdr:rowOff>114300</xdr:rowOff>
    </xdr:to>
    <xdr:sp macro="" textlink="">
      <xdr:nvSpPr>
        <xdr:cNvPr id="1447" name="Arrow: Down 1446">
          <a:extLst>
            <a:ext uri="{FF2B5EF4-FFF2-40B4-BE49-F238E27FC236}">
              <a16:creationId xmlns:a16="http://schemas.microsoft.com/office/drawing/2014/main" id="{B8F8E0FF-D511-4059-B9B6-DD742BA6D102}"/>
            </a:ext>
          </a:extLst>
        </xdr:cNvPr>
        <xdr:cNvSpPr/>
      </xdr:nvSpPr>
      <xdr:spPr>
        <a:xfrm>
          <a:off x="1613916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204</xdr:row>
      <xdr:rowOff>0</xdr:rowOff>
    </xdr:from>
    <xdr:to>
      <xdr:col>71</xdr:col>
      <xdr:colOff>83820</xdr:colOff>
      <xdr:row>204</xdr:row>
      <xdr:rowOff>114300</xdr:rowOff>
    </xdr:to>
    <xdr:sp macro="" textlink="">
      <xdr:nvSpPr>
        <xdr:cNvPr id="1497" name="Arrow: Down 1496">
          <a:extLst>
            <a:ext uri="{FF2B5EF4-FFF2-40B4-BE49-F238E27FC236}">
              <a16:creationId xmlns:a16="http://schemas.microsoft.com/office/drawing/2014/main" id="{B4CAE8A5-7718-4CBD-B11D-3AC2E3FB1ED7}"/>
            </a:ext>
          </a:extLst>
        </xdr:cNvPr>
        <xdr:cNvSpPr/>
      </xdr:nvSpPr>
      <xdr:spPr>
        <a:xfrm>
          <a:off x="184556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204</xdr:row>
      <xdr:rowOff>0</xdr:rowOff>
    </xdr:from>
    <xdr:to>
      <xdr:col>45</xdr:col>
      <xdr:colOff>83820</xdr:colOff>
      <xdr:row>204</xdr:row>
      <xdr:rowOff>114300</xdr:rowOff>
    </xdr:to>
    <xdr:sp macro="" textlink="">
      <xdr:nvSpPr>
        <xdr:cNvPr id="1500" name="Arrow: Down 1499">
          <a:extLst>
            <a:ext uri="{FF2B5EF4-FFF2-40B4-BE49-F238E27FC236}">
              <a16:creationId xmlns:a16="http://schemas.microsoft.com/office/drawing/2014/main" id="{3B7356DF-94FA-484D-855C-DD7A0ED666C5}"/>
            </a:ext>
          </a:extLst>
        </xdr:cNvPr>
        <xdr:cNvSpPr/>
      </xdr:nvSpPr>
      <xdr:spPr>
        <a:xfrm rot="10800000">
          <a:off x="113309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204</xdr:row>
      <xdr:rowOff>0</xdr:rowOff>
    </xdr:from>
    <xdr:to>
      <xdr:col>71</xdr:col>
      <xdr:colOff>83820</xdr:colOff>
      <xdr:row>204</xdr:row>
      <xdr:rowOff>114300</xdr:rowOff>
    </xdr:to>
    <xdr:sp macro="" textlink="">
      <xdr:nvSpPr>
        <xdr:cNvPr id="1502" name="Arrow: Down 1501">
          <a:extLst>
            <a:ext uri="{FF2B5EF4-FFF2-40B4-BE49-F238E27FC236}">
              <a16:creationId xmlns:a16="http://schemas.microsoft.com/office/drawing/2014/main" id="{F75A4B36-98E9-4153-BFDC-F7C68CCA64D7}"/>
            </a:ext>
          </a:extLst>
        </xdr:cNvPr>
        <xdr:cNvSpPr/>
      </xdr:nvSpPr>
      <xdr:spPr>
        <a:xfrm>
          <a:off x="184556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204</xdr:row>
      <xdr:rowOff>0</xdr:rowOff>
    </xdr:from>
    <xdr:to>
      <xdr:col>45</xdr:col>
      <xdr:colOff>83820</xdr:colOff>
      <xdr:row>204</xdr:row>
      <xdr:rowOff>114300</xdr:rowOff>
    </xdr:to>
    <xdr:sp macro="" textlink="">
      <xdr:nvSpPr>
        <xdr:cNvPr id="1505" name="Arrow: Down 1504">
          <a:extLst>
            <a:ext uri="{FF2B5EF4-FFF2-40B4-BE49-F238E27FC236}">
              <a16:creationId xmlns:a16="http://schemas.microsoft.com/office/drawing/2014/main" id="{53CEC494-0057-404D-A88D-5880E901BC25}"/>
            </a:ext>
          </a:extLst>
        </xdr:cNvPr>
        <xdr:cNvSpPr/>
      </xdr:nvSpPr>
      <xdr:spPr>
        <a:xfrm rot="10800000">
          <a:off x="113309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204</xdr:row>
      <xdr:rowOff>0</xdr:rowOff>
    </xdr:from>
    <xdr:to>
      <xdr:col>24</xdr:col>
      <xdr:colOff>83820</xdr:colOff>
      <xdr:row>204</xdr:row>
      <xdr:rowOff>114300</xdr:rowOff>
    </xdr:to>
    <xdr:sp macro="" textlink="">
      <xdr:nvSpPr>
        <xdr:cNvPr id="1508" name="Arrow: Down 1507">
          <a:extLst>
            <a:ext uri="{FF2B5EF4-FFF2-40B4-BE49-F238E27FC236}">
              <a16:creationId xmlns:a16="http://schemas.microsoft.com/office/drawing/2014/main" id="{961B3582-8391-45CB-8AE6-3EA4AE43EF0B}"/>
            </a:ext>
          </a:extLst>
        </xdr:cNvPr>
        <xdr:cNvSpPr/>
      </xdr:nvSpPr>
      <xdr:spPr>
        <a:xfrm>
          <a:off x="63627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204</xdr:row>
      <xdr:rowOff>0</xdr:rowOff>
    </xdr:from>
    <xdr:to>
      <xdr:col>11</xdr:col>
      <xdr:colOff>83820</xdr:colOff>
      <xdr:row>204</xdr:row>
      <xdr:rowOff>114300</xdr:rowOff>
    </xdr:to>
    <xdr:sp macro="" textlink="">
      <xdr:nvSpPr>
        <xdr:cNvPr id="1511" name="Arrow: Down 1510">
          <a:extLst>
            <a:ext uri="{FF2B5EF4-FFF2-40B4-BE49-F238E27FC236}">
              <a16:creationId xmlns:a16="http://schemas.microsoft.com/office/drawing/2014/main" id="{E65AAB5B-65B9-452B-B5BB-61874EFC7766}"/>
            </a:ext>
          </a:extLst>
        </xdr:cNvPr>
        <xdr:cNvSpPr/>
      </xdr:nvSpPr>
      <xdr:spPr>
        <a:xfrm rot="10800000">
          <a:off x="361950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204</xdr:row>
      <xdr:rowOff>0</xdr:rowOff>
    </xdr:from>
    <xdr:to>
      <xdr:col>5</xdr:col>
      <xdr:colOff>83820</xdr:colOff>
      <xdr:row>204</xdr:row>
      <xdr:rowOff>114300</xdr:rowOff>
    </xdr:to>
    <xdr:sp macro="" textlink="">
      <xdr:nvSpPr>
        <xdr:cNvPr id="1512" name="Arrow: Down 1511">
          <a:extLst>
            <a:ext uri="{FF2B5EF4-FFF2-40B4-BE49-F238E27FC236}">
              <a16:creationId xmlns:a16="http://schemas.microsoft.com/office/drawing/2014/main" id="{D9BBF3AE-659B-465D-AE76-2A8599373A02}"/>
            </a:ext>
          </a:extLst>
        </xdr:cNvPr>
        <xdr:cNvSpPr/>
      </xdr:nvSpPr>
      <xdr:spPr>
        <a:xfrm rot="10800000">
          <a:off x="192786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204</xdr:row>
      <xdr:rowOff>0</xdr:rowOff>
    </xdr:from>
    <xdr:to>
      <xdr:col>60</xdr:col>
      <xdr:colOff>83820</xdr:colOff>
      <xdr:row>204</xdr:row>
      <xdr:rowOff>114300</xdr:rowOff>
    </xdr:to>
    <xdr:sp macro="" textlink="">
      <xdr:nvSpPr>
        <xdr:cNvPr id="1514" name="Arrow: Down 1513">
          <a:extLst>
            <a:ext uri="{FF2B5EF4-FFF2-40B4-BE49-F238E27FC236}">
              <a16:creationId xmlns:a16="http://schemas.microsoft.com/office/drawing/2014/main" id="{B45A744B-BA33-4F16-97FD-90BDB036A6D9}"/>
            </a:ext>
          </a:extLst>
        </xdr:cNvPr>
        <xdr:cNvSpPr/>
      </xdr:nvSpPr>
      <xdr:spPr>
        <a:xfrm rot="10800000">
          <a:off x="1613916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204</xdr:row>
      <xdr:rowOff>0</xdr:rowOff>
    </xdr:from>
    <xdr:to>
      <xdr:col>39</xdr:col>
      <xdr:colOff>83820</xdr:colOff>
      <xdr:row>204</xdr:row>
      <xdr:rowOff>114300</xdr:rowOff>
    </xdr:to>
    <xdr:sp macro="" textlink="">
      <xdr:nvSpPr>
        <xdr:cNvPr id="1519" name="Arrow: Down 1518">
          <a:extLst>
            <a:ext uri="{FF2B5EF4-FFF2-40B4-BE49-F238E27FC236}">
              <a16:creationId xmlns:a16="http://schemas.microsoft.com/office/drawing/2014/main" id="{D1E432FE-06E6-4BFD-9B0B-BE7DAA052B4E}"/>
            </a:ext>
          </a:extLst>
        </xdr:cNvPr>
        <xdr:cNvSpPr/>
      </xdr:nvSpPr>
      <xdr:spPr>
        <a:xfrm>
          <a:off x="952500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205</xdr:row>
      <xdr:rowOff>0</xdr:rowOff>
    </xdr:from>
    <xdr:to>
      <xdr:col>71</xdr:col>
      <xdr:colOff>83820</xdr:colOff>
      <xdr:row>205</xdr:row>
      <xdr:rowOff>114300</xdr:rowOff>
    </xdr:to>
    <xdr:sp macro="" textlink="">
      <xdr:nvSpPr>
        <xdr:cNvPr id="1523" name="Arrow: Down 1522">
          <a:extLst>
            <a:ext uri="{FF2B5EF4-FFF2-40B4-BE49-F238E27FC236}">
              <a16:creationId xmlns:a16="http://schemas.microsoft.com/office/drawing/2014/main" id="{F895504C-86F0-4983-B34C-A4FCE30CCE00}"/>
            </a:ext>
          </a:extLst>
        </xdr:cNvPr>
        <xdr:cNvSpPr/>
      </xdr:nvSpPr>
      <xdr:spPr>
        <a:xfrm>
          <a:off x="184556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205</xdr:row>
      <xdr:rowOff>0</xdr:rowOff>
    </xdr:from>
    <xdr:to>
      <xdr:col>45</xdr:col>
      <xdr:colOff>83820</xdr:colOff>
      <xdr:row>205</xdr:row>
      <xdr:rowOff>114300</xdr:rowOff>
    </xdr:to>
    <xdr:sp macro="" textlink="">
      <xdr:nvSpPr>
        <xdr:cNvPr id="1530" name="Arrow: Down 1529">
          <a:extLst>
            <a:ext uri="{FF2B5EF4-FFF2-40B4-BE49-F238E27FC236}">
              <a16:creationId xmlns:a16="http://schemas.microsoft.com/office/drawing/2014/main" id="{006D58BA-6DD6-4EF1-8D77-10F65528DC22}"/>
            </a:ext>
          </a:extLst>
        </xdr:cNvPr>
        <xdr:cNvSpPr/>
      </xdr:nvSpPr>
      <xdr:spPr>
        <a:xfrm rot="10800000">
          <a:off x="113309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205</xdr:row>
      <xdr:rowOff>0</xdr:rowOff>
    </xdr:from>
    <xdr:to>
      <xdr:col>71</xdr:col>
      <xdr:colOff>83820</xdr:colOff>
      <xdr:row>205</xdr:row>
      <xdr:rowOff>114300</xdr:rowOff>
    </xdr:to>
    <xdr:sp macro="" textlink="">
      <xdr:nvSpPr>
        <xdr:cNvPr id="1531" name="Arrow: Down 1530">
          <a:extLst>
            <a:ext uri="{FF2B5EF4-FFF2-40B4-BE49-F238E27FC236}">
              <a16:creationId xmlns:a16="http://schemas.microsoft.com/office/drawing/2014/main" id="{8E69E520-80C7-440D-B5DB-AD47585E3D8A}"/>
            </a:ext>
          </a:extLst>
        </xdr:cNvPr>
        <xdr:cNvSpPr/>
      </xdr:nvSpPr>
      <xdr:spPr>
        <a:xfrm>
          <a:off x="184556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205</xdr:row>
      <xdr:rowOff>0</xdr:rowOff>
    </xdr:from>
    <xdr:to>
      <xdr:col>45</xdr:col>
      <xdr:colOff>83820</xdr:colOff>
      <xdr:row>205</xdr:row>
      <xdr:rowOff>114300</xdr:rowOff>
    </xdr:to>
    <xdr:sp macro="" textlink="">
      <xdr:nvSpPr>
        <xdr:cNvPr id="1532" name="Arrow: Down 1531">
          <a:extLst>
            <a:ext uri="{FF2B5EF4-FFF2-40B4-BE49-F238E27FC236}">
              <a16:creationId xmlns:a16="http://schemas.microsoft.com/office/drawing/2014/main" id="{930E46C0-3436-40F6-8F29-030261364EF5}"/>
            </a:ext>
          </a:extLst>
        </xdr:cNvPr>
        <xdr:cNvSpPr/>
      </xdr:nvSpPr>
      <xdr:spPr>
        <a:xfrm rot="10800000">
          <a:off x="113309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205</xdr:row>
      <xdr:rowOff>0</xdr:rowOff>
    </xdr:from>
    <xdr:to>
      <xdr:col>24</xdr:col>
      <xdr:colOff>83820</xdr:colOff>
      <xdr:row>205</xdr:row>
      <xdr:rowOff>114300</xdr:rowOff>
    </xdr:to>
    <xdr:sp macro="" textlink="">
      <xdr:nvSpPr>
        <xdr:cNvPr id="1533" name="Arrow: Down 1532">
          <a:extLst>
            <a:ext uri="{FF2B5EF4-FFF2-40B4-BE49-F238E27FC236}">
              <a16:creationId xmlns:a16="http://schemas.microsoft.com/office/drawing/2014/main" id="{B1030B3F-6CE2-4DFD-AC55-F901E6AEB2A6}"/>
            </a:ext>
          </a:extLst>
        </xdr:cNvPr>
        <xdr:cNvSpPr/>
      </xdr:nvSpPr>
      <xdr:spPr>
        <a:xfrm>
          <a:off x="636270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205</xdr:row>
      <xdr:rowOff>0</xdr:rowOff>
    </xdr:from>
    <xdr:to>
      <xdr:col>11</xdr:col>
      <xdr:colOff>83820</xdr:colOff>
      <xdr:row>205</xdr:row>
      <xdr:rowOff>114300</xdr:rowOff>
    </xdr:to>
    <xdr:sp macro="" textlink="">
      <xdr:nvSpPr>
        <xdr:cNvPr id="1534" name="Arrow: Down 1533">
          <a:extLst>
            <a:ext uri="{FF2B5EF4-FFF2-40B4-BE49-F238E27FC236}">
              <a16:creationId xmlns:a16="http://schemas.microsoft.com/office/drawing/2014/main" id="{EE71379C-D34E-47C8-A84A-9C444F67D519}"/>
            </a:ext>
          </a:extLst>
        </xdr:cNvPr>
        <xdr:cNvSpPr/>
      </xdr:nvSpPr>
      <xdr:spPr>
        <a:xfrm rot="10800000">
          <a:off x="361950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205</xdr:row>
      <xdr:rowOff>0</xdr:rowOff>
    </xdr:from>
    <xdr:to>
      <xdr:col>5</xdr:col>
      <xdr:colOff>83820</xdr:colOff>
      <xdr:row>205</xdr:row>
      <xdr:rowOff>114300</xdr:rowOff>
    </xdr:to>
    <xdr:sp macro="" textlink="">
      <xdr:nvSpPr>
        <xdr:cNvPr id="1535" name="Arrow: Down 1534">
          <a:extLst>
            <a:ext uri="{FF2B5EF4-FFF2-40B4-BE49-F238E27FC236}">
              <a16:creationId xmlns:a16="http://schemas.microsoft.com/office/drawing/2014/main" id="{3A5CE941-C353-4E9C-955B-E705C0D11E42}"/>
            </a:ext>
          </a:extLst>
        </xdr:cNvPr>
        <xdr:cNvSpPr/>
      </xdr:nvSpPr>
      <xdr:spPr>
        <a:xfrm rot="10800000">
          <a:off x="192786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205</xdr:row>
      <xdr:rowOff>0</xdr:rowOff>
    </xdr:from>
    <xdr:to>
      <xdr:col>60</xdr:col>
      <xdr:colOff>83820</xdr:colOff>
      <xdr:row>205</xdr:row>
      <xdr:rowOff>114300</xdr:rowOff>
    </xdr:to>
    <xdr:sp macro="" textlink="">
      <xdr:nvSpPr>
        <xdr:cNvPr id="1553" name="Arrow: Down 1552">
          <a:extLst>
            <a:ext uri="{FF2B5EF4-FFF2-40B4-BE49-F238E27FC236}">
              <a16:creationId xmlns:a16="http://schemas.microsoft.com/office/drawing/2014/main" id="{118E539B-0AC7-4FC2-A601-D7534CD953E3}"/>
            </a:ext>
          </a:extLst>
        </xdr:cNvPr>
        <xdr:cNvSpPr/>
      </xdr:nvSpPr>
      <xdr:spPr>
        <a:xfrm>
          <a:off x="1613916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206</xdr:row>
      <xdr:rowOff>0</xdr:rowOff>
    </xdr:from>
    <xdr:to>
      <xdr:col>71</xdr:col>
      <xdr:colOff>83820</xdr:colOff>
      <xdr:row>206</xdr:row>
      <xdr:rowOff>114300</xdr:rowOff>
    </xdr:to>
    <xdr:sp macro="" textlink="">
      <xdr:nvSpPr>
        <xdr:cNvPr id="1564" name="Arrow: Down 1563">
          <a:extLst>
            <a:ext uri="{FF2B5EF4-FFF2-40B4-BE49-F238E27FC236}">
              <a16:creationId xmlns:a16="http://schemas.microsoft.com/office/drawing/2014/main" id="{BF49C1B5-7257-4433-8CC7-0C96DAD34C12}"/>
            </a:ext>
          </a:extLst>
        </xdr:cNvPr>
        <xdr:cNvSpPr/>
      </xdr:nvSpPr>
      <xdr:spPr>
        <a:xfrm>
          <a:off x="184556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206</xdr:row>
      <xdr:rowOff>0</xdr:rowOff>
    </xdr:from>
    <xdr:to>
      <xdr:col>45</xdr:col>
      <xdr:colOff>83820</xdr:colOff>
      <xdr:row>206</xdr:row>
      <xdr:rowOff>114300</xdr:rowOff>
    </xdr:to>
    <xdr:sp macro="" textlink="">
      <xdr:nvSpPr>
        <xdr:cNvPr id="1574" name="Arrow: Down 1573">
          <a:extLst>
            <a:ext uri="{FF2B5EF4-FFF2-40B4-BE49-F238E27FC236}">
              <a16:creationId xmlns:a16="http://schemas.microsoft.com/office/drawing/2014/main" id="{0639FC7D-6A52-47FC-9AB7-F006B5EE982E}"/>
            </a:ext>
          </a:extLst>
        </xdr:cNvPr>
        <xdr:cNvSpPr/>
      </xdr:nvSpPr>
      <xdr:spPr>
        <a:xfrm rot="10800000">
          <a:off x="113309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206</xdr:row>
      <xdr:rowOff>0</xdr:rowOff>
    </xdr:from>
    <xdr:to>
      <xdr:col>71</xdr:col>
      <xdr:colOff>83820</xdr:colOff>
      <xdr:row>206</xdr:row>
      <xdr:rowOff>114300</xdr:rowOff>
    </xdr:to>
    <xdr:sp macro="" textlink="">
      <xdr:nvSpPr>
        <xdr:cNvPr id="1575" name="Arrow: Down 1574">
          <a:extLst>
            <a:ext uri="{FF2B5EF4-FFF2-40B4-BE49-F238E27FC236}">
              <a16:creationId xmlns:a16="http://schemas.microsoft.com/office/drawing/2014/main" id="{134E5F0C-502A-45EC-AE23-B64CE8C74DAC}"/>
            </a:ext>
          </a:extLst>
        </xdr:cNvPr>
        <xdr:cNvSpPr/>
      </xdr:nvSpPr>
      <xdr:spPr>
        <a:xfrm>
          <a:off x="184556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206</xdr:row>
      <xdr:rowOff>0</xdr:rowOff>
    </xdr:from>
    <xdr:to>
      <xdr:col>45</xdr:col>
      <xdr:colOff>83820</xdr:colOff>
      <xdr:row>206</xdr:row>
      <xdr:rowOff>114300</xdr:rowOff>
    </xdr:to>
    <xdr:sp macro="" textlink="">
      <xdr:nvSpPr>
        <xdr:cNvPr id="1576" name="Arrow: Down 1575">
          <a:extLst>
            <a:ext uri="{FF2B5EF4-FFF2-40B4-BE49-F238E27FC236}">
              <a16:creationId xmlns:a16="http://schemas.microsoft.com/office/drawing/2014/main" id="{5C3BECFC-B8DC-4503-AA4B-60DD2FACFA22}"/>
            </a:ext>
          </a:extLst>
        </xdr:cNvPr>
        <xdr:cNvSpPr/>
      </xdr:nvSpPr>
      <xdr:spPr>
        <a:xfrm rot="10800000">
          <a:off x="113309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206</xdr:row>
      <xdr:rowOff>0</xdr:rowOff>
    </xdr:from>
    <xdr:to>
      <xdr:col>24</xdr:col>
      <xdr:colOff>83820</xdr:colOff>
      <xdr:row>206</xdr:row>
      <xdr:rowOff>114300</xdr:rowOff>
    </xdr:to>
    <xdr:sp macro="" textlink="">
      <xdr:nvSpPr>
        <xdr:cNvPr id="1577" name="Arrow: Down 1576">
          <a:extLst>
            <a:ext uri="{FF2B5EF4-FFF2-40B4-BE49-F238E27FC236}">
              <a16:creationId xmlns:a16="http://schemas.microsoft.com/office/drawing/2014/main" id="{634DDD09-0BD1-4383-A17B-21DC71DA1DC6}"/>
            </a:ext>
          </a:extLst>
        </xdr:cNvPr>
        <xdr:cNvSpPr/>
      </xdr:nvSpPr>
      <xdr:spPr>
        <a:xfrm>
          <a:off x="636270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206</xdr:row>
      <xdr:rowOff>0</xdr:rowOff>
    </xdr:from>
    <xdr:to>
      <xdr:col>60</xdr:col>
      <xdr:colOff>83820</xdr:colOff>
      <xdr:row>206</xdr:row>
      <xdr:rowOff>114300</xdr:rowOff>
    </xdr:to>
    <xdr:sp macro="" textlink="">
      <xdr:nvSpPr>
        <xdr:cNvPr id="1437" name="Arrow: Down 1436">
          <a:extLst>
            <a:ext uri="{FF2B5EF4-FFF2-40B4-BE49-F238E27FC236}">
              <a16:creationId xmlns:a16="http://schemas.microsoft.com/office/drawing/2014/main" id="{BC545588-6C85-43C6-9751-034063ADE962}"/>
            </a:ext>
          </a:extLst>
        </xdr:cNvPr>
        <xdr:cNvSpPr/>
      </xdr:nvSpPr>
      <xdr:spPr>
        <a:xfrm rot="10800000">
          <a:off x="16139160" y="3777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206</xdr:row>
      <xdr:rowOff>0</xdr:rowOff>
    </xdr:from>
    <xdr:to>
      <xdr:col>39</xdr:col>
      <xdr:colOff>83820</xdr:colOff>
      <xdr:row>206</xdr:row>
      <xdr:rowOff>114300</xdr:rowOff>
    </xdr:to>
    <xdr:sp macro="" textlink="">
      <xdr:nvSpPr>
        <xdr:cNvPr id="1463" name="Arrow: Down 1462">
          <a:extLst>
            <a:ext uri="{FF2B5EF4-FFF2-40B4-BE49-F238E27FC236}">
              <a16:creationId xmlns:a16="http://schemas.microsoft.com/office/drawing/2014/main" id="{91CD7412-8086-421E-9F7D-4558AF87818E}"/>
            </a:ext>
          </a:extLst>
        </xdr:cNvPr>
        <xdr:cNvSpPr/>
      </xdr:nvSpPr>
      <xdr:spPr>
        <a:xfrm rot="10800000">
          <a:off x="95250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203</xdr:row>
      <xdr:rowOff>0</xdr:rowOff>
    </xdr:from>
    <xdr:to>
      <xdr:col>39</xdr:col>
      <xdr:colOff>83820</xdr:colOff>
      <xdr:row>203</xdr:row>
      <xdr:rowOff>114300</xdr:rowOff>
    </xdr:to>
    <xdr:sp macro="" textlink="">
      <xdr:nvSpPr>
        <xdr:cNvPr id="1464" name="Arrow: Down 1463">
          <a:extLst>
            <a:ext uri="{FF2B5EF4-FFF2-40B4-BE49-F238E27FC236}">
              <a16:creationId xmlns:a16="http://schemas.microsoft.com/office/drawing/2014/main" id="{9BC7965E-99E1-4A01-8429-97D215CE4480}"/>
            </a:ext>
          </a:extLst>
        </xdr:cNvPr>
        <xdr:cNvSpPr/>
      </xdr:nvSpPr>
      <xdr:spPr>
        <a:xfrm rot="10800000">
          <a:off x="95250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205</xdr:row>
      <xdr:rowOff>0</xdr:rowOff>
    </xdr:from>
    <xdr:to>
      <xdr:col>39</xdr:col>
      <xdr:colOff>83820</xdr:colOff>
      <xdr:row>205</xdr:row>
      <xdr:rowOff>114300</xdr:rowOff>
    </xdr:to>
    <xdr:sp macro="" textlink="">
      <xdr:nvSpPr>
        <xdr:cNvPr id="1465" name="Arrow: Down 1464">
          <a:extLst>
            <a:ext uri="{FF2B5EF4-FFF2-40B4-BE49-F238E27FC236}">
              <a16:creationId xmlns:a16="http://schemas.microsoft.com/office/drawing/2014/main" id="{9E34E8AC-6B49-412E-B145-54843A40F6E8}"/>
            </a:ext>
          </a:extLst>
        </xdr:cNvPr>
        <xdr:cNvSpPr/>
      </xdr:nvSpPr>
      <xdr:spPr>
        <a:xfrm rot="10800000">
          <a:off x="952500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206</xdr:row>
      <xdr:rowOff>0</xdr:rowOff>
    </xdr:from>
    <xdr:to>
      <xdr:col>5</xdr:col>
      <xdr:colOff>83820</xdr:colOff>
      <xdr:row>206</xdr:row>
      <xdr:rowOff>114300</xdr:rowOff>
    </xdr:to>
    <xdr:sp macro="" textlink="">
      <xdr:nvSpPr>
        <xdr:cNvPr id="1474" name="Arrow: Down 1473">
          <a:extLst>
            <a:ext uri="{FF2B5EF4-FFF2-40B4-BE49-F238E27FC236}">
              <a16:creationId xmlns:a16="http://schemas.microsoft.com/office/drawing/2014/main" id="{3330E4F3-D285-4805-B19D-FC4E98D63B4C}"/>
            </a:ext>
          </a:extLst>
        </xdr:cNvPr>
        <xdr:cNvSpPr/>
      </xdr:nvSpPr>
      <xdr:spPr>
        <a:xfrm>
          <a:off x="192786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206</xdr:row>
      <xdr:rowOff>0</xdr:rowOff>
    </xdr:from>
    <xdr:to>
      <xdr:col>11</xdr:col>
      <xdr:colOff>83820</xdr:colOff>
      <xdr:row>206</xdr:row>
      <xdr:rowOff>114300</xdr:rowOff>
    </xdr:to>
    <xdr:sp macro="" textlink="">
      <xdr:nvSpPr>
        <xdr:cNvPr id="1485" name="Arrow: Down 1484">
          <a:extLst>
            <a:ext uri="{FF2B5EF4-FFF2-40B4-BE49-F238E27FC236}">
              <a16:creationId xmlns:a16="http://schemas.microsoft.com/office/drawing/2014/main" id="{5B6D8476-5959-44E5-B033-FFA7EB000060}"/>
            </a:ext>
          </a:extLst>
        </xdr:cNvPr>
        <xdr:cNvSpPr/>
      </xdr:nvSpPr>
      <xdr:spPr>
        <a:xfrm>
          <a:off x="36195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207</xdr:row>
      <xdr:rowOff>0</xdr:rowOff>
    </xdr:from>
    <xdr:to>
      <xdr:col>71</xdr:col>
      <xdr:colOff>83820</xdr:colOff>
      <xdr:row>207</xdr:row>
      <xdr:rowOff>114300</xdr:rowOff>
    </xdr:to>
    <xdr:sp macro="" textlink="">
      <xdr:nvSpPr>
        <xdr:cNvPr id="1490" name="Arrow: Down 1489">
          <a:extLst>
            <a:ext uri="{FF2B5EF4-FFF2-40B4-BE49-F238E27FC236}">
              <a16:creationId xmlns:a16="http://schemas.microsoft.com/office/drawing/2014/main" id="{A15049DE-C368-4357-84FF-947CC8CE7F03}"/>
            </a:ext>
          </a:extLst>
        </xdr:cNvPr>
        <xdr:cNvSpPr/>
      </xdr:nvSpPr>
      <xdr:spPr>
        <a:xfrm>
          <a:off x="184556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207</xdr:row>
      <xdr:rowOff>0</xdr:rowOff>
    </xdr:from>
    <xdr:to>
      <xdr:col>45</xdr:col>
      <xdr:colOff>83820</xdr:colOff>
      <xdr:row>207</xdr:row>
      <xdr:rowOff>114300</xdr:rowOff>
    </xdr:to>
    <xdr:sp macro="" textlink="">
      <xdr:nvSpPr>
        <xdr:cNvPr id="1496" name="Arrow: Down 1495">
          <a:extLst>
            <a:ext uri="{FF2B5EF4-FFF2-40B4-BE49-F238E27FC236}">
              <a16:creationId xmlns:a16="http://schemas.microsoft.com/office/drawing/2014/main" id="{69F9CE32-6FC5-4BE2-8CD4-FBE9CB027B16}"/>
            </a:ext>
          </a:extLst>
        </xdr:cNvPr>
        <xdr:cNvSpPr/>
      </xdr:nvSpPr>
      <xdr:spPr>
        <a:xfrm rot="10800000">
          <a:off x="113309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207</xdr:row>
      <xdr:rowOff>0</xdr:rowOff>
    </xdr:from>
    <xdr:to>
      <xdr:col>71</xdr:col>
      <xdr:colOff>83820</xdr:colOff>
      <xdr:row>207</xdr:row>
      <xdr:rowOff>114300</xdr:rowOff>
    </xdr:to>
    <xdr:sp macro="" textlink="">
      <xdr:nvSpPr>
        <xdr:cNvPr id="1506" name="Arrow: Down 1505">
          <a:extLst>
            <a:ext uri="{FF2B5EF4-FFF2-40B4-BE49-F238E27FC236}">
              <a16:creationId xmlns:a16="http://schemas.microsoft.com/office/drawing/2014/main" id="{590E9475-FE17-4F36-8E8C-BA25069FF51A}"/>
            </a:ext>
          </a:extLst>
        </xdr:cNvPr>
        <xdr:cNvSpPr/>
      </xdr:nvSpPr>
      <xdr:spPr>
        <a:xfrm>
          <a:off x="184556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207</xdr:row>
      <xdr:rowOff>0</xdr:rowOff>
    </xdr:from>
    <xdr:to>
      <xdr:col>45</xdr:col>
      <xdr:colOff>83820</xdr:colOff>
      <xdr:row>207</xdr:row>
      <xdr:rowOff>114300</xdr:rowOff>
    </xdr:to>
    <xdr:sp macro="" textlink="">
      <xdr:nvSpPr>
        <xdr:cNvPr id="1507" name="Arrow: Down 1506">
          <a:extLst>
            <a:ext uri="{FF2B5EF4-FFF2-40B4-BE49-F238E27FC236}">
              <a16:creationId xmlns:a16="http://schemas.microsoft.com/office/drawing/2014/main" id="{85A42CEA-5B89-4390-97E3-0B760FA44C99}"/>
            </a:ext>
          </a:extLst>
        </xdr:cNvPr>
        <xdr:cNvSpPr/>
      </xdr:nvSpPr>
      <xdr:spPr>
        <a:xfrm rot="10800000">
          <a:off x="113309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207</xdr:row>
      <xdr:rowOff>0</xdr:rowOff>
    </xdr:from>
    <xdr:to>
      <xdr:col>24</xdr:col>
      <xdr:colOff>83820</xdr:colOff>
      <xdr:row>207</xdr:row>
      <xdr:rowOff>114300</xdr:rowOff>
    </xdr:to>
    <xdr:sp macro="" textlink="">
      <xdr:nvSpPr>
        <xdr:cNvPr id="1509" name="Arrow: Down 1508">
          <a:extLst>
            <a:ext uri="{FF2B5EF4-FFF2-40B4-BE49-F238E27FC236}">
              <a16:creationId xmlns:a16="http://schemas.microsoft.com/office/drawing/2014/main" id="{09694832-7F7C-4BF6-A2E1-C01EA8508459}"/>
            </a:ext>
          </a:extLst>
        </xdr:cNvPr>
        <xdr:cNvSpPr/>
      </xdr:nvSpPr>
      <xdr:spPr>
        <a:xfrm>
          <a:off x="63627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207</xdr:row>
      <xdr:rowOff>0</xdr:rowOff>
    </xdr:from>
    <xdr:to>
      <xdr:col>5</xdr:col>
      <xdr:colOff>83820</xdr:colOff>
      <xdr:row>207</xdr:row>
      <xdr:rowOff>114300</xdr:rowOff>
    </xdr:to>
    <xdr:sp macro="" textlink="">
      <xdr:nvSpPr>
        <xdr:cNvPr id="1539" name="Arrow: Down 1538">
          <a:extLst>
            <a:ext uri="{FF2B5EF4-FFF2-40B4-BE49-F238E27FC236}">
              <a16:creationId xmlns:a16="http://schemas.microsoft.com/office/drawing/2014/main" id="{9D83E71C-3AF6-4D23-AEEC-3304BBE4A2A8}"/>
            </a:ext>
          </a:extLst>
        </xdr:cNvPr>
        <xdr:cNvSpPr/>
      </xdr:nvSpPr>
      <xdr:spPr>
        <a:xfrm>
          <a:off x="192786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207</xdr:row>
      <xdr:rowOff>0</xdr:rowOff>
    </xdr:from>
    <xdr:to>
      <xdr:col>11</xdr:col>
      <xdr:colOff>83820</xdr:colOff>
      <xdr:row>207</xdr:row>
      <xdr:rowOff>114300</xdr:rowOff>
    </xdr:to>
    <xdr:sp macro="" textlink="">
      <xdr:nvSpPr>
        <xdr:cNvPr id="1541" name="Arrow: Down 1540">
          <a:extLst>
            <a:ext uri="{FF2B5EF4-FFF2-40B4-BE49-F238E27FC236}">
              <a16:creationId xmlns:a16="http://schemas.microsoft.com/office/drawing/2014/main" id="{34E0CE6D-8FBF-423A-A9D4-35E31A2F5179}"/>
            </a:ext>
          </a:extLst>
        </xdr:cNvPr>
        <xdr:cNvSpPr/>
      </xdr:nvSpPr>
      <xdr:spPr>
        <a:xfrm>
          <a:off x="36195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207</xdr:row>
      <xdr:rowOff>0</xdr:rowOff>
    </xdr:from>
    <xdr:to>
      <xdr:col>60</xdr:col>
      <xdr:colOff>83820</xdr:colOff>
      <xdr:row>207</xdr:row>
      <xdr:rowOff>114300</xdr:rowOff>
    </xdr:to>
    <xdr:sp macro="" textlink="">
      <xdr:nvSpPr>
        <xdr:cNvPr id="1555" name="Arrow: Down 1554">
          <a:extLst>
            <a:ext uri="{FF2B5EF4-FFF2-40B4-BE49-F238E27FC236}">
              <a16:creationId xmlns:a16="http://schemas.microsoft.com/office/drawing/2014/main" id="{FDB6E449-91C2-46E6-9807-1704AA857B6E}"/>
            </a:ext>
          </a:extLst>
        </xdr:cNvPr>
        <xdr:cNvSpPr/>
      </xdr:nvSpPr>
      <xdr:spPr>
        <a:xfrm>
          <a:off x="1613916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207</xdr:row>
      <xdr:rowOff>0</xdr:rowOff>
    </xdr:from>
    <xdr:to>
      <xdr:col>39</xdr:col>
      <xdr:colOff>83820</xdr:colOff>
      <xdr:row>207</xdr:row>
      <xdr:rowOff>114300</xdr:rowOff>
    </xdr:to>
    <xdr:sp macro="" textlink="">
      <xdr:nvSpPr>
        <xdr:cNvPr id="1556" name="Arrow: Down 1555">
          <a:extLst>
            <a:ext uri="{FF2B5EF4-FFF2-40B4-BE49-F238E27FC236}">
              <a16:creationId xmlns:a16="http://schemas.microsoft.com/office/drawing/2014/main" id="{42C77985-B24B-43F9-89D9-5212200A52AD}"/>
            </a:ext>
          </a:extLst>
        </xdr:cNvPr>
        <xdr:cNvSpPr/>
      </xdr:nvSpPr>
      <xdr:spPr>
        <a:xfrm>
          <a:off x="9525000" y="3795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208</xdr:row>
      <xdr:rowOff>0</xdr:rowOff>
    </xdr:from>
    <xdr:to>
      <xdr:col>71</xdr:col>
      <xdr:colOff>83820</xdr:colOff>
      <xdr:row>208</xdr:row>
      <xdr:rowOff>114300</xdr:rowOff>
    </xdr:to>
    <xdr:sp macro="" textlink="">
      <xdr:nvSpPr>
        <xdr:cNvPr id="1557" name="Arrow: Down 1556">
          <a:extLst>
            <a:ext uri="{FF2B5EF4-FFF2-40B4-BE49-F238E27FC236}">
              <a16:creationId xmlns:a16="http://schemas.microsoft.com/office/drawing/2014/main" id="{78A14097-7ACB-4B05-A1FF-D7F506546763}"/>
            </a:ext>
          </a:extLst>
        </xdr:cNvPr>
        <xdr:cNvSpPr/>
      </xdr:nvSpPr>
      <xdr:spPr>
        <a:xfrm>
          <a:off x="184556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208</xdr:row>
      <xdr:rowOff>0</xdr:rowOff>
    </xdr:from>
    <xdr:to>
      <xdr:col>45</xdr:col>
      <xdr:colOff>83820</xdr:colOff>
      <xdr:row>208</xdr:row>
      <xdr:rowOff>114300</xdr:rowOff>
    </xdr:to>
    <xdr:sp macro="" textlink="">
      <xdr:nvSpPr>
        <xdr:cNvPr id="1558" name="Arrow: Down 1557">
          <a:extLst>
            <a:ext uri="{FF2B5EF4-FFF2-40B4-BE49-F238E27FC236}">
              <a16:creationId xmlns:a16="http://schemas.microsoft.com/office/drawing/2014/main" id="{F621FF92-827C-4A7B-B9EB-B2C125173105}"/>
            </a:ext>
          </a:extLst>
        </xdr:cNvPr>
        <xdr:cNvSpPr/>
      </xdr:nvSpPr>
      <xdr:spPr>
        <a:xfrm rot="10800000">
          <a:off x="113309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208</xdr:row>
      <xdr:rowOff>0</xdr:rowOff>
    </xdr:from>
    <xdr:to>
      <xdr:col>71</xdr:col>
      <xdr:colOff>83820</xdr:colOff>
      <xdr:row>208</xdr:row>
      <xdr:rowOff>114300</xdr:rowOff>
    </xdr:to>
    <xdr:sp macro="" textlink="">
      <xdr:nvSpPr>
        <xdr:cNvPr id="1559" name="Arrow: Down 1558">
          <a:extLst>
            <a:ext uri="{FF2B5EF4-FFF2-40B4-BE49-F238E27FC236}">
              <a16:creationId xmlns:a16="http://schemas.microsoft.com/office/drawing/2014/main" id="{8040DA70-C318-4F44-BC3F-184099D6418C}"/>
            </a:ext>
          </a:extLst>
        </xdr:cNvPr>
        <xdr:cNvSpPr/>
      </xdr:nvSpPr>
      <xdr:spPr>
        <a:xfrm>
          <a:off x="184556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208</xdr:row>
      <xdr:rowOff>0</xdr:rowOff>
    </xdr:from>
    <xdr:to>
      <xdr:col>45</xdr:col>
      <xdr:colOff>83820</xdr:colOff>
      <xdr:row>208</xdr:row>
      <xdr:rowOff>114300</xdr:rowOff>
    </xdr:to>
    <xdr:sp macro="" textlink="">
      <xdr:nvSpPr>
        <xdr:cNvPr id="1560" name="Arrow: Down 1559">
          <a:extLst>
            <a:ext uri="{FF2B5EF4-FFF2-40B4-BE49-F238E27FC236}">
              <a16:creationId xmlns:a16="http://schemas.microsoft.com/office/drawing/2014/main" id="{54F10EE8-6EEA-46F7-B2E3-76FDA3A53459}"/>
            </a:ext>
          </a:extLst>
        </xdr:cNvPr>
        <xdr:cNvSpPr/>
      </xdr:nvSpPr>
      <xdr:spPr>
        <a:xfrm rot="10800000">
          <a:off x="113309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208</xdr:row>
      <xdr:rowOff>0</xdr:rowOff>
    </xdr:from>
    <xdr:to>
      <xdr:col>60</xdr:col>
      <xdr:colOff>83820</xdr:colOff>
      <xdr:row>208</xdr:row>
      <xdr:rowOff>114300</xdr:rowOff>
    </xdr:to>
    <xdr:sp macro="" textlink="">
      <xdr:nvSpPr>
        <xdr:cNvPr id="1569" name="Arrow: Down 1568">
          <a:extLst>
            <a:ext uri="{FF2B5EF4-FFF2-40B4-BE49-F238E27FC236}">
              <a16:creationId xmlns:a16="http://schemas.microsoft.com/office/drawing/2014/main" id="{752643D6-05FD-4DFA-B2C2-635110A027B4}"/>
            </a:ext>
          </a:extLst>
        </xdr:cNvPr>
        <xdr:cNvSpPr/>
      </xdr:nvSpPr>
      <xdr:spPr>
        <a:xfrm>
          <a:off x="1613916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208</xdr:row>
      <xdr:rowOff>0</xdr:rowOff>
    </xdr:from>
    <xdr:to>
      <xdr:col>24</xdr:col>
      <xdr:colOff>83820</xdr:colOff>
      <xdr:row>208</xdr:row>
      <xdr:rowOff>114300</xdr:rowOff>
    </xdr:to>
    <xdr:sp macro="" textlink="">
      <xdr:nvSpPr>
        <xdr:cNvPr id="1572" name="Arrow: Down 1571">
          <a:extLst>
            <a:ext uri="{FF2B5EF4-FFF2-40B4-BE49-F238E27FC236}">
              <a16:creationId xmlns:a16="http://schemas.microsoft.com/office/drawing/2014/main" id="{357A49E1-B412-4E81-B909-B2753379CA93}"/>
            </a:ext>
          </a:extLst>
        </xdr:cNvPr>
        <xdr:cNvSpPr/>
      </xdr:nvSpPr>
      <xdr:spPr>
        <a:xfrm rot="10800000">
          <a:off x="63627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208</xdr:row>
      <xdr:rowOff>0</xdr:rowOff>
    </xdr:from>
    <xdr:to>
      <xdr:col>5</xdr:col>
      <xdr:colOff>83820</xdr:colOff>
      <xdr:row>208</xdr:row>
      <xdr:rowOff>114300</xdr:rowOff>
    </xdr:to>
    <xdr:sp macro="" textlink="">
      <xdr:nvSpPr>
        <xdr:cNvPr id="1582" name="Arrow: Down 1581">
          <a:extLst>
            <a:ext uri="{FF2B5EF4-FFF2-40B4-BE49-F238E27FC236}">
              <a16:creationId xmlns:a16="http://schemas.microsoft.com/office/drawing/2014/main" id="{2C46E994-21A8-4716-B11D-48B16C76720C}"/>
            </a:ext>
          </a:extLst>
        </xdr:cNvPr>
        <xdr:cNvSpPr/>
      </xdr:nvSpPr>
      <xdr:spPr>
        <a:xfrm rot="10800000">
          <a:off x="192786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208</xdr:row>
      <xdr:rowOff>0</xdr:rowOff>
    </xdr:from>
    <xdr:to>
      <xdr:col>11</xdr:col>
      <xdr:colOff>83820</xdr:colOff>
      <xdr:row>208</xdr:row>
      <xdr:rowOff>114300</xdr:rowOff>
    </xdr:to>
    <xdr:sp macro="" textlink="">
      <xdr:nvSpPr>
        <xdr:cNvPr id="1583" name="Arrow: Down 1582">
          <a:extLst>
            <a:ext uri="{FF2B5EF4-FFF2-40B4-BE49-F238E27FC236}">
              <a16:creationId xmlns:a16="http://schemas.microsoft.com/office/drawing/2014/main" id="{5D0FC389-6051-40CF-AC34-9FE6DAC9A187}"/>
            </a:ext>
          </a:extLst>
        </xdr:cNvPr>
        <xdr:cNvSpPr/>
      </xdr:nvSpPr>
      <xdr:spPr>
        <a:xfrm rot="10800000">
          <a:off x="36195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208</xdr:row>
      <xdr:rowOff>0</xdr:rowOff>
    </xdr:from>
    <xdr:to>
      <xdr:col>39</xdr:col>
      <xdr:colOff>83820</xdr:colOff>
      <xdr:row>208</xdr:row>
      <xdr:rowOff>114300</xdr:rowOff>
    </xdr:to>
    <xdr:sp macro="" textlink="">
      <xdr:nvSpPr>
        <xdr:cNvPr id="1585" name="Arrow: Down 1584">
          <a:extLst>
            <a:ext uri="{FF2B5EF4-FFF2-40B4-BE49-F238E27FC236}">
              <a16:creationId xmlns:a16="http://schemas.microsoft.com/office/drawing/2014/main" id="{319DEC7D-7111-41A3-8898-267D689A383E}"/>
            </a:ext>
          </a:extLst>
        </xdr:cNvPr>
        <xdr:cNvSpPr/>
      </xdr:nvSpPr>
      <xdr:spPr>
        <a:xfrm rot="10800000">
          <a:off x="952500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209</xdr:row>
      <xdr:rowOff>0</xdr:rowOff>
    </xdr:from>
    <xdr:to>
      <xdr:col>71</xdr:col>
      <xdr:colOff>83820</xdr:colOff>
      <xdr:row>209</xdr:row>
      <xdr:rowOff>114300</xdr:rowOff>
    </xdr:to>
    <xdr:sp macro="" textlink="">
      <xdr:nvSpPr>
        <xdr:cNvPr id="1456" name="Arrow: Down 1455">
          <a:extLst>
            <a:ext uri="{FF2B5EF4-FFF2-40B4-BE49-F238E27FC236}">
              <a16:creationId xmlns:a16="http://schemas.microsoft.com/office/drawing/2014/main" id="{03308E95-B8D4-45E4-9ABE-4AC11DFFEC5C}"/>
            </a:ext>
          </a:extLst>
        </xdr:cNvPr>
        <xdr:cNvSpPr/>
      </xdr:nvSpPr>
      <xdr:spPr>
        <a:xfrm>
          <a:off x="2012442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209</xdr:row>
      <xdr:rowOff>0</xdr:rowOff>
    </xdr:from>
    <xdr:to>
      <xdr:col>45</xdr:col>
      <xdr:colOff>83820</xdr:colOff>
      <xdr:row>209</xdr:row>
      <xdr:rowOff>114300</xdr:rowOff>
    </xdr:to>
    <xdr:sp macro="" textlink="">
      <xdr:nvSpPr>
        <xdr:cNvPr id="1479" name="Arrow: Down 1478">
          <a:extLst>
            <a:ext uri="{FF2B5EF4-FFF2-40B4-BE49-F238E27FC236}">
              <a16:creationId xmlns:a16="http://schemas.microsoft.com/office/drawing/2014/main" id="{8C8323CE-BB2A-4A27-AFED-1BF78EA26350}"/>
            </a:ext>
          </a:extLst>
        </xdr:cNvPr>
        <xdr:cNvSpPr/>
      </xdr:nvSpPr>
      <xdr:spPr>
        <a:xfrm rot="10800000">
          <a:off x="1133094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209</xdr:row>
      <xdr:rowOff>0</xdr:rowOff>
    </xdr:from>
    <xdr:to>
      <xdr:col>71</xdr:col>
      <xdr:colOff>83820</xdr:colOff>
      <xdr:row>209</xdr:row>
      <xdr:rowOff>114300</xdr:rowOff>
    </xdr:to>
    <xdr:sp macro="" textlink="">
      <xdr:nvSpPr>
        <xdr:cNvPr id="1510" name="Arrow: Down 1509">
          <a:extLst>
            <a:ext uri="{FF2B5EF4-FFF2-40B4-BE49-F238E27FC236}">
              <a16:creationId xmlns:a16="http://schemas.microsoft.com/office/drawing/2014/main" id="{8A0B627F-183D-44B8-9282-F80BAD475DB2}"/>
            </a:ext>
          </a:extLst>
        </xdr:cNvPr>
        <xdr:cNvSpPr/>
      </xdr:nvSpPr>
      <xdr:spPr>
        <a:xfrm>
          <a:off x="2012442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209</xdr:row>
      <xdr:rowOff>0</xdr:rowOff>
    </xdr:from>
    <xdr:to>
      <xdr:col>45</xdr:col>
      <xdr:colOff>83820</xdr:colOff>
      <xdr:row>209</xdr:row>
      <xdr:rowOff>114300</xdr:rowOff>
    </xdr:to>
    <xdr:sp macro="" textlink="">
      <xdr:nvSpPr>
        <xdr:cNvPr id="1513" name="Arrow: Down 1512">
          <a:extLst>
            <a:ext uri="{FF2B5EF4-FFF2-40B4-BE49-F238E27FC236}">
              <a16:creationId xmlns:a16="http://schemas.microsoft.com/office/drawing/2014/main" id="{1DC5190F-CE41-49AB-A62F-FED742F2F105}"/>
            </a:ext>
          </a:extLst>
        </xdr:cNvPr>
        <xdr:cNvSpPr/>
      </xdr:nvSpPr>
      <xdr:spPr>
        <a:xfrm rot="10800000">
          <a:off x="1133094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209</xdr:row>
      <xdr:rowOff>0</xdr:rowOff>
    </xdr:from>
    <xdr:to>
      <xdr:col>24</xdr:col>
      <xdr:colOff>83820</xdr:colOff>
      <xdr:row>209</xdr:row>
      <xdr:rowOff>114300</xdr:rowOff>
    </xdr:to>
    <xdr:sp macro="" textlink="">
      <xdr:nvSpPr>
        <xdr:cNvPr id="1548" name="Arrow: Down 1547">
          <a:extLst>
            <a:ext uri="{FF2B5EF4-FFF2-40B4-BE49-F238E27FC236}">
              <a16:creationId xmlns:a16="http://schemas.microsoft.com/office/drawing/2014/main" id="{610DAC6A-BF61-48E5-A2F4-5FBB3F736C4B}"/>
            </a:ext>
          </a:extLst>
        </xdr:cNvPr>
        <xdr:cNvSpPr/>
      </xdr:nvSpPr>
      <xdr:spPr>
        <a:xfrm rot="10800000">
          <a:off x="63627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209</xdr:row>
      <xdr:rowOff>0</xdr:rowOff>
    </xdr:from>
    <xdr:to>
      <xdr:col>5</xdr:col>
      <xdr:colOff>83820</xdr:colOff>
      <xdr:row>209</xdr:row>
      <xdr:rowOff>114300</xdr:rowOff>
    </xdr:to>
    <xdr:sp macro="" textlink="">
      <xdr:nvSpPr>
        <xdr:cNvPr id="1561" name="Arrow: Down 1560">
          <a:extLst>
            <a:ext uri="{FF2B5EF4-FFF2-40B4-BE49-F238E27FC236}">
              <a16:creationId xmlns:a16="http://schemas.microsoft.com/office/drawing/2014/main" id="{7337E330-E215-4BE5-A50C-5FB2EEA39929}"/>
            </a:ext>
          </a:extLst>
        </xdr:cNvPr>
        <xdr:cNvSpPr/>
      </xdr:nvSpPr>
      <xdr:spPr>
        <a:xfrm rot="10800000">
          <a:off x="192786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209</xdr:row>
      <xdr:rowOff>0</xdr:rowOff>
    </xdr:from>
    <xdr:to>
      <xdr:col>11</xdr:col>
      <xdr:colOff>83820</xdr:colOff>
      <xdr:row>209</xdr:row>
      <xdr:rowOff>114300</xdr:rowOff>
    </xdr:to>
    <xdr:sp macro="" textlink="">
      <xdr:nvSpPr>
        <xdr:cNvPr id="1562" name="Arrow: Down 1561">
          <a:extLst>
            <a:ext uri="{FF2B5EF4-FFF2-40B4-BE49-F238E27FC236}">
              <a16:creationId xmlns:a16="http://schemas.microsoft.com/office/drawing/2014/main" id="{1A372C3B-EE02-4F99-8404-9ED0671F3388}"/>
            </a:ext>
          </a:extLst>
        </xdr:cNvPr>
        <xdr:cNvSpPr/>
      </xdr:nvSpPr>
      <xdr:spPr>
        <a:xfrm rot="10800000">
          <a:off x="36195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209</xdr:row>
      <xdr:rowOff>0</xdr:rowOff>
    </xdr:from>
    <xdr:to>
      <xdr:col>39</xdr:col>
      <xdr:colOff>83820</xdr:colOff>
      <xdr:row>209</xdr:row>
      <xdr:rowOff>114300</xdr:rowOff>
    </xdr:to>
    <xdr:sp macro="" textlink="">
      <xdr:nvSpPr>
        <xdr:cNvPr id="1563" name="Arrow: Down 1562">
          <a:extLst>
            <a:ext uri="{FF2B5EF4-FFF2-40B4-BE49-F238E27FC236}">
              <a16:creationId xmlns:a16="http://schemas.microsoft.com/office/drawing/2014/main" id="{794A9FAF-18F0-42D4-9D75-C84ED215C59F}"/>
            </a:ext>
          </a:extLst>
        </xdr:cNvPr>
        <xdr:cNvSpPr/>
      </xdr:nvSpPr>
      <xdr:spPr>
        <a:xfrm rot="10800000">
          <a:off x="952500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209</xdr:row>
      <xdr:rowOff>0</xdr:rowOff>
    </xdr:from>
    <xdr:to>
      <xdr:col>60</xdr:col>
      <xdr:colOff>83820</xdr:colOff>
      <xdr:row>209</xdr:row>
      <xdr:rowOff>114300</xdr:rowOff>
    </xdr:to>
    <xdr:sp macro="" textlink="">
      <xdr:nvSpPr>
        <xdr:cNvPr id="1570" name="Arrow: Down 1569">
          <a:extLst>
            <a:ext uri="{FF2B5EF4-FFF2-40B4-BE49-F238E27FC236}">
              <a16:creationId xmlns:a16="http://schemas.microsoft.com/office/drawing/2014/main" id="{138D37A6-1BC3-4162-A538-1B313F7906D4}"/>
            </a:ext>
          </a:extLst>
        </xdr:cNvPr>
        <xdr:cNvSpPr/>
      </xdr:nvSpPr>
      <xdr:spPr>
        <a:xfrm rot="10800000">
          <a:off x="1613916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210</xdr:row>
      <xdr:rowOff>0</xdr:rowOff>
    </xdr:from>
    <xdr:to>
      <xdr:col>71</xdr:col>
      <xdr:colOff>83820</xdr:colOff>
      <xdr:row>210</xdr:row>
      <xdr:rowOff>114300</xdr:rowOff>
    </xdr:to>
    <xdr:sp macro="" textlink="">
      <xdr:nvSpPr>
        <xdr:cNvPr id="1571" name="Arrow: Down 1570">
          <a:extLst>
            <a:ext uri="{FF2B5EF4-FFF2-40B4-BE49-F238E27FC236}">
              <a16:creationId xmlns:a16="http://schemas.microsoft.com/office/drawing/2014/main" id="{C20FD012-F8B2-4556-BF8E-8F8FE9C60846}"/>
            </a:ext>
          </a:extLst>
        </xdr:cNvPr>
        <xdr:cNvSpPr/>
      </xdr:nvSpPr>
      <xdr:spPr>
        <a:xfrm>
          <a:off x="184556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210</xdr:row>
      <xdr:rowOff>0</xdr:rowOff>
    </xdr:from>
    <xdr:to>
      <xdr:col>45</xdr:col>
      <xdr:colOff>83820</xdr:colOff>
      <xdr:row>210</xdr:row>
      <xdr:rowOff>114300</xdr:rowOff>
    </xdr:to>
    <xdr:sp macro="" textlink="">
      <xdr:nvSpPr>
        <xdr:cNvPr id="1573" name="Arrow: Down 1572">
          <a:extLst>
            <a:ext uri="{FF2B5EF4-FFF2-40B4-BE49-F238E27FC236}">
              <a16:creationId xmlns:a16="http://schemas.microsoft.com/office/drawing/2014/main" id="{3521FE54-86D1-4952-A66A-D89A9EA3F6CF}"/>
            </a:ext>
          </a:extLst>
        </xdr:cNvPr>
        <xdr:cNvSpPr/>
      </xdr:nvSpPr>
      <xdr:spPr>
        <a:xfrm rot="10800000">
          <a:off x="113309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210</xdr:row>
      <xdr:rowOff>0</xdr:rowOff>
    </xdr:from>
    <xdr:to>
      <xdr:col>71</xdr:col>
      <xdr:colOff>83820</xdr:colOff>
      <xdr:row>210</xdr:row>
      <xdr:rowOff>114300</xdr:rowOff>
    </xdr:to>
    <xdr:sp macro="" textlink="">
      <xdr:nvSpPr>
        <xdr:cNvPr id="1578" name="Arrow: Down 1577">
          <a:extLst>
            <a:ext uri="{FF2B5EF4-FFF2-40B4-BE49-F238E27FC236}">
              <a16:creationId xmlns:a16="http://schemas.microsoft.com/office/drawing/2014/main" id="{BCAF6AC7-B5D8-45F6-B3BD-A4B909DAEA94}"/>
            </a:ext>
          </a:extLst>
        </xdr:cNvPr>
        <xdr:cNvSpPr/>
      </xdr:nvSpPr>
      <xdr:spPr>
        <a:xfrm>
          <a:off x="184556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210</xdr:row>
      <xdr:rowOff>0</xdr:rowOff>
    </xdr:from>
    <xdr:to>
      <xdr:col>45</xdr:col>
      <xdr:colOff>83820</xdr:colOff>
      <xdr:row>210</xdr:row>
      <xdr:rowOff>114300</xdr:rowOff>
    </xdr:to>
    <xdr:sp macro="" textlink="">
      <xdr:nvSpPr>
        <xdr:cNvPr id="1579" name="Arrow: Down 1578">
          <a:extLst>
            <a:ext uri="{FF2B5EF4-FFF2-40B4-BE49-F238E27FC236}">
              <a16:creationId xmlns:a16="http://schemas.microsoft.com/office/drawing/2014/main" id="{477FC467-A576-4C4A-BF4C-FC07453315C1}"/>
            </a:ext>
          </a:extLst>
        </xdr:cNvPr>
        <xdr:cNvSpPr/>
      </xdr:nvSpPr>
      <xdr:spPr>
        <a:xfrm rot="10800000">
          <a:off x="113309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210</xdr:row>
      <xdr:rowOff>0</xdr:rowOff>
    </xdr:from>
    <xdr:to>
      <xdr:col>24</xdr:col>
      <xdr:colOff>83820</xdr:colOff>
      <xdr:row>210</xdr:row>
      <xdr:rowOff>114300</xdr:rowOff>
    </xdr:to>
    <xdr:sp macro="" textlink="">
      <xdr:nvSpPr>
        <xdr:cNvPr id="1580" name="Arrow: Down 1579">
          <a:extLst>
            <a:ext uri="{FF2B5EF4-FFF2-40B4-BE49-F238E27FC236}">
              <a16:creationId xmlns:a16="http://schemas.microsoft.com/office/drawing/2014/main" id="{2B9450B7-9BB8-46C4-B51B-33C07A58513D}"/>
            </a:ext>
          </a:extLst>
        </xdr:cNvPr>
        <xdr:cNvSpPr/>
      </xdr:nvSpPr>
      <xdr:spPr>
        <a:xfrm rot="10800000">
          <a:off x="636270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210</xdr:row>
      <xdr:rowOff>0</xdr:rowOff>
    </xdr:from>
    <xdr:to>
      <xdr:col>5</xdr:col>
      <xdr:colOff>83820</xdr:colOff>
      <xdr:row>210</xdr:row>
      <xdr:rowOff>114300</xdr:rowOff>
    </xdr:to>
    <xdr:sp macro="" textlink="">
      <xdr:nvSpPr>
        <xdr:cNvPr id="1581" name="Arrow: Down 1580">
          <a:extLst>
            <a:ext uri="{FF2B5EF4-FFF2-40B4-BE49-F238E27FC236}">
              <a16:creationId xmlns:a16="http://schemas.microsoft.com/office/drawing/2014/main" id="{2A1306E7-714F-4784-82CD-E513CEB26E57}"/>
            </a:ext>
          </a:extLst>
        </xdr:cNvPr>
        <xdr:cNvSpPr/>
      </xdr:nvSpPr>
      <xdr:spPr>
        <a:xfrm rot="10800000">
          <a:off x="192786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210</xdr:row>
      <xdr:rowOff>0</xdr:rowOff>
    </xdr:from>
    <xdr:to>
      <xdr:col>11</xdr:col>
      <xdr:colOff>83820</xdr:colOff>
      <xdr:row>210</xdr:row>
      <xdr:rowOff>114300</xdr:rowOff>
    </xdr:to>
    <xdr:sp macro="" textlink="">
      <xdr:nvSpPr>
        <xdr:cNvPr id="1584" name="Arrow: Down 1583">
          <a:extLst>
            <a:ext uri="{FF2B5EF4-FFF2-40B4-BE49-F238E27FC236}">
              <a16:creationId xmlns:a16="http://schemas.microsoft.com/office/drawing/2014/main" id="{2F8C34D7-AF2B-4C48-8FEB-4168CD83B1FE}"/>
            </a:ext>
          </a:extLst>
        </xdr:cNvPr>
        <xdr:cNvSpPr/>
      </xdr:nvSpPr>
      <xdr:spPr>
        <a:xfrm rot="10800000">
          <a:off x="361950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210</xdr:row>
      <xdr:rowOff>0</xdr:rowOff>
    </xdr:from>
    <xdr:to>
      <xdr:col>39</xdr:col>
      <xdr:colOff>83820</xdr:colOff>
      <xdr:row>210</xdr:row>
      <xdr:rowOff>114300</xdr:rowOff>
    </xdr:to>
    <xdr:sp macro="" textlink="">
      <xdr:nvSpPr>
        <xdr:cNvPr id="1586" name="Arrow: Down 1585">
          <a:extLst>
            <a:ext uri="{FF2B5EF4-FFF2-40B4-BE49-F238E27FC236}">
              <a16:creationId xmlns:a16="http://schemas.microsoft.com/office/drawing/2014/main" id="{A1777B41-C8F3-4194-879B-750CCA492373}"/>
            </a:ext>
          </a:extLst>
        </xdr:cNvPr>
        <xdr:cNvSpPr/>
      </xdr:nvSpPr>
      <xdr:spPr>
        <a:xfrm rot="10800000">
          <a:off x="952500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210</xdr:row>
      <xdr:rowOff>0</xdr:rowOff>
    </xdr:from>
    <xdr:to>
      <xdr:col>60</xdr:col>
      <xdr:colOff>83820</xdr:colOff>
      <xdr:row>210</xdr:row>
      <xdr:rowOff>114300</xdr:rowOff>
    </xdr:to>
    <xdr:sp macro="" textlink="">
      <xdr:nvSpPr>
        <xdr:cNvPr id="1587" name="Arrow: Down 1586">
          <a:extLst>
            <a:ext uri="{FF2B5EF4-FFF2-40B4-BE49-F238E27FC236}">
              <a16:creationId xmlns:a16="http://schemas.microsoft.com/office/drawing/2014/main" id="{FB8518C1-9E8D-46B8-A348-4E38376F4D5C}"/>
            </a:ext>
          </a:extLst>
        </xdr:cNvPr>
        <xdr:cNvSpPr/>
      </xdr:nvSpPr>
      <xdr:spPr>
        <a:xfrm rot="10800000">
          <a:off x="1613916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211</xdr:row>
      <xdr:rowOff>0</xdr:rowOff>
    </xdr:from>
    <xdr:to>
      <xdr:col>71</xdr:col>
      <xdr:colOff>83820</xdr:colOff>
      <xdr:row>211</xdr:row>
      <xdr:rowOff>114300</xdr:rowOff>
    </xdr:to>
    <xdr:sp macro="" textlink="">
      <xdr:nvSpPr>
        <xdr:cNvPr id="1588" name="Arrow: Down 1587">
          <a:extLst>
            <a:ext uri="{FF2B5EF4-FFF2-40B4-BE49-F238E27FC236}">
              <a16:creationId xmlns:a16="http://schemas.microsoft.com/office/drawing/2014/main" id="{F94EB5A7-DD1C-43E8-931E-E4AF74091E08}"/>
            </a:ext>
          </a:extLst>
        </xdr:cNvPr>
        <xdr:cNvSpPr/>
      </xdr:nvSpPr>
      <xdr:spPr>
        <a:xfrm>
          <a:off x="184556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211</xdr:row>
      <xdr:rowOff>0</xdr:rowOff>
    </xdr:from>
    <xdr:to>
      <xdr:col>45</xdr:col>
      <xdr:colOff>83820</xdr:colOff>
      <xdr:row>211</xdr:row>
      <xdr:rowOff>114300</xdr:rowOff>
    </xdr:to>
    <xdr:sp macro="" textlink="">
      <xdr:nvSpPr>
        <xdr:cNvPr id="1589" name="Arrow: Down 1588">
          <a:extLst>
            <a:ext uri="{FF2B5EF4-FFF2-40B4-BE49-F238E27FC236}">
              <a16:creationId xmlns:a16="http://schemas.microsoft.com/office/drawing/2014/main" id="{1D09D61D-F5DC-4762-B677-31C267F1175C}"/>
            </a:ext>
          </a:extLst>
        </xdr:cNvPr>
        <xdr:cNvSpPr/>
      </xdr:nvSpPr>
      <xdr:spPr>
        <a:xfrm rot="10800000">
          <a:off x="113309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211</xdr:row>
      <xdr:rowOff>0</xdr:rowOff>
    </xdr:from>
    <xdr:to>
      <xdr:col>71</xdr:col>
      <xdr:colOff>83820</xdr:colOff>
      <xdr:row>211</xdr:row>
      <xdr:rowOff>114300</xdr:rowOff>
    </xdr:to>
    <xdr:sp macro="" textlink="">
      <xdr:nvSpPr>
        <xdr:cNvPr id="1590" name="Arrow: Down 1589">
          <a:extLst>
            <a:ext uri="{FF2B5EF4-FFF2-40B4-BE49-F238E27FC236}">
              <a16:creationId xmlns:a16="http://schemas.microsoft.com/office/drawing/2014/main" id="{C8A8A951-4854-47AE-8854-33B836A07E29}"/>
            </a:ext>
          </a:extLst>
        </xdr:cNvPr>
        <xdr:cNvSpPr/>
      </xdr:nvSpPr>
      <xdr:spPr>
        <a:xfrm>
          <a:off x="184556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211</xdr:row>
      <xdr:rowOff>0</xdr:rowOff>
    </xdr:from>
    <xdr:to>
      <xdr:col>45</xdr:col>
      <xdr:colOff>83820</xdr:colOff>
      <xdr:row>211</xdr:row>
      <xdr:rowOff>114300</xdr:rowOff>
    </xdr:to>
    <xdr:sp macro="" textlink="">
      <xdr:nvSpPr>
        <xdr:cNvPr id="1591" name="Arrow: Down 1590">
          <a:extLst>
            <a:ext uri="{FF2B5EF4-FFF2-40B4-BE49-F238E27FC236}">
              <a16:creationId xmlns:a16="http://schemas.microsoft.com/office/drawing/2014/main" id="{23D23EE5-3972-4AD7-9BC5-0100EE297340}"/>
            </a:ext>
          </a:extLst>
        </xdr:cNvPr>
        <xdr:cNvSpPr/>
      </xdr:nvSpPr>
      <xdr:spPr>
        <a:xfrm rot="10800000">
          <a:off x="113309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211</xdr:row>
      <xdr:rowOff>0</xdr:rowOff>
    </xdr:from>
    <xdr:to>
      <xdr:col>24</xdr:col>
      <xdr:colOff>83820</xdr:colOff>
      <xdr:row>211</xdr:row>
      <xdr:rowOff>114300</xdr:rowOff>
    </xdr:to>
    <xdr:sp macro="" textlink="">
      <xdr:nvSpPr>
        <xdr:cNvPr id="1592" name="Arrow: Down 1591">
          <a:extLst>
            <a:ext uri="{FF2B5EF4-FFF2-40B4-BE49-F238E27FC236}">
              <a16:creationId xmlns:a16="http://schemas.microsoft.com/office/drawing/2014/main" id="{26B2BF7B-CD99-4A9C-9EA2-444B9AE0726B}"/>
            </a:ext>
          </a:extLst>
        </xdr:cNvPr>
        <xdr:cNvSpPr/>
      </xdr:nvSpPr>
      <xdr:spPr>
        <a:xfrm rot="10800000">
          <a:off x="6362700" y="385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211</xdr:row>
      <xdr:rowOff>0</xdr:rowOff>
    </xdr:from>
    <xdr:to>
      <xdr:col>5</xdr:col>
      <xdr:colOff>83820</xdr:colOff>
      <xdr:row>211</xdr:row>
      <xdr:rowOff>114300</xdr:rowOff>
    </xdr:to>
    <xdr:sp macro="" textlink="">
      <xdr:nvSpPr>
        <xdr:cNvPr id="1593" name="Arrow: Down 1592">
          <a:extLst>
            <a:ext uri="{FF2B5EF4-FFF2-40B4-BE49-F238E27FC236}">
              <a16:creationId xmlns:a16="http://schemas.microsoft.com/office/drawing/2014/main" id="{47E4880F-501E-4B32-B8F2-775F8D1D8E91}"/>
            </a:ext>
          </a:extLst>
        </xdr:cNvPr>
        <xdr:cNvSpPr/>
      </xdr:nvSpPr>
      <xdr:spPr>
        <a:xfrm rot="10800000">
          <a:off x="1927860" y="385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211</xdr:row>
      <xdr:rowOff>0</xdr:rowOff>
    </xdr:from>
    <xdr:to>
      <xdr:col>11</xdr:col>
      <xdr:colOff>83820</xdr:colOff>
      <xdr:row>211</xdr:row>
      <xdr:rowOff>114300</xdr:rowOff>
    </xdr:to>
    <xdr:sp macro="" textlink="">
      <xdr:nvSpPr>
        <xdr:cNvPr id="1594" name="Arrow: Down 1593">
          <a:extLst>
            <a:ext uri="{FF2B5EF4-FFF2-40B4-BE49-F238E27FC236}">
              <a16:creationId xmlns:a16="http://schemas.microsoft.com/office/drawing/2014/main" id="{2BE218AA-AD73-455C-B86D-896BC02F38D3}"/>
            </a:ext>
          </a:extLst>
        </xdr:cNvPr>
        <xdr:cNvSpPr/>
      </xdr:nvSpPr>
      <xdr:spPr>
        <a:xfrm rot="10800000">
          <a:off x="3619500" y="385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211</xdr:row>
      <xdr:rowOff>0</xdr:rowOff>
    </xdr:from>
    <xdr:to>
      <xdr:col>39</xdr:col>
      <xdr:colOff>83820</xdr:colOff>
      <xdr:row>211</xdr:row>
      <xdr:rowOff>114300</xdr:rowOff>
    </xdr:to>
    <xdr:sp macro="" textlink="">
      <xdr:nvSpPr>
        <xdr:cNvPr id="1547" name="Arrow: Down 1546">
          <a:extLst>
            <a:ext uri="{FF2B5EF4-FFF2-40B4-BE49-F238E27FC236}">
              <a16:creationId xmlns:a16="http://schemas.microsoft.com/office/drawing/2014/main" id="{4D43725C-65E0-4688-B1B8-EC704B9E723A}"/>
            </a:ext>
          </a:extLst>
        </xdr:cNvPr>
        <xdr:cNvSpPr/>
      </xdr:nvSpPr>
      <xdr:spPr>
        <a:xfrm>
          <a:off x="95250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211</xdr:row>
      <xdr:rowOff>0</xdr:rowOff>
    </xdr:from>
    <xdr:to>
      <xdr:col>60</xdr:col>
      <xdr:colOff>83820</xdr:colOff>
      <xdr:row>211</xdr:row>
      <xdr:rowOff>114300</xdr:rowOff>
    </xdr:to>
    <xdr:sp macro="" textlink="">
      <xdr:nvSpPr>
        <xdr:cNvPr id="1598" name="Arrow: Down 1597">
          <a:extLst>
            <a:ext uri="{FF2B5EF4-FFF2-40B4-BE49-F238E27FC236}">
              <a16:creationId xmlns:a16="http://schemas.microsoft.com/office/drawing/2014/main" id="{F4021127-0932-4A0A-9705-26E4B9205B2D}"/>
            </a:ext>
          </a:extLst>
        </xdr:cNvPr>
        <xdr:cNvSpPr/>
      </xdr:nvSpPr>
      <xdr:spPr>
        <a:xfrm>
          <a:off x="1613916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212</xdr:row>
      <xdr:rowOff>0</xdr:rowOff>
    </xdr:from>
    <xdr:to>
      <xdr:col>71</xdr:col>
      <xdr:colOff>83820</xdr:colOff>
      <xdr:row>212</xdr:row>
      <xdr:rowOff>114300</xdr:rowOff>
    </xdr:to>
    <xdr:sp macro="" textlink="">
      <xdr:nvSpPr>
        <xdr:cNvPr id="1599" name="Arrow: Down 1598">
          <a:extLst>
            <a:ext uri="{FF2B5EF4-FFF2-40B4-BE49-F238E27FC236}">
              <a16:creationId xmlns:a16="http://schemas.microsoft.com/office/drawing/2014/main" id="{405FA598-497F-4290-89D9-53168029C32C}"/>
            </a:ext>
          </a:extLst>
        </xdr:cNvPr>
        <xdr:cNvSpPr/>
      </xdr:nvSpPr>
      <xdr:spPr>
        <a:xfrm>
          <a:off x="184556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212</xdr:row>
      <xdr:rowOff>0</xdr:rowOff>
    </xdr:from>
    <xdr:to>
      <xdr:col>45</xdr:col>
      <xdr:colOff>83820</xdr:colOff>
      <xdr:row>212</xdr:row>
      <xdr:rowOff>114300</xdr:rowOff>
    </xdr:to>
    <xdr:sp macro="" textlink="">
      <xdr:nvSpPr>
        <xdr:cNvPr id="1600" name="Arrow: Down 1599">
          <a:extLst>
            <a:ext uri="{FF2B5EF4-FFF2-40B4-BE49-F238E27FC236}">
              <a16:creationId xmlns:a16="http://schemas.microsoft.com/office/drawing/2014/main" id="{75C72E09-255D-4C52-B6B6-C8C802A6B851}"/>
            </a:ext>
          </a:extLst>
        </xdr:cNvPr>
        <xdr:cNvSpPr/>
      </xdr:nvSpPr>
      <xdr:spPr>
        <a:xfrm rot="10800000">
          <a:off x="113309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212</xdr:row>
      <xdr:rowOff>0</xdr:rowOff>
    </xdr:from>
    <xdr:to>
      <xdr:col>71</xdr:col>
      <xdr:colOff>83820</xdr:colOff>
      <xdr:row>212</xdr:row>
      <xdr:rowOff>114300</xdr:rowOff>
    </xdr:to>
    <xdr:sp macro="" textlink="">
      <xdr:nvSpPr>
        <xdr:cNvPr id="1601" name="Arrow: Down 1600">
          <a:extLst>
            <a:ext uri="{FF2B5EF4-FFF2-40B4-BE49-F238E27FC236}">
              <a16:creationId xmlns:a16="http://schemas.microsoft.com/office/drawing/2014/main" id="{7EC27ED6-C88D-4502-82CA-8DE9AC496CED}"/>
            </a:ext>
          </a:extLst>
        </xdr:cNvPr>
        <xdr:cNvSpPr/>
      </xdr:nvSpPr>
      <xdr:spPr>
        <a:xfrm>
          <a:off x="184556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212</xdr:row>
      <xdr:rowOff>0</xdr:rowOff>
    </xdr:from>
    <xdr:to>
      <xdr:col>45</xdr:col>
      <xdr:colOff>83820</xdr:colOff>
      <xdr:row>212</xdr:row>
      <xdr:rowOff>114300</xdr:rowOff>
    </xdr:to>
    <xdr:sp macro="" textlink="">
      <xdr:nvSpPr>
        <xdr:cNvPr id="1602" name="Arrow: Down 1601">
          <a:extLst>
            <a:ext uri="{FF2B5EF4-FFF2-40B4-BE49-F238E27FC236}">
              <a16:creationId xmlns:a16="http://schemas.microsoft.com/office/drawing/2014/main" id="{9B8FF465-994E-4ABB-A4DE-2D169972FAB5}"/>
            </a:ext>
          </a:extLst>
        </xdr:cNvPr>
        <xdr:cNvSpPr/>
      </xdr:nvSpPr>
      <xdr:spPr>
        <a:xfrm rot="10800000">
          <a:off x="113309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212</xdr:row>
      <xdr:rowOff>0</xdr:rowOff>
    </xdr:from>
    <xdr:to>
      <xdr:col>24</xdr:col>
      <xdr:colOff>83820</xdr:colOff>
      <xdr:row>212</xdr:row>
      <xdr:rowOff>114300</xdr:rowOff>
    </xdr:to>
    <xdr:sp macro="" textlink="">
      <xdr:nvSpPr>
        <xdr:cNvPr id="1603" name="Arrow: Down 1602">
          <a:extLst>
            <a:ext uri="{FF2B5EF4-FFF2-40B4-BE49-F238E27FC236}">
              <a16:creationId xmlns:a16="http://schemas.microsoft.com/office/drawing/2014/main" id="{8C80A46D-C374-4006-9B84-DDC6F28D548B}"/>
            </a:ext>
          </a:extLst>
        </xdr:cNvPr>
        <xdr:cNvSpPr/>
      </xdr:nvSpPr>
      <xdr:spPr>
        <a:xfrm rot="10800000">
          <a:off x="63627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83820</xdr:colOff>
      <xdr:row>212</xdr:row>
      <xdr:rowOff>114300</xdr:rowOff>
    </xdr:to>
    <xdr:sp macro="" textlink="">
      <xdr:nvSpPr>
        <xdr:cNvPr id="1604" name="Arrow: Down 1603">
          <a:extLst>
            <a:ext uri="{FF2B5EF4-FFF2-40B4-BE49-F238E27FC236}">
              <a16:creationId xmlns:a16="http://schemas.microsoft.com/office/drawing/2014/main" id="{69D120EE-5ABA-4BF2-909A-0829444150E8}"/>
            </a:ext>
          </a:extLst>
        </xdr:cNvPr>
        <xdr:cNvSpPr/>
      </xdr:nvSpPr>
      <xdr:spPr>
        <a:xfrm rot="10800000">
          <a:off x="192786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212</xdr:row>
      <xdr:rowOff>0</xdr:rowOff>
    </xdr:from>
    <xdr:to>
      <xdr:col>11</xdr:col>
      <xdr:colOff>83820</xdr:colOff>
      <xdr:row>212</xdr:row>
      <xdr:rowOff>114300</xdr:rowOff>
    </xdr:to>
    <xdr:sp macro="" textlink="">
      <xdr:nvSpPr>
        <xdr:cNvPr id="1605" name="Arrow: Down 1604">
          <a:extLst>
            <a:ext uri="{FF2B5EF4-FFF2-40B4-BE49-F238E27FC236}">
              <a16:creationId xmlns:a16="http://schemas.microsoft.com/office/drawing/2014/main" id="{676CD082-CB39-4C38-89B9-6E9C60FACBC0}"/>
            </a:ext>
          </a:extLst>
        </xdr:cNvPr>
        <xdr:cNvSpPr/>
      </xdr:nvSpPr>
      <xdr:spPr>
        <a:xfrm rot="10800000">
          <a:off x="36195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212</xdr:row>
      <xdr:rowOff>0</xdr:rowOff>
    </xdr:from>
    <xdr:to>
      <xdr:col>39</xdr:col>
      <xdr:colOff>83820</xdr:colOff>
      <xdr:row>212</xdr:row>
      <xdr:rowOff>114300</xdr:rowOff>
    </xdr:to>
    <xdr:sp macro="" textlink="">
      <xdr:nvSpPr>
        <xdr:cNvPr id="1606" name="Arrow: Down 1605">
          <a:extLst>
            <a:ext uri="{FF2B5EF4-FFF2-40B4-BE49-F238E27FC236}">
              <a16:creationId xmlns:a16="http://schemas.microsoft.com/office/drawing/2014/main" id="{79523E88-BBF6-4FEF-BDC2-776378B99657}"/>
            </a:ext>
          </a:extLst>
        </xdr:cNvPr>
        <xdr:cNvSpPr/>
      </xdr:nvSpPr>
      <xdr:spPr>
        <a:xfrm>
          <a:off x="95250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212</xdr:row>
      <xdr:rowOff>0</xdr:rowOff>
    </xdr:from>
    <xdr:to>
      <xdr:col>60</xdr:col>
      <xdr:colOff>83820</xdr:colOff>
      <xdr:row>212</xdr:row>
      <xdr:rowOff>114300</xdr:rowOff>
    </xdr:to>
    <xdr:sp macro="" textlink="">
      <xdr:nvSpPr>
        <xdr:cNvPr id="1608" name="Arrow: Down 1607">
          <a:extLst>
            <a:ext uri="{FF2B5EF4-FFF2-40B4-BE49-F238E27FC236}">
              <a16:creationId xmlns:a16="http://schemas.microsoft.com/office/drawing/2014/main" id="{64DAF5D9-BC8E-44D3-90B5-90A0806AAE6C}"/>
            </a:ext>
          </a:extLst>
        </xdr:cNvPr>
        <xdr:cNvSpPr/>
      </xdr:nvSpPr>
      <xdr:spPr>
        <a:xfrm rot="10800000">
          <a:off x="16139160" y="3886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213</xdr:row>
      <xdr:rowOff>0</xdr:rowOff>
    </xdr:from>
    <xdr:to>
      <xdr:col>71</xdr:col>
      <xdr:colOff>83820</xdr:colOff>
      <xdr:row>213</xdr:row>
      <xdr:rowOff>114300</xdr:rowOff>
    </xdr:to>
    <xdr:sp macro="" textlink="">
      <xdr:nvSpPr>
        <xdr:cNvPr id="1618" name="Arrow: Down 1617">
          <a:extLst>
            <a:ext uri="{FF2B5EF4-FFF2-40B4-BE49-F238E27FC236}">
              <a16:creationId xmlns:a16="http://schemas.microsoft.com/office/drawing/2014/main" id="{A881ED72-D5C3-4638-83BC-0FEF594FD5FD}"/>
            </a:ext>
          </a:extLst>
        </xdr:cNvPr>
        <xdr:cNvSpPr/>
      </xdr:nvSpPr>
      <xdr:spPr>
        <a:xfrm>
          <a:off x="184556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213</xdr:row>
      <xdr:rowOff>0</xdr:rowOff>
    </xdr:from>
    <xdr:to>
      <xdr:col>45</xdr:col>
      <xdr:colOff>83820</xdr:colOff>
      <xdr:row>213</xdr:row>
      <xdr:rowOff>114300</xdr:rowOff>
    </xdr:to>
    <xdr:sp macro="" textlink="">
      <xdr:nvSpPr>
        <xdr:cNvPr id="1619" name="Arrow: Down 1618">
          <a:extLst>
            <a:ext uri="{FF2B5EF4-FFF2-40B4-BE49-F238E27FC236}">
              <a16:creationId xmlns:a16="http://schemas.microsoft.com/office/drawing/2014/main" id="{C5B89BDC-FA6D-42EF-9CB8-DD56AC2978AA}"/>
            </a:ext>
          </a:extLst>
        </xdr:cNvPr>
        <xdr:cNvSpPr/>
      </xdr:nvSpPr>
      <xdr:spPr>
        <a:xfrm rot="10800000">
          <a:off x="113309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213</xdr:row>
      <xdr:rowOff>0</xdr:rowOff>
    </xdr:from>
    <xdr:to>
      <xdr:col>71</xdr:col>
      <xdr:colOff>83820</xdr:colOff>
      <xdr:row>213</xdr:row>
      <xdr:rowOff>114300</xdr:rowOff>
    </xdr:to>
    <xdr:sp macro="" textlink="">
      <xdr:nvSpPr>
        <xdr:cNvPr id="1620" name="Arrow: Down 1619">
          <a:extLst>
            <a:ext uri="{FF2B5EF4-FFF2-40B4-BE49-F238E27FC236}">
              <a16:creationId xmlns:a16="http://schemas.microsoft.com/office/drawing/2014/main" id="{F451E384-F374-474D-B303-D73E1A64F2EC}"/>
            </a:ext>
          </a:extLst>
        </xdr:cNvPr>
        <xdr:cNvSpPr/>
      </xdr:nvSpPr>
      <xdr:spPr>
        <a:xfrm>
          <a:off x="184556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213</xdr:row>
      <xdr:rowOff>0</xdr:rowOff>
    </xdr:from>
    <xdr:to>
      <xdr:col>45</xdr:col>
      <xdr:colOff>83820</xdr:colOff>
      <xdr:row>213</xdr:row>
      <xdr:rowOff>114300</xdr:rowOff>
    </xdr:to>
    <xdr:sp macro="" textlink="">
      <xdr:nvSpPr>
        <xdr:cNvPr id="1621" name="Arrow: Down 1620">
          <a:extLst>
            <a:ext uri="{FF2B5EF4-FFF2-40B4-BE49-F238E27FC236}">
              <a16:creationId xmlns:a16="http://schemas.microsoft.com/office/drawing/2014/main" id="{2307EF3E-DBFB-481C-8806-0AF0766A02D0}"/>
            </a:ext>
          </a:extLst>
        </xdr:cNvPr>
        <xdr:cNvSpPr/>
      </xdr:nvSpPr>
      <xdr:spPr>
        <a:xfrm rot="10800000">
          <a:off x="113309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213</xdr:row>
      <xdr:rowOff>0</xdr:rowOff>
    </xdr:from>
    <xdr:to>
      <xdr:col>39</xdr:col>
      <xdr:colOff>83820</xdr:colOff>
      <xdr:row>213</xdr:row>
      <xdr:rowOff>114300</xdr:rowOff>
    </xdr:to>
    <xdr:sp macro="" textlink="">
      <xdr:nvSpPr>
        <xdr:cNvPr id="1625" name="Arrow: Down 1624">
          <a:extLst>
            <a:ext uri="{FF2B5EF4-FFF2-40B4-BE49-F238E27FC236}">
              <a16:creationId xmlns:a16="http://schemas.microsoft.com/office/drawing/2014/main" id="{9566A823-FF13-4DB5-9C50-90014452E5EC}"/>
            </a:ext>
          </a:extLst>
        </xdr:cNvPr>
        <xdr:cNvSpPr/>
      </xdr:nvSpPr>
      <xdr:spPr>
        <a:xfrm>
          <a:off x="9525000" y="3886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213</xdr:row>
      <xdr:rowOff>0</xdr:rowOff>
    </xdr:from>
    <xdr:to>
      <xdr:col>5</xdr:col>
      <xdr:colOff>83820</xdr:colOff>
      <xdr:row>213</xdr:row>
      <xdr:rowOff>114300</xdr:rowOff>
    </xdr:to>
    <xdr:sp macro="" textlink="">
      <xdr:nvSpPr>
        <xdr:cNvPr id="1627" name="Arrow: Down 1626">
          <a:extLst>
            <a:ext uri="{FF2B5EF4-FFF2-40B4-BE49-F238E27FC236}">
              <a16:creationId xmlns:a16="http://schemas.microsoft.com/office/drawing/2014/main" id="{8C676FE3-99AE-42C4-B782-6D1B5A03E642}"/>
            </a:ext>
          </a:extLst>
        </xdr:cNvPr>
        <xdr:cNvSpPr/>
      </xdr:nvSpPr>
      <xdr:spPr>
        <a:xfrm>
          <a:off x="192786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213</xdr:row>
      <xdr:rowOff>0</xdr:rowOff>
    </xdr:from>
    <xdr:to>
      <xdr:col>11</xdr:col>
      <xdr:colOff>83820</xdr:colOff>
      <xdr:row>213</xdr:row>
      <xdr:rowOff>114300</xdr:rowOff>
    </xdr:to>
    <xdr:sp macro="" textlink="">
      <xdr:nvSpPr>
        <xdr:cNvPr id="1628" name="Arrow: Down 1627">
          <a:extLst>
            <a:ext uri="{FF2B5EF4-FFF2-40B4-BE49-F238E27FC236}">
              <a16:creationId xmlns:a16="http://schemas.microsoft.com/office/drawing/2014/main" id="{E1E6DCFA-E99C-4D53-AC87-DB5677769592}"/>
            </a:ext>
          </a:extLst>
        </xdr:cNvPr>
        <xdr:cNvSpPr/>
      </xdr:nvSpPr>
      <xdr:spPr>
        <a:xfrm>
          <a:off x="36195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213</xdr:row>
      <xdr:rowOff>0</xdr:rowOff>
    </xdr:from>
    <xdr:to>
      <xdr:col>24</xdr:col>
      <xdr:colOff>83820</xdr:colOff>
      <xdr:row>213</xdr:row>
      <xdr:rowOff>114300</xdr:rowOff>
    </xdr:to>
    <xdr:sp macro="" textlink="">
      <xdr:nvSpPr>
        <xdr:cNvPr id="1630" name="Arrow: Down 1629">
          <a:extLst>
            <a:ext uri="{FF2B5EF4-FFF2-40B4-BE49-F238E27FC236}">
              <a16:creationId xmlns:a16="http://schemas.microsoft.com/office/drawing/2014/main" id="{3716B35E-C675-4FA9-BC62-6A39429B0ECC}"/>
            </a:ext>
          </a:extLst>
        </xdr:cNvPr>
        <xdr:cNvSpPr/>
      </xdr:nvSpPr>
      <xdr:spPr>
        <a:xfrm>
          <a:off x="63627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213</xdr:row>
      <xdr:rowOff>0</xdr:rowOff>
    </xdr:from>
    <xdr:to>
      <xdr:col>60</xdr:col>
      <xdr:colOff>83820</xdr:colOff>
      <xdr:row>213</xdr:row>
      <xdr:rowOff>114300</xdr:rowOff>
    </xdr:to>
    <xdr:sp macro="" textlink="">
      <xdr:nvSpPr>
        <xdr:cNvPr id="1632" name="Arrow: Down 1631">
          <a:extLst>
            <a:ext uri="{FF2B5EF4-FFF2-40B4-BE49-F238E27FC236}">
              <a16:creationId xmlns:a16="http://schemas.microsoft.com/office/drawing/2014/main" id="{0602E895-52CB-4B1B-BD71-6D963C686C8A}"/>
            </a:ext>
          </a:extLst>
        </xdr:cNvPr>
        <xdr:cNvSpPr/>
      </xdr:nvSpPr>
      <xdr:spPr>
        <a:xfrm>
          <a:off x="1613916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214</xdr:row>
      <xdr:rowOff>0</xdr:rowOff>
    </xdr:from>
    <xdr:to>
      <xdr:col>71</xdr:col>
      <xdr:colOff>83820</xdr:colOff>
      <xdr:row>214</xdr:row>
      <xdr:rowOff>114300</xdr:rowOff>
    </xdr:to>
    <xdr:sp macro="" textlink="">
      <xdr:nvSpPr>
        <xdr:cNvPr id="1633" name="Arrow: Down 1632">
          <a:extLst>
            <a:ext uri="{FF2B5EF4-FFF2-40B4-BE49-F238E27FC236}">
              <a16:creationId xmlns:a16="http://schemas.microsoft.com/office/drawing/2014/main" id="{3639EDFD-3CA5-45F3-A23D-70E46F4A4669}"/>
            </a:ext>
          </a:extLst>
        </xdr:cNvPr>
        <xdr:cNvSpPr/>
      </xdr:nvSpPr>
      <xdr:spPr>
        <a:xfrm>
          <a:off x="2244852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214</xdr:row>
      <xdr:rowOff>0</xdr:rowOff>
    </xdr:from>
    <xdr:to>
      <xdr:col>45</xdr:col>
      <xdr:colOff>83820</xdr:colOff>
      <xdr:row>214</xdr:row>
      <xdr:rowOff>114300</xdr:rowOff>
    </xdr:to>
    <xdr:sp macro="" textlink="">
      <xdr:nvSpPr>
        <xdr:cNvPr id="1634" name="Arrow: Down 1633">
          <a:extLst>
            <a:ext uri="{FF2B5EF4-FFF2-40B4-BE49-F238E27FC236}">
              <a16:creationId xmlns:a16="http://schemas.microsoft.com/office/drawing/2014/main" id="{4346E9DF-5556-4E92-9FE4-7E44C98FA192}"/>
            </a:ext>
          </a:extLst>
        </xdr:cNvPr>
        <xdr:cNvSpPr/>
      </xdr:nvSpPr>
      <xdr:spPr>
        <a:xfrm rot="10800000">
          <a:off x="1365504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214</xdr:row>
      <xdr:rowOff>0</xdr:rowOff>
    </xdr:from>
    <xdr:to>
      <xdr:col>71</xdr:col>
      <xdr:colOff>83820</xdr:colOff>
      <xdr:row>214</xdr:row>
      <xdr:rowOff>114300</xdr:rowOff>
    </xdr:to>
    <xdr:sp macro="" textlink="">
      <xdr:nvSpPr>
        <xdr:cNvPr id="1635" name="Arrow: Down 1634">
          <a:extLst>
            <a:ext uri="{FF2B5EF4-FFF2-40B4-BE49-F238E27FC236}">
              <a16:creationId xmlns:a16="http://schemas.microsoft.com/office/drawing/2014/main" id="{A514A329-C6BB-4E47-AC3D-26ECB6A40FE1}"/>
            </a:ext>
          </a:extLst>
        </xdr:cNvPr>
        <xdr:cNvSpPr/>
      </xdr:nvSpPr>
      <xdr:spPr>
        <a:xfrm>
          <a:off x="2244852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214</xdr:row>
      <xdr:rowOff>0</xdr:rowOff>
    </xdr:from>
    <xdr:to>
      <xdr:col>45</xdr:col>
      <xdr:colOff>83820</xdr:colOff>
      <xdr:row>214</xdr:row>
      <xdr:rowOff>114300</xdr:rowOff>
    </xdr:to>
    <xdr:sp macro="" textlink="">
      <xdr:nvSpPr>
        <xdr:cNvPr id="1636" name="Arrow: Down 1635">
          <a:extLst>
            <a:ext uri="{FF2B5EF4-FFF2-40B4-BE49-F238E27FC236}">
              <a16:creationId xmlns:a16="http://schemas.microsoft.com/office/drawing/2014/main" id="{6E228DE0-925E-4FB3-9C1C-CD4C7E49841B}"/>
            </a:ext>
          </a:extLst>
        </xdr:cNvPr>
        <xdr:cNvSpPr/>
      </xdr:nvSpPr>
      <xdr:spPr>
        <a:xfrm rot="10800000">
          <a:off x="1365504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214</xdr:row>
      <xdr:rowOff>0</xdr:rowOff>
    </xdr:from>
    <xdr:to>
      <xdr:col>5</xdr:col>
      <xdr:colOff>83820</xdr:colOff>
      <xdr:row>214</xdr:row>
      <xdr:rowOff>114300</xdr:rowOff>
    </xdr:to>
    <xdr:sp macro="" textlink="">
      <xdr:nvSpPr>
        <xdr:cNvPr id="1638" name="Arrow: Down 1637">
          <a:extLst>
            <a:ext uri="{FF2B5EF4-FFF2-40B4-BE49-F238E27FC236}">
              <a16:creationId xmlns:a16="http://schemas.microsoft.com/office/drawing/2014/main" id="{74448102-A034-407B-90AC-1CE9301F12B4}"/>
            </a:ext>
          </a:extLst>
        </xdr:cNvPr>
        <xdr:cNvSpPr/>
      </xdr:nvSpPr>
      <xdr:spPr>
        <a:xfrm>
          <a:off x="192786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214</xdr:row>
      <xdr:rowOff>0</xdr:rowOff>
    </xdr:from>
    <xdr:to>
      <xdr:col>11</xdr:col>
      <xdr:colOff>83820</xdr:colOff>
      <xdr:row>214</xdr:row>
      <xdr:rowOff>114300</xdr:rowOff>
    </xdr:to>
    <xdr:sp macro="" textlink="">
      <xdr:nvSpPr>
        <xdr:cNvPr id="1639" name="Arrow: Down 1638">
          <a:extLst>
            <a:ext uri="{FF2B5EF4-FFF2-40B4-BE49-F238E27FC236}">
              <a16:creationId xmlns:a16="http://schemas.microsoft.com/office/drawing/2014/main" id="{5FA8E31A-E0E1-4BD8-A8D0-AFB1ABB99C84}"/>
            </a:ext>
          </a:extLst>
        </xdr:cNvPr>
        <xdr:cNvSpPr/>
      </xdr:nvSpPr>
      <xdr:spPr>
        <a:xfrm>
          <a:off x="36195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214</xdr:row>
      <xdr:rowOff>0</xdr:rowOff>
    </xdr:from>
    <xdr:to>
      <xdr:col>24</xdr:col>
      <xdr:colOff>83820</xdr:colOff>
      <xdr:row>214</xdr:row>
      <xdr:rowOff>114300</xdr:rowOff>
    </xdr:to>
    <xdr:sp macro="" textlink="">
      <xdr:nvSpPr>
        <xdr:cNvPr id="1640" name="Arrow: Down 1639">
          <a:extLst>
            <a:ext uri="{FF2B5EF4-FFF2-40B4-BE49-F238E27FC236}">
              <a16:creationId xmlns:a16="http://schemas.microsoft.com/office/drawing/2014/main" id="{6A15328A-AD9B-4D2D-BBDC-81669C0DF96E}"/>
            </a:ext>
          </a:extLst>
        </xdr:cNvPr>
        <xdr:cNvSpPr/>
      </xdr:nvSpPr>
      <xdr:spPr>
        <a:xfrm>
          <a:off x="63627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214</xdr:row>
      <xdr:rowOff>0</xdr:rowOff>
    </xdr:from>
    <xdr:to>
      <xdr:col>39</xdr:col>
      <xdr:colOff>83820</xdr:colOff>
      <xdr:row>214</xdr:row>
      <xdr:rowOff>114300</xdr:rowOff>
    </xdr:to>
    <xdr:sp macro="" textlink="">
      <xdr:nvSpPr>
        <xdr:cNvPr id="1642" name="Arrow: Down 1641">
          <a:extLst>
            <a:ext uri="{FF2B5EF4-FFF2-40B4-BE49-F238E27FC236}">
              <a16:creationId xmlns:a16="http://schemas.microsoft.com/office/drawing/2014/main" id="{D461EF47-2315-45EB-ADF6-F04F3F82EFB2}"/>
            </a:ext>
          </a:extLst>
        </xdr:cNvPr>
        <xdr:cNvSpPr/>
      </xdr:nvSpPr>
      <xdr:spPr>
        <a:xfrm rot="10800000">
          <a:off x="118491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214</xdr:row>
      <xdr:rowOff>0</xdr:rowOff>
    </xdr:from>
    <xdr:to>
      <xdr:col>60</xdr:col>
      <xdr:colOff>83820</xdr:colOff>
      <xdr:row>214</xdr:row>
      <xdr:rowOff>114300</xdr:rowOff>
    </xdr:to>
    <xdr:sp macro="" textlink="">
      <xdr:nvSpPr>
        <xdr:cNvPr id="1644" name="Arrow: Down 1643">
          <a:extLst>
            <a:ext uri="{FF2B5EF4-FFF2-40B4-BE49-F238E27FC236}">
              <a16:creationId xmlns:a16="http://schemas.microsoft.com/office/drawing/2014/main" id="{C412BA3B-2114-4438-AF78-00E0CC36EFC8}"/>
            </a:ext>
          </a:extLst>
        </xdr:cNvPr>
        <xdr:cNvSpPr/>
      </xdr:nvSpPr>
      <xdr:spPr>
        <a:xfrm rot="10800000">
          <a:off x="18463260" y="3923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215</xdr:row>
      <xdr:rowOff>0</xdr:rowOff>
    </xdr:from>
    <xdr:to>
      <xdr:col>71</xdr:col>
      <xdr:colOff>83820</xdr:colOff>
      <xdr:row>215</xdr:row>
      <xdr:rowOff>114300</xdr:rowOff>
    </xdr:to>
    <xdr:sp macro="" textlink="">
      <xdr:nvSpPr>
        <xdr:cNvPr id="1654" name="Arrow: Down 1653">
          <a:extLst>
            <a:ext uri="{FF2B5EF4-FFF2-40B4-BE49-F238E27FC236}">
              <a16:creationId xmlns:a16="http://schemas.microsoft.com/office/drawing/2014/main" id="{AA173FFA-E0E4-4E26-8C57-7D930595355D}"/>
            </a:ext>
          </a:extLst>
        </xdr:cNvPr>
        <xdr:cNvSpPr/>
      </xdr:nvSpPr>
      <xdr:spPr>
        <a:xfrm>
          <a:off x="184556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215</xdr:row>
      <xdr:rowOff>0</xdr:rowOff>
    </xdr:from>
    <xdr:to>
      <xdr:col>45</xdr:col>
      <xdr:colOff>83820</xdr:colOff>
      <xdr:row>215</xdr:row>
      <xdr:rowOff>114300</xdr:rowOff>
    </xdr:to>
    <xdr:sp macro="" textlink="">
      <xdr:nvSpPr>
        <xdr:cNvPr id="1655" name="Arrow: Down 1654">
          <a:extLst>
            <a:ext uri="{FF2B5EF4-FFF2-40B4-BE49-F238E27FC236}">
              <a16:creationId xmlns:a16="http://schemas.microsoft.com/office/drawing/2014/main" id="{1B721552-F62D-47AF-8A05-68297CA0A922}"/>
            </a:ext>
          </a:extLst>
        </xdr:cNvPr>
        <xdr:cNvSpPr/>
      </xdr:nvSpPr>
      <xdr:spPr>
        <a:xfrm rot="10800000">
          <a:off x="113309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215</xdr:row>
      <xdr:rowOff>0</xdr:rowOff>
    </xdr:from>
    <xdr:to>
      <xdr:col>71</xdr:col>
      <xdr:colOff>83820</xdr:colOff>
      <xdr:row>215</xdr:row>
      <xdr:rowOff>114300</xdr:rowOff>
    </xdr:to>
    <xdr:sp macro="" textlink="">
      <xdr:nvSpPr>
        <xdr:cNvPr id="1656" name="Arrow: Down 1655">
          <a:extLst>
            <a:ext uri="{FF2B5EF4-FFF2-40B4-BE49-F238E27FC236}">
              <a16:creationId xmlns:a16="http://schemas.microsoft.com/office/drawing/2014/main" id="{12684ECE-631F-4D4F-9E8A-E7515C85FC4C}"/>
            </a:ext>
          </a:extLst>
        </xdr:cNvPr>
        <xdr:cNvSpPr/>
      </xdr:nvSpPr>
      <xdr:spPr>
        <a:xfrm>
          <a:off x="184556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215</xdr:row>
      <xdr:rowOff>0</xdr:rowOff>
    </xdr:from>
    <xdr:to>
      <xdr:col>45</xdr:col>
      <xdr:colOff>83820</xdr:colOff>
      <xdr:row>215</xdr:row>
      <xdr:rowOff>114300</xdr:rowOff>
    </xdr:to>
    <xdr:sp macro="" textlink="">
      <xdr:nvSpPr>
        <xdr:cNvPr id="1657" name="Arrow: Down 1656">
          <a:extLst>
            <a:ext uri="{FF2B5EF4-FFF2-40B4-BE49-F238E27FC236}">
              <a16:creationId xmlns:a16="http://schemas.microsoft.com/office/drawing/2014/main" id="{7E362C21-0D77-400E-BAA9-8FE64F416D6A}"/>
            </a:ext>
          </a:extLst>
        </xdr:cNvPr>
        <xdr:cNvSpPr/>
      </xdr:nvSpPr>
      <xdr:spPr>
        <a:xfrm rot="10800000">
          <a:off x="113309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215</xdr:row>
      <xdr:rowOff>0</xdr:rowOff>
    </xdr:from>
    <xdr:to>
      <xdr:col>5</xdr:col>
      <xdr:colOff>83820</xdr:colOff>
      <xdr:row>215</xdr:row>
      <xdr:rowOff>114300</xdr:rowOff>
    </xdr:to>
    <xdr:sp macro="" textlink="">
      <xdr:nvSpPr>
        <xdr:cNvPr id="1658" name="Arrow: Down 1657">
          <a:extLst>
            <a:ext uri="{FF2B5EF4-FFF2-40B4-BE49-F238E27FC236}">
              <a16:creationId xmlns:a16="http://schemas.microsoft.com/office/drawing/2014/main" id="{F80B3F31-F174-4F55-9BED-87F63C9B7C82}"/>
            </a:ext>
          </a:extLst>
        </xdr:cNvPr>
        <xdr:cNvSpPr/>
      </xdr:nvSpPr>
      <xdr:spPr>
        <a:xfrm>
          <a:off x="192786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215</xdr:row>
      <xdr:rowOff>0</xdr:rowOff>
    </xdr:from>
    <xdr:to>
      <xdr:col>11</xdr:col>
      <xdr:colOff>83820</xdr:colOff>
      <xdr:row>215</xdr:row>
      <xdr:rowOff>114300</xdr:rowOff>
    </xdr:to>
    <xdr:sp macro="" textlink="">
      <xdr:nvSpPr>
        <xdr:cNvPr id="1659" name="Arrow: Down 1658">
          <a:extLst>
            <a:ext uri="{FF2B5EF4-FFF2-40B4-BE49-F238E27FC236}">
              <a16:creationId xmlns:a16="http://schemas.microsoft.com/office/drawing/2014/main" id="{2F667711-0C5F-49F2-BA68-B25AFF48381E}"/>
            </a:ext>
          </a:extLst>
        </xdr:cNvPr>
        <xdr:cNvSpPr/>
      </xdr:nvSpPr>
      <xdr:spPr>
        <a:xfrm>
          <a:off x="36195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215</xdr:row>
      <xdr:rowOff>0</xdr:rowOff>
    </xdr:from>
    <xdr:to>
      <xdr:col>24</xdr:col>
      <xdr:colOff>83820</xdr:colOff>
      <xdr:row>215</xdr:row>
      <xdr:rowOff>114300</xdr:rowOff>
    </xdr:to>
    <xdr:sp macro="" textlink="">
      <xdr:nvSpPr>
        <xdr:cNvPr id="1660" name="Arrow: Down 1659">
          <a:extLst>
            <a:ext uri="{FF2B5EF4-FFF2-40B4-BE49-F238E27FC236}">
              <a16:creationId xmlns:a16="http://schemas.microsoft.com/office/drawing/2014/main" id="{A9F3ABA9-9D49-4E78-94A4-501FD6E34672}"/>
            </a:ext>
          </a:extLst>
        </xdr:cNvPr>
        <xdr:cNvSpPr/>
      </xdr:nvSpPr>
      <xdr:spPr>
        <a:xfrm>
          <a:off x="63627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215</xdr:row>
      <xdr:rowOff>0</xdr:rowOff>
    </xdr:from>
    <xdr:to>
      <xdr:col>39</xdr:col>
      <xdr:colOff>83820</xdr:colOff>
      <xdr:row>215</xdr:row>
      <xdr:rowOff>114300</xdr:rowOff>
    </xdr:to>
    <xdr:sp macro="" textlink="">
      <xdr:nvSpPr>
        <xdr:cNvPr id="1661" name="Arrow: Down 1660">
          <a:extLst>
            <a:ext uri="{FF2B5EF4-FFF2-40B4-BE49-F238E27FC236}">
              <a16:creationId xmlns:a16="http://schemas.microsoft.com/office/drawing/2014/main" id="{2CDEFF6A-C1C5-4ED3-AACA-27C956EE4145}"/>
            </a:ext>
          </a:extLst>
        </xdr:cNvPr>
        <xdr:cNvSpPr/>
      </xdr:nvSpPr>
      <xdr:spPr>
        <a:xfrm rot="10800000">
          <a:off x="95250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215</xdr:row>
      <xdr:rowOff>0</xdr:rowOff>
    </xdr:from>
    <xdr:to>
      <xdr:col>60</xdr:col>
      <xdr:colOff>83820</xdr:colOff>
      <xdr:row>215</xdr:row>
      <xdr:rowOff>114300</xdr:rowOff>
    </xdr:to>
    <xdr:sp macro="" textlink="">
      <xdr:nvSpPr>
        <xdr:cNvPr id="1664" name="Arrow: Down 1663">
          <a:extLst>
            <a:ext uri="{FF2B5EF4-FFF2-40B4-BE49-F238E27FC236}">
              <a16:creationId xmlns:a16="http://schemas.microsoft.com/office/drawing/2014/main" id="{36740F99-6F3D-490B-A7BF-42831E080171}"/>
            </a:ext>
          </a:extLst>
        </xdr:cNvPr>
        <xdr:cNvSpPr/>
      </xdr:nvSpPr>
      <xdr:spPr>
        <a:xfrm>
          <a:off x="1676400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216</xdr:row>
      <xdr:rowOff>0</xdr:rowOff>
    </xdr:from>
    <xdr:to>
      <xdr:col>71</xdr:col>
      <xdr:colOff>83820</xdr:colOff>
      <xdr:row>216</xdr:row>
      <xdr:rowOff>114300</xdr:rowOff>
    </xdr:to>
    <xdr:sp macro="" textlink="">
      <xdr:nvSpPr>
        <xdr:cNvPr id="1595" name="Arrow: Down 1594">
          <a:extLst>
            <a:ext uri="{FF2B5EF4-FFF2-40B4-BE49-F238E27FC236}">
              <a16:creationId xmlns:a16="http://schemas.microsoft.com/office/drawing/2014/main" id="{D1F695C8-108A-499A-9CE3-DCDEF8C27DF0}"/>
            </a:ext>
          </a:extLst>
        </xdr:cNvPr>
        <xdr:cNvSpPr/>
      </xdr:nvSpPr>
      <xdr:spPr>
        <a:xfrm>
          <a:off x="1908048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216</xdr:row>
      <xdr:rowOff>0</xdr:rowOff>
    </xdr:from>
    <xdr:to>
      <xdr:col>45</xdr:col>
      <xdr:colOff>83820</xdr:colOff>
      <xdr:row>216</xdr:row>
      <xdr:rowOff>114300</xdr:rowOff>
    </xdr:to>
    <xdr:sp macro="" textlink="">
      <xdr:nvSpPr>
        <xdr:cNvPr id="1596" name="Arrow: Down 1595">
          <a:extLst>
            <a:ext uri="{FF2B5EF4-FFF2-40B4-BE49-F238E27FC236}">
              <a16:creationId xmlns:a16="http://schemas.microsoft.com/office/drawing/2014/main" id="{CAB9D78C-D6E8-4AF2-A3BA-F215676E555D}"/>
            </a:ext>
          </a:extLst>
        </xdr:cNvPr>
        <xdr:cNvSpPr/>
      </xdr:nvSpPr>
      <xdr:spPr>
        <a:xfrm rot="10800000">
          <a:off x="1144524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216</xdr:row>
      <xdr:rowOff>0</xdr:rowOff>
    </xdr:from>
    <xdr:to>
      <xdr:col>71</xdr:col>
      <xdr:colOff>83820</xdr:colOff>
      <xdr:row>216</xdr:row>
      <xdr:rowOff>114300</xdr:rowOff>
    </xdr:to>
    <xdr:sp macro="" textlink="">
      <xdr:nvSpPr>
        <xdr:cNvPr id="1597" name="Arrow: Down 1596">
          <a:extLst>
            <a:ext uri="{FF2B5EF4-FFF2-40B4-BE49-F238E27FC236}">
              <a16:creationId xmlns:a16="http://schemas.microsoft.com/office/drawing/2014/main" id="{1BFF3C02-0FA4-4394-A258-E4990E97BCD6}"/>
            </a:ext>
          </a:extLst>
        </xdr:cNvPr>
        <xdr:cNvSpPr/>
      </xdr:nvSpPr>
      <xdr:spPr>
        <a:xfrm>
          <a:off x="1908048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216</xdr:row>
      <xdr:rowOff>0</xdr:rowOff>
    </xdr:from>
    <xdr:to>
      <xdr:col>45</xdr:col>
      <xdr:colOff>83820</xdr:colOff>
      <xdr:row>216</xdr:row>
      <xdr:rowOff>114300</xdr:rowOff>
    </xdr:to>
    <xdr:sp macro="" textlink="">
      <xdr:nvSpPr>
        <xdr:cNvPr id="1607" name="Arrow: Down 1606">
          <a:extLst>
            <a:ext uri="{FF2B5EF4-FFF2-40B4-BE49-F238E27FC236}">
              <a16:creationId xmlns:a16="http://schemas.microsoft.com/office/drawing/2014/main" id="{EB4A6625-0408-4CD3-B922-716A26DA01DE}"/>
            </a:ext>
          </a:extLst>
        </xdr:cNvPr>
        <xdr:cNvSpPr/>
      </xdr:nvSpPr>
      <xdr:spPr>
        <a:xfrm rot="10800000">
          <a:off x="1144524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216</xdr:row>
      <xdr:rowOff>0</xdr:rowOff>
    </xdr:from>
    <xdr:to>
      <xdr:col>5</xdr:col>
      <xdr:colOff>83820</xdr:colOff>
      <xdr:row>216</xdr:row>
      <xdr:rowOff>114300</xdr:rowOff>
    </xdr:to>
    <xdr:sp macro="" textlink="">
      <xdr:nvSpPr>
        <xdr:cNvPr id="1614" name="Arrow: Down 1613">
          <a:extLst>
            <a:ext uri="{FF2B5EF4-FFF2-40B4-BE49-F238E27FC236}">
              <a16:creationId xmlns:a16="http://schemas.microsoft.com/office/drawing/2014/main" id="{4E7B9F0D-66CF-4895-9FC9-ACBE05D2EA08}"/>
            </a:ext>
          </a:extLst>
        </xdr:cNvPr>
        <xdr:cNvSpPr/>
      </xdr:nvSpPr>
      <xdr:spPr>
        <a:xfrm rot="10800000">
          <a:off x="192786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216</xdr:row>
      <xdr:rowOff>0</xdr:rowOff>
    </xdr:from>
    <xdr:to>
      <xdr:col>11</xdr:col>
      <xdr:colOff>83820</xdr:colOff>
      <xdr:row>216</xdr:row>
      <xdr:rowOff>114300</xdr:rowOff>
    </xdr:to>
    <xdr:sp macro="" textlink="">
      <xdr:nvSpPr>
        <xdr:cNvPr id="1615" name="Arrow: Down 1614">
          <a:extLst>
            <a:ext uri="{FF2B5EF4-FFF2-40B4-BE49-F238E27FC236}">
              <a16:creationId xmlns:a16="http://schemas.microsoft.com/office/drawing/2014/main" id="{A267EABA-0519-4AFA-A669-84DE59C32BFA}"/>
            </a:ext>
          </a:extLst>
        </xdr:cNvPr>
        <xdr:cNvSpPr/>
      </xdr:nvSpPr>
      <xdr:spPr>
        <a:xfrm rot="10800000">
          <a:off x="36195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216</xdr:row>
      <xdr:rowOff>0</xdr:rowOff>
    </xdr:from>
    <xdr:to>
      <xdr:col>24</xdr:col>
      <xdr:colOff>83820</xdr:colOff>
      <xdr:row>216</xdr:row>
      <xdr:rowOff>114300</xdr:rowOff>
    </xdr:to>
    <xdr:sp macro="" textlink="">
      <xdr:nvSpPr>
        <xdr:cNvPr id="1616" name="Arrow: Down 1615">
          <a:extLst>
            <a:ext uri="{FF2B5EF4-FFF2-40B4-BE49-F238E27FC236}">
              <a16:creationId xmlns:a16="http://schemas.microsoft.com/office/drawing/2014/main" id="{30B348B8-B3BB-4B9D-A5D8-83A83D3A595B}"/>
            </a:ext>
          </a:extLst>
        </xdr:cNvPr>
        <xdr:cNvSpPr/>
      </xdr:nvSpPr>
      <xdr:spPr>
        <a:xfrm rot="10800000">
          <a:off x="6477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216</xdr:row>
      <xdr:rowOff>0</xdr:rowOff>
    </xdr:from>
    <xdr:to>
      <xdr:col>60</xdr:col>
      <xdr:colOff>83820</xdr:colOff>
      <xdr:row>216</xdr:row>
      <xdr:rowOff>114300</xdr:rowOff>
    </xdr:to>
    <xdr:sp macro="" textlink="">
      <xdr:nvSpPr>
        <xdr:cNvPr id="1623" name="Arrow: Down 1622">
          <a:extLst>
            <a:ext uri="{FF2B5EF4-FFF2-40B4-BE49-F238E27FC236}">
              <a16:creationId xmlns:a16="http://schemas.microsoft.com/office/drawing/2014/main" id="{FBCE2B96-F5A9-4CF4-A7A7-2B599EC0F4AD}"/>
            </a:ext>
          </a:extLst>
        </xdr:cNvPr>
        <xdr:cNvSpPr/>
      </xdr:nvSpPr>
      <xdr:spPr>
        <a:xfrm rot="10800000">
          <a:off x="16764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217</xdr:row>
      <xdr:rowOff>0</xdr:rowOff>
    </xdr:from>
    <xdr:to>
      <xdr:col>71</xdr:col>
      <xdr:colOff>83820</xdr:colOff>
      <xdr:row>217</xdr:row>
      <xdr:rowOff>114300</xdr:rowOff>
    </xdr:to>
    <xdr:sp macro="" textlink="">
      <xdr:nvSpPr>
        <xdr:cNvPr id="1631" name="Arrow: Down 1630">
          <a:extLst>
            <a:ext uri="{FF2B5EF4-FFF2-40B4-BE49-F238E27FC236}">
              <a16:creationId xmlns:a16="http://schemas.microsoft.com/office/drawing/2014/main" id="{DD27F922-739E-4B32-ABAC-0B6D89FCCD8C}"/>
            </a:ext>
          </a:extLst>
        </xdr:cNvPr>
        <xdr:cNvSpPr/>
      </xdr:nvSpPr>
      <xdr:spPr>
        <a:xfrm>
          <a:off x="1908048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217</xdr:row>
      <xdr:rowOff>0</xdr:rowOff>
    </xdr:from>
    <xdr:to>
      <xdr:col>45</xdr:col>
      <xdr:colOff>83820</xdr:colOff>
      <xdr:row>217</xdr:row>
      <xdr:rowOff>114300</xdr:rowOff>
    </xdr:to>
    <xdr:sp macro="" textlink="">
      <xdr:nvSpPr>
        <xdr:cNvPr id="1637" name="Arrow: Down 1636">
          <a:extLst>
            <a:ext uri="{FF2B5EF4-FFF2-40B4-BE49-F238E27FC236}">
              <a16:creationId xmlns:a16="http://schemas.microsoft.com/office/drawing/2014/main" id="{4FC9A48C-DA5F-44A4-A036-90A281CE2AE8}"/>
            </a:ext>
          </a:extLst>
        </xdr:cNvPr>
        <xdr:cNvSpPr/>
      </xdr:nvSpPr>
      <xdr:spPr>
        <a:xfrm rot="10800000">
          <a:off x="1144524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217</xdr:row>
      <xdr:rowOff>0</xdr:rowOff>
    </xdr:from>
    <xdr:to>
      <xdr:col>71</xdr:col>
      <xdr:colOff>83820</xdr:colOff>
      <xdr:row>217</xdr:row>
      <xdr:rowOff>114300</xdr:rowOff>
    </xdr:to>
    <xdr:sp macro="" textlink="">
      <xdr:nvSpPr>
        <xdr:cNvPr id="1641" name="Arrow: Down 1640">
          <a:extLst>
            <a:ext uri="{FF2B5EF4-FFF2-40B4-BE49-F238E27FC236}">
              <a16:creationId xmlns:a16="http://schemas.microsoft.com/office/drawing/2014/main" id="{792DFE96-CEE9-4D3B-BBFC-9E3190E9AB70}"/>
            </a:ext>
          </a:extLst>
        </xdr:cNvPr>
        <xdr:cNvSpPr/>
      </xdr:nvSpPr>
      <xdr:spPr>
        <a:xfrm>
          <a:off x="1908048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217</xdr:row>
      <xdr:rowOff>0</xdr:rowOff>
    </xdr:from>
    <xdr:to>
      <xdr:col>45</xdr:col>
      <xdr:colOff>83820</xdr:colOff>
      <xdr:row>217</xdr:row>
      <xdr:rowOff>114300</xdr:rowOff>
    </xdr:to>
    <xdr:sp macro="" textlink="">
      <xdr:nvSpPr>
        <xdr:cNvPr id="1643" name="Arrow: Down 1642">
          <a:extLst>
            <a:ext uri="{FF2B5EF4-FFF2-40B4-BE49-F238E27FC236}">
              <a16:creationId xmlns:a16="http://schemas.microsoft.com/office/drawing/2014/main" id="{754F1555-B4A5-4576-BF37-59C3D3C66448}"/>
            </a:ext>
          </a:extLst>
        </xdr:cNvPr>
        <xdr:cNvSpPr/>
      </xdr:nvSpPr>
      <xdr:spPr>
        <a:xfrm rot="10800000">
          <a:off x="1144524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217</xdr:row>
      <xdr:rowOff>0</xdr:rowOff>
    </xdr:from>
    <xdr:to>
      <xdr:col>5</xdr:col>
      <xdr:colOff>83820</xdr:colOff>
      <xdr:row>217</xdr:row>
      <xdr:rowOff>114300</xdr:rowOff>
    </xdr:to>
    <xdr:sp macro="" textlink="">
      <xdr:nvSpPr>
        <xdr:cNvPr id="1645" name="Arrow: Down 1644">
          <a:extLst>
            <a:ext uri="{FF2B5EF4-FFF2-40B4-BE49-F238E27FC236}">
              <a16:creationId xmlns:a16="http://schemas.microsoft.com/office/drawing/2014/main" id="{99240245-C35F-4B4A-9315-13051327050F}"/>
            </a:ext>
          </a:extLst>
        </xdr:cNvPr>
        <xdr:cNvSpPr/>
      </xdr:nvSpPr>
      <xdr:spPr>
        <a:xfrm rot="10800000">
          <a:off x="192786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217</xdr:row>
      <xdr:rowOff>0</xdr:rowOff>
    </xdr:from>
    <xdr:to>
      <xdr:col>11</xdr:col>
      <xdr:colOff>83820</xdr:colOff>
      <xdr:row>217</xdr:row>
      <xdr:rowOff>114300</xdr:rowOff>
    </xdr:to>
    <xdr:sp macro="" textlink="">
      <xdr:nvSpPr>
        <xdr:cNvPr id="1646" name="Arrow: Down 1645">
          <a:extLst>
            <a:ext uri="{FF2B5EF4-FFF2-40B4-BE49-F238E27FC236}">
              <a16:creationId xmlns:a16="http://schemas.microsoft.com/office/drawing/2014/main" id="{CC3D34DF-4CEF-4957-BA53-43126CA3652B}"/>
            </a:ext>
          </a:extLst>
        </xdr:cNvPr>
        <xdr:cNvSpPr/>
      </xdr:nvSpPr>
      <xdr:spPr>
        <a:xfrm rot="10800000">
          <a:off x="36195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217</xdr:row>
      <xdr:rowOff>0</xdr:rowOff>
    </xdr:from>
    <xdr:to>
      <xdr:col>24</xdr:col>
      <xdr:colOff>83820</xdr:colOff>
      <xdr:row>217</xdr:row>
      <xdr:rowOff>114300</xdr:rowOff>
    </xdr:to>
    <xdr:sp macro="" textlink="">
      <xdr:nvSpPr>
        <xdr:cNvPr id="1647" name="Arrow: Down 1646">
          <a:extLst>
            <a:ext uri="{FF2B5EF4-FFF2-40B4-BE49-F238E27FC236}">
              <a16:creationId xmlns:a16="http://schemas.microsoft.com/office/drawing/2014/main" id="{61187099-05F7-47B5-A7AB-9A03FE8095B6}"/>
            </a:ext>
          </a:extLst>
        </xdr:cNvPr>
        <xdr:cNvSpPr/>
      </xdr:nvSpPr>
      <xdr:spPr>
        <a:xfrm rot="10800000">
          <a:off x="6477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217</xdr:row>
      <xdr:rowOff>0</xdr:rowOff>
    </xdr:from>
    <xdr:to>
      <xdr:col>60</xdr:col>
      <xdr:colOff>83820</xdr:colOff>
      <xdr:row>217</xdr:row>
      <xdr:rowOff>114300</xdr:rowOff>
    </xdr:to>
    <xdr:sp macro="" textlink="">
      <xdr:nvSpPr>
        <xdr:cNvPr id="1649" name="Arrow: Down 1648">
          <a:extLst>
            <a:ext uri="{FF2B5EF4-FFF2-40B4-BE49-F238E27FC236}">
              <a16:creationId xmlns:a16="http://schemas.microsoft.com/office/drawing/2014/main" id="{C3DF03C8-21C5-40C4-A245-485B275A000F}"/>
            </a:ext>
          </a:extLst>
        </xdr:cNvPr>
        <xdr:cNvSpPr/>
      </xdr:nvSpPr>
      <xdr:spPr>
        <a:xfrm rot="10800000">
          <a:off x="16764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217</xdr:row>
      <xdr:rowOff>0</xdr:rowOff>
    </xdr:from>
    <xdr:to>
      <xdr:col>39</xdr:col>
      <xdr:colOff>83820</xdr:colOff>
      <xdr:row>217</xdr:row>
      <xdr:rowOff>114300</xdr:rowOff>
    </xdr:to>
    <xdr:sp macro="" textlink="">
      <xdr:nvSpPr>
        <xdr:cNvPr id="1650" name="Arrow: Down 1649">
          <a:extLst>
            <a:ext uri="{FF2B5EF4-FFF2-40B4-BE49-F238E27FC236}">
              <a16:creationId xmlns:a16="http://schemas.microsoft.com/office/drawing/2014/main" id="{76A368F5-F12A-410C-B0F6-80AABC3B3A60}"/>
            </a:ext>
          </a:extLst>
        </xdr:cNvPr>
        <xdr:cNvSpPr/>
      </xdr:nvSpPr>
      <xdr:spPr>
        <a:xfrm rot="10800000">
          <a:off x="963930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218</xdr:row>
      <xdr:rowOff>0</xdr:rowOff>
    </xdr:from>
    <xdr:to>
      <xdr:col>71</xdr:col>
      <xdr:colOff>83820</xdr:colOff>
      <xdr:row>218</xdr:row>
      <xdr:rowOff>114300</xdr:rowOff>
    </xdr:to>
    <xdr:sp macro="" textlink="">
      <xdr:nvSpPr>
        <xdr:cNvPr id="1651" name="Arrow: Down 1650">
          <a:extLst>
            <a:ext uri="{FF2B5EF4-FFF2-40B4-BE49-F238E27FC236}">
              <a16:creationId xmlns:a16="http://schemas.microsoft.com/office/drawing/2014/main" id="{256D8F80-FD39-4334-85A9-073807F79160}"/>
            </a:ext>
          </a:extLst>
        </xdr:cNvPr>
        <xdr:cNvSpPr/>
      </xdr:nvSpPr>
      <xdr:spPr>
        <a:xfrm>
          <a:off x="1908048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218</xdr:row>
      <xdr:rowOff>0</xdr:rowOff>
    </xdr:from>
    <xdr:to>
      <xdr:col>45</xdr:col>
      <xdr:colOff>83820</xdr:colOff>
      <xdr:row>218</xdr:row>
      <xdr:rowOff>114300</xdr:rowOff>
    </xdr:to>
    <xdr:sp macro="" textlink="">
      <xdr:nvSpPr>
        <xdr:cNvPr id="1652" name="Arrow: Down 1651">
          <a:extLst>
            <a:ext uri="{FF2B5EF4-FFF2-40B4-BE49-F238E27FC236}">
              <a16:creationId xmlns:a16="http://schemas.microsoft.com/office/drawing/2014/main" id="{B18B08E4-F5EC-43E3-915D-C525DEFD5E7B}"/>
            </a:ext>
          </a:extLst>
        </xdr:cNvPr>
        <xdr:cNvSpPr/>
      </xdr:nvSpPr>
      <xdr:spPr>
        <a:xfrm rot="10800000">
          <a:off x="1144524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218</xdr:row>
      <xdr:rowOff>0</xdr:rowOff>
    </xdr:from>
    <xdr:to>
      <xdr:col>71</xdr:col>
      <xdr:colOff>83820</xdr:colOff>
      <xdr:row>218</xdr:row>
      <xdr:rowOff>114300</xdr:rowOff>
    </xdr:to>
    <xdr:sp macro="" textlink="">
      <xdr:nvSpPr>
        <xdr:cNvPr id="1653" name="Arrow: Down 1652">
          <a:extLst>
            <a:ext uri="{FF2B5EF4-FFF2-40B4-BE49-F238E27FC236}">
              <a16:creationId xmlns:a16="http://schemas.microsoft.com/office/drawing/2014/main" id="{D5478CEC-CAC6-48AE-94E1-CA35CA1DE3E2}"/>
            </a:ext>
          </a:extLst>
        </xdr:cNvPr>
        <xdr:cNvSpPr/>
      </xdr:nvSpPr>
      <xdr:spPr>
        <a:xfrm>
          <a:off x="1908048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218</xdr:row>
      <xdr:rowOff>0</xdr:rowOff>
    </xdr:from>
    <xdr:to>
      <xdr:col>45</xdr:col>
      <xdr:colOff>83820</xdr:colOff>
      <xdr:row>218</xdr:row>
      <xdr:rowOff>114300</xdr:rowOff>
    </xdr:to>
    <xdr:sp macro="" textlink="">
      <xdr:nvSpPr>
        <xdr:cNvPr id="1662" name="Arrow: Down 1661">
          <a:extLst>
            <a:ext uri="{FF2B5EF4-FFF2-40B4-BE49-F238E27FC236}">
              <a16:creationId xmlns:a16="http://schemas.microsoft.com/office/drawing/2014/main" id="{28C950E8-0A2F-45F1-A2D9-A6DB46D8E0A1}"/>
            </a:ext>
          </a:extLst>
        </xdr:cNvPr>
        <xdr:cNvSpPr/>
      </xdr:nvSpPr>
      <xdr:spPr>
        <a:xfrm rot="10800000">
          <a:off x="1144524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218</xdr:row>
      <xdr:rowOff>0</xdr:rowOff>
    </xdr:from>
    <xdr:to>
      <xdr:col>60</xdr:col>
      <xdr:colOff>83820</xdr:colOff>
      <xdr:row>218</xdr:row>
      <xdr:rowOff>114300</xdr:rowOff>
    </xdr:to>
    <xdr:sp macro="" textlink="">
      <xdr:nvSpPr>
        <xdr:cNvPr id="1667" name="Arrow: Down 1666">
          <a:extLst>
            <a:ext uri="{FF2B5EF4-FFF2-40B4-BE49-F238E27FC236}">
              <a16:creationId xmlns:a16="http://schemas.microsoft.com/office/drawing/2014/main" id="{9AD5F57E-D576-4D59-90A6-B4C5FFA31F4B}"/>
            </a:ext>
          </a:extLst>
        </xdr:cNvPr>
        <xdr:cNvSpPr/>
      </xdr:nvSpPr>
      <xdr:spPr>
        <a:xfrm rot="10800000">
          <a:off x="16764000" y="3978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218</xdr:row>
      <xdr:rowOff>0</xdr:rowOff>
    </xdr:from>
    <xdr:to>
      <xdr:col>11</xdr:col>
      <xdr:colOff>83820</xdr:colOff>
      <xdr:row>218</xdr:row>
      <xdr:rowOff>114300</xdr:rowOff>
    </xdr:to>
    <xdr:sp macro="" textlink="">
      <xdr:nvSpPr>
        <xdr:cNvPr id="1670" name="Arrow: Down 1669">
          <a:extLst>
            <a:ext uri="{FF2B5EF4-FFF2-40B4-BE49-F238E27FC236}">
              <a16:creationId xmlns:a16="http://schemas.microsoft.com/office/drawing/2014/main" id="{6A8EDFE6-3ECC-4B51-9222-7CEB8EF45ECF}"/>
            </a:ext>
          </a:extLst>
        </xdr:cNvPr>
        <xdr:cNvSpPr/>
      </xdr:nvSpPr>
      <xdr:spPr>
        <a:xfrm rot="10800000">
          <a:off x="36195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218</xdr:row>
      <xdr:rowOff>0</xdr:rowOff>
    </xdr:from>
    <xdr:to>
      <xdr:col>5</xdr:col>
      <xdr:colOff>83820</xdr:colOff>
      <xdr:row>218</xdr:row>
      <xdr:rowOff>114300</xdr:rowOff>
    </xdr:to>
    <xdr:sp macro="" textlink="">
      <xdr:nvSpPr>
        <xdr:cNvPr id="1672" name="Arrow: Down 1671">
          <a:extLst>
            <a:ext uri="{FF2B5EF4-FFF2-40B4-BE49-F238E27FC236}">
              <a16:creationId xmlns:a16="http://schemas.microsoft.com/office/drawing/2014/main" id="{80E6EAED-7B61-4902-AC1E-7184C4208504}"/>
            </a:ext>
          </a:extLst>
        </xdr:cNvPr>
        <xdr:cNvSpPr/>
      </xdr:nvSpPr>
      <xdr:spPr>
        <a:xfrm rot="10800000">
          <a:off x="192786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218</xdr:row>
      <xdr:rowOff>0</xdr:rowOff>
    </xdr:from>
    <xdr:to>
      <xdr:col>24</xdr:col>
      <xdr:colOff>83820</xdr:colOff>
      <xdr:row>218</xdr:row>
      <xdr:rowOff>114300</xdr:rowOff>
    </xdr:to>
    <xdr:sp macro="" textlink="">
      <xdr:nvSpPr>
        <xdr:cNvPr id="1610" name="Arrow: Down 1609">
          <a:extLst>
            <a:ext uri="{FF2B5EF4-FFF2-40B4-BE49-F238E27FC236}">
              <a16:creationId xmlns:a16="http://schemas.microsoft.com/office/drawing/2014/main" id="{F3456836-6B44-42F5-BF7F-C28F0E233A40}"/>
            </a:ext>
          </a:extLst>
        </xdr:cNvPr>
        <xdr:cNvSpPr/>
      </xdr:nvSpPr>
      <xdr:spPr>
        <a:xfrm>
          <a:off x="647700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219</xdr:row>
      <xdr:rowOff>0</xdr:rowOff>
    </xdr:from>
    <xdr:to>
      <xdr:col>71</xdr:col>
      <xdr:colOff>83820</xdr:colOff>
      <xdr:row>219</xdr:row>
      <xdr:rowOff>114300</xdr:rowOff>
    </xdr:to>
    <xdr:sp macro="" textlink="">
      <xdr:nvSpPr>
        <xdr:cNvPr id="1665" name="Arrow: Down 1664">
          <a:extLst>
            <a:ext uri="{FF2B5EF4-FFF2-40B4-BE49-F238E27FC236}">
              <a16:creationId xmlns:a16="http://schemas.microsoft.com/office/drawing/2014/main" id="{E6159D73-7E58-40BE-85F8-77632D67CF1B}"/>
            </a:ext>
          </a:extLst>
        </xdr:cNvPr>
        <xdr:cNvSpPr/>
      </xdr:nvSpPr>
      <xdr:spPr>
        <a:xfrm>
          <a:off x="1908048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219</xdr:row>
      <xdr:rowOff>0</xdr:rowOff>
    </xdr:from>
    <xdr:to>
      <xdr:col>45</xdr:col>
      <xdr:colOff>83820</xdr:colOff>
      <xdr:row>219</xdr:row>
      <xdr:rowOff>114300</xdr:rowOff>
    </xdr:to>
    <xdr:sp macro="" textlink="">
      <xdr:nvSpPr>
        <xdr:cNvPr id="1666" name="Arrow: Down 1665">
          <a:extLst>
            <a:ext uri="{FF2B5EF4-FFF2-40B4-BE49-F238E27FC236}">
              <a16:creationId xmlns:a16="http://schemas.microsoft.com/office/drawing/2014/main" id="{DEB299E9-7828-4C34-ACC0-76F9CCEE50A6}"/>
            </a:ext>
          </a:extLst>
        </xdr:cNvPr>
        <xdr:cNvSpPr/>
      </xdr:nvSpPr>
      <xdr:spPr>
        <a:xfrm rot="10800000">
          <a:off x="1144524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219</xdr:row>
      <xdr:rowOff>0</xdr:rowOff>
    </xdr:from>
    <xdr:to>
      <xdr:col>71</xdr:col>
      <xdr:colOff>83820</xdr:colOff>
      <xdr:row>219</xdr:row>
      <xdr:rowOff>114300</xdr:rowOff>
    </xdr:to>
    <xdr:sp macro="" textlink="">
      <xdr:nvSpPr>
        <xdr:cNvPr id="1668" name="Arrow: Down 1667">
          <a:extLst>
            <a:ext uri="{FF2B5EF4-FFF2-40B4-BE49-F238E27FC236}">
              <a16:creationId xmlns:a16="http://schemas.microsoft.com/office/drawing/2014/main" id="{6ADA1658-622C-4E97-8517-B974D3B12D83}"/>
            </a:ext>
          </a:extLst>
        </xdr:cNvPr>
        <xdr:cNvSpPr/>
      </xdr:nvSpPr>
      <xdr:spPr>
        <a:xfrm>
          <a:off x="1908048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219</xdr:row>
      <xdr:rowOff>0</xdr:rowOff>
    </xdr:from>
    <xdr:to>
      <xdr:col>45</xdr:col>
      <xdr:colOff>83820</xdr:colOff>
      <xdr:row>219</xdr:row>
      <xdr:rowOff>114300</xdr:rowOff>
    </xdr:to>
    <xdr:sp macro="" textlink="">
      <xdr:nvSpPr>
        <xdr:cNvPr id="1669" name="Arrow: Down 1668">
          <a:extLst>
            <a:ext uri="{FF2B5EF4-FFF2-40B4-BE49-F238E27FC236}">
              <a16:creationId xmlns:a16="http://schemas.microsoft.com/office/drawing/2014/main" id="{3AA0A2AF-5C75-47B4-AF67-82F354E562DC}"/>
            </a:ext>
          </a:extLst>
        </xdr:cNvPr>
        <xdr:cNvSpPr/>
      </xdr:nvSpPr>
      <xdr:spPr>
        <a:xfrm rot="10800000">
          <a:off x="1144524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219</xdr:row>
      <xdr:rowOff>0</xdr:rowOff>
    </xdr:from>
    <xdr:to>
      <xdr:col>60</xdr:col>
      <xdr:colOff>83820</xdr:colOff>
      <xdr:row>219</xdr:row>
      <xdr:rowOff>114300</xdr:rowOff>
    </xdr:to>
    <xdr:sp macro="" textlink="">
      <xdr:nvSpPr>
        <xdr:cNvPr id="1671" name="Arrow: Down 1670">
          <a:extLst>
            <a:ext uri="{FF2B5EF4-FFF2-40B4-BE49-F238E27FC236}">
              <a16:creationId xmlns:a16="http://schemas.microsoft.com/office/drawing/2014/main" id="{BF22F34E-EA61-4C83-BB7A-888517B148B0}"/>
            </a:ext>
          </a:extLst>
        </xdr:cNvPr>
        <xdr:cNvSpPr/>
      </xdr:nvSpPr>
      <xdr:spPr>
        <a:xfrm rot="10800000">
          <a:off x="167640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219</xdr:row>
      <xdr:rowOff>0</xdr:rowOff>
    </xdr:from>
    <xdr:to>
      <xdr:col>11</xdr:col>
      <xdr:colOff>83820</xdr:colOff>
      <xdr:row>219</xdr:row>
      <xdr:rowOff>114300</xdr:rowOff>
    </xdr:to>
    <xdr:sp macro="" textlink="">
      <xdr:nvSpPr>
        <xdr:cNvPr id="1673" name="Arrow: Down 1672">
          <a:extLst>
            <a:ext uri="{FF2B5EF4-FFF2-40B4-BE49-F238E27FC236}">
              <a16:creationId xmlns:a16="http://schemas.microsoft.com/office/drawing/2014/main" id="{E2BAD884-54B4-4A59-B516-75884DB33BA1}"/>
            </a:ext>
          </a:extLst>
        </xdr:cNvPr>
        <xdr:cNvSpPr/>
      </xdr:nvSpPr>
      <xdr:spPr>
        <a:xfrm rot="10800000">
          <a:off x="36195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219</xdr:row>
      <xdr:rowOff>0</xdr:rowOff>
    </xdr:from>
    <xdr:to>
      <xdr:col>5</xdr:col>
      <xdr:colOff>83820</xdr:colOff>
      <xdr:row>219</xdr:row>
      <xdr:rowOff>114300</xdr:rowOff>
    </xdr:to>
    <xdr:sp macro="" textlink="">
      <xdr:nvSpPr>
        <xdr:cNvPr id="1674" name="Arrow: Down 1673">
          <a:extLst>
            <a:ext uri="{FF2B5EF4-FFF2-40B4-BE49-F238E27FC236}">
              <a16:creationId xmlns:a16="http://schemas.microsoft.com/office/drawing/2014/main" id="{B67ACA5D-494A-442B-88D1-EB22E0183151}"/>
            </a:ext>
          </a:extLst>
        </xdr:cNvPr>
        <xdr:cNvSpPr/>
      </xdr:nvSpPr>
      <xdr:spPr>
        <a:xfrm rot="10800000">
          <a:off x="192786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219</xdr:row>
      <xdr:rowOff>0</xdr:rowOff>
    </xdr:from>
    <xdr:to>
      <xdr:col>24</xdr:col>
      <xdr:colOff>83820</xdr:colOff>
      <xdr:row>219</xdr:row>
      <xdr:rowOff>114300</xdr:rowOff>
    </xdr:to>
    <xdr:sp macro="" textlink="">
      <xdr:nvSpPr>
        <xdr:cNvPr id="1679" name="Arrow: Down 1678">
          <a:extLst>
            <a:ext uri="{FF2B5EF4-FFF2-40B4-BE49-F238E27FC236}">
              <a16:creationId xmlns:a16="http://schemas.microsoft.com/office/drawing/2014/main" id="{0A667C71-A26F-40F1-A4B1-8C095DA0D1CA}"/>
            </a:ext>
          </a:extLst>
        </xdr:cNvPr>
        <xdr:cNvSpPr/>
      </xdr:nvSpPr>
      <xdr:spPr>
        <a:xfrm rot="10800000">
          <a:off x="6477000" y="4014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219</xdr:row>
      <xdr:rowOff>0</xdr:rowOff>
    </xdr:from>
    <xdr:to>
      <xdr:col>39</xdr:col>
      <xdr:colOff>83820</xdr:colOff>
      <xdr:row>219</xdr:row>
      <xdr:rowOff>114300</xdr:rowOff>
    </xdr:to>
    <xdr:sp macro="" textlink="">
      <xdr:nvSpPr>
        <xdr:cNvPr id="1682" name="Arrow: Down 1681">
          <a:extLst>
            <a:ext uri="{FF2B5EF4-FFF2-40B4-BE49-F238E27FC236}">
              <a16:creationId xmlns:a16="http://schemas.microsoft.com/office/drawing/2014/main" id="{06258B1D-3ED7-47BD-9D40-8DEF31BAC3B4}"/>
            </a:ext>
          </a:extLst>
        </xdr:cNvPr>
        <xdr:cNvSpPr/>
      </xdr:nvSpPr>
      <xdr:spPr>
        <a:xfrm rot="10800000">
          <a:off x="963930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220</xdr:row>
      <xdr:rowOff>0</xdr:rowOff>
    </xdr:from>
    <xdr:to>
      <xdr:col>71</xdr:col>
      <xdr:colOff>83820</xdr:colOff>
      <xdr:row>220</xdr:row>
      <xdr:rowOff>114300</xdr:rowOff>
    </xdr:to>
    <xdr:sp macro="" textlink="">
      <xdr:nvSpPr>
        <xdr:cNvPr id="1684" name="Arrow: Down 1683">
          <a:extLst>
            <a:ext uri="{FF2B5EF4-FFF2-40B4-BE49-F238E27FC236}">
              <a16:creationId xmlns:a16="http://schemas.microsoft.com/office/drawing/2014/main" id="{E4E5A9A8-C5F7-4042-9DBE-69DD3FEB9748}"/>
            </a:ext>
          </a:extLst>
        </xdr:cNvPr>
        <xdr:cNvSpPr/>
      </xdr:nvSpPr>
      <xdr:spPr>
        <a:xfrm>
          <a:off x="1908048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220</xdr:row>
      <xdr:rowOff>0</xdr:rowOff>
    </xdr:from>
    <xdr:to>
      <xdr:col>45</xdr:col>
      <xdr:colOff>83820</xdr:colOff>
      <xdr:row>220</xdr:row>
      <xdr:rowOff>114300</xdr:rowOff>
    </xdr:to>
    <xdr:sp macro="" textlink="">
      <xdr:nvSpPr>
        <xdr:cNvPr id="1685" name="Arrow: Down 1684">
          <a:extLst>
            <a:ext uri="{FF2B5EF4-FFF2-40B4-BE49-F238E27FC236}">
              <a16:creationId xmlns:a16="http://schemas.microsoft.com/office/drawing/2014/main" id="{CABCD279-5F96-4108-8D06-10BAFCF32035}"/>
            </a:ext>
          </a:extLst>
        </xdr:cNvPr>
        <xdr:cNvSpPr/>
      </xdr:nvSpPr>
      <xdr:spPr>
        <a:xfrm rot="10800000">
          <a:off x="1144524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220</xdr:row>
      <xdr:rowOff>0</xdr:rowOff>
    </xdr:from>
    <xdr:to>
      <xdr:col>71</xdr:col>
      <xdr:colOff>83820</xdr:colOff>
      <xdr:row>220</xdr:row>
      <xdr:rowOff>114300</xdr:rowOff>
    </xdr:to>
    <xdr:sp macro="" textlink="">
      <xdr:nvSpPr>
        <xdr:cNvPr id="1686" name="Arrow: Down 1685">
          <a:extLst>
            <a:ext uri="{FF2B5EF4-FFF2-40B4-BE49-F238E27FC236}">
              <a16:creationId xmlns:a16="http://schemas.microsoft.com/office/drawing/2014/main" id="{E21C20FC-6732-423C-AC35-4D911BE533F8}"/>
            </a:ext>
          </a:extLst>
        </xdr:cNvPr>
        <xdr:cNvSpPr/>
      </xdr:nvSpPr>
      <xdr:spPr>
        <a:xfrm>
          <a:off x="1908048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220</xdr:row>
      <xdr:rowOff>0</xdr:rowOff>
    </xdr:from>
    <xdr:to>
      <xdr:col>45</xdr:col>
      <xdr:colOff>83820</xdr:colOff>
      <xdr:row>220</xdr:row>
      <xdr:rowOff>114300</xdr:rowOff>
    </xdr:to>
    <xdr:sp macro="" textlink="">
      <xdr:nvSpPr>
        <xdr:cNvPr id="1687" name="Arrow: Down 1686">
          <a:extLst>
            <a:ext uri="{FF2B5EF4-FFF2-40B4-BE49-F238E27FC236}">
              <a16:creationId xmlns:a16="http://schemas.microsoft.com/office/drawing/2014/main" id="{5D98F101-A299-44D1-8A1B-BE5F2D162DBE}"/>
            </a:ext>
          </a:extLst>
        </xdr:cNvPr>
        <xdr:cNvSpPr/>
      </xdr:nvSpPr>
      <xdr:spPr>
        <a:xfrm rot="10800000">
          <a:off x="1144524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220</xdr:row>
      <xdr:rowOff>0</xdr:rowOff>
    </xdr:from>
    <xdr:to>
      <xdr:col>60</xdr:col>
      <xdr:colOff>83820</xdr:colOff>
      <xdr:row>220</xdr:row>
      <xdr:rowOff>114300</xdr:rowOff>
    </xdr:to>
    <xdr:sp macro="" textlink="">
      <xdr:nvSpPr>
        <xdr:cNvPr id="1693" name="Arrow: Down 1692">
          <a:extLst>
            <a:ext uri="{FF2B5EF4-FFF2-40B4-BE49-F238E27FC236}">
              <a16:creationId xmlns:a16="http://schemas.microsoft.com/office/drawing/2014/main" id="{54F24C70-775A-412C-A1ED-91C66D58F199}"/>
            </a:ext>
          </a:extLst>
        </xdr:cNvPr>
        <xdr:cNvSpPr/>
      </xdr:nvSpPr>
      <xdr:spPr>
        <a:xfrm>
          <a:off x="16764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220</xdr:row>
      <xdr:rowOff>0</xdr:rowOff>
    </xdr:from>
    <xdr:to>
      <xdr:col>5</xdr:col>
      <xdr:colOff>83820</xdr:colOff>
      <xdr:row>220</xdr:row>
      <xdr:rowOff>114300</xdr:rowOff>
    </xdr:to>
    <xdr:sp macro="" textlink="">
      <xdr:nvSpPr>
        <xdr:cNvPr id="1695" name="Arrow: Down 1694">
          <a:extLst>
            <a:ext uri="{FF2B5EF4-FFF2-40B4-BE49-F238E27FC236}">
              <a16:creationId xmlns:a16="http://schemas.microsoft.com/office/drawing/2014/main" id="{47FD48A2-DCE8-446F-A45A-821A25338C2D}"/>
            </a:ext>
          </a:extLst>
        </xdr:cNvPr>
        <xdr:cNvSpPr/>
      </xdr:nvSpPr>
      <xdr:spPr>
        <a:xfrm>
          <a:off x="192786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220</xdr:row>
      <xdr:rowOff>0</xdr:rowOff>
    </xdr:from>
    <xdr:to>
      <xdr:col>11</xdr:col>
      <xdr:colOff>83820</xdr:colOff>
      <xdr:row>220</xdr:row>
      <xdr:rowOff>114300</xdr:rowOff>
    </xdr:to>
    <xdr:sp macro="" textlink="">
      <xdr:nvSpPr>
        <xdr:cNvPr id="1696" name="Arrow: Down 1695">
          <a:extLst>
            <a:ext uri="{FF2B5EF4-FFF2-40B4-BE49-F238E27FC236}">
              <a16:creationId xmlns:a16="http://schemas.microsoft.com/office/drawing/2014/main" id="{9D3AA84E-8D06-4B80-B7B6-DB674CCD21E3}"/>
            </a:ext>
          </a:extLst>
        </xdr:cNvPr>
        <xdr:cNvSpPr/>
      </xdr:nvSpPr>
      <xdr:spPr>
        <a:xfrm>
          <a:off x="36195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220</xdr:row>
      <xdr:rowOff>0</xdr:rowOff>
    </xdr:from>
    <xdr:to>
      <xdr:col>24</xdr:col>
      <xdr:colOff>83820</xdr:colOff>
      <xdr:row>220</xdr:row>
      <xdr:rowOff>114300</xdr:rowOff>
    </xdr:to>
    <xdr:sp macro="" textlink="">
      <xdr:nvSpPr>
        <xdr:cNvPr id="1698" name="Arrow: Down 1697">
          <a:extLst>
            <a:ext uri="{FF2B5EF4-FFF2-40B4-BE49-F238E27FC236}">
              <a16:creationId xmlns:a16="http://schemas.microsoft.com/office/drawing/2014/main" id="{99709934-F0A9-4711-9F5D-0DF69568695B}"/>
            </a:ext>
          </a:extLst>
        </xdr:cNvPr>
        <xdr:cNvSpPr/>
      </xdr:nvSpPr>
      <xdr:spPr>
        <a:xfrm>
          <a:off x="6477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221</xdr:row>
      <xdr:rowOff>0</xdr:rowOff>
    </xdr:from>
    <xdr:to>
      <xdr:col>71</xdr:col>
      <xdr:colOff>83820</xdr:colOff>
      <xdr:row>221</xdr:row>
      <xdr:rowOff>114300</xdr:rowOff>
    </xdr:to>
    <xdr:sp macro="" textlink="">
      <xdr:nvSpPr>
        <xdr:cNvPr id="1708" name="Arrow: Down 1707">
          <a:extLst>
            <a:ext uri="{FF2B5EF4-FFF2-40B4-BE49-F238E27FC236}">
              <a16:creationId xmlns:a16="http://schemas.microsoft.com/office/drawing/2014/main" id="{879B59C8-2E0F-4676-9CFF-EC0710BE6B6A}"/>
            </a:ext>
          </a:extLst>
        </xdr:cNvPr>
        <xdr:cNvSpPr/>
      </xdr:nvSpPr>
      <xdr:spPr>
        <a:xfrm>
          <a:off x="1908048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221</xdr:row>
      <xdr:rowOff>0</xdr:rowOff>
    </xdr:from>
    <xdr:to>
      <xdr:col>45</xdr:col>
      <xdr:colOff>83820</xdr:colOff>
      <xdr:row>221</xdr:row>
      <xdr:rowOff>114300</xdr:rowOff>
    </xdr:to>
    <xdr:sp macro="" textlink="">
      <xdr:nvSpPr>
        <xdr:cNvPr id="1709" name="Arrow: Down 1708">
          <a:extLst>
            <a:ext uri="{FF2B5EF4-FFF2-40B4-BE49-F238E27FC236}">
              <a16:creationId xmlns:a16="http://schemas.microsoft.com/office/drawing/2014/main" id="{87F53449-127E-4657-A910-D2141D9BCCB0}"/>
            </a:ext>
          </a:extLst>
        </xdr:cNvPr>
        <xdr:cNvSpPr/>
      </xdr:nvSpPr>
      <xdr:spPr>
        <a:xfrm rot="10800000">
          <a:off x="1144524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221</xdr:row>
      <xdr:rowOff>0</xdr:rowOff>
    </xdr:from>
    <xdr:to>
      <xdr:col>71</xdr:col>
      <xdr:colOff>83820</xdr:colOff>
      <xdr:row>221</xdr:row>
      <xdr:rowOff>114300</xdr:rowOff>
    </xdr:to>
    <xdr:sp macro="" textlink="">
      <xdr:nvSpPr>
        <xdr:cNvPr id="1710" name="Arrow: Down 1709">
          <a:extLst>
            <a:ext uri="{FF2B5EF4-FFF2-40B4-BE49-F238E27FC236}">
              <a16:creationId xmlns:a16="http://schemas.microsoft.com/office/drawing/2014/main" id="{7A26E01E-1E57-492E-B9BD-085C1E153AAC}"/>
            </a:ext>
          </a:extLst>
        </xdr:cNvPr>
        <xdr:cNvSpPr/>
      </xdr:nvSpPr>
      <xdr:spPr>
        <a:xfrm>
          <a:off x="1908048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221</xdr:row>
      <xdr:rowOff>0</xdr:rowOff>
    </xdr:from>
    <xdr:to>
      <xdr:col>45</xdr:col>
      <xdr:colOff>83820</xdr:colOff>
      <xdr:row>221</xdr:row>
      <xdr:rowOff>114300</xdr:rowOff>
    </xdr:to>
    <xdr:sp macro="" textlink="">
      <xdr:nvSpPr>
        <xdr:cNvPr id="1711" name="Arrow: Down 1710">
          <a:extLst>
            <a:ext uri="{FF2B5EF4-FFF2-40B4-BE49-F238E27FC236}">
              <a16:creationId xmlns:a16="http://schemas.microsoft.com/office/drawing/2014/main" id="{80F918F0-F78B-41CC-AA5C-AE0D7CE10E51}"/>
            </a:ext>
          </a:extLst>
        </xdr:cNvPr>
        <xdr:cNvSpPr/>
      </xdr:nvSpPr>
      <xdr:spPr>
        <a:xfrm rot="10800000">
          <a:off x="1144524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221</xdr:row>
      <xdr:rowOff>0</xdr:rowOff>
    </xdr:from>
    <xdr:to>
      <xdr:col>60</xdr:col>
      <xdr:colOff>83820</xdr:colOff>
      <xdr:row>221</xdr:row>
      <xdr:rowOff>114300</xdr:rowOff>
    </xdr:to>
    <xdr:sp macro="" textlink="">
      <xdr:nvSpPr>
        <xdr:cNvPr id="1712" name="Arrow: Down 1711">
          <a:extLst>
            <a:ext uri="{FF2B5EF4-FFF2-40B4-BE49-F238E27FC236}">
              <a16:creationId xmlns:a16="http://schemas.microsoft.com/office/drawing/2014/main" id="{C2E211B5-7537-4AEE-9FBA-F0DF0E561564}"/>
            </a:ext>
          </a:extLst>
        </xdr:cNvPr>
        <xdr:cNvSpPr/>
      </xdr:nvSpPr>
      <xdr:spPr>
        <a:xfrm>
          <a:off x="16764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221</xdr:row>
      <xdr:rowOff>0</xdr:rowOff>
    </xdr:from>
    <xdr:to>
      <xdr:col>5</xdr:col>
      <xdr:colOff>83820</xdr:colOff>
      <xdr:row>221</xdr:row>
      <xdr:rowOff>114300</xdr:rowOff>
    </xdr:to>
    <xdr:sp macro="" textlink="">
      <xdr:nvSpPr>
        <xdr:cNvPr id="1714" name="Arrow: Down 1713">
          <a:extLst>
            <a:ext uri="{FF2B5EF4-FFF2-40B4-BE49-F238E27FC236}">
              <a16:creationId xmlns:a16="http://schemas.microsoft.com/office/drawing/2014/main" id="{E65E75AD-9CB0-4194-9316-02C0B35F8B51}"/>
            </a:ext>
          </a:extLst>
        </xdr:cNvPr>
        <xdr:cNvSpPr/>
      </xdr:nvSpPr>
      <xdr:spPr>
        <a:xfrm>
          <a:off x="192786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221</xdr:row>
      <xdr:rowOff>0</xdr:rowOff>
    </xdr:from>
    <xdr:to>
      <xdr:col>11</xdr:col>
      <xdr:colOff>83820</xdr:colOff>
      <xdr:row>221</xdr:row>
      <xdr:rowOff>114300</xdr:rowOff>
    </xdr:to>
    <xdr:sp macro="" textlink="">
      <xdr:nvSpPr>
        <xdr:cNvPr id="1715" name="Arrow: Down 1714">
          <a:extLst>
            <a:ext uri="{FF2B5EF4-FFF2-40B4-BE49-F238E27FC236}">
              <a16:creationId xmlns:a16="http://schemas.microsoft.com/office/drawing/2014/main" id="{B3F43D8B-F50D-4537-8AF3-A6BCA0B7B2EB}"/>
            </a:ext>
          </a:extLst>
        </xdr:cNvPr>
        <xdr:cNvSpPr/>
      </xdr:nvSpPr>
      <xdr:spPr>
        <a:xfrm>
          <a:off x="36195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221</xdr:row>
      <xdr:rowOff>0</xdr:rowOff>
    </xdr:from>
    <xdr:to>
      <xdr:col>24</xdr:col>
      <xdr:colOff>83820</xdr:colOff>
      <xdr:row>221</xdr:row>
      <xdr:rowOff>114300</xdr:rowOff>
    </xdr:to>
    <xdr:sp macro="" textlink="">
      <xdr:nvSpPr>
        <xdr:cNvPr id="1716" name="Arrow: Down 1715">
          <a:extLst>
            <a:ext uri="{FF2B5EF4-FFF2-40B4-BE49-F238E27FC236}">
              <a16:creationId xmlns:a16="http://schemas.microsoft.com/office/drawing/2014/main" id="{BD4EBB47-DA79-4F59-9F95-90EE601F07DA}"/>
            </a:ext>
          </a:extLst>
        </xdr:cNvPr>
        <xdr:cNvSpPr/>
      </xdr:nvSpPr>
      <xdr:spPr>
        <a:xfrm>
          <a:off x="6477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222</xdr:row>
      <xdr:rowOff>0</xdr:rowOff>
    </xdr:from>
    <xdr:to>
      <xdr:col>71</xdr:col>
      <xdr:colOff>83820</xdr:colOff>
      <xdr:row>222</xdr:row>
      <xdr:rowOff>114300</xdr:rowOff>
    </xdr:to>
    <xdr:sp macro="" textlink="">
      <xdr:nvSpPr>
        <xdr:cNvPr id="1609" name="Arrow: Down 1608">
          <a:extLst>
            <a:ext uri="{FF2B5EF4-FFF2-40B4-BE49-F238E27FC236}">
              <a16:creationId xmlns:a16="http://schemas.microsoft.com/office/drawing/2014/main" id="{A362BD1C-BE7D-4287-8ACB-739D09EA2985}"/>
            </a:ext>
          </a:extLst>
        </xdr:cNvPr>
        <xdr:cNvSpPr/>
      </xdr:nvSpPr>
      <xdr:spPr>
        <a:xfrm>
          <a:off x="2311146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222</xdr:row>
      <xdr:rowOff>0</xdr:rowOff>
    </xdr:from>
    <xdr:to>
      <xdr:col>45</xdr:col>
      <xdr:colOff>83820</xdr:colOff>
      <xdr:row>222</xdr:row>
      <xdr:rowOff>114300</xdr:rowOff>
    </xdr:to>
    <xdr:sp macro="" textlink="">
      <xdr:nvSpPr>
        <xdr:cNvPr id="1611" name="Arrow: Down 1610">
          <a:extLst>
            <a:ext uri="{FF2B5EF4-FFF2-40B4-BE49-F238E27FC236}">
              <a16:creationId xmlns:a16="http://schemas.microsoft.com/office/drawing/2014/main" id="{EA4E5EC7-D8CE-4176-871D-CDD6C450A4CB}"/>
            </a:ext>
          </a:extLst>
        </xdr:cNvPr>
        <xdr:cNvSpPr/>
      </xdr:nvSpPr>
      <xdr:spPr>
        <a:xfrm rot="10800000">
          <a:off x="1376934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222</xdr:row>
      <xdr:rowOff>0</xdr:rowOff>
    </xdr:from>
    <xdr:to>
      <xdr:col>71</xdr:col>
      <xdr:colOff>83820</xdr:colOff>
      <xdr:row>222</xdr:row>
      <xdr:rowOff>114300</xdr:rowOff>
    </xdr:to>
    <xdr:sp macro="" textlink="">
      <xdr:nvSpPr>
        <xdr:cNvPr id="1612" name="Arrow: Down 1611">
          <a:extLst>
            <a:ext uri="{FF2B5EF4-FFF2-40B4-BE49-F238E27FC236}">
              <a16:creationId xmlns:a16="http://schemas.microsoft.com/office/drawing/2014/main" id="{FE9E1EF7-1881-40D2-A4D6-8E15C8B5D618}"/>
            </a:ext>
          </a:extLst>
        </xdr:cNvPr>
        <xdr:cNvSpPr/>
      </xdr:nvSpPr>
      <xdr:spPr>
        <a:xfrm>
          <a:off x="2311146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222</xdr:row>
      <xdr:rowOff>0</xdr:rowOff>
    </xdr:from>
    <xdr:to>
      <xdr:col>45</xdr:col>
      <xdr:colOff>83820</xdr:colOff>
      <xdr:row>222</xdr:row>
      <xdr:rowOff>114300</xdr:rowOff>
    </xdr:to>
    <xdr:sp macro="" textlink="">
      <xdr:nvSpPr>
        <xdr:cNvPr id="1613" name="Arrow: Down 1612">
          <a:extLst>
            <a:ext uri="{FF2B5EF4-FFF2-40B4-BE49-F238E27FC236}">
              <a16:creationId xmlns:a16="http://schemas.microsoft.com/office/drawing/2014/main" id="{13609792-6169-42CA-A236-76BD0A3F7A30}"/>
            </a:ext>
          </a:extLst>
        </xdr:cNvPr>
        <xdr:cNvSpPr/>
      </xdr:nvSpPr>
      <xdr:spPr>
        <a:xfrm rot="10800000">
          <a:off x="1376934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222</xdr:row>
      <xdr:rowOff>0</xdr:rowOff>
    </xdr:from>
    <xdr:to>
      <xdr:col>60</xdr:col>
      <xdr:colOff>83820</xdr:colOff>
      <xdr:row>222</xdr:row>
      <xdr:rowOff>114300</xdr:rowOff>
    </xdr:to>
    <xdr:sp macro="" textlink="">
      <xdr:nvSpPr>
        <xdr:cNvPr id="1617" name="Arrow: Down 1616">
          <a:extLst>
            <a:ext uri="{FF2B5EF4-FFF2-40B4-BE49-F238E27FC236}">
              <a16:creationId xmlns:a16="http://schemas.microsoft.com/office/drawing/2014/main" id="{A2795E30-17CF-4954-86BE-376221E6B368}"/>
            </a:ext>
          </a:extLst>
        </xdr:cNvPr>
        <xdr:cNvSpPr/>
      </xdr:nvSpPr>
      <xdr:spPr>
        <a:xfrm>
          <a:off x="1908810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222</xdr:row>
      <xdr:rowOff>0</xdr:rowOff>
    </xdr:from>
    <xdr:to>
      <xdr:col>24</xdr:col>
      <xdr:colOff>83820</xdr:colOff>
      <xdr:row>222</xdr:row>
      <xdr:rowOff>114300</xdr:rowOff>
    </xdr:to>
    <xdr:sp macro="" textlink="">
      <xdr:nvSpPr>
        <xdr:cNvPr id="1648" name="Arrow: Down 1647">
          <a:extLst>
            <a:ext uri="{FF2B5EF4-FFF2-40B4-BE49-F238E27FC236}">
              <a16:creationId xmlns:a16="http://schemas.microsoft.com/office/drawing/2014/main" id="{BF875A71-A1F8-4BD4-A47C-359F015F5C60}"/>
            </a:ext>
          </a:extLst>
        </xdr:cNvPr>
        <xdr:cNvSpPr/>
      </xdr:nvSpPr>
      <xdr:spPr>
        <a:xfrm>
          <a:off x="647700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83820</xdr:colOff>
      <xdr:row>222</xdr:row>
      <xdr:rowOff>114300</xdr:rowOff>
    </xdr:to>
    <xdr:sp macro="" textlink="">
      <xdr:nvSpPr>
        <xdr:cNvPr id="1676" name="Arrow: Down 1675">
          <a:extLst>
            <a:ext uri="{FF2B5EF4-FFF2-40B4-BE49-F238E27FC236}">
              <a16:creationId xmlns:a16="http://schemas.microsoft.com/office/drawing/2014/main" id="{9EB2BD86-6334-4E19-9816-ABB7EE47FD2F}"/>
            </a:ext>
          </a:extLst>
        </xdr:cNvPr>
        <xdr:cNvSpPr/>
      </xdr:nvSpPr>
      <xdr:spPr>
        <a:xfrm rot="10800000">
          <a:off x="192786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222</xdr:row>
      <xdr:rowOff>0</xdr:rowOff>
    </xdr:from>
    <xdr:to>
      <xdr:col>11</xdr:col>
      <xdr:colOff>83820</xdr:colOff>
      <xdr:row>222</xdr:row>
      <xdr:rowOff>114300</xdr:rowOff>
    </xdr:to>
    <xdr:sp macro="" textlink="">
      <xdr:nvSpPr>
        <xdr:cNvPr id="1677" name="Arrow: Down 1676">
          <a:extLst>
            <a:ext uri="{FF2B5EF4-FFF2-40B4-BE49-F238E27FC236}">
              <a16:creationId xmlns:a16="http://schemas.microsoft.com/office/drawing/2014/main" id="{4B5312C5-CFD2-4A6A-8E5F-3A8BBDFDC0FD}"/>
            </a:ext>
          </a:extLst>
        </xdr:cNvPr>
        <xdr:cNvSpPr/>
      </xdr:nvSpPr>
      <xdr:spPr>
        <a:xfrm rot="10800000">
          <a:off x="361950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222</xdr:row>
      <xdr:rowOff>0</xdr:rowOff>
    </xdr:from>
    <xdr:to>
      <xdr:col>39</xdr:col>
      <xdr:colOff>83820</xdr:colOff>
      <xdr:row>222</xdr:row>
      <xdr:rowOff>114300</xdr:rowOff>
    </xdr:to>
    <xdr:sp macro="" textlink="">
      <xdr:nvSpPr>
        <xdr:cNvPr id="1680" name="Arrow: Down 1679">
          <a:extLst>
            <a:ext uri="{FF2B5EF4-FFF2-40B4-BE49-F238E27FC236}">
              <a16:creationId xmlns:a16="http://schemas.microsoft.com/office/drawing/2014/main" id="{DC27E7BD-6E1B-420B-9851-B4D8D2BCF05B}"/>
            </a:ext>
          </a:extLst>
        </xdr:cNvPr>
        <xdr:cNvSpPr/>
      </xdr:nvSpPr>
      <xdr:spPr>
        <a:xfrm rot="10800000">
          <a:off x="9639300" y="406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223</xdr:row>
      <xdr:rowOff>0</xdr:rowOff>
    </xdr:from>
    <xdr:to>
      <xdr:col>45</xdr:col>
      <xdr:colOff>83820</xdr:colOff>
      <xdr:row>223</xdr:row>
      <xdr:rowOff>114300</xdr:rowOff>
    </xdr:to>
    <xdr:sp macro="" textlink="">
      <xdr:nvSpPr>
        <xdr:cNvPr id="1691" name="Arrow: Down 1690">
          <a:extLst>
            <a:ext uri="{FF2B5EF4-FFF2-40B4-BE49-F238E27FC236}">
              <a16:creationId xmlns:a16="http://schemas.microsoft.com/office/drawing/2014/main" id="{BAB8F0C3-73EE-4CD9-B4B2-6F666043D728}"/>
            </a:ext>
          </a:extLst>
        </xdr:cNvPr>
        <xdr:cNvSpPr/>
      </xdr:nvSpPr>
      <xdr:spPr>
        <a:xfrm rot="10800000">
          <a:off x="11445240" y="406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223</xdr:row>
      <xdr:rowOff>0</xdr:rowOff>
    </xdr:from>
    <xdr:to>
      <xdr:col>45</xdr:col>
      <xdr:colOff>83820</xdr:colOff>
      <xdr:row>223</xdr:row>
      <xdr:rowOff>114300</xdr:rowOff>
    </xdr:to>
    <xdr:sp macro="" textlink="">
      <xdr:nvSpPr>
        <xdr:cNvPr id="1697" name="Arrow: Down 1696">
          <a:extLst>
            <a:ext uri="{FF2B5EF4-FFF2-40B4-BE49-F238E27FC236}">
              <a16:creationId xmlns:a16="http://schemas.microsoft.com/office/drawing/2014/main" id="{757706E4-02B5-45A3-9A01-58CE9918DCA8}"/>
            </a:ext>
          </a:extLst>
        </xdr:cNvPr>
        <xdr:cNvSpPr/>
      </xdr:nvSpPr>
      <xdr:spPr>
        <a:xfrm rot="10800000">
          <a:off x="11445240" y="406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223</xdr:row>
      <xdr:rowOff>0</xdr:rowOff>
    </xdr:from>
    <xdr:to>
      <xdr:col>5</xdr:col>
      <xdr:colOff>83820</xdr:colOff>
      <xdr:row>223</xdr:row>
      <xdr:rowOff>114300</xdr:rowOff>
    </xdr:to>
    <xdr:sp macro="" textlink="">
      <xdr:nvSpPr>
        <xdr:cNvPr id="1701" name="Arrow: Down 1700">
          <a:extLst>
            <a:ext uri="{FF2B5EF4-FFF2-40B4-BE49-F238E27FC236}">
              <a16:creationId xmlns:a16="http://schemas.microsoft.com/office/drawing/2014/main" id="{1A63E624-4DDB-46B4-A17A-64FEED28BC1A}"/>
            </a:ext>
          </a:extLst>
        </xdr:cNvPr>
        <xdr:cNvSpPr/>
      </xdr:nvSpPr>
      <xdr:spPr>
        <a:xfrm rot="10800000">
          <a:off x="192786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223</xdr:row>
      <xdr:rowOff>0</xdr:rowOff>
    </xdr:from>
    <xdr:to>
      <xdr:col>11</xdr:col>
      <xdr:colOff>83820</xdr:colOff>
      <xdr:row>223</xdr:row>
      <xdr:rowOff>114300</xdr:rowOff>
    </xdr:to>
    <xdr:sp macro="" textlink="">
      <xdr:nvSpPr>
        <xdr:cNvPr id="1702" name="Arrow: Down 1701">
          <a:extLst>
            <a:ext uri="{FF2B5EF4-FFF2-40B4-BE49-F238E27FC236}">
              <a16:creationId xmlns:a16="http://schemas.microsoft.com/office/drawing/2014/main" id="{7DF6A6A8-99A6-4EE5-8C71-603B2B74329C}"/>
            </a:ext>
          </a:extLst>
        </xdr:cNvPr>
        <xdr:cNvSpPr/>
      </xdr:nvSpPr>
      <xdr:spPr>
        <a:xfrm rot="10800000">
          <a:off x="361950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223</xdr:row>
      <xdr:rowOff>0</xdr:rowOff>
    </xdr:from>
    <xdr:to>
      <xdr:col>24</xdr:col>
      <xdr:colOff>83820</xdr:colOff>
      <xdr:row>223</xdr:row>
      <xdr:rowOff>114300</xdr:rowOff>
    </xdr:to>
    <xdr:sp macro="" textlink="">
      <xdr:nvSpPr>
        <xdr:cNvPr id="1704" name="Arrow: Down 1703">
          <a:extLst>
            <a:ext uri="{FF2B5EF4-FFF2-40B4-BE49-F238E27FC236}">
              <a16:creationId xmlns:a16="http://schemas.microsoft.com/office/drawing/2014/main" id="{88E19B9E-E9FA-458B-AF15-028310BEB32D}"/>
            </a:ext>
          </a:extLst>
        </xdr:cNvPr>
        <xdr:cNvSpPr/>
      </xdr:nvSpPr>
      <xdr:spPr>
        <a:xfrm rot="10800000">
          <a:off x="64770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223</xdr:row>
      <xdr:rowOff>0</xdr:rowOff>
    </xdr:from>
    <xdr:to>
      <xdr:col>60</xdr:col>
      <xdr:colOff>83820</xdr:colOff>
      <xdr:row>223</xdr:row>
      <xdr:rowOff>114300</xdr:rowOff>
    </xdr:to>
    <xdr:sp macro="" textlink="">
      <xdr:nvSpPr>
        <xdr:cNvPr id="1705" name="Arrow: Down 1704">
          <a:extLst>
            <a:ext uri="{FF2B5EF4-FFF2-40B4-BE49-F238E27FC236}">
              <a16:creationId xmlns:a16="http://schemas.microsoft.com/office/drawing/2014/main" id="{5B4AA0EE-C1E1-4C43-B681-A02E4DD25732}"/>
            </a:ext>
          </a:extLst>
        </xdr:cNvPr>
        <xdr:cNvSpPr/>
      </xdr:nvSpPr>
      <xdr:spPr>
        <a:xfrm rot="10800000">
          <a:off x="167640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223</xdr:row>
      <xdr:rowOff>0</xdr:rowOff>
    </xdr:from>
    <xdr:to>
      <xdr:col>71</xdr:col>
      <xdr:colOff>83820</xdr:colOff>
      <xdr:row>223</xdr:row>
      <xdr:rowOff>114300</xdr:rowOff>
    </xdr:to>
    <xdr:sp macro="" textlink="">
      <xdr:nvSpPr>
        <xdr:cNvPr id="1707" name="Arrow: Down 1706">
          <a:extLst>
            <a:ext uri="{FF2B5EF4-FFF2-40B4-BE49-F238E27FC236}">
              <a16:creationId xmlns:a16="http://schemas.microsoft.com/office/drawing/2014/main" id="{F2A0073B-0F75-47BD-9405-1CB42F8CA3C7}"/>
            </a:ext>
          </a:extLst>
        </xdr:cNvPr>
        <xdr:cNvSpPr/>
      </xdr:nvSpPr>
      <xdr:spPr>
        <a:xfrm rot="10800000">
          <a:off x="1911858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223</xdr:row>
      <xdr:rowOff>0</xdr:rowOff>
    </xdr:from>
    <xdr:to>
      <xdr:col>39</xdr:col>
      <xdr:colOff>83820</xdr:colOff>
      <xdr:row>223</xdr:row>
      <xdr:rowOff>114300</xdr:rowOff>
    </xdr:to>
    <xdr:sp macro="" textlink="">
      <xdr:nvSpPr>
        <xdr:cNvPr id="1717" name="Arrow: Down 1716">
          <a:extLst>
            <a:ext uri="{FF2B5EF4-FFF2-40B4-BE49-F238E27FC236}">
              <a16:creationId xmlns:a16="http://schemas.microsoft.com/office/drawing/2014/main" id="{8A94CAE5-561B-44BB-A4A4-E9E29583595D}"/>
            </a:ext>
          </a:extLst>
        </xdr:cNvPr>
        <xdr:cNvSpPr/>
      </xdr:nvSpPr>
      <xdr:spPr>
        <a:xfrm>
          <a:off x="96393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216</xdr:row>
      <xdr:rowOff>0</xdr:rowOff>
    </xdr:from>
    <xdr:to>
      <xdr:col>39</xdr:col>
      <xdr:colOff>83820</xdr:colOff>
      <xdr:row>216</xdr:row>
      <xdr:rowOff>114300</xdr:rowOff>
    </xdr:to>
    <xdr:sp macro="" textlink="">
      <xdr:nvSpPr>
        <xdr:cNvPr id="1718" name="Arrow: Down 1717">
          <a:extLst>
            <a:ext uri="{FF2B5EF4-FFF2-40B4-BE49-F238E27FC236}">
              <a16:creationId xmlns:a16="http://schemas.microsoft.com/office/drawing/2014/main" id="{DFEC5AE1-C643-4E54-A237-BC4831E77373}"/>
            </a:ext>
          </a:extLst>
        </xdr:cNvPr>
        <xdr:cNvSpPr/>
      </xdr:nvSpPr>
      <xdr:spPr>
        <a:xfrm>
          <a:off x="96393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221</xdr:row>
      <xdr:rowOff>0</xdr:rowOff>
    </xdr:from>
    <xdr:to>
      <xdr:col>39</xdr:col>
      <xdr:colOff>83820</xdr:colOff>
      <xdr:row>221</xdr:row>
      <xdr:rowOff>114300</xdr:rowOff>
    </xdr:to>
    <xdr:sp macro="" textlink="">
      <xdr:nvSpPr>
        <xdr:cNvPr id="1720" name="Arrow: Down 1719">
          <a:extLst>
            <a:ext uri="{FF2B5EF4-FFF2-40B4-BE49-F238E27FC236}">
              <a16:creationId xmlns:a16="http://schemas.microsoft.com/office/drawing/2014/main" id="{4F90140C-AFA6-471F-9944-AEDE56B55B76}"/>
            </a:ext>
          </a:extLst>
        </xdr:cNvPr>
        <xdr:cNvSpPr/>
      </xdr:nvSpPr>
      <xdr:spPr>
        <a:xfrm>
          <a:off x="9639300" y="4051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218</xdr:row>
      <xdr:rowOff>0</xdr:rowOff>
    </xdr:from>
    <xdr:to>
      <xdr:col>39</xdr:col>
      <xdr:colOff>83820</xdr:colOff>
      <xdr:row>218</xdr:row>
      <xdr:rowOff>114300</xdr:rowOff>
    </xdr:to>
    <xdr:sp macro="" textlink="">
      <xdr:nvSpPr>
        <xdr:cNvPr id="1721" name="Arrow: Down 1720">
          <a:extLst>
            <a:ext uri="{FF2B5EF4-FFF2-40B4-BE49-F238E27FC236}">
              <a16:creationId xmlns:a16="http://schemas.microsoft.com/office/drawing/2014/main" id="{E70C9FE6-5B68-42CD-AE5A-FC96C0A91B81}"/>
            </a:ext>
          </a:extLst>
        </xdr:cNvPr>
        <xdr:cNvSpPr/>
      </xdr:nvSpPr>
      <xdr:spPr>
        <a:xfrm>
          <a:off x="96393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220</xdr:row>
      <xdr:rowOff>0</xdr:rowOff>
    </xdr:from>
    <xdr:to>
      <xdr:col>39</xdr:col>
      <xdr:colOff>83820</xdr:colOff>
      <xdr:row>220</xdr:row>
      <xdr:rowOff>114300</xdr:rowOff>
    </xdr:to>
    <xdr:sp macro="" textlink="">
      <xdr:nvSpPr>
        <xdr:cNvPr id="1723" name="Arrow: Down 1722">
          <a:extLst>
            <a:ext uri="{FF2B5EF4-FFF2-40B4-BE49-F238E27FC236}">
              <a16:creationId xmlns:a16="http://schemas.microsoft.com/office/drawing/2014/main" id="{767924FE-7F41-4D17-97E7-C94BD9517BED}"/>
            </a:ext>
          </a:extLst>
        </xdr:cNvPr>
        <xdr:cNvSpPr/>
      </xdr:nvSpPr>
      <xdr:spPr>
        <a:xfrm>
          <a:off x="9639300" y="4033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224</xdr:row>
      <xdr:rowOff>0</xdr:rowOff>
    </xdr:from>
    <xdr:to>
      <xdr:col>45</xdr:col>
      <xdr:colOff>83820</xdr:colOff>
      <xdr:row>224</xdr:row>
      <xdr:rowOff>114300</xdr:rowOff>
    </xdr:to>
    <xdr:sp macro="" textlink="">
      <xdr:nvSpPr>
        <xdr:cNvPr id="1622" name="Arrow: Down 1621">
          <a:extLst>
            <a:ext uri="{FF2B5EF4-FFF2-40B4-BE49-F238E27FC236}">
              <a16:creationId xmlns:a16="http://schemas.microsoft.com/office/drawing/2014/main" id="{CF39021A-EA6C-4251-951D-64B20DAA0E6E}"/>
            </a:ext>
          </a:extLst>
        </xdr:cNvPr>
        <xdr:cNvSpPr/>
      </xdr:nvSpPr>
      <xdr:spPr>
        <a:xfrm rot="10800000">
          <a:off x="11445240" y="4088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224</xdr:row>
      <xdr:rowOff>0</xdr:rowOff>
    </xdr:from>
    <xdr:to>
      <xdr:col>45</xdr:col>
      <xdr:colOff>83820</xdr:colOff>
      <xdr:row>224</xdr:row>
      <xdr:rowOff>114300</xdr:rowOff>
    </xdr:to>
    <xdr:sp macro="" textlink="">
      <xdr:nvSpPr>
        <xdr:cNvPr id="1624" name="Arrow: Down 1623">
          <a:extLst>
            <a:ext uri="{FF2B5EF4-FFF2-40B4-BE49-F238E27FC236}">
              <a16:creationId xmlns:a16="http://schemas.microsoft.com/office/drawing/2014/main" id="{AF04DFF2-7C2F-4CC6-8BC8-3F8774A95BDC}"/>
            </a:ext>
          </a:extLst>
        </xdr:cNvPr>
        <xdr:cNvSpPr/>
      </xdr:nvSpPr>
      <xdr:spPr>
        <a:xfrm rot="10800000">
          <a:off x="11445240" y="4088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224</xdr:row>
      <xdr:rowOff>0</xdr:rowOff>
    </xdr:from>
    <xdr:to>
      <xdr:col>5</xdr:col>
      <xdr:colOff>83820</xdr:colOff>
      <xdr:row>224</xdr:row>
      <xdr:rowOff>114300</xdr:rowOff>
    </xdr:to>
    <xdr:sp macro="" textlink="">
      <xdr:nvSpPr>
        <xdr:cNvPr id="1626" name="Arrow: Down 1625">
          <a:extLst>
            <a:ext uri="{FF2B5EF4-FFF2-40B4-BE49-F238E27FC236}">
              <a16:creationId xmlns:a16="http://schemas.microsoft.com/office/drawing/2014/main" id="{371DDC9C-7686-4E75-BC62-AF8E73D97298}"/>
            </a:ext>
          </a:extLst>
        </xdr:cNvPr>
        <xdr:cNvSpPr/>
      </xdr:nvSpPr>
      <xdr:spPr>
        <a:xfrm rot="10800000">
          <a:off x="192786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224</xdr:row>
      <xdr:rowOff>0</xdr:rowOff>
    </xdr:from>
    <xdr:to>
      <xdr:col>11</xdr:col>
      <xdr:colOff>83820</xdr:colOff>
      <xdr:row>224</xdr:row>
      <xdr:rowOff>114300</xdr:rowOff>
    </xdr:to>
    <xdr:sp macro="" textlink="">
      <xdr:nvSpPr>
        <xdr:cNvPr id="1629" name="Arrow: Down 1628">
          <a:extLst>
            <a:ext uri="{FF2B5EF4-FFF2-40B4-BE49-F238E27FC236}">
              <a16:creationId xmlns:a16="http://schemas.microsoft.com/office/drawing/2014/main" id="{4765A3E9-462B-40E6-A488-39BD35881E1B}"/>
            </a:ext>
          </a:extLst>
        </xdr:cNvPr>
        <xdr:cNvSpPr/>
      </xdr:nvSpPr>
      <xdr:spPr>
        <a:xfrm rot="10800000">
          <a:off x="36195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224</xdr:row>
      <xdr:rowOff>0</xdr:rowOff>
    </xdr:from>
    <xdr:to>
      <xdr:col>24</xdr:col>
      <xdr:colOff>83820</xdr:colOff>
      <xdr:row>224</xdr:row>
      <xdr:rowOff>114300</xdr:rowOff>
    </xdr:to>
    <xdr:sp macro="" textlink="">
      <xdr:nvSpPr>
        <xdr:cNvPr id="1663" name="Arrow: Down 1662">
          <a:extLst>
            <a:ext uri="{FF2B5EF4-FFF2-40B4-BE49-F238E27FC236}">
              <a16:creationId xmlns:a16="http://schemas.microsoft.com/office/drawing/2014/main" id="{9947C4A0-BF53-410C-8FDC-71A3669FFE09}"/>
            </a:ext>
          </a:extLst>
        </xdr:cNvPr>
        <xdr:cNvSpPr/>
      </xdr:nvSpPr>
      <xdr:spPr>
        <a:xfrm rot="10800000">
          <a:off x="64770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224</xdr:row>
      <xdr:rowOff>0</xdr:rowOff>
    </xdr:from>
    <xdr:to>
      <xdr:col>71</xdr:col>
      <xdr:colOff>83820</xdr:colOff>
      <xdr:row>224</xdr:row>
      <xdr:rowOff>114300</xdr:rowOff>
    </xdr:to>
    <xdr:sp macro="" textlink="">
      <xdr:nvSpPr>
        <xdr:cNvPr id="1688" name="Arrow: Down 1687">
          <a:extLst>
            <a:ext uri="{FF2B5EF4-FFF2-40B4-BE49-F238E27FC236}">
              <a16:creationId xmlns:a16="http://schemas.microsoft.com/office/drawing/2014/main" id="{5A2F4682-6C06-45CB-9364-C530188841D2}"/>
            </a:ext>
          </a:extLst>
        </xdr:cNvPr>
        <xdr:cNvSpPr/>
      </xdr:nvSpPr>
      <xdr:spPr>
        <a:xfrm>
          <a:off x="1911858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224</xdr:row>
      <xdr:rowOff>0</xdr:rowOff>
    </xdr:from>
    <xdr:to>
      <xdr:col>60</xdr:col>
      <xdr:colOff>83820</xdr:colOff>
      <xdr:row>224</xdr:row>
      <xdr:rowOff>114300</xdr:rowOff>
    </xdr:to>
    <xdr:sp macro="" textlink="">
      <xdr:nvSpPr>
        <xdr:cNvPr id="1690" name="Arrow: Down 1689">
          <a:extLst>
            <a:ext uri="{FF2B5EF4-FFF2-40B4-BE49-F238E27FC236}">
              <a16:creationId xmlns:a16="http://schemas.microsoft.com/office/drawing/2014/main" id="{17ECCE19-9902-4C89-9E49-C14981C46474}"/>
            </a:ext>
          </a:extLst>
        </xdr:cNvPr>
        <xdr:cNvSpPr/>
      </xdr:nvSpPr>
      <xdr:spPr>
        <a:xfrm>
          <a:off x="1676400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224</xdr:row>
      <xdr:rowOff>0</xdr:rowOff>
    </xdr:from>
    <xdr:to>
      <xdr:col>39</xdr:col>
      <xdr:colOff>83820</xdr:colOff>
      <xdr:row>224</xdr:row>
      <xdr:rowOff>114300</xdr:rowOff>
    </xdr:to>
    <xdr:sp macro="" textlink="">
      <xdr:nvSpPr>
        <xdr:cNvPr id="1694" name="Arrow: Down 1693">
          <a:extLst>
            <a:ext uri="{FF2B5EF4-FFF2-40B4-BE49-F238E27FC236}">
              <a16:creationId xmlns:a16="http://schemas.microsoft.com/office/drawing/2014/main" id="{8C0B0112-DE3C-49D9-9EC2-68EB42542256}"/>
            </a:ext>
          </a:extLst>
        </xdr:cNvPr>
        <xdr:cNvSpPr/>
      </xdr:nvSpPr>
      <xdr:spPr>
        <a:xfrm rot="10800000">
          <a:off x="963930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225</xdr:row>
      <xdr:rowOff>0</xdr:rowOff>
    </xdr:from>
    <xdr:to>
      <xdr:col>45</xdr:col>
      <xdr:colOff>83820</xdr:colOff>
      <xdr:row>225</xdr:row>
      <xdr:rowOff>114300</xdr:rowOff>
    </xdr:to>
    <xdr:sp macro="" textlink="">
      <xdr:nvSpPr>
        <xdr:cNvPr id="1703" name="Arrow: Down 1702">
          <a:extLst>
            <a:ext uri="{FF2B5EF4-FFF2-40B4-BE49-F238E27FC236}">
              <a16:creationId xmlns:a16="http://schemas.microsoft.com/office/drawing/2014/main" id="{95916736-9BCD-49D0-B281-6022064A517E}"/>
            </a:ext>
          </a:extLst>
        </xdr:cNvPr>
        <xdr:cNvSpPr/>
      </xdr:nvSpPr>
      <xdr:spPr>
        <a:xfrm rot="10800000">
          <a:off x="1144524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225</xdr:row>
      <xdr:rowOff>0</xdr:rowOff>
    </xdr:from>
    <xdr:to>
      <xdr:col>45</xdr:col>
      <xdr:colOff>83820</xdr:colOff>
      <xdr:row>225</xdr:row>
      <xdr:rowOff>114300</xdr:rowOff>
    </xdr:to>
    <xdr:sp macro="" textlink="">
      <xdr:nvSpPr>
        <xdr:cNvPr id="1706" name="Arrow: Down 1705">
          <a:extLst>
            <a:ext uri="{FF2B5EF4-FFF2-40B4-BE49-F238E27FC236}">
              <a16:creationId xmlns:a16="http://schemas.microsoft.com/office/drawing/2014/main" id="{10C61CB2-3047-4FCC-A42B-A01729231C4A}"/>
            </a:ext>
          </a:extLst>
        </xdr:cNvPr>
        <xdr:cNvSpPr/>
      </xdr:nvSpPr>
      <xdr:spPr>
        <a:xfrm rot="10800000">
          <a:off x="1144524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225</xdr:row>
      <xdr:rowOff>0</xdr:rowOff>
    </xdr:from>
    <xdr:to>
      <xdr:col>5</xdr:col>
      <xdr:colOff>83820</xdr:colOff>
      <xdr:row>225</xdr:row>
      <xdr:rowOff>114300</xdr:rowOff>
    </xdr:to>
    <xdr:sp macro="" textlink="">
      <xdr:nvSpPr>
        <xdr:cNvPr id="1713" name="Arrow: Down 1712">
          <a:extLst>
            <a:ext uri="{FF2B5EF4-FFF2-40B4-BE49-F238E27FC236}">
              <a16:creationId xmlns:a16="http://schemas.microsoft.com/office/drawing/2014/main" id="{7164DE47-A1D1-4F2B-90B9-0809F0EED75A}"/>
            </a:ext>
          </a:extLst>
        </xdr:cNvPr>
        <xdr:cNvSpPr/>
      </xdr:nvSpPr>
      <xdr:spPr>
        <a:xfrm rot="10800000">
          <a:off x="1927860" y="4106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225</xdr:row>
      <xdr:rowOff>0</xdr:rowOff>
    </xdr:from>
    <xdr:to>
      <xdr:col>11</xdr:col>
      <xdr:colOff>83820</xdr:colOff>
      <xdr:row>225</xdr:row>
      <xdr:rowOff>114300</xdr:rowOff>
    </xdr:to>
    <xdr:sp macro="" textlink="">
      <xdr:nvSpPr>
        <xdr:cNvPr id="1719" name="Arrow: Down 1718">
          <a:extLst>
            <a:ext uri="{FF2B5EF4-FFF2-40B4-BE49-F238E27FC236}">
              <a16:creationId xmlns:a16="http://schemas.microsoft.com/office/drawing/2014/main" id="{5EC5D610-A03B-489D-B033-BB45AF4E5048}"/>
            </a:ext>
          </a:extLst>
        </xdr:cNvPr>
        <xdr:cNvSpPr/>
      </xdr:nvSpPr>
      <xdr:spPr>
        <a:xfrm rot="10800000">
          <a:off x="3619500" y="4106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225</xdr:row>
      <xdr:rowOff>0</xdr:rowOff>
    </xdr:from>
    <xdr:to>
      <xdr:col>71</xdr:col>
      <xdr:colOff>83820</xdr:colOff>
      <xdr:row>225</xdr:row>
      <xdr:rowOff>114300</xdr:rowOff>
    </xdr:to>
    <xdr:sp macro="" textlink="">
      <xdr:nvSpPr>
        <xdr:cNvPr id="1724" name="Arrow: Down 1723">
          <a:extLst>
            <a:ext uri="{FF2B5EF4-FFF2-40B4-BE49-F238E27FC236}">
              <a16:creationId xmlns:a16="http://schemas.microsoft.com/office/drawing/2014/main" id="{09D61AA3-3F3C-4C0B-BCD8-E4DBB4CBAE2A}"/>
            </a:ext>
          </a:extLst>
        </xdr:cNvPr>
        <xdr:cNvSpPr/>
      </xdr:nvSpPr>
      <xdr:spPr>
        <a:xfrm>
          <a:off x="1911858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225</xdr:row>
      <xdr:rowOff>0</xdr:rowOff>
    </xdr:from>
    <xdr:to>
      <xdr:col>60</xdr:col>
      <xdr:colOff>83820</xdr:colOff>
      <xdr:row>225</xdr:row>
      <xdr:rowOff>114300</xdr:rowOff>
    </xdr:to>
    <xdr:sp macro="" textlink="">
      <xdr:nvSpPr>
        <xdr:cNvPr id="1725" name="Arrow: Down 1724">
          <a:extLst>
            <a:ext uri="{FF2B5EF4-FFF2-40B4-BE49-F238E27FC236}">
              <a16:creationId xmlns:a16="http://schemas.microsoft.com/office/drawing/2014/main" id="{AE7E2923-0411-4CB2-B48C-47BCD6B3771B}"/>
            </a:ext>
          </a:extLst>
        </xdr:cNvPr>
        <xdr:cNvSpPr/>
      </xdr:nvSpPr>
      <xdr:spPr>
        <a:xfrm>
          <a:off x="1676400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225</xdr:row>
      <xdr:rowOff>0</xdr:rowOff>
    </xdr:from>
    <xdr:to>
      <xdr:col>39</xdr:col>
      <xdr:colOff>83820</xdr:colOff>
      <xdr:row>225</xdr:row>
      <xdr:rowOff>114300</xdr:rowOff>
    </xdr:to>
    <xdr:sp macro="" textlink="">
      <xdr:nvSpPr>
        <xdr:cNvPr id="1728" name="Arrow: Down 1727">
          <a:extLst>
            <a:ext uri="{FF2B5EF4-FFF2-40B4-BE49-F238E27FC236}">
              <a16:creationId xmlns:a16="http://schemas.microsoft.com/office/drawing/2014/main" id="{F3A5DADB-7601-4E21-A127-000CD32173B3}"/>
            </a:ext>
          </a:extLst>
        </xdr:cNvPr>
        <xdr:cNvSpPr/>
      </xdr:nvSpPr>
      <xdr:spPr>
        <a:xfrm>
          <a:off x="9639300" y="412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226</xdr:row>
      <xdr:rowOff>0</xdr:rowOff>
    </xdr:from>
    <xdr:to>
      <xdr:col>5</xdr:col>
      <xdr:colOff>83820</xdr:colOff>
      <xdr:row>226</xdr:row>
      <xdr:rowOff>114300</xdr:rowOff>
    </xdr:to>
    <xdr:sp macro="" textlink="">
      <xdr:nvSpPr>
        <xdr:cNvPr id="1731" name="Arrow: Down 1730">
          <a:extLst>
            <a:ext uri="{FF2B5EF4-FFF2-40B4-BE49-F238E27FC236}">
              <a16:creationId xmlns:a16="http://schemas.microsoft.com/office/drawing/2014/main" id="{92206866-77FC-4466-821D-F8C49CD0952B}"/>
            </a:ext>
          </a:extLst>
        </xdr:cNvPr>
        <xdr:cNvSpPr/>
      </xdr:nvSpPr>
      <xdr:spPr>
        <a:xfrm rot="10800000">
          <a:off x="1927860" y="412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226</xdr:row>
      <xdr:rowOff>0</xdr:rowOff>
    </xdr:from>
    <xdr:to>
      <xdr:col>11</xdr:col>
      <xdr:colOff>83820</xdr:colOff>
      <xdr:row>226</xdr:row>
      <xdr:rowOff>114300</xdr:rowOff>
    </xdr:to>
    <xdr:sp macro="" textlink="">
      <xdr:nvSpPr>
        <xdr:cNvPr id="1732" name="Arrow: Down 1731">
          <a:extLst>
            <a:ext uri="{FF2B5EF4-FFF2-40B4-BE49-F238E27FC236}">
              <a16:creationId xmlns:a16="http://schemas.microsoft.com/office/drawing/2014/main" id="{E511F272-4E6C-4BE1-8F31-F67A72DCA449}"/>
            </a:ext>
          </a:extLst>
        </xdr:cNvPr>
        <xdr:cNvSpPr/>
      </xdr:nvSpPr>
      <xdr:spPr>
        <a:xfrm rot="10800000">
          <a:off x="3619500" y="412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226</xdr:row>
      <xdr:rowOff>0</xdr:rowOff>
    </xdr:from>
    <xdr:to>
      <xdr:col>60</xdr:col>
      <xdr:colOff>83820</xdr:colOff>
      <xdr:row>226</xdr:row>
      <xdr:rowOff>114300</xdr:rowOff>
    </xdr:to>
    <xdr:sp macro="" textlink="">
      <xdr:nvSpPr>
        <xdr:cNvPr id="1735" name="Arrow: Down 1734">
          <a:extLst>
            <a:ext uri="{FF2B5EF4-FFF2-40B4-BE49-F238E27FC236}">
              <a16:creationId xmlns:a16="http://schemas.microsoft.com/office/drawing/2014/main" id="{FCFA5F7B-0E61-4005-99DE-9F59F4BD9E24}"/>
            </a:ext>
          </a:extLst>
        </xdr:cNvPr>
        <xdr:cNvSpPr/>
      </xdr:nvSpPr>
      <xdr:spPr>
        <a:xfrm>
          <a:off x="16764000" y="4124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225</xdr:row>
      <xdr:rowOff>0</xdr:rowOff>
    </xdr:from>
    <xdr:to>
      <xdr:col>24</xdr:col>
      <xdr:colOff>83820</xdr:colOff>
      <xdr:row>225</xdr:row>
      <xdr:rowOff>114300</xdr:rowOff>
    </xdr:to>
    <xdr:sp macro="" textlink="">
      <xdr:nvSpPr>
        <xdr:cNvPr id="1737" name="Arrow: Down 1736">
          <a:extLst>
            <a:ext uri="{FF2B5EF4-FFF2-40B4-BE49-F238E27FC236}">
              <a16:creationId xmlns:a16="http://schemas.microsoft.com/office/drawing/2014/main" id="{20452302-CDF2-45C7-8753-D5BB426A8B2C}"/>
            </a:ext>
          </a:extLst>
        </xdr:cNvPr>
        <xdr:cNvSpPr/>
      </xdr:nvSpPr>
      <xdr:spPr>
        <a:xfrm>
          <a:off x="6477000" y="4124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226</xdr:row>
      <xdr:rowOff>0</xdr:rowOff>
    </xdr:from>
    <xdr:to>
      <xdr:col>24</xdr:col>
      <xdr:colOff>83820</xdr:colOff>
      <xdr:row>226</xdr:row>
      <xdr:rowOff>114300</xdr:rowOff>
    </xdr:to>
    <xdr:sp macro="" textlink="">
      <xdr:nvSpPr>
        <xdr:cNvPr id="1738" name="Arrow: Down 1737">
          <a:extLst>
            <a:ext uri="{FF2B5EF4-FFF2-40B4-BE49-F238E27FC236}">
              <a16:creationId xmlns:a16="http://schemas.microsoft.com/office/drawing/2014/main" id="{448CBB72-246B-4EF5-ABF8-30C98C836619}"/>
            </a:ext>
          </a:extLst>
        </xdr:cNvPr>
        <xdr:cNvSpPr/>
      </xdr:nvSpPr>
      <xdr:spPr>
        <a:xfrm>
          <a:off x="6477000" y="4142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227</xdr:row>
      <xdr:rowOff>0</xdr:rowOff>
    </xdr:from>
    <xdr:to>
      <xdr:col>24</xdr:col>
      <xdr:colOff>83820</xdr:colOff>
      <xdr:row>227</xdr:row>
      <xdr:rowOff>114300</xdr:rowOff>
    </xdr:to>
    <xdr:sp macro="" textlink="">
      <xdr:nvSpPr>
        <xdr:cNvPr id="1754" name="Arrow: Down 1753">
          <a:extLst>
            <a:ext uri="{FF2B5EF4-FFF2-40B4-BE49-F238E27FC236}">
              <a16:creationId xmlns:a16="http://schemas.microsoft.com/office/drawing/2014/main" id="{454CD494-C2DE-40EC-BA01-E33B7801DABC}"/>
            </a:ext>
          </a:extLst>
        </xdr:cNvPr>
        <xdr:cNvSpPr/>
      </xdr:nvSpPr>
      <xdr:spPr>
        <a:xfrm>
          <a:off x="6477000" y="4142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227</xdr:row>
      <xdr:rowOff>0</xdr:rowOff>
    </xdr:from>
    <xdr:to>
      <xdr:col>60</xdr:col>
      <xdr:colOff>83820</xdr:colOff>
      <xdr:row>227</xdr:row>
      <xdr:rowOff>114300</xdr:rowOff>
    </xdr:to>
    <xdr:sp macro="" textlink="">
      <xdr:nvSpPr>
        <xdr:cNvPr id="1756" name="Arrow: Down 1755">
          <a:extLst>
            <a:ext uri="{FF2B5EF4-FFF2-40B4-BE49-F238E27FC236}">
              <a16:creationId xmlns:a16="http://schemas.microsoft.com/office/drawing/2014/main" id="{C8157AE4-A675-422E-A0E4-DF8B7E4A1385}"/>
            </a:ext>
          </a:extLst>
        </xdr:cNvPr>
        <xdr:cNvSpPr/>
      </xdr:nvSpPr>
      <xdr:spPr>
        <a:xfrm rot="10800000">
          <a:off x="16764000" y="4161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227</xdr:row>
      <xdr:rowOff>0</xdr:rowOff>
    </xdr:from>
    <xdr:to>
      <xdr:col>71</xdr:col>
      <xdr:colOff>83820</xdr:colOff>
      <xdr:row>227</xdr:row>
      <xdr:rowOff>114300</xdr:rowOff>
    </xdr:to>
    <xdr:sp macro="" textlink="">
      <xdr:nvSpPr>
        <xdr:cNvPr id="1758" name="Arrow: Down 1757">
          <a:extLst>
            <a:ext uri="{FF2B5EF4-FFF2-40B4-BE49-F238E27FC236}">
              <a16:creationId xmlns:a16="http://schemas.microsoft.com/office/drawing/2014/main" id="{3A2ADDEF-440A-4B20-84C9-927E33D282A1}"/>
            </a:ext>
          </a:extLst>
        </xdr:cNvPr>
        <xdr:cNvSpPr/>
      </xdr:nvSpPr>
      <xdr:spPr>
        <a:xfrm rot="10800000">
          <a:off x="19118580" y="4161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226</xdr:row>
      <xdr:rowOff>0</xdr:rowOff>
    </xdr:from>
    <xdr:to>
      <xdr:col>71</xdr:col>
      <xdr:colOff>83820</xdr:colOff>
      <xdr:row>226</xdr:row>
      <xdr:rowOff>114300</xdr:rowOff>
    </xdr:to>
    <xdr:sp macro="" textlink="">
      <xdr:nvSpPr>
        <xdr:cNvPr id="1759" name="Arrow: Down 1758">
          <a:extLst>
            <a:ext uri="{FF2B5EF4-FFF2-40B4-BE49-F238E27FC236}">
              <a16:creationId xmlns:a16="http://schemas.microsoft.com/office/drawing/2014/main" id="{2369A2B8-98A9-49A8-A88A-8F531F11A01F}"/>
            </a:ext>
          </a:extLst>
        </xdr:cNvPr>
        <xdr:cNvSpPr/>
      </xdr:nvSpPr>
      <xdr:spPr>
        <a:xfrm rot="10800000">
          <a:off x="19118580" y="4142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227</xdr:row>
      <xdr:rowOff>0</xdr:rowOff>
    </xdr:from>
    <xdr:to>
      <xdr:col>5</xdr:col>
      <xdr:colOff>83820</xdr:colOff>
      <xdr:row>227</xdr:row>
      <xdr:rowOff>114300</xdr:rowOff>
    </xdr:to>
    <xdr:sp macro="" textlink="">
      <xdr:nvSpPr>
        <xdr:cNvPr id="1760" name="Arrow: Down 1759">
          <a:extLst>
            <a:ext uri="{FF2B5EF4-FFF2-40B4-BE49-F238E27FC236}">
              <a16:creationId xmlns:a16="http://schemas.microsoft.com/office/drawing/2014/main" id="{1EAC9574-9D79-44F8-A600-3717F5EDD3DC}"/>
            </a:ext>
          </a:extLst>
        </xdr:cNvPr>
        <xdr:cNvSpPr/>
      </xdr:nvSpPr>
      <xdr:spPr>
        <a:xfrm>
          <a:off x="192786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227</xdr:row>
      <xdr:rowOff>0</xdr:rowOff>
    </xdr:from>
    <xdr:to>
      <xdr:col>11</xdr:col>
      <xdr:colOff>83820</xdr:colOff>
      <xdr:row>227</xdr:row>
      <xdr:rowOff>114300</xdr:rowOff>
    </xdr:to>
    <xdr:sp macro="" textlink="">
      <xdr:nvSpPr>
        <xdr:cNvPr id="1761" name="Arrow: Down 1760">
          <a:extLst>
            <a:ext uri="{FF2B5EF4-FFF2-40B4-BE49-F238E27FC236}">
              <a16:creationId xmlns:a16="http://schemas.microsoft.com/office/drawing/2014/main" id="{D40371BF-0F33-487F-A66C-348317F2164D}"/>
            </a:ext>
          </a:extLst>
        </xdr:cNvPr>
        <xdr:cNvSpPr/>
      </xdr:nvSpPr>
      <xdr:spPr>
        <a:xfrm>
          <a:off x="36195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227</xdr:row>
      <xdr:rowOff>0</xdr:rowOff>
    </xdr:from>
    <xdr:to>
      <xdr:col>39</xdr:col>
      <xdr:colOff>83820</xdr:colOff>
      <xdr:row>227</xdr:row>
      <xdr:rowOff>114300</xdr:rowOff>
    </xdr:to>
    <xdr:sp macro="" textlink="">
      <xdr:nvSpPr>
        <xdr:cNvPr id="1763" name="Arrow: Down 1762">
          <a:extLst>
            <a:ext uri="{FF2B5EF4-FFF2-40B4-BE49-F238E27FC236}">
              <a16:creationId xmlns:a16="http://schemas.microsoft.com/office/drawing/2014/main" id="{F77A3161-959A-4E92-8ADF-003317B932B3}"/>
            </a:ext>
          </a:extLst>
        </xdr:cNvPr>
        <xdr:cNvSpPr/>
      </xdr:nvSpPr>
      <xdr:spPr>
        <a:xfrm rot="10800000">
          <a:off x="96393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228</xdr:row>
      <xdr:rowOff>0</xdr:rowOff>
    </xdr:from>
    <xdr:to>
      <xdr:col>24</xdr:col>
      <xdr:colOff>83820</xdr:colOff>
      <xdr:row>228</xdr:row>
      <xdr:rowOff>114300</xdr:rowOff>
    </xdr:to>
    <xdr:sp macro="" textlink="">
      <xdr:nvSpPr>
        <xdr:cNvPr id="1766" name="Arrow: Down 1765">
          <a:extLst>
            <a:ext uri="{FF2B5EF4-FFF2-40B4-BE49-F238E27FC236}">
              <a16:creationId xmlns:a16="http://schemas.microsoft.com/office/drawing/2014/main" id="{8FCEAB2B-8615-4D71-9916-D9185361E16B}"/>
            </a:ext>
          </a:extLst>
        </xdr:cNvPr>
        <xdr:cNvSpPr/>
      </xdr:nvSpPr>
      <xdr:spPr>
        <a:xfrm>
          <a:off x="64770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228</xdr:row>
      <xdr:rowOff>0</xdr:rowOff>
    </xdr:from>
    <xdr:to>
      <xdr:col>5</xdr:col>
      <xdr:colOff>83820</xdr:colOff>
      <xdr:row>228</xdr:row>
      <xdr:rowOff>114300</xdr:rowOff>
    </xdr:to>
    <xdr:sp macro="" textlink="">
      <xdr:nvSpPr>
        <xdr:cNvPr id="1769" name="Arrow: Down 1768">
          <a:extLst>
            <a:ext uri="{FF2B5EF4-FFF2-40B4-BE49-F238E27FC236}">
              <a16:creationId xmlns:a16="http://schemas.microsoft.com/office/drawing/2014/main" id="{8B23BD62-2794-4363-A353-E5A10B82EBE6}"/>
            </a:ext>
          </a:extLst>
        </xdr:cNvPr>
        <xdr:cNvSpPr/>
      </xdr:nvSpPr>
      <xdr:spPr>
        <a:xfrm>
          <a:off x="192786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228</xdr:row>
      <xdr:rowOff>0</xdr:rowOff>
    </xdr:from>
    <xdr:to>
      <xdr:col>11</xdr:col>
      <xdr:colOff>83820</xdr:colOff>
      <xdr:row>228</xdr:row>
      <xdr:rowOff>114300</xdr:rowOff>
    </xdr:to>
    <xdr:sp macro="" textlink="">
      <xdr:nvSpPr>
        <xdr:cNvPr id="1770" name="Arrow: Down 1769">
          <a:extLst>
            <a:ext uri="{FF2B5EF4-FFF2-40B4-BE49-F238E27FC236}">
              <a16:creationId xmlns:a16="http://schemas.microsoft.com/office/drawing/2014/main" id="{A890B02A-E939-43F4-A1D1-D110BFA92BE8}"/>
            </a:ext>
          </a:extLst>
        </xdr:cNvPr>
        <xdr:cNvSpPr/>
      </xdr:nvSpPr>
      <xdr:spPr>
        <a:xfrm>
          <a:off x="36195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228</xdr:row>
      <xdr:rowOff>0</xdr:rowOff>
    </xdr:from>
    <xdr:to>
      <xdr:col>60</xdr:col>
      <xdr:colOff>83820</xdr:colOff>
      <xdr:row>228</xdr:row>
      <xdr:rowOff>114300</xdr:rowOff>
    </xdr:to>
    <xdr:sp macro="" textlink="">
      <xdr:nvSpPr>
        <xdr:cNvPr id="1773" name="Arrow: Down 1772">
          <a:extLst>
            <a:ext uri="{FF2B5EF4-FFF2-40B4-BE49-F238E27FC236}">
              <a16:creationId xmlns:a16="http://schemas.microsoft.com/office/drawing/2014/main" id="{FB3449BF-3F8F-4897-B95C-365C86F2ECFE}"/>
            </a:ext>
          </a:extLst>
        </xdr:cNvPr>
        <xdr:cNvSpPr/>
      </xdr:nvSpPr>
      <xdr:spPr>
        <a:xfrm>
          <a:off x="1676400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228</xdr:row>
      <xdr:rowOff>0</xdr:rowOff>
    </xdr:from>
    <xdr:to>
      <xdr:col>71</xdr:col>
      <xdr:colOff>83820</xdr:colOff>
      <xdr:row>228</xdr:row>
      <xdr:rowOff>114300</xdr:rowOff>
    </xdr:to>
    <xdr:sp macro="" textlink="">
      <xdr:nvSpPr>
        <xdr:cNvPr id="1775" name="Arrow: Down 1774">
          <a:extLst>
            <a:ext uri="{FF2B5EF4-FFF2-40B4-BE49-F238E27FC236}">
              <a16:creationId xmlns:a16="http://schemas.microsoft.com/office/drawing/2014/main" id="{6C543EB3-D082-4382-BC4D-EA1B498FA0D1}"/>
            </a:ext>
          </a:extLst>
        </xdr:cNvPr>
        <xdr:cNvSpPr/>
      </xdr:nvSpPr>
      <xdr:spPr>
        <a:xfrm>
          <a:off x="1911858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226</xdr:row>
      <xdr:rowOff>0</xdr:rowOff>
    </xdr:from>
    <xdr:to>
      <xdr:col>39</xdr:col>
      <xdr:colOff>83820</xdr:colOff>
      <xdr:row>226</xdr:row>
      <xdr:rowOff>114300</xdr:rowOff>
    </xdr:to>
    <xdr:sp macro="" textlink="">
      <xdr:nvSpPr>
        <xdr:cNvPr id="1779" name="Arrow: Down 1778">
          <a:extLst>
            <a:ext uri="{FF2B5EF4-FFF2-40B4-BE49-F238E27FC236}">
              <a16:creationId xmlns:a16="http://schemas.microsoft.com/office/drawing/2014/main" id="{FBFB07FD-A522-4507-AFB3-C372E53A2FB0}"/>
            </a:ext>
          </a:extLst>
        </xdr:cNvPr>
        <xdr:cNvSpPr/>
      </xdr:nvSpPr>
      <xdr:spPr>
        <a:xfrm>
          <a:off x="9639300" y="4142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228</xdr:row>
      <xdr:rowOff>0</xdr:rowOff>
    </xdr:from>
    <xdr:to>
      <xdr:col>39</xdr:col>
      <xdr:colOff>83820</xdr:colOff>
      <xdr:row>228</xdr:row>
      <xdr:rowOff>114300</xdr:rowOff>
    </xdr:to>
    <xdr:sp macro="" textlink="">
      <xdr:nvSpPr>
        <xdr:cNvPr id="1780" name="Arrow: Down 1779">
          <a:extLst>
            <a:ext uri="{FF2B5EF4-FFF2-40B4-BE49-F238E27FC236}">
              <a16:creationId xmlns:a16="http://schemas.microsoft.com/office/drawing/2014/main" id="{129AD411-0416-4747-87DE-7AB5761CC824}"/>
            </a:ext>
          </a:extLst>
        </xdr:cNvPr>
        <xdr:cNvSpPr/>
      </xdr:nvSpPr>
      <xdr:spPr>
        <a:xfrm>
          <a:off x="9639300" y="4179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226</xdr:row>
      <xdr:rowOff>0</xdr:rowOff>
    </xdr:from>
    <xdr:to>
      <xdr:col>45</xdr:col>
      <xdr:colOff>83820</xdr:colOff>
      <xdr:row>226</xdr:row>
      <xdr:rowOff>114300</xdr:rowOff>
    </xdr:to>
    <xdr:sp macro="" textlink="">
      <xdr:nvSpPr>
        <xdr:cNvPr id="1781" name="Arrow: Down 1780">
          <a:extLst>
            <a:ext uri="{FF2B5EF4-FFF2-40B4-BE49-F238E27FC236}">
              <a16:creationId xmlns:a16="http://schemas.microsoft.com/office/drawing/2014/main" id="{69B4E806-AE22-4D1D-9D32-67817A256021}"/>
            </a:ext>
          </a:extLst>
        </xdr:cNvPr>
        <xdr:cNvSpPr/>
      </xdr:nvSpPr>
      <xdr:spPr>
        <a:xfrm>
          <a:off x="11445240" y="4142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227</xdr:row>
      <xdr:rowOff>0</xdr:rowOff>
    </xdr:from>
    <xdr:to>
      <xdr:col>45</xdr:col>
      <xdr:colOff>83820</xdr:colOff>
      <xdr:row>227</xdr:row>
      <xdr:rowOff>114300</xdr:rowOff>
    </xdr:to>
    <xdr:sp macro="" textlink="">
      <xdr:nvSpPr>
        <xdr:cNvPr id="1783" name="Arrow: Down 1782">
          <a:extLst>
            <a:ext uri="{FF2B5EF4-FFF2-40B4-BE49-F238E27FC236}">
              <a16:creationId xmlns:a16="http://schemas.microsoft.com/office/drawing/2014/main" id="{679F80B3-FE7F-4932-AE36-07C39994C29C}"/>
            </a:ext>
          </a:extLst>
        </xdr:cNvPr>
        <xdr:cNvSpPr/>
      </xdr:nvSpPr>
      <xdr:spPr>
        <a:xfrm>
          <a:off x="11445240" y="4161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228</xdr:row>
      <xdr:rowOff>0</xdr:rowOff>
    </xdr:from>
    <xdr:to>
      <xdr:col>45</xdr:col>
      <xdr:colOff>83820</xdr:colOff>
      <xdr:row>228</xdr:row>
      <xdr:rowOff>114300</xdr:rowOff>
    </xdr:to>
    <xdr:sp macro="" textlink="">
      <xdr:nvSpPr>
        <xdr:cNvPr id="1785" name="Arrow: Down 1784">
          <a:extLst>
            <a:ext uri="{FF2B5EF4-FFF2-40B4-BE49-F238E27FC236}">
              <a16:creationId xmlns:a16="http://schemas.microsoft.com/office/drawing/2014/main" id="{644186F7-05BE-4B66-8065-897B33D29502}"/>
            </a:ext>
          </a:extLst>
        </xdr:cNvPr>
        <xdr:cNvSpPr/>
      </xdr:nvSpPr>
      <xdr:spPr>
        <a:xfrm>
          <a:off x="11445240" y="4179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229</xdr:row>
      <xdr:rowOff>0</xdr:rowOff>
    </xdr:from>
    <xdr:to>
      <xdr:col>60</xdr:col>
      <xdr:colOff>83820</xdr:colOff>
      <xdr:row>229</xdr:row>
      <xdr:rowOff>114300</xdr:rowOff>
    </xdr:to>
    <xdr:sp macro="" textlink="">
      <xdr:nvSpPr>
        <xdr:cNvPr id="1683" name="Arrow: Down 1682">
          <a:extLst>
            <a:ext uri="{FF2B5EF4-FFF2-40B4-BE49-F238E27FC236}">
              <a16:creationId xmlns:a16="http://schemas.microsoft.com/office/drawing/2014/main" id="{F15B3C6E-2E98-4492-A4E1-4261FD8C1DE5}"/>
            </a:ext>
          </a:extLst>
        </xdr:cNvPr>
        <xdr:cNvSpPr/>
      </xdr:nvSpPr>
      <xdr:spPr>
        <a:xfrm>
          <a:off x="1676400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229</xdr:row>
      <xdr:rowOff>0</xdr:rowOff>
    </xdr:from>
    <xdr:to>
      <xdr:col>71</xdr:col>
      <xdr:colOff>83820</xdr:colOff>
      <xdr:row>229</xdr:row>
      <xdr:rowOff>114300</xdr:rowOff>
    </xdr:to>
    <xdr:sp macro="" textlink="">
      <xdr:nvSpPr>
        <xdr:cNvPr id="1689" name="Arrow: Down 1688">
          <a:extLst>
            <a:ext uri="{FF2B5EF4-FFF2-40B4-BE49-F238E27FC236}">
              <a16:creationId xmlns:a16="http://schemas.microsoft.com/office/drawing/2014/main" id="{41F9094E-C1D0-4141-94BE-EB7B56E6780E}"/>
            </a:ext>
          </a:extLst>
        </xdr:cNvPr>
        <xdr:cNvSpPr/>
      </xdr:nvSpPr>
      <xdr:spPr>
        <a:xfrm>
          <a:off x="2078736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229</xdr:row>
      <xdr:rowOff>0</xdr:rowOff>
    </xdr:from>
    <xdr:to>
      <xdr:col>45</xdr:col>
      <xdr:colOff>83820</xdr:colOff>
      <xdr:row>229</xdr:row>
      <xdr:rowOff>114300</xdr:rowOff>
    </xdr:to>
    <xdr:sp macro="" textlink="">
      <xdr:nvSpPr>
        <xdr:cNvPr id="1700" name="Arrow: Down 1699">
          <a:extLst>
            <a:ext uri="{FF2B5EF4-FFF2-40B4-BE49-F238E27FC236}">
              <a16:creationId xmlns:a16="http://schemas.microsoft.com/office/drawing/2014/main" id="{AF56E1EB-155C-403D-904D-F5E54ECFEB32}"/>
            </a:ext>
          </a:extLst>
        </xdr:cNvPr>
        <xdr:cNvSpPr/>
      </xdr:nvSpPr>
      <xdr:spPr>
        <a:xfrm rot="10800000">
          <a:off x="11445240" y="4197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229</xdr:row>
      <xdr:rowOff>0</xdr:rowOff>
    </xdr:from>
    <xdr:to>
      <xdr:col>39</xdr:col>
      <xdr:colOff>83820</xdr:colOff>
      <xdr:row>229</xdr:row>
      <xdr:rowOff>114300</xdr:rowOff>
    </xdr:to>
    <xdr:sp macro="" textlink="">
      <xdr:nvSpPr>
        <xdr:cNvPr id="1722" name="Arrow: Down 1721">
          <a:extLst>
            <a:ext uri="{FF2B5EF4-FFF2-40B4-BE49-F238E27FC236}">
              <a16:creationId xmlns:a16="http://schemas.microsoft.com/office/drawing/2014/main" id="{5FD4F350-2C5E-4E74-80E7-9F29D5DB34EC}"/>
            </a:ext>
          </a:extLst>
        </xdr:cNvPr>
        <xdr:cNvSpPr/>
      </xdr:nvSpPr>
      <xdr:spPr>
        <a:xfrm rot="10800000">
          <a:off x="9639300" y="4197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229</xdr:row>
      <xdr:rowOff>0</xdr:rowOff>
    </xdr:from>
    <xdr:to>
      <xdr:col>24</xdr:col>
      <xdr:colOff>83820</xdr:colOff>
      <xdr:row>229</xdr:row>
      <xdr:rowOff>114300</xdr:rowOff>
    </xdr:to>
    <xdr:sp macro="" textlink="">
      <xdr:nvSpPr>
        <xdr:cNvPr id="1726" name="Arrow: Down 1725">
          <a:extLst>
            <a:ext uri="{FF2B5EF4-FFF2-40B4-BE49-F238E27FC236}">
              <a16:creationId xmlns:a16="http://schemas.microsoft.com/office/drawing/2014/main" id="{17A33DE6-2359-4B7F-B470-FB7C570598EB}"/>
            </a:ext>
          </a:extLst>
        </xdr:cNvPr>
        <xdr:cNvSpPr/>
      </xdr:nvSpPr>
      <xdr:spPr>
        <a:xfrm rot="10800000">
          <a:off x="64770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229</xdr:row>
      <xdr:rowOff>0</xdr:rowOff>
    </xdr:from>
    <xdr:to>
      <xdr:col>11</xdr:col>
      <xdr:colOff>83820</xdr:colOff>
      <xdr:row>229</xdr:row>
      <xdr:rowOff>114300</xdr:rowOff>
    </xdr:to>
    <xdr:sp macro="" textlink="">
      <xdr:nvSpPr>
        <xdr:cNvPr id="1729" name="Arrow: Down 1728">
          <a:extLst>
            <a:ext uri="{FF2B5EF4-FFF2-40B4-BE49-F238E27FC236}">
              <a16:creationId xmlns:a16="http://schemas.microsoft.com/office/drawing/2014/main" id="{0A42A0DB-D807-4440-921A-82DA089A2BAA}"/>
            </a:ext>
          </a:extLst>
        </xdr:cNvPr>
        <xdr:cNvSpPr/>
      </xdr:nvSpPr>
      <xdr:spPr>
        <a:xfrm rot="10800000">
          <a:off x="36195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229</xdr:row>
      <xdr:rowOff>0</xdr:rowOff>
    </xdr:from>
    <xdr:to>
      <xdr:col>5</xdr:col>
      <xdr:colOff>83820</xdr:colOff>
      <xdr:row>229</xdr:row>
      <xdr:rowOff>114300</xdr:rowOff>
    </xdr:to>
    <xdr:sp macro="" textlink="">
      <xdr:nvSpPr>
        <xdr:cNvPr id="1733" name="Arrow: Down 1732">
          <a:extLst>
            <a:ext uri="{FF2B5EF4-FFF2-40B4-BE49-F238E27FC236}">
              <a16:creationId xmlns:a16="http://schemas.microsoft.com/office/drawing/2014/main" id="{99EEAABE-CFD5-47C3-A5D9-53BE3CCCDB40}"/>
            </a:ext>
          </a:extLst>
        </xdr:cNvPr>
        <xdr:cNvSpPr/>
      </xdr:nvSpPr>
      <xdr:spPr>
        <a:xfrm rot="10800000">
          <a:off x="192786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230</xdr:row>
      <xdr:rowOff>0</xdr:rowOff>
    </xdr:from>
    <xdr:to>
      <xdr:col>24</xdr:col>
      <xdr:colOff>83820</xdr:colOff>
      <xdr:row>230</xdr:row>
      <xdr:rowOff>114300</xdr:rowOff>
    </xdr:to>
    <xdr:sp macro="" textlink="">
      <xdr:nvSpPr>
        <xdr:cNvPr id="1741" name="Arrow: Down 1740">
          <a:extLst>
            <a:ext uri="{FF2B5EF4-FFF2-40B4-BE49-F238E27FC236}">
              <a16:creationId xmlns:a16="http://schemas.microsoft.com/office/drawing/2014/main" id="{B99C91F4-5582-43B6-8A37-072A9840711C}"/>
            </a:ext>
          </a:extLst>
        </xdr:cNvPr>
        <xdr:cNvSpPr/>
      </xdr:nvSpPr>
      <xdr:spPr>
        <a:xfrm rot="10800000">
          <a:off x="64770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230</xdr:row>
      <xdr:rowOff>0</xdr:rowOff>
    </xdr:from>
    <xdr:to>
      <xdr:col>11</xdr:col>
      <xdr:colOff>83820</xdr:colOff>
      <xdr:row>230</xdr:row>
      <xdr:rowOff>114300</xdr:rowOff>
    </xdr:to>
    <xdr:sp macro="" textlink="">
      <xdr:nvSpPr>
        <xdr:cNvPr id="1742" name="Arrow: Down 1741">
          <a:extLst>
            <a:ext uri="{FF2B5EF4-FFF2-40B4-BE49-F238E27FC236}">
              <a16:creationId xmlns:a16="http://schemas.microsoft.com/office/drawing/2014/main" id="{56B4DB23-10CA-4F1E-AB77-483C48E70830}"/>
            </a:ext>
          </a:extLst>
        </xdr:cNvPr>
        <xdr:cNvSpPr/>
      </xdr:nvSpPr>
      <xdr:spPr>
        <a:xfrm rot="10800000">
          <a:off x="36195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230</xdr:row>
      <xdr:rowOff>0</xdr:rowOff>
    </xdr:from>
    <xdr:to>
      <xdr:col>5</xdr:col>
      <xdr:colOff>83820</xdr:colOff>
      <xdr:row>230</xdr:row>
      <xdr:rowOff>114300</xdr:rowOff>
    </xdr:to>
    <xdr:sp macro="" textlink="">
      <xdr:nvSpPr>
        <xdr:cNvPr id="1743" name="Arrow: Down 1742">
          <a:extLst>
            <a:ext uri="{FF2B5EF4-FFF2-40B4-BE49-F238E27FC236}">
              <a16:creationId xmlns:a16="http://schemas.microsoft.com/office/drawing/2014/main" id="{59C422A8-EFC6-4F39-B313-CB2E4E9AF86C}"/>
            </a:ext>
          </a:extLst>
        </xdr:cNvPr>
        <xdr:cNvSpPr/>
      </xdr:nvSpPr>
      <xdr:spPr>
        <a:xfrm rot="10800000">
          <a:off x="192786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230</xdr:row>
      <xdr:rowOff>0</xdr:rowOff>
    </xdr:from>
    <xdr:to>
      <xdr:col>39</xdr:col>
      <xdr:colOff>83820</xdr:colOff>
      <xdr:row>230</xdr:row>
      <xdr:rowOff>114300</xdr:rowOff>
    </xdr:to>
    <xdr:sp macro="" textlink="">
      <xdr:nvSpPr>
        <xdr:cNvPr id="1745" name="Arrow: Down 1744">
          <a:extLst>
            <a:ext uri="{FF2B5EF4-FFF2-40B4-BE49-F238E27FC236}">
              <a16:creationId xmlns:a16="http://schemas.microsoft.com/office/drawing/2014/main" id="{8060F17D-325E-48B3-B110-492FC8B6A50A}"/>
            </a:ext>
          </a:extLst>
        </xdr:cNvPr>
        <xdr:cNvSpPr/>
      </xdr:nvSpPr>
      <xdr:spPr>
        <a:xfrm>
          <a:off x="963930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230</xdr:row>
      <xdr:rowOff>0</xdr:rowOff>
    </xdr:from>
    <xdr:to>
      <xdr:col>71</xdr:col>
      <xdr:colOff>83820</xdr:colOff>
      <xdr:row>230</xdr:row>
      <xdr:rowOff>114300</xdr:rowOff>
    </xdr:to>
    <xdr:sp macro="" textlink="">
      <xdr:nvSpPr>
        <xdr:cNvPr id="1747" name="Arrow: Down 1746">
          <a:extLst>
            <a:ext uri="{FF2B5EF4-FFF2-40B4-BE49-F238E27FC236}">
              <a16:creationId xmlns:a16="http://schemas.microsoft.com/office/drawing/2014/main" id="{152D33C7-3FF4-4ED5-97CE-3FBE8439A768}"/>
            </a:ext>
          </a:extLst>
        </xdr:cNvPr>
        <xdr:cNvSpPr/>
      </xdr:nvSpPr>
      <xdr:spPr>
        <a:xfrm rot="10800000">
          <a:off x="1911858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230</xdr:row>
      <xdr:rowOff>0</xdr:rowOff>
    </xdr:from>
    <xdr:to>
      <xdr:col>60</xdr:col>
      <xdr:colOff>83820</xdr:colOff>
      <xdr:row>230</xdr:row>
      <xdr:rowOff>114300</xdr:rowOff>
    </xdr:to>
    <xdr:sp macro="" textlink="">
      <xdr:nvSpPr>
        <xdr:cNvPr id="1748" name="Arrow: Down 1747">
          <a:extLst>
            <a:ext uri="{FF2B5EF4-FFF2-40B4-BE49-F238E27FC236}">
              <a16:creationId xmlns:a16="http://schemas.microsoft.com/office/drawing/2014/main" id="{554AA228-C141-4C54-8AE2-AE078CCD5EBA}"/>
            </a:ext>
          </a:extLst>
        </xdr:cNvPr>
        <xdr:cNvSpPr/>
      </xdr:nvSpPr>
      <xdr:spPr>
        <a:xfrm rot="10800000">
          <a:off x="1676400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230</xdr:row>
      <xdr:rowOff>0</xdr:rowOff>
    </xdr:from>
    <xdr:to>
      <xdr:col>45</xdr:col>
      <xdr:colOff>83820</xdr:colOff>
      <xdr:row>230</xdr:row>
      <xdr:rowOff>114300</xdr:rowOff>
    </xdr:to>
    <xdr:sp macro="" textlink="">
      <xdr:nvSpPr>
        <xdr:cNvPr id="1749" name="Arrow: Down 1748">
          <a:extLst>
            <a:ext uri="{FF2B5EF4-FFF2-40B4-BE49-F238E27FC236}">
              <a16:creationId xmlns:a16="http://schemas.microsoft.com/office/drawing/2014/main" id="{08C1C599-48C5-4491-9C15-CC0D684997EE}"/>
            </a:ext>
          </a:extLst>
        </xdr:cNvPr>
        <xdr:cNvSpPr/>
      </xdr:nvSpPr>
      <xdr:spPr>
        <a:xfrm>
          <a:off x="1144524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231</xdr:row>
      <xdr:rowOff>0</xdr:rowOff>
    </xdr:from>
    <xdr:to>
      <xdr:col>11</xdr:col>
      <xdr:colOff>83820</xdr:colOff>
      <xdr:row>231</xdr:row>
      <xdr:rowOff>114300</xdr:rowOff>
    </xdr:to>
    <xdr:sp macro="" textlink="">
      <xdr:nvSpPr>
        <xdr:cNvPr id="1751" name="Arrow: Down 1750">
          <a:extLst>
            <a:ext uri="{FF2B5EF4-FFF2-40B4-BE49-F238E27FC236}">
              <a16:creationId xmlns:a16="http://schemas.microsoft.com/office/drawing/2014/main" id="{7121D93E-D4A6-4FB4-897D-6278C9A0850C}"/>
            </a:ext>
          </a:extLst>
        </xdr:cNvPr>
        <xdr:cNvSpPr/>
      </xdr:nvSpPr>
      <xdr:spPr>
        <a:xfrm rot="10800000">
          <a:off x="361950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231</xdr:row>
      <xdr:rowOff>0</xdr:rowOff>
    </xdr:from>
    <xdr:to>
      <xdr:col>5</xdr:col>
      <xdr:colOff>83820</xdr:colOff>
      <xdr:row>231</xdr:row>
      <xdr:rowOff>114300</xdr:rowOff>
    </xdr:to>
    <xdr:sp macro="" textlink="">
      <xdr:nvSpPr>
        <xdr:cNvPr id="1752" name="Arrow: Down 1751">
          <a:extLst>
            <a:ext uri="{FF2B5EF4-FFF2-40B4-BE49-F238E27FC236}">
              <a16:creationId xmlns:a16="http://schemas.microsoft.com/office/drawing/2014/main" id="{0AA1E320-E2C5-4832-8211-56A11B47C79C}"/>
            </a:ext>
          </a:extLst>
        </xdr:cNvPr>
        <xdr:cNvSpPr/>
      </xdr:nvSpPr>
      <xdr:spPr>
        <a:xfrm rot="10800000">
          <a:off x="192786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231</xdr:row>
      <xdr:rowOff>0</xdr:rowOff>
    </xdr:from>
    <xdr:to>
      <xdr:col>60</xdr:col>
      <xdr:colOff>83820</xdr:colOff>
      <xdr:row>231</xdr:row>
      <xdr:rowOff>114300</xdr:rowOff>
    </xdr:to>
    <xdr:sp macro="" textlink="">
      <xdr:nvSpPr>
        <xdr:cNvPr id="1765" name="Arrow: Down 1764">
          <a:extLst>
            <a:ext uri="{FF2B5EF4-FFF2-40B4-BE49-F238E27FC236}">
              <a16:creationId xmlns:a16="http://schemas.microsoft.com/office/drawing/2014/main" id="{2BC00680-E663-4B8C-AC74-4295E334B266}"/>
            </a:ext>
          </a:extLst>
        </xdr:cNvPr>
        <xdr:cNvSpPr/>
      </xdr:nvSpPr>
      <xdr:spPr>
        <a:xfrm>
          <a:off x="1676400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231</xdr:row>
      <xdr:rowOff>0</xdr:rowOff>
    </xdr:from>
    <xdr:to>
      <xdr:col>71</xdr:col>
      <xdr:colOff>83820</xdr:colOff>
      <xdr:row>231</xdr:row>
      <xdr:rowOff>114300</xdr:rowOff>
    </xdr:to>
    <xdr:sp macro="" textlink="">
      <xdr:nvSpPr>
        <xdr:cNvPr id="1768" name="Arrow: Down 1767">
          <a:extLst>
            <a:ext uri="{FF2B5EF4-FFF2-40B4-BE49-F238E27FC236}">
              <a16:creationId xmlns:a16="http://schemas.microsoft.com/office/drawing/2014/main" id="{20E70295-04AB-4FCA-9990-8FE32F974BE7}"/>
            </a:ext>
          </a:extLst>
        </xdr:cNvPr>
        <xdr:cNvSpPr/>
      </xdr:nvSpPr>
      <xdr:spPr>
        <a:xfrm>
          <a:off x="1911858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231</xdr:row>
      <xdr:rowOff>0</xdr:rowOff>
    </xdr:from>
    <xdr:to>
      <xdr:col>24</xdr:col>
      <xdr:colOff>83820</xdr:colOff>
      <xdr:row>231</xdr:row>
      <xdr:rowOff>114300</xdr:rowOff>
    </xdr:to>
    <xdr:sp macro="" textlink="">
      <xdr:nvSpPr>
        <xdr:cNvPr id="1772" name="Arrow: Down 1771">
          <a:extLst>
            <a:ext uri="{FF2B5EF4-FFF2-40B4-BE49-F238E27FC236}">
              <a16:creationId xmlns:a16="http://schemas.microsoft.com/office/drawing/2014/main" id="{AF313A95-4017-42FB-95F8-A56EDC2DB3B4}"/>
            </a:ext>
          </a:extLst>
        </xdr:cNvPr>
        <xdr:cNvSpPr/>
      </xdr:nvSpPr>
      <xdr:spPr>
        <a:xfrm>
          <a:off x="647700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231</xdr:row>
      <xdr:rowOff>0</xdr:rowOff>
    </xdr:from>
    <xdr:to>
      <xdr:col>39</xdr:col>
      <xdr:colOff>83820</xdr:colOff>
      <xdr:row>231</xdr:row>
      <xdr:rowOff>114300</xdr:rowOff>
    </xdr:to>
    <xdr:sp macro="" textlink="">
      <xdr:nvSpPr>
        <xdr:cNvPr id="1776" name="Arrow: Down 1775">
          <a:extLst>
            <a:ext uri="{FF2B5EF4-FFF2-40B4-BE49-F238E27FC236}">
              <a16:creationId xmlns:a16="http://schemas.microsoft.com/office/drawing/2014/main" id="{3BB8CDE5-A753-49FD-AE2A-A2D3840D9604}"/>
            </a:ext>
          </a:extLst>
        </xdr:cNvPr>
        <xdr:cNvSpPr/>
      </xdr:nvSpPr>
      <xdr:spPr>
        <a:xfrm rot="10800000">
          <a:off x="963930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231</xdr:row>
      <xdr:rowOff>0</xdr:rowOff>
    </xdr:from>
    <xdr:to>
      <xdr:col>45</xdr:col>
      <xdr:colOff>83820</xdr:colOff>
      <xdr:row>231</xdr:row>
      <xdr:rowOff>114300</xdr:rowOff>
    </xdr:to>
    <xdr:sp macro="" textlink="">
      <xdr:nvSpPr>
        <xdr:cNvPr id="1778" name="Arrow: Down 1777">
          <a:extLst>
            <a:ext uri="{FF2B5EF4-FFF2-40B4-BE49-F238E27FC236}">
              <a16:creationId xmlns:a16="http://schemas.microsoft.com/office/drawing/2014/main" id="{638A235D-C989-4A07-92B5-63545D5F4BEF}"/>
            </a:ext>
          </a:extLst>
        </xdr:cNvPr>
        <xdr:cNvSpPr/>
      </xdr:nvSpPr>
      <xdr:spPr>
        <a:xfrm rot="10800000">
          <a:off x="1144524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232</xdr:row>
      <xdr:rowOff>0</xdr:rowOff>
    </xdr:from>
    <xdr:to>
      <xdr:col>11</xdr:col>
      <xdr:colOff>83820</xdr:colOff>
      <xdr:row>232</xdr:row>
      <xdr:rowOff>114300</xdr:rowOff>
    </xdr:to>
    <xdr:sp macro="" textlink="">
      <xdr:nvSpPr>
        <xdr:cNvPr id="1675" name="Arrow: Down 1674">
          <a:extLst>
            <a:ext uri="{FF2B5EF4-FFF2-40B4-BE49-F238E27FC236}">
              <a16:creationId xmlns:a16="http://schemas.microsoft.com/office/drawing/2014/main" id="{6D2454CB-E7D7-45CD-944F-62C5CBD5DDB9}"/>
            </a:ext>
          </a:extLst>
        </xdr:cNvPr>
        <xdr:cNvSpPr/>
      </xdr:nvSpPr>
      <xdr:spPr>
        <a:xfrm rot="10800000">
          <a:off x="3619500" y="4234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232</xdr:row>
      <xdr:rowOff>0</xdr:rowOff>
    </xdr:from>
    <xdr:to>
      <xdr:col>5</xdr:col>
      <xdr:colOff>83820</xdr:colOff>
      <xdr:row>232</xdr:row>
      <xdr:rowOff>114300</xdr:rowOff>
    </xdr:to>
    <xdr:sp macro="" textlink="">
      <xdr:nvSpPr>
        <xdr:cNvPr id="1678" name="Arrow: Down 1677">
          <a:extLst>
            <a:ext uri="{FF2B5EF4-FFF2-40B4-BE49-F238E27FC236}">
              <a16:creationId xmlns:a16="http://schemas.microsoft.com/office/drawing/2014/main" id="{5AA95851-2004-49B7-A1F9-820822F10C04}"/>
            </a:ext>
          </a:extLst>
        </xdr:cNvPr>
        <xdr:cNvSpPr/>
      </xdr:nvSpPr>
      <xdr:spPr>
        <a:xfrm rot="10800000">
          <a:off x="1927860" y="4234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232</xdr:row>
      <xdr:rowOff>0</xdr:rowOff>
    </xdr:from>
    <xdr:to>
      <xdr:col>24</xdr:col>
      <xdr:colOff>83820</xdr:colOff>
      <xdr:row>232</xdr:row>
      <xdr:rowOff>114300</xdr:rowOff>
    </xdr:to>
    <xdr:sp macro="" textlink="">
      <xdr:nvSpPr>
        <xdr:cNvPr id="1734" name="Arrow: Down 1733">
          <a:extLst>
            <a:ext uri="{FF2B5EF4-FFF2-40B4-BE49-F238E27FC236}">
              <a16:creationId xmlns:a16="http://schemas.microsoft.com/office/drawing/2014/main" id="{3366F5CD-D0D3-4748-9E34-44F5C41B41FF}"/>
            </a:ext>
          </a:extLst>
        </xdr:cNvPr>
        <xdr:cNvSpPr/>
      </xdr:nvSpPr>
      <xdr:spPr>
        <a:xfrm rot="10800000">
          <a:off x="64770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232</xdr:row>
      <xdr:rowOff>0</xdr:rowOff>
    </xdr:from>
    <xdr:to>
      <xdr:col>60</xdr:col>
      <xdr:colOff>83820</xdr:colOff>
      <xdr:row>232</xdr:row>
      <xdr:rowOff>114300</xdr:rowOff>
    </xdr:to>
    <xdr:sp macro="" textlink="">
      <xdr:nvSpPr>
        <xdr:cNvPr id="1736" name="Arrow: Down 1735">
          <a:extLst>
            <a:ext uri="{FF2B5EF4-FFF2-40B4-BE49-F238E27FC236}">
              <a16:creationId xmlns:a16="http://schemas.microsoft.com/office/drawing/2014/main" id="{2C8FD47E-9845-4A7B-90EC-A64C99574A58}"/>
            </a:ext>
          </a:extLst>
        </xdr:cNvPr>
        <xdr:cNvSpPr/>
      </xdr:nvSpPr>
      <xdr:spPr>
        <a:xfrm rot="10800000">
          <a:off x="167640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232</xdr:row>
      <xdr:rowOff>0</xdr:rowOff>
    </xdr:from>
    <xdr:to>
      <xdr:col>71</xdr:col>
      <xdr:colOff>83820</xdr:colOff>
      <xdr:row>232</xdr:row>
      <xdr:rowOff>114300</xdr:rowOff>
    </xdr:to>
    <xdr:sp macro="" textlink="">
      <xdr:nvSpPr>
        <xdr:cNvPr id="1739" name="Arrow: Down 1738">
          <a:extLst>
            <a:ext uri="{FF2B5EF4-FFF2-40B4-BE49-F238E27FC236}">
              <a16:creationId xmlns:a16="http://schemas.microsoft.com/office/drawing/2014/main" id="{D38BB2CA-DC9D-4CF4-A5BB-EE9AD3E926AE}"/>
            </a:ext>
          </a:extLst>
        </xdr:cNvPr>
        <xdr:cNvSpPr/>
      </xdr:nvSpPr>
      <xdr:spPr>
        <a:xfrm rot="10800000">
          <a:off x="1911858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232</xdr:row>
      <xdr:rowOff>0</xdr:rowOff>
    </xdr:from>
    <xdr:to>
      <xdr:col>39</xdr:col>
      <xdr:colOff>83820</xdr:colOff>
      <xdr:row>232</xdr:row>
      <xdr:rowOff>114300</xdr:rowOff>
    </xdr:to>
    <xdr:sp macro="" textlink="">
      <xdr:nvSpPr>
        <xdr:cNvPr id="1744" name="Arrow: Down 1743">
          <a:extLst>
            <a:ext uri="{FF2B5EF4-FFF2-40B4-BE49-F238E27FC236}">
              <a16:creationId xmlns:a16="http://schemas.microsoft.com/office/drawing/2014/main" id="{E8B362AC-CEA3-480D-B020-92981BABD855}"/>
            </a:ext>
          </a:extLst>
        </xdr:cNvPr>
        <xdr:cNvSpPr/>
      </xdr:nvSpPr>
      <xdr:spPr>
        <a:xfrm>
          <a:off x="96393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232</xdr:row>
      <xdr:rowOff>0</xdr:rowOff>
    </xdr:from>
    <xdr:to>
      <xdr:col>45</xdr:col>
      <xdr:colOff>83820</xdr:colOff>
      <xdr:row>232</xdr:row>
      <xdr:rowOff>114300</xdr:rowOff>
    </xdr:to>
    <xdr:sp macro="" textlink="">
      <xdr:nvSpPr>
        <xdr:cNvPr id="1750" name="Arrow: Down 1749">
          <a:extLst>
            <a:ext uri="{FF2B5EF4-FFF2-40B4-BE49-F238E27FC236}">
              <a16:creationId xmlns:a16="http://schemas.microsoft.com/office/drawing/2014/main" id="{584EEECF-8F22-47EB-9225-0156D76620D7}"/>
            </a:ext>
          </a:extLst>
        </xdr:cNvPr>
        <xdr:cNvSpPr/>
      </xdr:nvSpPr>
      <xdr:spPr>
        <a:xfrm>
          <a:off x="1144524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233</xdr:row>
      <xdr:rowOff>0</xdr:rowOff>
    </xdr:from>
    <xdr:to>
      <xdr:col>11</xdr:col>
      <xdr:colOff>83820</xdr:colOff>
      <xdr:row>233</xdr:row>
      <xdr:rowOff>114300</xdr:rowOff>
    </xdr:to>
    <xdr:sp macro="" textlink="">
      <xdr:nvSpPr>
        <xdr:cNvPr id="1774" name="Arrow: Down 1773">
          <a:extLst>
            <a:ext uri="{FF2B5EF4-FFF2-40B4-BE49-F238E27FC236}">
              <a16:creationId xmlns:a16="http://schemas.microsoft.com/office/drawing/2014/main" id="{81B58E4C-A703-4E91-8EC9-B7C4ECEF53BA}"/>
            </a:ext>
          </a:extLst>
        </xdr:cNvPr>
        <xdr:cNvSpPr/>
      </xdr:nvSpPr>
      <xdr:spPr>
        <a:xfrm rot="10800000">
          <a:off x="36195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233</xdr:row>
      <xdr:rowOff>0</xdr:rowOff>
    </xdr:from>
    <xdr:to>
      <xdr:col>5</xdr:col>
      <xdr:colOff>83820</xdr:colOff>
      <xdr:row>233</xdr:row>
      <xdr:rowOff>114300</xdr:rowOff>
    </xdr:to>
    <xdr:sp macro="" textlink="">
      <xdr:nvSpPr>
        <xdr:cNvPr id="1777" name="Arrow: Down 1776">
          <a:extLst>
            <a:ext uri="{FF2B5EF4-FFF2-40B4-BE49-F238E27FC236}">
              <a16:creationId xmlns:a16="http://schemas.microsoft.com/office/drawing/2014/main" id="{DC78A207-9346-47D0-BFD4-4B2E2085F3CD}"/>
            </a:ext>
          </a:extLst>
        </xdr:cNvPr>
        <xdr:cNvSpPr/>
      </xdr:nvSpPr>
      <xdr:spPr>
        <a:xfrm rot="10800000">
          <a:off x="192786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233</xdr:row>
      <xdr:rowOff>0</xdr:rowOff>
    </xdr:from>
    <xdr:to>
      <xdr:col>60</xdr:col>
      <xdr:colOff>83820</xdr:colOff>
      <xdr:row>233</xdr:row>
      <xdr:rowOff>114300</xdr:rowOff>
    </xdr:to>
    <xdr:sp macro="" textlink="">
      <xdr:nvSpPr>
        <xdr:cNvPr id="1784" name="Arrow: Down 1783">
          <a:extLst>
            <a:ext uri="{FF2B5EF4-FFF2-40B4-BE49-F238E27FC236}">
              <a16:creationId xmlns:a16="http://schemas.microsoft.com/office/drawing/2014/main" id="{958D0DEA-27AD-405D-ACA7-FF74FB55C5E5}"/>
            </a:ext>
          </a:extLst>
        </xdr:cNvPr>
        <xdr:cNvSpPr/>
      </xdr:nvSpPr>
      <xdr:spPr>
        <a:xfrm rot="10800000">
          <a:off x="167640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233</xdr:row>
      <xdr:rowOff>0</xdr:rowOff>
    </xdr:from>
    <xdr:to>
      <xdr:col>71</xdr:col>
      <xdr:colOff>83820</xdr:colOff>
      <xdr:row>233</xdr:row>
      <xdr:rowOff>114300</xdr:rowOff>
    </xdr:to>
    <xdr:sp macro="" textlink="">
      <xdr:nvSpPr>
        <xdr:cNvPr id="1786" name="Arrow: Down 1785">
          <a:extLst>
            <a:ext uri="{FF2B5EF4-FFF2-40B4-BE49-F238E27FC236}">
              <a16:creationId xmlns:a16="http://schemas.microsoft.com/office/drawing/2014/main" id="{D3C17EA9-5886-44BB-85FE-23A41F7C51C4}"/>
            </a:ext>
          </a:extLst>
        </xdr:cNvPr>
        <xdr:cNvSpPr/>
      </xdr:nvSpPr>
      <xdr:spPr>
        <a:xfrm rot="10800000">
          <a:off x="1911858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233</xdr:row>
      <xdr:rowOff>0</xdr:rowOff>
    </xdr:from>
    <xdr:to>
      <xdr:col>39</xdr:col>
      <xdr:colOff>83820</xdr:colOff>
      <xdr:row>233</xdr:row>
      <xdr:rowOff>114300</xdr:rowOff>
    </xdr:to>
    <xdr:sp macro="" textlink="">
      <xdr:nvSpPr>
        <xdr:cNvPr id="1787" name="Arrow: Down 1786">
          <a:extLst>
            <a:ext uri="{FF2B5EF4-FFF2-40B4-BE49-F238E27FC236}">
              <a16:creationId xmlns:a16="http://schemas.microsoft.com/office/drawing/2014/main" id="{3B1671C1-DD66-457E-87D4-C7FB8B7CA87E}"/>
            </a:ext>
          </a:extLst>
        </xdr:cNvPr>
        <xdr:cNvSpPr/>
      </xdr:nvSpPr>
      <xdr:spPr>
        <a:xfrm>
          <a:off x="96393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233</xdr:row>
      <xdr:rowOff>0</xdr:rowOff>
    </xdr:from>
    <xdr:to>
      <xdr:col>45</xdr:col>
      <xdr:colOff>83820</xdr:colOff>
      <xdr:row>233</xdr:row>
      <xdr:rowOff>114300</xdr:rowOff>
    </xdr:to>
    <xdr:sp macro="" textlink="">
      <xdr:nvSpPr>
        <xdr:cNvPr id="1788" name="Arrow: Down 1787">
          <a:extLst>
            <a:ext uri="{FF2B5EF4-FFF2-40B4-BE49-F238E27FC236}">
              <a16:creationId xmlns:a16="http://schemas.microsoft.com/office/drawing/2014/main" id="{962ABF48-F23B-4C9B-ABCB-5B6D7D35DBA7}"/>
            </a:ext>
          </a:extLst>
        </xdr:cNvPr>
        <xdr:cNvSpPr/>
      </xdr:nvSpPr>
      <xdr:spPr>
        <a:xfrm>
          <a:off x="1144524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233</xdr:row>
      <xdr:rowOff>0</xdr:rowOff>
    </xdr:from>
    <xdr:to>
      <xdr:col>24</xdr:col>
      <xdr:colOff>83820</xdr:colOff>
      <xdr:row>233</xdr:row>
      <xdr:rowOff>114300</xdr:rowOff>
    </xdr:to>
    <xdr:sp macro="" textlink="">
      <xdr:nvSpPr>
        <xdr:cNvPr id="1789" name="Arrow: Down 1788">
          <a:extLst>
            <a:ext uri="{FF2B5EF4-FFF2-40B4-BE49-F238E27FC236}">
              <a16:creationId xmlns:a16="http://schemas.microsoft.com/office/drawing/2014/main" id="{38919B54-9A77-4F39-AA9D-903B101E6DFF}"/>
            </a:ext>
          </a:extLst>
        </xdr:cNvPr>
        <xdr:cNvSpPr/>
      </xdr:nvSpPr>
      <xdr:spPr>
        <a:xfrm>
          <a:off x="6477000" y="4271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234</xdr:row>
      <xdr:rowOff>0</xdr:rowOff>
    </xdr:from>
    <xdr:to>
      <xdr:col>39</xdr:col>
      <xdr:colOff>83820</xdr:colOff>
      <xdr:row>234</xdr:row>
      <xdr:rowOff>114300</xdr:rowOff>
    </xdr:to>
    <xdr:sp macro="" textlink="">
      <xdr:nvSpPr>
        <xdr:cNvPr id="1801" name="Arrow: Down 1800">
          <a:extLst>
            <a:ext uri="{FF2B5EF4-FFF2-40B4-BE49-F238E27FC236}">
              <a16:creationId xmlns:a16="http://schemas.microsoft.com/office/drawing/2014/main" id="{095BE8D4-F244-4197-9E32-B957049A8ADF}"/>
            </a:ext>
          </a:extLst>
        </xdr:cNvPr>
        <xdr:cNvSpPr/>
      </xdr:nvSpPr>
      <xdr:spPr>
        <a:xfrm>
          <a:off x="9639300" y="4271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234</xdr:row>
      <xdr:rowOff>0</xdr:rowOff>
    </xdr:from>
    <xdr:to>
      <xdr:col>45</xdr:col>
      <xdr:colOff>83820</xdr:colOff>
      <xdr:row>234</xdr:row>
      <xdr:rowOff>114300</xdr:rowOff>
    </xdr:to>
    <xdr:sp macro="" textlink="">
      <xdr:nvSpPr>
        <xdr:cNvPr id="1802" name="Arrow: Down 1801">
          <a:extLst>
            <a:ext uri="{FF2B5EF4-FFF2-40B4-BE49-F238E27FC236}">
              <a16:creationId xmlns:a16="http://schemas.microsoft.com/office/drawing/2014/main" id="{C2B23307-0B83-4ADF-9209-D1E3EB9CEDD3}"/>
            </a:ext>
          </a:extLst>
        </xdr:cNvPr>
        <xdr:cNvSpPr/>
      </xdr:nvSpPr>
      <xdr:spPr>
        <a:xfrm>
          <a:off x="11445240" y="4271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234</xdr:row>
      <xdr:rowOff>0</xdr:rowOff>
    </xdr:from>
    <xdr:to>
      <xdr:col>24</xdr:col>
      <xdr:colOff>83820</xdr:colOff>
      <xdr:row>234</xdr:row>
      <xdr:rowOff>114300</xdr:rowOff>
    </xdr:to>
    <xdr:sp macro="" textlink="">
      <xdr:nvSpPr>
        <xdr:cNvPr id="1803" name="Arrow: Down 1802">
          <a:extLst>
            <a:ext uri="{FF2B5EF4-FFF2-40B4-BE49-F238E27FC236}">
              <a16:creationId xmlns:a16="http://schemas.microsoft.com/office/drawing/2014/main" id="{8709CE10-D560-4D31-85E8-66F45A860210}"/>
            </a:ext>
          </a:extLst>
        </xdr:cNvPr>
        <xdr:cNvSpPr/>
      </xdr:nvSpPr>
      <xdr:spPr>
        <a:xfrm>
          <a:off x="6477000" y="4271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234</xdr:row>
      <xdr:rowOff>0</xdr:rowOff>
    </xdr:from>
    <xdr:to>
      <xdr:col>11</xdr:col>
      <xdr:colOff>83820</xdr:colOff>
      <xdr:row>234</xdr:row>
      <xdr:rowOff>114300</xdr:rowOff>
    </xdr:to>
    <xdr:sp macro="" textlink="">
      <xdr:nvSpPr>
        <xdr:cNvPr id="1804" name="Arrow: Down 1803">
          <a:extLst>
            <a:ext uri="{FF2B5EF4-FFF2-40B4-BE49-F238E27FC236}">
              <a16:creationId xmlns:a16="http://schemas.microsoft.com/office/drawing/2014/main" id="{5253005D-C618-47B9-A976-4DA5EFEA444A}"/>
            </a:ext>
          </a:extLst>
        </xdr:cNvPr>
        <xdr:cNvSpPr/>
      </xdr:nvSpPr>
      <xdr:spPr>
        <a:xfrm>
          <a:off x="36195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234</xdr:row>
      <xdr:rowOff>0</xdr:rowOff>
    </xdr:from>
    <xdr:to>
      <xdr:col>5</xdr:col>
      <xdr:colOff>83820</xdr:colOff>
      <xdr:row>234</xdr:row>
      <xdr:rowOff>114300</xdr:rowOff>
    </xdr:to>
    <xdr:sp macro="" textlink="">
      <xdr:nvSpPr>
        <xdr:cNvPr id="1805" name="Arrow: Down 1804">
          <a:extLst>
            <a:ext uri="{FF2B5EF4-FFF2-40B4-BE49-F238E27FC236}">
              <a16:creationId xmlns:a16="http://schemas.microsoft.com/office/drawing/2014/main" id="{A76B99EC-210B-45EB-80E5-9282A4140296}"/>
            </a:ext>
          </a:extLst>
        </xdr:cNvPr>
        <xdr:cNvSpPr/>
      </xdr:nvSpPr>
      <xdr:spPr>
        <a:xfrm>
          <a:off x="192786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234</xdr:row>
      <xdr:rowOff>0</xdr:rowOff>
    </xdr:from>
    <xdr:to>
      <xdr:col>60</xdr:col>
      <xdr:colOff>83820</xdr:colOff>
      <xdr:row>234</xdr:row>
      <xdr:rowOff>114300</xdr:rowOff>
    </xdr:to>
    <xdr:sp macro="" textlink="">
      <xdr:nvSpPr>
        <xdr:cNvPr id="1806" name="Arrow: Down 1805">
          <a:extLst>
            <a:ext uri="{FF2B5EF4-FFF2-40B4-BE49-F238E27FC236}">
              <a16:creationId xmlns:a16="http://schemas.microsoft.com/office/drawing/2014/main" id="{5913157D-A5DF-4ED3-A8BF-2B4F0D9BA9F4}"/>
            </a:ext>
          </a:extLst>
        </xdr:cNvPr>
        <xdr:cNvSpPr/>
      </xdr:nvSpPr>
      <xdr:spPr>
        <a:xfrm>
          <a:off x="167640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234</xdr:row>
      <xdr:rowOff>0</xdr:rowOff>
    </xdr:from>
    <xdr:to>
      <xdr:col>71</xdr:col>
      <xdr:colOff>83820</xdr:colOff>
      <xdr:row>234</xdr:row>
      <xdr:rowOff>114300</xdr:rowOff>
    </xdr:to>
    <xdr:sp macro="" textlink="">
      <xdr:nvSpPr>
        <xdr:cNvPr id="1808" name="Arrow: Down 1807">
          <a:extLst>
            <a:ext uri="{FF2B5EF4-FFF2-40B4-BE49-F238E27FC236}">
              <a16:creationId xmlns:a16="http://schemas.microsoft.com/office/drawing/2014/main" id="{71685D1A-6F98-4745-A8EE-55479EBE3E66}"/>
            </a:ext>
          </a:extLst>
        </xdr:cNvPr>
        <xdr:cNvSpPr/>
      </xdr:nvSpPr>
      <xdr:spPr>
        <a:xfrm>
          <a:off x="1911858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84</xdr:col>
      <xdr:colOff>480060</xdr:colOff>
      <xdr:row>1</xdr:row>
      <xdr:rowOff>15241</xdr:rowOff>
    </xdr:from>
    <xdr:to>
      <xdr:col>87</xdr:col>
      <xdr:colOff>76200</xdr:colOff>
      <xdr:row>5</xdr:row>
      <xdr:rowOff>175260</xdr:rowOff>
    </xdr:to>
    <xdr:cxnSp macro="">
      <xdr:nvCxnSpPr>
        <xdr:cNvPr id="1810" name="Straight Arrow Connector 1809">
          <a:extLst>
            <a:ext uri="{FF2B5EF4-FFF2-40B4-BE49-F238E27FC236}">
              <a16:creationId xmlns:a16="http://schemas.microsoft.com/office/drawing/2014/main" id="{39AB161D-5C99-42B6-9717-F8442CACDE8F}"/>
            </a:ext>
          </a:extLst>
        </xdr:cNvPr>
        <xdr:cNvCxnSpPr/>
      </xdr:nvCxnSpPr>
      <xdr:spPr>
        <a:xfrm flipV="1">
          <a:off x="25664160" y="213361"/>
          <a:ext cx="693420" cy="952499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0</xdr:colOff>
      <xdr:row>235</xdr:row>
      <xdr:rowOff>0</xdr:rowOff>
    </xdr:from>
    <xdr:to>
      <xdr:col>45</xdr:col>
      <xdr:colOff>83820</xdr:colOff>
      <xdr:row>235</xdr:row>
      <xdr:rowOff>114300</xdr:rowOff>
    </xdr:to>
    <xdr:sp macro="" textlink="">
      <xdr:nvSpPr>
        <xdr:cNvPr id="1819" name="Arrow: Down 1818">
          <a:extLst>
            <a:ext uri="{FF2B5EF4-FFF2-40B4-BE49-F238E27FC236}">
              <a16:creationId xmlns:a16="http://schemas.microsoft.com/office/drawing/2014/main" id="{B81EE421-CFBA-4AAF-ADCA-6B190475DB59}"/>
            </a:ext>
          </a:extLst>
        </xdr:cNvPr>
        <xdr:cNvSpPr/>
      </xdr:nvSpPr>
      <xdr:spPr>
        <a:xfrm>
          <a:off x="11445240" y="4289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235</xdr:row>
      <xdr:rowOff>0</xdr:rowOff>
    </xdr:from>
    <xdr:to>
      <xdr:col>24</xdr:col>
      <xdr:colOff>83820</xdr:colOff>
      <xdr:row>235</xdr:row>
      <xdr:rowOff>114300</xdr:rowOff>
    </xdr:to>
    <xdr:sp macro="" textlink="">
      <xdr:nvSpPr>
        <xdr:cNvPr id="1820" name="Arrow: Down 1819">
          <a:extLst>
            <a:ext uri="{FF2B5EF4-FFF2-40B4-BE49-F238E27FC236}">
              <a16:creationId xmlns:a16="http://schemas.microsoft.com/office/drawing/2014/main" id="{6DE7CBA3-1CA1-46A3-8F9B-E0CA3D0FADF0}"/>
            </a:ext>
          </a:extLst>
        </xdr:cNvPr>
        <xdr:cNvSpPr/>
      </xdr:nvSpPr>
      <xdr:spPr>
        <a:xfrm>
          <a:off x="64770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235</xdr:row>
      <xdr:rowOff>0</xdr:rowOff>
    </xdr:from>
    <xdr:to>
      <xdr:col>11</xdr:col>
      <xdr:colOff>83820</xdr:colOff>
      <xdr:row>235</xdr:row>
      <xdr:rowOff>114300</xdr:rowOff>
    </xdr:to>
    <xdr:sp macro="" textlink="">
      <xdr:nvSpPr>
        <xdr:cNvPr id="1821" name="Arrow: Down 1820">
          <a:extLst>
            <a:ext uri="{FF2B5EF4-FFF2-40B4-BE49-F238E27FC236}">
              <a16:creationId xmlns:a16="http://schemas.microsoft.com/office/drawing/2014/main" id="{B4C3249E-6073-4AD7-AB17-1935C1798C31}"/>
            </a:ext>
          </a:extLst>
        </xdr:cNvPr>
        <xdr:cNvSpPr/>
      </xdr:nvSpPr>
      <xdr:spPr>
        <a:xfrm>
          <a:off x="36195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235</xdr:row>
      <xdr:rowOff>0</xdr:rowOff>
    </xdr:from>
    <xdr:to>
      <xdr:col>5</xdr:col>
      <xdr:colOff>83820</xdr:colOff>
      <xdr:row>235</xdr:row>
      <xdr:rowOff>114300</xdr:rowOff>
    </xdr:to>
    <xdr:sp macro="" textlink="">
      <xdr:nvSpPr>
        <xdr:cNvPr id="1822" name="Arrow: Down 1821">
          <a:extLst>
            <a:ext uri="{FF2B5EF4-FFF2-40B4-BE49-F238E27FC236}">
              <a16:creationId xmlns:a16="http://schemas.microsoft.com/office/drawing/2014/main" id="{88D308EC-C1F0-427E-9DEC-8EC928E8EBA6}"/>
            </a:ext>
          </a:extLst>
        </xdr:cNvPr>
        <xdr:cNvSpPr/>
      </xdr:nvSpPr>
      <xdr:spPr>
        <a:xfrm>
          <a:off x="192786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235</xdr:row>
      <xdr:rowOff>0</xdr:rowOff>
    </xdr:from>
    <xdr:to>
      <xdr:col>71</xdr:col>
      <xdr:colOff>83820</xdr:colOff>
      <xdr:row>235</xdr:row>
      <xdr:rowOff>114300</xdr:rowOff>
    </xdr:to>
    <xdr:sp macro="" textlink="">
      <xdr:nvSpPr>
        <xdr:cNvPr id="1826" name="Arrow: Down 1825">
          <a:extLst>
            <a:ext uri="{FF2B5EF4-FFF2-40B4-BE49-F238E27FC236}">
              <a16:creationId xmlns:a16="http://schemas.microsoft.com/office/drawing/2014/main" id="{BE94E832-7EAE-4E97-B1F0-D5B3B3639D10}"/>
            </a:ext>
          </a:extLst>
        </xdr:cNvPr>
        <xdr:cNvSpPr/>
      </xdr:nvSpPr>
      <xdr:spPr>
        <a:xfrm rot="10800000">
          <a:off x="20787360" y="4307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235</xdr:row>
      <xdr:rowOff>0</xdr:rowOff>
    </xdr:from>
    <xdr:to>
      <xdr:col>60</xdr:col>
      <xdr:colOff>83820</xdr:colOff>
      <xdr:row>235</xdr:row>
      <xdr:rowOff>114300</xdr:rowOff>
    </xdr:to>
    <xdr:sp macro="" textlink="">
      <xdr:nvSpPr>
        <xdr:cNvPr id="1827" name="Arrow: Down 1826">
          <a:extLst>
            <a:ext uri="{FF2B5EF4-FFF2-40B4-BE49-F238E27FC236}">
              <a16:creationId xmlns:a16="http://schemas.microsoft.com/office/drawing/2014/main" id="{246572EC-C6DA-40A1-B7D3-01683144BF68}"/>
            </a:ext>
          </a:extLst>
        </xdr:cNvPr>
        <xdr:cNvSpPr/>
      </xdr:nvSpPr>
      <xdr:spPr>
        <a:xfrm rot="10800000">
          <a:off x="16764000" y="4307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235</xdr:row>
      <xdr:rowOff>0</xdr:rowOff>
    </xdr:from>
    <xdr:to>
      <xdr:col>39</xdr:col>
      <xdr:colOff>83820</xdr:colOff>
      <xdr:row>235</xdr:row>
      <xdr:rowOff>114300</xdr:rowOff>
    </xdr:to>
    <xdr:sp macro="" textlink="">
      <xdr:nvSpPr>
        <xdr:cNvPr id="1829" name="Arrow: Down 1828">
          <a:extLst>
            <a:ext uri="{FF2B5EF4-FFF2-40B4-BE49-F238E27FC236}">
              <a16:creationId xmlns:a16="http://schemas.microsoft.com/office/drawing/2014/main" id="{34690ED8-0423-4CF5-8EC2-7092D4D32F50}"/>
            </a:ext>
          </a:extLst>
        </xdr:cNvPr>
        <xdr:cNvSpPr/>
      </xdr:nvSpPr>
      <xdr:spPr>
        <a:xfrm rot="10800000">
          <a:off x="9639300" y="4307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236</xdr:row>
      <xdr:rowOff>0</xdr:rowOff>
    </xdr:from>
    <xdr:to>
      <xdr:col>39</xdr:col>
      <xdr:colOff>83820</xdr:colOff>
      <xdr:row>236</xdr:row>
      <xdr:rowOff>114300</xdr:rowOff>
    </xdr:to>
    <xdr:sp macro="" textlink="">
      <xdr:nvSpPr>
        <xdr:cNvPr id="1771" name="Arrow: Down 1770">
          <a:extLst>
            <a:ext uri="{FF2B5EF4-FFF2-40B4-BE49-F238E27FC236}">
              <a16:creationId xmlns:a16="http://schemas.microsoft.com/office/drawing/2014/main" id="{C479026C-EEAF-49B2-A882-591BAF7DFDD9}"/>
            </a:ext>
          </a:extLst>
        </xdr:cNvPr>
        <xdr:cNvSpPr/>
      </xdr:nvSpPr>
      <xdr:spPr>
        <a:xfrm rot="10800000">
          <a:off x="11300460" y="4307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236</xdr:row>
      <xdr:rowOff>0</xdr:rowOff>
    </xdr:from>
    <xdr:to>
      <xdr:col>60</xdr:col>
      <xdr:colOff>83820</xdr:colOff>
      <xdr:row>236</xdr:row>
      <xdr:rowOff>114300</xdr:rowOff>
    </xdr:to>
    <xdr:sp macro="" textlink="">
      <xdr:nvSpPr>
        <xdr:cNvPr id="1782" name="Arrow: Down 1781">
          <a:extLst>
            <a:ext uri="{FF2B5EF4-FFF2-40B4-BE49-F238E27FC236}">
              <a16:creationId xmlns:a16="http://schemas.microsoft.com/office/drawing/2014/main" id="{D80BDE62-7514-4A55-8832-E6ACEDB2286E}"/>
            </a:ext>
          </a:extLst>
        </xdr:cNvPr>
        <xdr:cNvSpPr/>
      </xdr:nvSpPr>
      <xdr:spPr>
        <a:xfrm>
          <a:off x="1842516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236</xdr:row>
      <xdr:rowOff>0</xdr:rowOff>
    </xdr:from>
    <xdr:to>
      <xdr:col>71</xdr:col>
      <xdr:colOff>83820</xdr:colOff>
      <xdr:row>236</xdr:row>
      <xdr:rowOff>114300</xdr:rowOff>
    </xdr:to>
    <xdr:sp macro="" textlink="">
      <xdr:nvSpPr>
        <xdr:cNvPr id="1791" name="Arrow: Down 1790">
          <a:extLst>
            <a:ext uri="{FF2B5EF4-FFF2-40B4-BE49-F238E27FC236}">
              <a16:creationId xmlns:a16="http://schemas.microsoft.com/office/drawing/2014/main" id="{88AF4E7F-3411-4925-8821-082B17E72F70}"/>
            </a:ext>
          </a:extLst>
        </xdr:cNvPr>
        <xdr:cNvSpPr/>
      </xdr:nvSpPr>
      <xdr:spPr>
        <a:xfrm rot="10800000">
          <a:off x="2077974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236</xdr:row>
      <xdr:rowOff>0</xdr:rowOff>
    </xdr:from>
    <xdr:to>
      <xdr:col>45</xdr:col>
      <xdr:colOff>83820</xdr:colOff>
      <xdr:row>236</xdr:row>
      <xdr:rowOff>114300</xdr:rowOff>
    </xdr:to>
    <xdr:sp macro="" textlink="">
      <xdr:nvSpPr>
        <xdr:cNvPr id="1793" name="Arrow: Down 1792">
          <a:extLst>
            <a:ext uri="{FF2B5EF4-FFF2-40B4-BE49-F238E27FC236}">
              <a16:creationId xmlns:a16="http://schemas.microsoft.com/office/drawing/2014/main" id="{FB0638AF-7F6C-44A0-8334-6E52BE85295D}"/>
            </a:ext>
          </a:extLst>
        </xdr:cNvPr>
        <xdr:cNvSpPr/>
      </xdr:nvSpPr>
      <xdr:spPr>
        <a:xfrm rot="10800000">
          <a:off x="1310640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236</xdr:row>
      <xdr:rowOff>0</xdr:rowOff>
    </xdr:from>
    <xdr:to>
      <xdr:col>24</xdr:col>
      <xdr:colOff>83820</xdr:colOff>
      <xdr:row>236</xdr:row>
      <xdr:rowOff>114300</xdr:rowOff>
    </xdr:to>
    <xdr:sp macro="" textlink="">
      <xdr:nvSpPr>
        <xdr:cNvPr id="1795" name="Arrow: Down 1794">
          <a:extLst>
            <a:ext uri="{FF2B5EF4-FFF2-40B4-BE49-F238E27FC236}">
              <a16:creationId xmlns:a16="http://schemas.microsoft.com/office/drawing/2014/main" id="{2B209776-7A2E-4EF5-B02E-BCEFA52D89BF}"/>
            </a:ext>
          </a:extLst>
        </xdr:cNvPr>
        <xdr:cNvSpPr/>
      </xdr:nvSpPr>
      <xdr:spPr>
        <a:xfrm rot="10800000">
          <a:off x="81381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236</xdr:row>
      <xdr:rowOff>0</xdr:rowOff>
    </xdr:from>
    <xdr:to>
      <xdr:col>5</xdr:col>
      <xdr:colOff>83820</xdr:colOff>
      <xdr:row>236</xdr:row>
      <xdr:rowOff>114300</xdr:rowOff>
    </xdr:to>
    <xdr:sp macro="" textlink="">
      <xdr:nvSpPr>
        <xdr:cNvPr id="1796" name="Arrow: Down 1795">
          <a:extLst>
            <a:ext uri="{FF2B5EF4-FFF2-40B4-BE49-F238E27FC236}">
              <a16:creationId xmlns:a16="http://schemas.microsoft.com/office/drawing/2014/main" id="{EA04B637-9D7C-44CF-B54D-EA594FCAAFB5}"/>
            </a:ext>
          </a:extLst>
        </xdr:cNvPr>
        <xdr:cNvSpPr/>
      </xdr:nvSpPr>
      <xdr:spPr>
        <a:xfrm rot="10800000">
          <a:off x="19278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237</xdr:row>
      <xdr:rowOff>0</xdr:rowOff>
    </xdr:from>
    <xdr:to>
      <xdr:col>45</xdr:col>
      <xdr:colOff>83820</xdr:colOff>
      <xdr:row>237</xdr:row>
      <xdr:rowOff>114300</xdr:rowOff>
    </xdr:to>
    <xdr:sp macro="" textlink="">
      <xdr:nvSpPr>
        <xdr:cNvPr id="1727" name="Arrow: Down 1726">
          <a:extLst>
            <a:ext uri="{FF2B5EF4-FFF2-40B4-BE49-F238E27FC236}">
              <a16:creationId xmlns:a16="http://schemas.microsoft.com/office/drawing/2014/main" id="{3018E3C3-E992-407A-925C-F39BD5F2744C}"/>
            </a:ext>
          </a:extLst>
        </xdr:cNvPr>
        <xdr:cNvSpPr/>
      </xdr:nvSpPr>
      <xdr:spPr>
        <a:xfrm rot="10800000">
          <a:off x="1310640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237</xdr:row>
      <xdr:rowOff>0</xdr:rowOff>
    </xdr:from>
    <xdr:to>
      <xdr:col>24</xdr:col>
      <xdr:colOff>83820</xdr:colOff>
      <xdr:row>237</xdr:row>
      <xdr:rowOff>114300</xdr:rowOff>
    </xdr:to>
    <xdr:sp macro="" textlink="">
      <xdr:nvSpPr>
        <xdr:cNvPr id="1730" name="Arrow: Down 1729">
          <a:extLst>
            <a:ext uri="{FF2B5EF4-FFF2-40B4-BE49-F238E27FC236}">
              <a16:creationId xmlns:a16="http://schemas.microsoft.com/office/drawing/2014/main" id="{F29AF36C-B888-4A8D-982B-11D0D19E79D2}"/>
            </a:ext>
          </a:extLst>
        </xdr:cNvPr>
        <xdr:cNvSpPr/>
      </xdr:nvSpPr>
      <xdr:spPr>
        <a:xfrm rot="10800000">
          <a:off x="81381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237</xdr:row>
      <xdr:rowOff>0</xdr:rowOff>
    </xdr:from>
    <xdr:to>
      <xdr:col>5</xdr:col>
      <xdr:colOff>83820</xdr:colOff>
      <xdr:row>237</xdr:row>
      <xdr:rowOff>114300</xdr:rowOff>
    </xdr:to>
    <xdr:sp macro="" textlink="">
      <xdr:nvSpPr>
        <xdr:cNvPr id="1740" name="Arrow: Down 1739">
          <a:extLst>
            <a:ext uri="{FF2B5EF4-FFF2-40B4-BE49-F238E27FC236}">
              <a16:creationId xmlns:a16="http://schemas.microsoft.com/office/drawing/2014/main" id="{1EA86FEE-4B4A-4151-8B52-32103FB7D834}"/>
            </a:ext>
          </a:extLst>
        </xdr:cNvPr>
        <xdr:cNvSpPr/>
      </xdr:nvSpPr>
      <xdr:spPr>
        <a:xfrm rot="10800000">
          <a:off x="19278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237</xdr:row>
      <xdr:rowOff>0</xdr:rowOff>
    </xdr:from>
    <xdr:to>
      <xdr:col>11</xdr:col>
      <xdr:colOff>83820</xdr:colOff>
      <xdr:row>237</xdr:row>
      <xdr:rowOff>114300</xdr:rowOff>
    </xdr:to>
    <xdr:sp macro="" textlink="">
      <xdr:nvSpPr>
        <xdr:cNvPr id="1746" name="Arrow: Down 1745">
          <a:extLst>
            <a:ext uri="{FF2B5EF4-FFF2-40B4-BE49-F238E27FC236}">
              <a16:creationId xmlns:a16="http://schemas.microsoft.com/office/drawing/2014/main" id="{C067CDB5-92B2-48A8-9DA8-18876E4D519E}"/>
            </a:ext>
          </a:extLst>
        </xdr:cNvPr>
        <xdr:cNvSpPr/>
      </xdr:nvSpPr>
      <xdr:spPr>
        <a:xfrm rot="10800000">
          <a:off x="361950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236</xdr:row>
      <xdr:rowOff>0</xdr:rowOff>
    </xdr:from>
    <xdr:to>
      <xdr:col>11</xdr:col>
      <xdr:colOff>83820</xdr:colOff>
      <xdr:row>236</xdr:row>
      <xdr:rowOff>114300</xdr:rowOff>
    </xdr:to>
    <xdr:sp macro="" textlink="">
      <xdr:nvSpPr>
        <xdr:cNvPr id="1753" name="Arrow: Down 1752">
          <a:extLst>
            <a:ext uri="{FF2B5EF4-FFF2-40B4-BE49-F238E27FC236}">
              <a16:creationId xmlns:a16="http://schemas.microsoft.com/office/drawing/2014/main" id="{7FD1DBD5-8CA8-4449-8017-B986B00653DD}"/>
            </a:ext>
          </a:extLst>
        </xdr:cNvPr>
        <xdr:cNvSpPr/>
      </xdr:nvSpPr>
      <xdr:spPr>
        <a:xfrm rot="10800000">
          <a:off x="361950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237</xdr:row>
      <xdr:rowOff>0</xdr:rowOff>
    </xdr:from>
    <xdr:to>
      <xdr:col>39</xdr:col>
      <xdr:colOff>83820</xdr:colOff>
      <xdr:row>237</xdr:row>
      <xdr:rowOff>114300</xdr:rowOff>
    </xdr:to>
    <xdr:sp macro="" textlink="">
      <xdr:nvSpPr>
        <xdr:cNvPr id="1755" name="Arrow: Down 1754">
          <a:extLst>
            <a:ext uri="{FF2B5EF4-FFF2-40B4-BE49-F238E27FC236}">
              <a16:creationId xmlns:a16="http://schemas.microsoft.com/office/drawing/2014/main" id="{2F7DBCBB-9AE8-413D-9411-F31D9E234E15}"/>
            </a:ext>
          </a:extLst>
        </xdr:cNvPr>
        <xdr:cNvSpPr/>
      </xdr:nvSpPr>
      <xdr:spPr>
        <a:xfrm>
          <a:off x="113004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237</xdr:row>
      <xdr:rowOff>0</xdr:rowOff>
    </xdr:from>
    <xdr:to>
      <xdr:col>60</xdr:col>
      <xdr:colOff>83820</xdr:colOff>
      <xdr:row>237</xdr:row>
      <xdr:rowOff>114300</xdr:rowOff>
    </xdr:to>
    <xdr:sp macro="" textlink="">
      <xdr:nvSpPr>
        <xdr:cNvPr id="1757" name="Arrow: Down 1756">
          <a:extLst>
            <a:ext uri="{FF2B5EF4-FFF2-40B4-BE49-F238E27FC236}">
              <a16:creationId xmlns:a16="http://schemas.microsoft.com/office/drawing/2014/main" id="{482B0837-358D-4D44-8F29-5C8879C73156}"/>
            </a:ext>
          </a:extLst>
        </xdr:cNvPr>
        <xdr:cNvSpPr/>
      </xdr:nvSpPr>
      <xdr:spPr>
        <a:xfrm rot="10800000">
          <a:off x="184251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237</xdr:row>
      <xdr:rowOff>0</xdr:rowOff>
    </xdr:from>
    <xdr:to>
      <xdr:col>71</xdr:col>
      <xdr:colOff>83820</xdr:colOff>
      <xdr:row>237</xdr:row>
      <xdr:rowOff>114300</xdr:rowOff>
    </xdr:to>
    <xdr:sp macro="" textlink="">
      <xdr:nvSpPr>
        <xdr:cNvPr id="1764" name="Arrow: Down 1763">
          <a:extLst>
            <a:ext uri="{FF2B5EF4-FFF2-40B4-BE49-F238E27FC236}">
              <a16:creationId xmlns:a16="http://schemas.microsoft.com/office/drawing/2014/main" id="{5F0FDAB7-EB57-4443-84FC-022268A239F6}"/>
            </a:ext>
          </a:extLst>
        </xdr:cNvPr>
        <xdr:cNvSpPr/>
      </xdr:nvSpPr>
      <xdr:spPr>
        <a:xfrm rot="10800000">
          <a:off x="2077974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238</xdr:row>
      <xdr:rowOff>0</xdr:rowOff>
    </xdr:from>
    <xdr:to>
      <xdr:col>45</xdr:col>
      <xdr:colOff>83820</xdr:colOff>
      <xdr:row>238</xdr:row>
      <xdr:rowOff>114300</xdr:rowOff>
    </xdr:to>
    <xdr:sp macro="" textlink="">
      <xdr:nvSpPr>
        <xdr:cNvPr id="1800" name="Arrow: Down 1799">
          <a:extLst>
            <a:ext uri="{FF2B5EF4-FFF2-40B4-BE49-F238E27FC236}">
              <a16:creationId xmlns:a16="http://schemas.microsoft.com/office/drawing/2014/main" id="{E9929E88-4DFC-4D2F-9242-B54A4200AA1C}"/>
            </a:ext>
          </a:extLst>
        </xdr:cNvPr>
        <xdr:cNvSpPr/>
      </xdr:nvSpPr>
      <xdr:spPr>
        <a:xfrm rot="10800000">
          <a:off x="13106400" y="4344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238</xdr:row>
      <xdr:rowOff>0</xdr:rowOff>
    </xdr:from>
    <xdr:to>
      <xdr:col>24</xdr:col>
      <xdr:colOff>83820</xdr:colOff>
      <xdr:row>238</xdr:row>
      <xdr:rowOff>114300</xdr:rowOff>
    </xdr:to>
    <xdr:sp macro="" textlink="">
      <xdr:nvSpPr>
        <xdr:cNvPr id="1807" name="Arrow: Down 1806">
          <a:extLst>
            <a:ext uri="{FF2B5EF4-FFF2-40B4-BE49-F238E27FC236}">
              <a16:creationId xmlns:a16="http://schemas.microsoft.com/office/drawing/2014/main" id="{37734F94-B4E5-49D4-86FE-07B085F3DF47}"/>
            </a:ext>
          </a:extLst>
        </xdr:cNvPr>
        <xdr:cNvSpPr/>
      </xdr:nvSpPr>
      <xdr:spPr>
        <a:xfrm rot="10800000">
          <a:off x="81381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238</xdr:row>
      <xdr:rowOff>0</xdr:rowOff>
    </xdr:from>
    <xdr:to>
      <xdr:col>5</xdr:col>
      <xdr:colOff>83820</xdr:colOff>
      <xdr:row>238</xdr:row>
      <xdr:rowOff>114300</xdr:rowOff>
    </xdr:to>
    <xdr:sp macro="" textlink="">
      <xdr:nvSpPr>
        <xdr:cNvPr id="1809" name="Arrow: Down 1808">
          <a:extLst>
            <a:ext uri="{FF2B5EF4-FFF2-40B4-BE49-F238E27FC236}">
              <a16:creationId xmlns:a16="http://schemas.microsoft.com/office/drawing/2014/main" id="{393B4726-6FCC-4E82-9403-8D9CF9BB57C8}"/>
            </a:ext>
          </a:extLst>
        </xdr:cNvPr>
        <xdr:cNvSpPr/>
      </xdr:nvSpPr>
      <xdr:spPr>
        <a:xfrm rot="10800000">
          <a:off x="19278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238</xdr:row>
      <xdr:rowOff>0</xdr:rowOff>
    </xdr:from>
    <xdr:to>
      <xdr:col>11</xdr:col>
      <xdr:colOff>83820</xdr:colOff>
      <xdr:row>238</xdr:row>
      <xdr:rowOff>114300</xdr:rowOff>
    </xdr:to>
    <xdr:sp macro="" textlink="">
      <xdr:nvSpPr>
        <xdr:cNvPr id="1811" name="Arrow: Down 1810">
          <a:extLst>
            <a:ext uri="{FF2B5EF4-FFF2-40B4-BE49-F238E27FC236}">
              <a16:creationId xmlns:a16="http://schemas.microsoft.com/office/drawing/2014/main" id="{69347B00-3624-467C-A35A-8DC9AAE1666C}"/>
            </a:ext>
          </a:extLst>
        </xdr:cNvPr>
        <xdr:cNvSpPr/>
      </xdr:nvSpPr>
      <xdr:spPr>
        <a:xfrm rot="10800000">
          <a:off x="361950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238</xdr:row>
      <xdr:rowOff>0</xdr:rowOff>
    </xdr:from>
    <xdr:to>
      <xdr:col>39</xdr:col>
      <xdr:colOff>83820</xdr:colOff>
      <xdr:row>238</xdr:row>
      <xdr:rowOff>114300</xdr:rowOff>
    </xdr:to>
    <xdr:sp macro="" textlink="">
      <xdr:nvSpPr>
        <xdr:cNvPr id="1812" name="Arrow: Down 1811">
          <a:extLst>
            <a:ext uri="{FF2B5EF4-FFF2-40B4-BE49-F238E27FC236}">
              <a16:creationId xmlns:a16="http://schemas.microsoft.com/office/drawing/2014/main" id="{231A3A8D-35C0-443E-A1BC-1D4E0DA5BE88}"/>
            </a:ext>
          </a:extLst>
        </xdr:cNvPr>
        <xdr:cNvSpPr/>
      </xdr:nvSpPr>
      <xdr:spPr>
        <a:xfrm>
          <a:off x="113004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238</xdr:row>
      <xdr:rowOff>0</xdr:rowOff>
    </xdr:from>
    <xdr:to>
      <xdr:col>60</xdr:col>
      <xdr:colOff>83820</xdr:colOff>
      <xdr:row>238</xdr:row>
      <xdr:rowOff>114300</xdr:rowOff>
    </xdr:to>
    <xdr:sp macro="" textlink="">
      <xdr:nvSpPr>
        <xdr:cNvPr id="1813" name="Arrow: Down 1812">
          <a:extLst>
            <a:ext uri="{FF2B5EF4-FFF2-40B4-BE49-F238E27FC236}">
              <a16:creationId xmlns:a16="http://schemas.microsoft.com/office/drawing/2014/main" id="{EC6772E5-FEDA-4327-814C-1ED5DC33A9DF}"/>
            </a:ext>
          </a:extLst>
        </xdr:cNvPr>
        <xdr:cNvSpPr/>
      </xdr:nvSpPr>
      <xdr:spPr>
        <a:xfrm rot="10800000">
          <a:off x="184251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238</xdr:row>
      <xdr:rowOff>0</xdr:rowOff>
    </xdr:from>
    <xdr:to>
      <xdr:col>71</xdr:col>
      <xdr:colOff>83820</xdr:colOff>
      <xdr:row>238</xdr:row>
      <xdr:rowOff>114300</xdr:rowOff>
    </xdr:to>
    <xdr:sp macro="" textlink="">
      <xdr:nvSpPr>
        <xdr:cNvPr id="1814" name="Arrow: Down 1813">
          <a:extLst>
            <a:ext uri="{FF2B5EF4-FFF2-40B4-BE49-F238E27FC236}">
              <a16:creationId xmlns:a16="http://schemas.microsoft.com/office/drawing/2014/main" id="{39A432B1-7FA1-4607-86BF-696BAFA1AC82}"/>
            </a:ext>
          </a:extLst>
        </xdr:cNvPr>
        <xdr:cNvSpPr/>
      </xdr:nvSpPr>
      <xdr:spPr>
        <a:xfrm rot="10800000">
          <a:off x="2077974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239</xdr:row>
      <xdr:rowOff>0</xdr:rowOff>
    </xdr:from>
    <xdr:to>
      <xdr:col>45</xdr:col>
      <xdr:colOff>83820</xdr:colOff>
      <xdr:row>239</xdr:row>
      <xdr:rowOff>114300</xdr:rowOff>
    </xdr:to>
    <xdr:sp macro="" textlink="">
      <xdr:nvSpPr>
        <xdr:cNvPr id="1815" name="Arrow: Down 1814">
          <a:extLst>
            <a:ext uri="{FF2B5EF4-FFF2-40B4-BE49-F238E27FC236}">
              <a16:creationId xmlns:a16="http://schemas.microsoft.com/office/drawing/2014/main" id="{86C42689-AC96-4818-9CB1-BF541F9C179F}"/>
            </a:ext>
          </a:extLst>
        </xdr:cNvPr>
        <xdr:cNvSpPr/>
      </xdr:nvSpPr>
      <xdr:spPr>
        <a:xfrm rot="10800000">
          <a:off x="11445240" y="4362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239</xdr:row>
      <xdr:rowOff>0</xdr:rowOff>
    </xdr:from>
    <xdr:to>
      <xdr:col>5</xdr:col>
      <xdr:colOff>83820</xdr:colOff>
      <xdr:row>239</xdr:row>
      <xdr:rowOff>114300</xdr:rowOff>
    </xdr:to>
    <xdr:sp macro="" textlink="">
      <xdr:nvSpPr>
        <xdr:cNvPr id="1817" name="Arrow: Down 1816">
          <a:extLst>
            <a:ext uri="{FF2B5EF4-FFF2-40B4-BE49-F238E27FC236}">
              <a16:creationId xmlns:a16="http://schemas.microsoft.com/office/drawing/2014/main" id="{57FEF373-929D-4356-B2A8-08CE03148716}"/>
            </a:ext>
          </a:extLst>
        </xdr:cNvPr>
        <xdr:cNvSpPr/>
      </xdr:nvSpPr>
      <xdr:spPr>
        <a:xfrm rot="10800000">
          <a:off x="192786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239</xdr:row>
      <xdr:rowOff>0</xdr:rowOff>
    </xdr:from>
    <xdr:to>
      <xdr:col>11</xdr:col>
      <xdr:colOff>83820</xdr:colOff>
      <xdr:row>239</xdr:row>
      <xdr:rowOff>114300</xdr:rowOff>
    </xdr:to>
    <xdr:sp macro="" textlink="">
      <xdr:nvSpPr>
        <xdr:cNvPr id="1818" name="Arrow: Down 1817">
          <a:extLst>
            <a:ext uri="{FF2B5EF4-FFF2-40B4-BE49-F238E27FC236}">
              <a16:creationId xmlns:a16="http://schemas.microsoft.com/office/drawing/2014/main" id="{86B164B2-CBE8-4F35-82CA-0486B4ED7E5C}"/>
            </a:ext>
          </a:extLst>
        </xdr:cNvPr>
        <xdr:cNvSpPr/>
      </xdr:nvSpPr>
      <xdr:spPr>
        <a:xfrm rot="10800000">
          <a:off x="361950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239</xdr:row>
      <xdr:rowOff>0</xdr:rowOff>
    </xdr:from>
    <xdr:to>
      <xdr:col>39</xdr:col>
      <xdr:colOff>83820</xdr:colOff>
      <xdr:row>239</xdr:row>
      <xdr:rowOff>114300</xdr:rowOff>
    </xdr:to>
    <xdr:sp macro="" textlink="">
      <xdr:nvSpPr>
        <xdr:cNvPr id="1823" name="Arrow: Down 1822">
          <a:extLst>
            <a:ext uri="{FF2B5EF4-FFF2-40B4-BE49-F238E27FC236}">
              <a16:creationId xmlns:a16="http://schemas.microsoft.com/office/drawing/2014/main" id="{95C5F6A1-010B-4AD1-8C31-1ED46A5C9147}"/>
            </a:ext>
          </a:extLst>
        </xdr:cNvPr>
        <xdr:cNvSpPr/>
      </xdr:nvSpPr>
      <xdr:spPr>
        <a:xfrm>
          <a:off x="963930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239</xdr:row>
      <xdr:rowOff>0</xdr:rowOff>
    </xdr:from>
    <xdr:to>
      <xdr:col>71</xdr:col>
      <xdr:colOff>83820</xdr:colOff>
      <xdr:row>239</xdr:row>
      <xdr:rowOff>114300</xdr:rowOff>
    </xdr:to>
    <xdr:sp macro="" textlink="">
      <xdr:nvSpPr>
        <xdr:cNvPr id="1825" name="Arrow: Down 1824">
          <a:extLst>
            <a:ext uri="{FF2B5EF4-FFF2-40B4-BE49-F238E27FC236}">
              <a16:creationId xmlns:a16="http://schemas.microsoft.com/office/drawing/2014/main" id="{394F53AF-B657-4E06-94AD-CBD96640448B}"/>
            </a:ext>
          </a:extLst>
        </xdr:cNvPr>
        <xdr:cNvSpPr/>
      </xdr:nvSpPr>
      <xdr:spPr>
        <a:xfrm rot="10800000">
          <a:off x="1911858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239</xdr:row>
      <xdr:rowOff>0</xdr:rowOff>
    </xdr:from>
    <xdr:to>
      <xdr:col>24</xdr:col>
      <xdr:colOff>83820</xdr:colOff>
      <xdr:row>239</xdr:row>
      <xdr:rowOff>114300</xdr:rowOff>
    </xdr:to>
    <xdr:sp macro="" textlink="">
      <xdr:nvSpPr>
        <xdr:cNvPr id="1828" name="Arrow: Down 1827">
          <a:extLst>
            <a:ext uri="{FF2B5EF4-FFF2-40B4-BE49-F238E27FC236}">
              <a16:creationId xmlns:a16="http://schemas.microsoft.com/office/drawing/2014/main" id="{7BE00020-9472-4643-BFD3-670092BAEB93}"/>
            </a:ext>
          </a:extLst>
        </xdr:cNvPr>
        <xdr:cNvSpPr/>
      </xdr:nvSpPr>
      <xdr:spPr>
        <a:xfrm>
          <a:off x="6477000" y="4380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239</xdr:row>
      <xdr:rowOff>0</xdr:rowOff>
    </xdr:from>
    <xdr:to>
      <xdr:col>60</xdr:col>
      <xdr:colOff>83820</xdr:colOff>
      <xdr:row>239</xdr:row>
      <xdr:rowOff>114300</xdr:rowOff>
    </xdr:to>
    <xdr:sp macro="" textlink="">
      <xdr:nvSpPr>
        <xdr:cNvPr id="1830" name="Arrow: Down 1829">
          <a:extLst>
            <a:ext uri="{FF2B5EF4-FFF2-40B4-BE49-F238E27FC236}">
              <a16:creationId xmlns:a16="http://schemas.microsoft.com/office/drawing/2014/main" id="{F49A3C71-976D-471A-87DD-18810D81F572}"/>
            </a:ext>
          </a:extLst>
        </xdr:cNvPr>
        <xdr:cNvSpPr/>
      </xdr:nvSpPr>
      <xdr:spPr>
        <a:xfrm>
          <a:off x="16764000" y="4380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240</xdr:row>
      <xdr:rowOff>0</xdr:rowOff>
    </xdr:from>
    <xdr:to>
      <xdr:col>5</xdr:col>
      <xdr:colOff>83820</xdr:colOff>
      <xdr:row>240</xdr:row>
      <xdr:rowOff>114300</xdr:rowOff>
    </xdr:to>
    <xdr:sp macro="" textlink="">
      <xdr:nvSpPr>
        <xdr:cNvPr id="1762" name="Arrow: Down 1761">
          <a:extLst>
            <a:ext uri="{FF2B5EF4-FFF2-40B4-BE49-F238E27FC236}">
              <a16:creationId xmlns:a16="http://schemas.microsoft.com/office/drawing/2014/main" id="{BD4DCB3E-F600-40D6-B81C-3051C690C6E5}"/>
            </a:ext>
          </a:extLst>
        </xdr:cNvPr>
        <xdr:cNvSpPr/>
      </xdr:nvSpPr>
      <xdr:spPr>
        <a:xfrm rot="10800000">
          <a:off x="1927860" y="4380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240</xdr:row>
      <xdr:rowOff>0</xdr:rowOff>
    </xdr:from>
    <xdr:to>
      <xdr:col>11</xdr:col>
      <xdr:colOff>83820</xdr:colOff>
      <xdr:row>240</xdr:row>
      <xdr:rowOff>114300</xdr:rowOff>
    </xdr:to>
    <xdr:sp macro="" textlink="">
      <xdr:nvSpPr>
        <xdr:cNvPr id="1767" name="Arrow: Down 1766">
          <a:extLst>
            <a:ext uri="{FF2B5EF4-FFF2-40B4-BE49-F238E27FC236}">
              <a16:creationId xmlns:a16="http://schemas.microsoft.com/office/drawing/2014/main" id="{9FA7E2CA-90C7-436C-B753-3C6DD0078165}"/>
            </a:ext>
          </a:extLst>
        </xdr:cNvPr>
        <xdr:cNvSpPr/>
      </xdr:nvSpPr>
      <xdr:spPr>
        <a:xfrm rot="10800000">
          <a:off x="3619500" y="4380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240</xdr:row>
      <xdr:rowOff>0</xdr:rowOff>
    </xdr:from>
    <xdr:to>
      <xdr:col>71</xdr:col>
      <xdr:colOff>83820</xdr:colOff>
      <xdr:row>240</xdr:row>
      <xdr:rowOff>114300</xdr:rowOff>
    </xdr:to>
    <xdr:sp macro="" textlink="">
      <xdr:nvSpPr>
        <xdr:cNvPr id="1792" name="Arrow: Down 1791">
          <a:extLst>
            <a:ext uri="{FF2B5EF4-FFF2-40B4-BE49-F238E27FC236}">
              <a16:creationId xmlns:a16="http://schemas.microsoft.com/office/drawing/2014/main" id="{EB39FFCE-726D-46BE-AC8D-BB6E66984716}"/>
            </a:ext>
          </a:extLst>
        </xdr:cNvPr>
        <xdr:cNvSpPr/>
      </xdr:nvSpPr>
      <xdr:spPr>
        <a:xfrm rot="10800000">
          <a:off x="19118580" y="4380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240</xdr:row>
      <xdr:rowOff>0</xdr:rowOff>
    </xdr:from>
    <xdr:to>
      <xdr:col>24</xdr:col>
      <xdr:colOff>83820</xdr:colOff>
      <xdr:row>240</xdr:row>
      <xdr:rowOff>114300</xdr:rowOff>
    </xdr:to>
    <xdr:sp macro="" textlink="">
      <xdr:nvSpPr>
        <xdr:cNvPr id="1798" name="Arrow: Down 1797">
          <a:extLst>
            <a:ext uri="{FF2B5EF4-FFF2-40B4-BE49-F238E27FC236}">
              <a16:creationId xmlns:a16="http://schemas.microsoft.com/office/drawing/2014/main" id="{75C3C601-E228-4A68-9FDF-DE3F214BB31C}"/>
            </a:ext>
          </a:extLst>
        </xdr:cNvPr>
        <xdr:cNvSpPr/>
      </xdr:nvSpPr>
      <xdr:spPr>
        <a:xfrm rot="10800000">
          <a:off x="64770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240</xdr:row>
      <xdr:rowOff>0</xdr:rowOff>
    </xdr:from>
    <xdr:to>
      <xdr:col>60</xdr:col>
      <xdr:colOff>83820</xdr:colOff>
      <xdr:row>240</xdr:row>
      <xdr:rowOff>114300</xdr:rowOff>
    </xdr:to>
    <xdr:sp macro="" textlink="">
      <xdr:nvSpPr>
        <xdr:cNvPr id="1816" name="Arrow: Down 1815">
          <a:extLst>
            <a:ext uri="{FF2B5EF4-FFF2-40B4-BE49-F238E27FC236}">
              <a16:creationId xmlns:a16="http://schemas.microsoft.com/office/drawing/2014/main" id="{1FF30F71-4200-4D45-91F4-CC310EDCEBB4}"/>
            </a:ext>
          </a:extLst>
        </xdr:cNvPr>
        <xdr:cNvSpPr/>
      </xdr:nvSpPr>
      <xdr:spPr>
        <a:xfrm rot="10800000">
          <a:off x="167640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240</xdr:row>
      <xdr:rowOff>0</xdr:rowOff>
    </xdr:from>
    <xdr:to>
      <xdr:col>39</xdr:col>
      <xdr:colOff>83820</xdr:colOff>
      <xdr:row>240</xdr:row>
      <xdr:rowOff>114300</xdr:rowOff>
    </xdr:to>
    <xdr:sp macro="" textlink="">
      <xdr:nvSpPr>
        <xdr:cNvPr id="1824" name="Arrow: Down 1823">
          <a:extLst>
            <a:ext uri="{FF2B5EF4-FFF2-40B4-BE49-F238E27FC236}">
              <a16:creationId xmlns:a16="http://schemas.microsoft.com/office/drawing/2014/main" id="{6415636D-CA74-421D-9B0B-E8163C7E70DE}"/>
            </a:ext>
          </a:extLst>
        </xdr:cNvPr>
        <xdr:cNvSpPr/>
      </xdr:nvSpPr>
      <xdr:spPr>
        <a:xfrm>
          <a:off x="96393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240</xdr:row>
      <xdr:rowOff>0</xdr:rowOff>
    </xdr:from>
    <xdr:to>
      <xdr:col>45</xdr:col>
      <xdr:colOff>83820</xdr:colOff>
      <xdr:row>240</xdr:row>
      <xdr:rowOff>114300</xdr:rowOff>
    </xdr:to>
    <xdr:sp macro="" textlink="">
      <xdr:nvSpPr>
        <xdr:cNvPr id="1831" name="Arrow: Down 1830">
          <a:extLst>
            <a:ext uri="{FF2B5EF4-FFF2-40B4-BE49-F238E27FC236}">
              <a16:creationId xmlns:a16="http://schemas.microsoft.com/office/drawing/2014/main" id="{65F68B06-24DE-4ADD-B9A5-3CABF64E8581}"/>
            </a:ext>
          </a:extLst>
        </xdr:cNvPr>
        <xdr:cNvSpPr/>
      </xdr:nvSpPr>
      <xdr:spPr>
        <a:xfrm>
          <a:off x="1144524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241</xdr:row>
      <xdr:rowOff>0</xdr:rowOff>
    </xdr:from>
    <xdr:to>
      <xdr:col>39</xdr:col>
      <xdr:colOff>83820</xdr:colOff>
      <xdr:row>241</xdr:row>
      <xdr:rowOff>114300</xdr:rowOff>
    </xdr:to>
    <xdr:sp macro="" textlink="">
      <xdr:nvSpPr>
        <xdr:cNvPr id="1837" name="Arrow: Down 1836">
          <a:extLst>
            <a:ext uri="{FF2B5EF4-FFF2-40B4-BE49-F238E27FC236}">
              <a16:creationId xmlns:a16="http://schemas.microsoft.com/office/drawing/2014/main" id="{F78E218F-1588-4506-B991-547B492DC65C}"/>
            </a:ext>
          </a:extLst>
        </xdr:cNvPr>
        <xdr:cNvSpPr/>
      </xdr:nvSpPr>
      <xdr:spPr>
        <a:xfrm>
          <a:off x="96393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241</xdr:row>
      <xdr:rowOff>0</xdr:rowOff>
    </xdr:from>
    <xdr:to>
      <xdr:col>45</xdr:col>
      <xdr:colOff>83820</xdr:colOff>
      <xdr:row>241</xdr:row>
      <xdr:rowOff>114300</xdr:rowOff>
    </xdr:to>
    <xdr:sp macro="" textlink="">
      <xdr:nvSpPr>
        <xdr:cNvPr id="1838" name="Arrow: Down 1837">
          <a:extLst>
            <a:ext uri="{FF2B5EF4-FFF2-40B4-BE49-F238E27FC236}">
              <a16:creationId xmlns:a16="http://schemas.microsoft.com/office/drawing/2014/main" id="{572510B5-337B-449B-BEF4-1D305D5D9485}"/>
            </a:ext>
          </a:extLst>
        </xdr:cNvPr>
        <xdr:cNvSpPr/>
      </xdr:nvSpPr>
      <xdr:spPr>
        <a:xfrm>
          <a:off x="1144524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241</xdr:row>
      <xdr:rowOff>0</xdr:rowOff>
    </xdr:from>
    <xdr:to>
      <xdr:col>5</xdr:col>
      <xdr:colOff>83820</xdr:colOff>
      <xdr:row>241</xdr:row>
      <xdr:rowOff>114300</xdr:rowOff>
    </xdr:to>
    <xdr:sp macro="" textlink="">
      <xdr:nvSpPr>
        <xdr:cNvPr id="1839" name="Arrow: Down 1838">
          <a:extLst>
            <a:ext uri="{FF2B5EF4-FFF2-40B4-BE49-F238E27FC236}">
              <a16:creationId xmlns:a16="http://schemas.microsoft.com/office/drawing/2014/main" id="{4F1F5338-F6A9-423F-A32E-A431104C6ED9}"/>
            </a:ext>
          </a:extLst>
        </xdr:cNvPr>
        <xdr:cNvSpPr/>
      </xdr:nvSpPr>
      <xdr:spPr>
        <a:xfrm>
          <a:off x="192786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241</xdr:row>
      <xdr:rowOff>0</xdr:rowOff>
    </xdr:from>
    <xdr:to>
      <xdr:col>11</xdr:col>
      <xdr:colOff>83820</xdr:colOff>
      <xdr:row>241</xdr:row>
      <xdr:rowOff>114300</xdr:rowOff>
    </xdr:to>
    <xdr:sp macro="" textlink="">
      <xdr:nvSpPr>
        <xdr:cNvPr id="1840" name="Arrow: Down 1839">
          <a:extLst>
            <a:ext uri="{FF2B5EF4-FFF2-40B4-BE49-F238E27FC236}">
              <a16:creationId xmlns:a16="http://schemas.microsoft.com/office/drawing/2014/main" id="{12016E84-32D6-4998-AD4B-20A09DFDC2AD}"/>
            </a:ext>
          </a:extLst>
        </xdr:cNvPr>
        <xdr:cNvSpPr/>
      </xdr:nvSpPr>
      <xdr:spPr>
        <a:xfrm>
          <a:off x="36957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241</xdr:row>
      <xdr:rowOff>0</xdr:rowOff>
    </xdr:from>
    <xdr:to>
      <xdr:col>24</xdr:col>
      <xdr:colOff>83820</xdr:colOff>
      <xdr:row>241</xdr:row>
      <xdr:rowOff>114300</xdr:rowOff>
    </xdr:to>
    <xdr:sp macro="" textlink="">
      <xdr:nvSpPr>
        <xdr:cNvPr id="1842" name="Arrow: Down 1841">
          <a:extLst>
            <a:ext uri="{FF2B5EF4-FFF2-40B4-BE49-F238E27FC236}">
              <a16:creationId xmlns:a16="http://schemas.microsoft.com/office/drawing/2014/main" id="{87F85826-2044-4A37-998F-30B8E0903418}"/>
            </a:ext>
          </a:extLst>
        </xdr:cNvPr>
        <xdr:cNvSpPr/>
      </xdr:nvSpPr>
      <xdr:spPr>
        <a:xfrm>
          <a:off x="65532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241</xdr:row>
      <xdr:rowOff>0</xdr:rowOff>
    </xdr:from>
    <xdr:to>
      <xdr:col>60</xdr:col>
      <xdr:colOff>83820</xdr:colOff>
      <xdr:row>241</xdr:row>
      <xdr:rowOff>114300</xdr:rowOff>
    </xdr:to>
    <xdr:sp macro="" textlink="">
      <xdr:nvSpPr>
        <xdr:cNvPr id="1843" name="Arrow: Down 1842">
          <a:extLst>
            <a:ext uri="{FF2B5EF4-FFF2-40B4-BE49-F238E27FC236}">
              <a16:creationId xmlns:a16="http://schemas.microsoft.com/office/drawing/2014/main" id="{F503AA27-C619-4966-98B0-FFF957CE1EE0}"/>
            </a:ext>
          </a:extLst>
        </xdr:cNvPr>
        <xdr:cNvSpPr/>
      </xdr:nvSpPr>
      <xdr:spPr>
        <a:xfrm>
          <a:off x="168402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241</xdr:row>
      <xdr:rowOff>0</xdr:rowOff>
    </xdr:from>
    <xdr:to>
      <xdr:col>71</xdr:col>
      <xdr:colOff>83820</xdr:colOff>
      <xdr:row>241</xdr:row>
      <xdr:rowOff>114300</xdr:rowOff>
    </xdr:to>
    <xdr:sp macro="" textlink="">
      <xdr:nvSpPr>
        <xdr:cNvPr id="1844" name="Arrow: Down 1843">
          <a:extLst>
            <a:ext uri="{FF2B5EF4-FFF2-40B4-BE49-F238E27FC236}">
              <a16:creationId xmlns:a16="http://schemas.microsoft.com/office/drawing/2014/main" id="{D7350C0F-F3BB-492F-8ABC-0CFA145819AC}"/>
            </a:ext>
          </a:extLst>
        </xdr:cNvPr>
        <xdr:cNvSpPr/>
      </xdr:nvSpPr>
      <xdr:spPr>
        <a:xfrm>
          <a:off x="1919478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242</xdr:row>
      <xdr:rowOff>0</xdr:rowOff>
    </xdr:from>
    <xdr:to>
      <xdr:col>39</xdr:col>
      <xdr:colOff>83820</xdr:colOff>
      <xdr:row>242</xdr:row>
      <xdr:rowOff>114300</xdr:rowOff>
    </xdr:to>
    <xdr:sp macro="" textlink="">
      <xdr:nvSpPr>
        <xdr:cNvPr id="1847" name="Arrow: Down 1846">
          <a:extLst>
            <a:ext uri="{FF2B5EF4-FFF2-40B4-BE49-F238E27FC236}">
              <a16:creationId xmlns:a16="http://schemas.microsoft.com/office/drawing/2014/main" id="{1CBE982F-F787-4E10-8822-7C979D94F5D1}"/>
            </a:ext>
          </a:extLst>
        </xdr:cNvPr>
        <xdr:cNvSpPr/>
      </xdr:nvSpPr>
      <xdr:spPr>
        <a:xfrm>
          <a:off x="9715500" y="4417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242</xdr:row>
      <xdr:rowOff>0</xdr:rowOff>
    </xdr:from>
    <xdr:to>
      <xdr:col>45</xdr:col>
      <xdr:colOff>83820</xdr:colOff>
      <xdr:row>242</xdr:row>
      <xdr:rowOff>114300</xdr:rowOff>
    </xdr:to>
    <xdr:sp macro="" textlink="">
      <xdr:nvSpPr>
        <xdr:cNvPr id="1848" name="Arrow: Down 1847">
          <a:extLst>
            <a:ext uri="{FF2B5EF4-FFF2-40B4-BE49-F238E27FC236}">
              <a16:creationId xmlns:a16="http://schemas.microsoft.com/office/drawing/2014/main" id="{D6485ED3-D607-4E93-BD87-8F99DEC1D403}"/>
            </a:ext>
          </a:extLst>
        </xdr:cNvPr>
        <xdr:cNvSpPr/>
      </xdr:nvSpPr>
      <xdr:spPr>
        <a:xfrm>
          <a:off x="11521440" y="4417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242</xdr:row>
      <xdr:rowOff>0</xdr:rowOff>
    </xdr:from>
    <xdr:to>
      <xdr:col>5</xdr:col>
      <xdr:colOff>83820</xdr:colOff>
      <xdr:row>242</xdr:row>
      <xdr:rowOff>114300</xdr:rowOff>
    </xdr:to>
    <xdr:sp macro="" textlink="">
      <xdr:nvSpPr>
        <xdr:cNvPr id="1849" name="Arrow: Down 1848">
          <a:extLst>
            <a:ext uri="{FF2B5EF4-FFF2-40B4-BE49-F238E27FC236}">
              <a16:creationId xmlns:a16="http://schemas.microsoft.com/office/drawing/2014/main" id="{097247E4-BC53-46D6-8A80-C6FEAC64046E}"/>
            </a:ext>
          </a:extLst>
        </xdr:cNvPr>
        <xdr:cNvSpPr/>
      </xdr:nvSpPr>
      <xdr:spPr>
        <a:xfrm>
          <a:off x="192786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242</xdr:row>
      <xdr:rowOff>0</xdr:rowOff>
    </xdr:from>
    <xdr:to>
      <xdr:col>11</xdr:col>
      <xdr:colOff>83820</xdr:colOff>
      <xdr:row>242</xdr:row>
      <xdr:rowOff>114300</xdr:rowOff>
    </xdr:to>
    <xdr:sp macro="" textlink="">
      <xdr:nvSpPr>
        <xdr:cNvPr id="1850" name="Arrow: Down 1849">
          <a:extLst>
            <a:ext uri="{FF2B5EF4-FFF2-40B4-BE49-F238E27FC236}">
              <a16:creationId xmlns:a16="http://schemas.microsoft.com/office/drawing/2014/main" id="{16A8183D-5CD7-4203-AF2A-1E3298C35C8D}"/>
            </a:ext>
          </a:extLst>
        </xdr:cNvPr>
        <xdr:cNvSpPr/>
      </xdr:nvSpPr>
      <xdr:spPr>
        <a:xfrm>
          <a:off x="36957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242</xdr:row>
      <xdr:rowOff>0</xdr:rowOff>
    </xdr:from>
    <xdr:to>
      <xdr:col>24</xdr:col>
      <xdr:colOff>83820</xdr:colOff>
      <xdr:row>242</xdr:row>
      <xdr:rowOff>114300</xdr:rowOff>
    </xdr:to>
    <xdr:sp macro="" textlink="">
      <xdr:nvSpPr>
        <xdr:cNvPr id="1851" name="Arrow: Down 1850">
          <a:extLst>
            <a:ext uri="{FF2B5EF4-FFF2-40B4-BE49-F238E27FC236}">
              <a16:creationId xmlns:a16="http://schemas.microsoft.com/office/drawing/2014/main" id="{8C6912A5-7ECD-45F0-A4D4-ABBA58E5A046}"/>
            </a:ext>
          </a:extLst>
        </xdr:cNvPr>
        <xdr:cNvSpPr/>
      </xdr:nvSpPr>
      <xdr:spPr>
        <a:xfrm>
          <a:off x="65532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242</xdr:row>
      <xdr:rowOff>0</xdr:rowOff>
    </xdr:from>
    <xdr:to>
      <xdr:col>60</xdr:col>
      <xdr:colOff>83820</xdr:colOff>
      <xdr:row>242</xdr:row>
      <xdr:rowOff>114300</xdr:rowOff>
    </xdr:to>
    <xdr:sp macro="" textlink="">
      <xdr:nvSpPr>
        <xdr:cNvPr id="1854" name="Arrow: Down 1853">
          <a:extLst>
            <a:ext uri="{FF2B5EF4-FFF2-40B4-BE49-F238E27FC236}">
              <a16:creationId xmlns:a16="http://schemas.microsoft.com/office/drawing/2014/main" id="{ACD682A0-18DE-4D41-A1C8-FE4D9667E0FA}"/>
            </a:ext>
          </a:extLst>
        </xdr:cNvPr>
        <xdr:cNvSpPr/>
      </xdr:nvSpPr>
      <xdr:spPr>
        <a:xfrm rot="10800000">
          <a:off x="16840200" y="4435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242</xdr:row>
      <xdr:rowOff>0</xdr:rowOff>
    </xdr:from>
    <xdr:to>
      <xdr:col>71</xdr:col>
      <xdr:colOff>83820</xdr:colOff>
      <xdr:row>242</xdr:row>
      <xdr:rowOff>114300</xdr:rowOff>
    </xdr:to>
    <xdr:sp macro="" textlink="">
      <xdr:nvSpPr>
        <xdr:cNvPr id="1856" name="Arrow: Down 1855">
          <a:extLst>
            <a:ext uri="{FF2B5EF4-FFF2-40B4-BE49-F238E27FC236}">
              <a16:creationId xmlns:a16="http://schemas.microsoft.com/office/drawing/2014/main" id="{4E682D0C-043B-4F0A-9FA8-424EE67E8807}"/>
            </a:ext>
          </a:extLst>
        </xdr:cNvPr>
        <xdr:cNvSpPr/>
      </xdr:nvSpPr>
      <xdr:spPr>
        <a:xfrm rot="10800000">
          <a:off x="20863560" y="4435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243</xdr:row>
      <xdr:rowOff>0</xdr:rowOff>
    </xdr:from>
    <xdr:to>
      <xdr:col>45</xdr:col>
      <xdr:colOff>83820</xdr:colOff>
      <xdr:row>243</xdr:row>
      <xdr:rowOff>114300</xdr:rowOff>
    </xdr:to>
    <xdr:sp macro="" textlink="">
      <xdr:nvSpPr>
        <xdr:cNvPr id="1794" name="Arrow: Down 1793">
          <a:extLst>
            <a:ext uri="{FF2B5EF4-FFF2-40B4-BE49-F238E27FC236}">
              <a16:creationId xmlns:a16="http://schemas.microsoft.com/office/drawing/2014/main" id="{3CBE3DC0-DB94-4207-A932-63B66B3E9F1D}"/>
            </a:ext>
          </a:extLst>
        </xdr:cNvPr>
        <xdr:cNvSpPr/>
      </xdr:nvSpPr>
      <xdr:spPr>
        <a:xfrm>
          <a:off x="11521440" y="4435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243</xdr:row>
      <xdr:rowOff>0</xdr:rowOff>
    </xdr:from>
    <xdr:to>
      <xdr:col>5</xdr:col>
      <xdr:colOff>83820</xdr:colOff>
      <xdr:row>243</xdr:row>
      <xdr:rowOff>114300</xdr:rowOff>
    </xdr:to>
    <xdr:sp macro="" textlink="">
      <xdr:nvSpPr>
        <xdr:cNvPr id="1836" name="Arrow: Down 1835">
          <a:extLst>
            <a:ext uri="{FF2B5EF4-FFF2-40B4-BE49-F238E27FC236}">
              <a16:creationId xmlns:a16="http://schemas.microsoft.com/office/drawing/2014/main" id="{FB76DCEA-EA24-4E39-9555-E6B9151B54D6}"/>
            </a:ext>
          </a:extLst>
        </xdr:cNvPr>
        <xdr:cNvSpPr/>
      </xdr:nvSpPr>
      <xdr:spPr>
        <a:xfrm rot="10800000">
          <a:off x="192786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243</xdr:row>
      <xdr:rowOff>0</xdr:rowOff>
    </xdr:from>
    <xdr:to>
      <xdr:col>11</xdr:col>
      <xdr:colOff>83820</xdr:colOff>
      <xdr:row>243</xdr:row>
      <xdr:rowOff>114300</xdr:rowOff>
    </xdr:to>
    <xdr:sp macro="" textlink="">
      <xdr:nvSpPr>
        <xdr:cNvPr id="1841" name="Arrow: Down 1840">
          <a:extLst>
            <a:ext uri="{FF2B5EF4-FFF2-40B4-BE49-F238E27FC236}">
              <a16:creationId xmlns:a16="http://schemas.microsoft.com/office/drawing/2014/main" id="{9662E5FD-5FDD-4BB9-ACC7-92395BC6B2BE}"/>
            </a:ext>
          </a:extLst>
        </xdr:cNvPr>
        <xdr:cNvSpPr/>
      </xdr:nvSpPr>
      <xdr:spPr>
        <a:xfrm rot="10800000">
          <a:off x="36957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243</xdr:row>
      <xdr:rowOff>0</xdr:rowOff>
    </xdr:from>
    <xdr:to>
      <xdr:col>24</xdr:col>
      <xdr:colOff>83820</xdr:colOff>
      <xdr:row>243</xdr:row>
      <xdr:rowOff>114300</xdr:rowOff>
    </xdr:to>
    <xdr:sp macro="" textlink="">
      <xdr:nvSpPr>
        <xdr:cNvPr id="1845" name="Arrow: Down 1844">
          <a:extLst>
            <a:ext uri="{FF2B5EF4-FFF2-40B4-BE49-F238E27FC236}">
              <a16:creationId xmlns:a16="http://schemas.microsoft.com/office/drawing/2014/main" id="{0708A1CF-1194-4251-8E60-E329FFE2FE24}"/>
            </a:ext>
          </a:extLst>
        </xdr:cNvPr>
        <xdr:cNvSpPr/>
      </xdr:nvSpPr>
      <xdr:spPr>
        <a:xfrm rot="10800000">
          <a:off x="65532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243</xdr:row>
      <xdr:rowOff>0</xdr:rowOff>
    </xdr:from>
    <xdr:to>
      <xdr:col>39</xdr:col>
      <xdr:colOff>83820</xdr:colOff>
      <xdr:row>243</xdr:row>
      <xdr:rowOff>114300</xdr:rowOff>
    </xdr:to>
    <xdr:sp macro="" textlink="">
      <xdr:nvSpPr>
        <xdr:cNvPr id="1852" name="Arrow: Down 1851">
          <a:extLst>
            <a:ext uri="{FF2B5EF4-FFF2-40B4-BE49-F238E27FC236}">
              <a16:creationId xmlns:a16="http://schemas.microsoft.com/office/drawing/2014/main" id="{21A5F523-2069-4CAC-A116-4F9499A4A61B}"/>
            </a:ext>
          </a:extLst>
        </xdr:cNvPr>
        <xdr:cNvSpPr/>
      </xdr:nvSpPr>
      <xdr:spPr>
        <a:xfrm rot="10800000">
          <a:off x="9715500" y="4453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243</xdr:row>
      <xdr:rowOff>0</xdr:rowOff>
    </xdr:from>
    <xdr:to>
      <xdr:col>60</xdr:col>
      <xdr:colOff>83820</xdr:colOff>
      <xdr:row>243</xdr:row>
      <xdr:rowOff>114300</xdr:rowOff>
    </xdr:to>
    <xdr:sp macro="" textlink="">
      <xdr:nvSpPr>
        <xdr:cNvPr id="1853" name="Arrow: Down 1852">
          <a:extLst>
            <a:ext uri="{FF2B5EF4-FFF2-40B4-BE49-F238E27FC236}">
              <a16:creationId xmlns:a16="http://schemas.microsoft.com/office/drawing/2014/main" id="{3D0A40C0-D88B-496B-89C2-6B801C3FB94E}"/>
            </a:ext>
          </a:extLst>
        </xdr:cNvPr>
        <xdr:cNvSpPr/>
      </xdr:nvSpPr>
      <xdr:spPr>
        <a:xfrm>
          <a:off x="16840200" y="4453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243</xdr:row>
      <xdr:rowOff>0</xdr:rowOff>
    </xdr:from>
    <xdr:to>
      <xdr:col>71</xdr:col>
      <xdr:colOff>83820</xdr:colOff>
      <xdr:row>243</xdr:row>
      <xdr:rowOff>114300</xdr:rowOff>
    </xdr:to>
    <xdr:sp macro="" textlink="">
      <xdr:nvSpPr>
        <xdr:cNvPr id="1855" name="Arrow: Down 1854">
          <a:extLst>
            <a:ext uri="{FF2B5EF4-FFF2-40B4-BE49-F238E27FC236}">
              <a16:creationId xmlns:a16="http://schemas.microsoft.com/office/drawing/2014/main" id="{CD9703EB-EDC9-49D9-8B3D-25ECE670C01E}"/>
            </a:ext>
          </a:extLst>
        </xdr:cNvPr>
        <xdr:cNvSpPr/>
      </xdr:nvSpPr>
      <xdr:spPr>
        <a:xfrm>
          <a:off x="19194780" y="4453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244</xdr:row>
      <xdr:rowOff>0</xdr:rowOff>
    </xdr:from>
    <xdr:to>
      <xdr:col>45</xdr:col>
      <xdr:colOff>83820</xdr:colOff>
      <xdr:row>244</xdr:row>
      <xdr:rowOff>114300</xdr:rowOff>
    </xdr:to>
    <xdr:sp macro="" textlink="">
      <xdr:nvSpPr>
        <xdr:cNvPr id="1790" name="Arrow: Down 1789">
          <a:extLst>
            <a:ext uri="{FF2B5EF4-FFF2-40B4-BE49-F238E27FC236}">
              <a16:creationId xmlns:a16="http://schemas.microsoft.com/office/drawing/2014/main" id="{C0A2498E-A063-423B-932B-6754FDB3EED0}"/>
            </a:ext>
          </a:extLst>
        </xdr:cNvPr>
        <xdr:cNvSpPr/>
      </xdr:nvSpPr>
      <xdr:spPr>
        <a:xfrm>
          <a:off x="1152144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244</xdr:row>
      <xdr:rowOff>0</xdr:rowOff>
    </xdr:from>
    <xdr:to>
      <xdr:col>5</xdr:col>
      <xdr:colOff>83820</xdr:colOff>
      <xdr:row>244</xdr:row>
      <xdr:rowOff>114300</xdr:rowOff>
    </xdr:to>
    <xdr:sp macro="" textlink="">
      <xdr:nvSpPr>
        <xdr:cNvPr id="1797" name="Arrow: Down 1796">
          <a:extLst>
            <a:ext uri="{FF2B5EF4-FFF2-40B4-BE49-F238E27FC236}">
              <a16:creationId xmlns:a16="http://schemas.microsoft.com/office/drawing/2014/main" id="{1A1C6A54-174C-4DF0-8FA3-5D1AE9B7A368}"/>
            </a:ext>
          </a:extLst>
        </xdr:cNvPr>
        <xdr:cNvSpPr/>
      </xdr:nvSpPr>
      <xdr:spPr>
        <a:xfrm rot="10800000">
          <a:off x="192786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244</xdr:row>
      <xdr:rowOff>0</xdr:rowOff>
    </xdr:from>
    <xdr:to>
      <xdr:col>11</xdr:col>
      <xdr:colOff>83820</xdr:colOff>
      <xdr:row>244</xdr:row>
      <xdr:rowOff>114300</xdr:rowOff>
    </xdr:to>
    <xdr:sp macro="" textlink="">
      <xdr:nvSpPr>
        <xdr:cNvPr id="1799" name="Arrow: Down 1798">
          <a:extLst>
            <a:ext uri="{FF2B5EF4-FFF2-40B4-BE49-F238E27FC236}">
              <a16:creationId xmlns:a16="http://schemas.microsoft.com/office/drawing/2014/main" id="{36494D2D-E098-4A30-964E-95AC022214AB}"/>
            </a:ext>
          </a:extLst>
        </xdr:cNvPr>
        <xdr:cNvSpPr/>
      </xdr:nvSpPr>
      <xdr:spPr>
        <a:xfrm rot="10800000">
          <a:off x="36957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244</xdr:row>
      <xdr:rowOff>0</xdr:rowOff>
    </xdr:from>
    <xdr:to>
      <xdr:col>24</xdr:col>
      <xdr:colOff>83820</xdr:colOff>
      <xdr:row>244</xdr:row>
      <xdr:rowOff>114300</xdr:rowOff>
    </xdr:to>
    <xdr:sp macro="" textlink="">
      <xdr:nvSpPr>
        <xdr:cNvPr id="1832" name="Arrow: Down 1831">
          <a:extLst>
            <a:ext uri="{FF2B5EF4-FFF2-40B4-BE49-F238E27FC236}">
              <a16:creationId xmlns:a16="http://schemas.microsoft.com/office/drawing/2014/main" id="{732AF896-1358-406B-8D3C-280B2BB597F2}"/>
            </a:ext>
          </a:extLst>
        </xdr:cNvPr>
        <xdr:cNvSpPr/>
      </xdr:nvSpPr>
      <xdr:spPr>
        <a:xfrm rot="10800000">
          <a:off x="65532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244</xdr:row>
      <xdr:rowOff>0</xdr:rowOff>
    </xdr:from>
    <xdr:to>
      <xdr:col>39</xdr:col>
      <xdr:colOff>83820</xdr:colOff>
      <xdr:row>244</xdr:row>
      <xdr:rowOff>114300</xdr:rowOff>
    </xdr:to>
    <xdr:sp macro="" textlink="">
      <xdr:nvSpPr>
        <xdr:cNvPr id="1857" name="Arrow: Down 1856">
          <a:extLst>
            <a:ext uri="{FF2B5EF4-FFF2-40B4-BE49-F238E27FC236}">
              <a16:creationId xmlns:a16="http://schemas.microsoft.com/office/drawing/2014/main" id="{0C422F86-A415-4AD8-B72C-70DEC16551A6}"/>
            </a:ext>
          </a:extLst>
        </xdr:cNvPr>
        <xdr:cNvSpPr/>
      </xdr:nvSpPr>
      <xdr:spPr>
        <a:xfrm>
          <a:off x="97155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244</xdr:row>
      <xdr:rowOff>0</xdr:rowOff>
    </xdr:from>
    <xdr:to>
      <xdr:col>71</xdr:col>
      <xdr:colOff>83820</xdr:colOff>
      <xdr:row>244</xdr:row>
      <xdr:rowOff>114300</xdr:rowOff>
    </xdr:to>
    <xdr:sp macro="" textlink="">
      <xdr:nvSpPr>
        <xdr:cNvPr id="1859" name="Arrow: Down 1858">
          <a:extLst>
            <a:ext uri="{FF2B5EF4-FFF2-40B4-BE49-F238E27FC236}">
              <a16:creationId xmlns:a16="http://schemas.microsoft.com/office/drawing/2014/main" id="{22ED1FE4-CD30-4129-9F4D-08238BD93179}"/>
            </a:ext>
          </a:extLst>
        </xdr:cNvPr>
        <xdr:cNvSpPr/>
      </xdr:nvSpPr>
      <xdr:spPr>
        <a:xfrm rot="10800000">
          <a:off x="1927098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244</xdr:row>
      <xdr:rowOff>0</xdr:rowOff>
    </xdr:from>
    <xdr:to>
      <xdr:col>60</xdr:col>
      <xdr:colOff>83820</xdr:colOff>
      <xdr:row>244</xdr:row>
      <xdr:rowOff>114300</xdr:rowOff>
    </xdr:to>
    <xdr:sp macro="" textlink="">
      <xdr:nvSpPr>
        <xdr:cNvPr id="1860" name="Arrow: Down 1859">
          <a:extLst>
            <a:ext uri="{FF2B5EF4-FFF2-40B4-BE49-F238E27FC236}">
              <a16:creationId xmlns:a16="http://schemas.microsoft.com/office/drawing/2014/main" id="{48A97788-CD51-4524-9123-9D5ED361D44E}"/>
            </a:ext>
          </a:extLst>
        </xdr:cNvPr>
        <xdr:cNvSpPr/>
      </xdr:nvSpPr>
      <xdr:spPr>
        <a:xfrm rot="10800000">
          <a:off x="168402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245</xdr:row>
      <xdr:rowOff>0</xdr:rowOff>
    </xdr:from>
    <xdr:to>
      <xdr:col>45</xdr:col>
      <xdr:colOff>83820</xdr:colOff>
      <xdr:row>245</xdr:row>
      <xdr:rowOff>114300</xdr:rowOff>
    </xdr:to>
    <xdr:sp macro="" textlink="">
      <xdr:nvSpPr>
        <xdr:cNvPr id="1868" name="Arrow: Down 1867">
          <a:extLst>
            <a:ext uri="{FF2B5EF4-FFF2-40B4-BE49-F238E27FC236}">
              <a16:creationId xmlns:a16="http://schemas.microsoft.com/office/drawing/2014/main" id="{1307CE5A-2E5B-476B-B3C9-E77828E77C06}"/>
            </a:ext>
          </a:extLst>
        </xdr:cNvPr>
        <xdr:cNvSpPr/>
      </xdr:nvSpPr>
      <xdr:spPr>
        <a:xfrm>
          <a:off x="1152144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245</xdr:row>
      <xdr:rowOff>0</xdr:rowOff>
    </xdr:from>
    <xdr:to>
      <xdr:col>5</xdr:col>
      <xdr:colOff>83820</xdr:colOff>
      <xdr:row>245</xdr:row>
      <xdr:rowOff>114300</xdr:rowOff>
    </xdr:to>
    <xdr:sp macro="" textlink="">
      <xdr:nvSpPr>
        <xdr:cNvPr id="1869" name="Arrow: Down 1868">
          <a:extLst>
            <a:ext uri="{FF2B5EF4-FFF2-40B4-BE49-F238E27FC236}">
              <a16:creationId xmlns:a16="http://schemas.microsoft.com/office/drawing/2014/main" id="{979B95E6-95E3-4CF8-AB08-A61CEF799331}"/>
            </a:ext>
          </a:extLst>
        </xdr:cNvPr>
        <xdr:cNvSpPr/>
      </xdr:nvSpPr>
      <xdr:spPr>
        <a:xfrm rot="10800000">
          <a:off x="192786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245</xdr:row>
      <xdr:rowOff>0</xdr:rowOff>
    </xdr:from>
    <xdr:to>
      <xdr:col>11</xdr:col>
      <xdr:colOff>83820</xdr:colOff>
      <xdr:row>245</xdr:row>
      <xdr:rowOff>114300</xdr:rowOff>
    </xdr:to>
    <xdr:sp macro="" textlink="">
      <xdr:nvSpPr>
        <xdr:cNvPr id="1870" name="Arrow: Down 1869">
          <a:extLst>
            <a:ext uri="{FF2B5EF4-FFF2-40B4-BE49-F238E27FC236}">
              <a16:creationId xmlns:a16="http://schemas.microsoft.com/office/drawing/2014/main" id="{FBAB0E68-F8BD-46E9-8140-65FBADE3EE64}"/>
            </a:ext>
          </a:extLst>
        </xdr:cNvPr>
        <xdr:cNvSpPr/>
      </xdr:nvSpPr>
      <xdr:spPr>
        <a:xfrm rot="10800000">
          <a:off x="36957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245</xdr:row>
      <xdr:rowOff>0</xdr:rowOff>
    </xdr:from>
    <xdr:to>
      <xdr:col>24</xdr:col>
      <xdr:colOff>83820</xdr:colOff>
      <xdr:row>245</xdr:row>
      <xdr:rowOff>114300</xdr:rowOff>
    </xdr:to>
    <xdr:sp macro="" textlink="">
      <xdr:nvSpPr>
        <xdr:cNvPr id="1871" name="Arrow: Down 1870">
          <a:extLst>
            <a:ext uri="{FF2B5EF4-FFF2-40B4-BE49-F238E27FC236}">
              <a16:creationId xmlns:a16="http://schemas.microsoft.com/office/drawing/2014/main" id="{FF44D461-1B1F-4A24-B520-53629BA02ACB}"/>
            </a:ext>
          </a:extLst>
        </xdr:cNvPr>
        <xdr:cNvSpPr/>
      </xdr:nvSpPr>
      <xdr:spPr>
        <a:xfrm rot="10800000">
          <a:off x="65532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245</xdr:row>
      <xdr:rowOff>0</xdr:rowOff>
    </xdr:from>
    <xdr:to>
      <xdr:col>39</xdr:col>
      <xdr:colOff>83820</xdr:colOff>
      <xdr:row>245</xdr:row>
      <xdr:rowOff>114300</xdr:rowOff>
    </xdr:to>
    <xdr:sp macro="" textlink="">
      <xdr:nvSpPr>
        <xdr:cNvPr id="1872" name="Arrow: Down 1871">
          <a:extLst>
            <a:ext uri="{FF2B5EF4-FFF2-40B4-BE49-F238E27FC236}">
              <a16:creationId xmlns:a16="http://schemas.microsoft.com/office/drawing/2014/main" id="{7625F254-D9C7-4C5A-BC0B-7169444222EA}"/>
            </a:ext>
          </a:extLst>
        </xdr:cNvPr>
        <xdr:cNvSpPr/>
      </xdr:nvSpPr>
      <xdr:spPr>
        <a:xfrm>
          <a:off x="97155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245</xdr:row>
      <xdr:rowOff>0</xdr:rowOff>
    </xdr:from>
    <xdr:to>
      <xdr:col>71</xdr:col>
      <xdr:colOff>83820</xdr:colOff>
      <xdr:row>245</xdr:row>
      <xdr:rowOff>114300</xdr:rowOff>
    </xdr:to>
    <xdr:sp macro="" textlink="">
      <xdr:nvSpPr>
        <xdr:cNvPr id="1873" name="Arrow: Down 1872">
          <a:extLst>
            <a:ext uri="{FF2B5EF4-FFF2-40B4-BE49-F238E27FC236}">
              <a16:creationId xmlns:a16="http://schemas.microsoft.com/office/drawing/2014/main" id="{DC80DEEE-4F16-40B8-8B30-EC3BC4EE944E}"/>
            </a:ext>
          </a:extLst>
        </xdr:cNvPr>
        <xdr:cNvSpPr/>
      </xdr:nvSpPr>
      <xdr:spPr>
        <a:xfrm rot="10800000">
          <a:off x="1927098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245</xdr:row>
      <xdr:rowOff>0</xdr:rowOff>
    </xdr:from>
    <xdr:to>
      <xdr:col>60</xdr:col>
      <xdr:colOff>83820</xdr:colOff>
      <xdr:row>245</xdr:row>
      <xdr:rowOff>114300</xdr:rowOff>
    </xdr:to>
    <xdr:sp macro="" textlink="">
      <xdr:nvSpPr>
        <xdr:cNvPr id="1874" name="Arrow: Down 1873">
          <a:extLst>
            <a:ext uri="{FF2B5EF4-FFF2-40B4-BE49-F238E27FC236}">
              <a16:creationId xmlns:a16="http://schemas.microsoft.com/office/drawing/2014/main" id="{A39A1401-60FF-4AC2-A3F8-3C1B4406EBBD}"/>
            </a:ext>
          </a:extLst>
        </xdr:cNvPr>
        <xdr:cNvSpPr/>
      </xdr:nvSpPr>
      <xdr:spPr>
        <a:xfrm rot="10800000">
          <a:off x="168402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246</xdr:row>
      <xdr:rowOff>0</xdr:rowOff>
    </xdr:from>
    <xdr:to>
      <xdr:col>45</xdr:col>
      <xdr:colOff>83820</xdr:colOff>
      <xdr:row>246</xdr:row>
      <xdr:rowOff>114300</xdr:rowOff>
    </xdr:to>
    <xdr:sp macro="" textlink="">
      <xdr:nvSpPr>
        <xdr:cNvPr id="1833" name="Arrow: Down 1832">
          <a:extLst>
            <a:ext uri="{FF2B5EF4-FFF2-40B4-BE49-F238E27FC236}">
              <a16:creationId xmlns:a16="http://schemas.microsoft.com/office/drawing/2014/main" id="{C6C0F90E-DD22-458B-9720-90AE893640A9}"/>
            </a:ext>
          </a:extLst>
        </xdr:cNvPr>
        <xdr:cNvSpPr/>
      </xdr:nvSpPr>
      <xdr:spPr>
        <a:xfrm>
          <a:off x="1152144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246</xdr:row>
      <xdr:rowOff>0</xdr:rowOff>
    </xdr:from>
    <xdr:to>
      <xdr:col>5</xdr:col>
      <xdr:colOff>83820</xdr:colOff>
      <xdr:row>246</xdr:row>
      <xdr:rowOff>114300</xdr:rowOff>
    </xdr:to>
    <xdr:sp macro="" textlink="">
      <xdr:nvSpPr>
        <xdr:cNvPr id="1834" name="Arrow: Down 1833">
          <a:extLst>
            <a:ext uri="{FF2B5EF4-FFF2-40B4-BE49-F238E27FC236}">
              <a16:creationId xmlns:a16="http://schemas.microsoft.com/office/drawing/2014/main" id="{6E4638D4-0BC6-4919-BCDF-825D5FA24C05}"/>
            </a:ext>
          </a:extLst>
        </xdr:cNvPr>
        <xdr:cNvSpPr/>
      </xdr:nvSpPr>
      <xdr:spPr>
        <a:xfrm rot="10800000">
          <a:off x="192786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246</xdr:row>
      <xdr:rowOff>0</xdr:rowOff>
    </xdr:from>
    <xdr:to>
      <xdr:col>11</xdr:col>
      <xdr:colOff>83820</xdr:colOff>
      <xdr:row>246</xdr:row>
      <xdr:rowOff>114300</xdr:rowOff>
    </xdr:to>
    <xdr:sp macro="" textlink="">
      <xdr:nvSpPr>
        <xdr:cNvPr id="1835" name="Arrow: Down 1834">
          <a:extLst>
            <a:ext uri="{FF2B5EF4-FFF2-40B4-BE49-F238E27FC236}">
              <a16:creationId xmlns:a16="http://schemas.microsoft.com/office/drawing/2014/main" id="{1377CF96-95B6-4D65-8114-C1F36F0B1618}"/>
            </a:ext>
          </a:extLst>
        </xdr:cNvPr>
        <xdr:cNvSpPr/>
      </xdr:nvSpPr>
      <xdr:spPr>
        <a:xfrm rot="10800000">
          <a:off x="369570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246</xdr:row>
      <xdr:rowOff>0</xdr:rowOff>
    </xdr:from>
    <xdr:to>
      <xdr:col>71</xdr:col>
      <xdr:colOff>83820</xdr:colOff>
      <xdr:row>246</xdr:row>
      <xdr:rowOff>114300</xdr:rowOff>
    </xdr:to>
    <xdr:sp macro="" textlink="">
      <xdr:nvSpPr>
        <xdr:cNvPr id="1861" name="Arrow: Down 1860">
          <a:extLst>
            <a:ext uri="{FF2B5EF4-FFF2-40B4-BE49-F238E27FC236}">
              <a16:creationId xmlns:a16="http://schemas.microsoft.com/office/drawing/2014/main" id="{EC30A322-4671-40D3-B30A-596BD82D02B7}"/>
            </a:ext>
          </a:extLst>
        </xdr:cNvPr>
        <xdr:cNvSpPr/>
      </xdr:nvSpPr>
      <xdr:spPr>
        <a:xfrm rot="10800000">
          <a:off x="1927098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246</xdr:row>
      <xdr:rowOff>0</xdr:rowOff>
    </xdr:from>
    <xdr:to>
      <xdr:col>60</xdr:col>
      <xdr:colOff>83820</xdr:colOff>
      <xdr:row>246</xdr:row>
      <xdr:rowOff>114300</xdr:rowOff>
    </xdr:to>
    <xdr:sp macro="" textlink="">
      <xdr:nvSpPr>
        <xdr:cNvPr id="1862" name="Arrow: Down 1861">
          <a:extLst>
            <a:ext uri="{FF2B5EF4-FFF2-40B4-BE49-F238E27FC236}">
              <a16:creationId xmlns:a16="http://schemas.microsoft.com/office/drawing/2014/main" id="{10F8233C-2663-47C5-B6A9-B3851D1AC495}"/>
            </a:ext>
          </a:extLst>
        </xdr:cNvPr>
        <xdr:cNvSpPr/>
      </xdr:nvSpPr>
      <xdr:spPr>
        <a:xfrm rot="10800000">
          <a:off x="1684020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246</xdr:row>
      <xdr:rowOff>0</xdr:rowOff>
    </xdr:from>
    <xdr:to>
      <xdr:col>24</xdr:col>
      <xdr:colOff>83820</xdr:colOff>
      <xdr:row>246</xdr:row>
      <xdr:rowOff>114300</xdr:rowOff>
    </xdr:to>
    <xdr:sp macro="" textlink="">
      <xdr:nvSpPr>
        <xdr:cNvPr id="1864" name="Arrow: Down 1863">
          <a:extLst>
            <a:ext uri="{FF2B5EF4-FFF2-40B4-BE49-F238E27FC236}">
              <a16:creationId xmlns:a16="http://schemas.microsoft.com/office/drawing/2014/main" id="{6697C1E0-AF4F-4E62-9A1C-E4A93A4C4F7F}"/>
            </a:ext>
          </a:extLst>
        </xdr:cNvPr>
        <xdr:cNvSpPr/>
      </xdr:nvSpPr>
      <xdr:spPr>
        <a:xfrm>
          <a:off x="6553200" y="4508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246</xdr:row>
      <xdr:rowOff>0</xdr:rowOff>
    </xdr:from>
    <xdr:to>
      <xdr:col>39</xdr:col>
      <xdr:colOff>83820</xdr:colOff>
      <xdr:row>246</xdr:row>
      <xdr:rowOff>114300</xdr:rowOff>
    </xdr:to>
    <xdr:sp macro="" textlink="">
      <xdr:nvSpPr>
        <xdr:cNvPr id="1865" name="Arrow: Down 1864">
          <a:extLst>
            <a:ext uri="{FF2B5EF4-FFF2-40B4-BE49-F238E27FC236}">
              <a16:creationId xmlns:a16="http://schemas.microsoft.com/office/drawing/2014/main" id="{6FC58B0F-B148-49A5-8F7C-D80887697201}"/>
            </a:ext>
          </a:extLst>
        </xdr:cNvPr>
        <xdr:cNvSpPr/>
      </xdr:nvSpPr>
      <xdr:spPr>
        <a:xfrm rot="10800000">
          <a:off x="9715500" y="4508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247</xdr:row>
      <xdr:rowOff>0</xdr:rowOff>
    </xdr:from>
    <xdr:to>
      <xdr:col>45</xdr:col>
      <xdr:colOff>83820</xdr:colOff>
      <xdr:row>247</xdr:row>
      <xdr:rowOff>114300</xdr:rowOff>
    </xdr:to>
    <xdr:sp macro="" textlink="">
      <xdr:nvSpPr>
        <xdr:cNvPr id="1880" name="Arrow: Down 1879">
          <a:extLst>
            <a:ext uri="{FF2B5EF4-FFF2-40B4-BE49-F238E27FC236}">
              <a16:creationId xmlns:a16="http://schemas.microsoft.com/office/drawing/2014/main" id="{7F1CA4C8-C00B-4768-823F-90932700D012}"/>
            </a:ext>
          </a:extLst>
        </xdr:cNvPr>
        <xdr:cNvSpPr/>
      </xdr:nvSpPr>
      <xdr:spPr>
        <a:xfrm>
          <a:off x="1152144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247</xdr:row>
      <xdr:rowOff>0</xdr:rowOff>
    </xdr:from>
    <xdr:to>
      <xdr:col>5</xdr:col>
      <xdr:colOff>83820</xdr:colOff>
      <xdr:row>247</xdr:row>
      <xdr:rowOff>114300</xdr:rowOff>
    </xdr:to>
    <xdr:sp macro="" textlink="">
      <xdr:nvSpPr>
        <xdr:cNvPr id="1881" name="Arrow: Down 1880">
          <a:extLst>
            <a:ext uri="{FF2B5EF4-FFF2-40B4-BE49-F238E27FC236}">
              <a16:creationId xmlns:a16="http://schemas.microsoft.com/office/drawing/2014/main" id="{01670269-13A7-4E32-B061-E2EAA17D62C0}"/>
            </a:ext>
          </a:extLst>
        </xdr:cNvPr>
        <xdr:cNvSpPr/>
      </xdr:nvSpPr>
      <xdr:spPr>
        <a:xfrm rot="10800000">
          <a:off x="192786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247</xdr:row>
      <xdr:rowOff>0</xdr:rowOff>
    </xdr:from>
    <xdr:to>
      <xdr:col>11</xdr:col>
      <xdr:colOff>83820</xdr:colOff>
      <xdr:row>247</xdr:row>
      <xdr:rowOff>114300</xdr:rowOff>
    </xdr:to>
    <xdr:sp macro="" textlink="">
      <xdr:nvSpPr>
        <xdr:cNvPr id="1882" name="Arrow: Down 1881">
          <a:extLst>
            <a:ext uri="{FF2B5EF4-FFF2-40B4-BE49-F238E27FC236}">
              <a16:creationId xmlns:a16="http://schemas.microsoft.com/office/drawing/2014/main" id="{31B2A26D-4A8D-4CC8-A234-244B31C767F7}"/>
            </a:ext>
          </a:extLst>
        </xdr:cNvPr>
        <xdr:cNvSpPr/>
      </xdr:nvSpPr>
      <xdr:spPr>
        <a:xfrm rot="10800000">
          <a:off x="369570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247</xdr:row>
      <xdr:rowOff>0</xdr:rowOff>
    </xdr:from>
    <xdr:to>
      <xdr:col>71</xdr:col>
      <xdr:colOff>83820</xdr:colOff>
      <xdr:row>247</xdr:row>
      <xdr:rowOff>114300</xdr:rowOff>
    </xdr:to>
    <xdr:sp macro="" textlink="">
      <xdr:nvSpPr>
        <xdr:cNvPr id="1883" name="Arrow: Down 1882">
          <a:extLst>
            <a:ext uri="{FF2B5EF4-FFF2-40B4-BE49-F238E27FC236}">
              <a16:creationId xmlns:a16="http://schemas.microsoft.com/office/drawing/2014/main" id="{B5039255-1EA7-4EA2-B51A-028A4B6ECD5F}"/>
            </a:ext>
          </a:extLst>
        </xdr:cNvPr>
        <xdr:cNvSpPr/>
      </xdr:nvSpPr>
      <xdr:spPr>
        <a:xfrm rot="10800000">
          <a:off x="2093976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247</xdr:row>
      <xdr:rowOff>0</xdr:rowOff>
    </xdr:from>
    <xdr:to>
      <xdr:col>60</xdr:col>
      <xdr:colOff>83820</xdr:colOff>
      <xdr:row>247</xdr:row>
      <xdr:rowOff>114300</xdr:rowOff>
    </xdr:to>
    <xdr:sp macro="" textlink="">
      <xdr:nvSpPr>
        <xdr:cNvPr id="1884" name="Arrow: Down 1883">
          <a:extLst>
            <a:ext uri="{FF2B5EF4-FFF2-40B4-BE49-F238E27FC236}">
              <a16:creationId xmlns:a16="http://schemas.microsoft.com/office/drawing/2014/main" id="{AB766D5F-595F-48B0-875A-BD7CBCC58359}"/>
            </a:ext>
          </a:extLst>
        </xdr:cNvPr>
        <xdr:cNvSpPr/>
      </xdr:nvSpPr>
      <xdr:spPr>
        <a:xfrm rot="10800000">
          <a:off x="1684020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247</xdr:row>
      <xdr:rowOff>0</xdr:rowOff>
    </xdr:from>
    <xdr:to>
      <xdr:col>24</xdr:col>
      <xdr:colOff>83820</xdr:colOff>
      <xdr:row>247</xdr:row>
      <xdr:rowOff>114300</xdr:rowOff>
    </xdr:to>
    <xdr:sp macro="" textlink="">
      <xdr:nvSpPr>
        <xdr:cNvPr id="1887" name="Arrow: Down 1886">
          <a:extLst>
            <a:ext uri="{FF2B5EF4-FFF2-40B4-BE49-F238E27FC236}">
              <a16:creationId xmlns:a16="http://schemas.microsoft.com/office/drawing/2014/main" id="{C77EDD1F-7337-49F8-BCDC-6F6A68E169C0}"/>
            </a:ext>
          </a:extLst>
        </xdr:cNvPr>
        <xdr:cNvSpPr/>
      </xdr:nvSpPr>
      <xdr:spPr>
        <a:xfrm rot="10800000">
          <a:off x="6553200" y="4527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247</xdr:row>
      <xdr:rowOff>0</xdr:rowOff>
    </xdr:from>
    <xdr:to>
      <xdr:col>39</xdr:col>
      <xdr:colOff>83820</xdr:colOff>
      <xdr:row>247</xdr:row>
      <xdr:rowOff>114300</xdr:rowOff>
    </xdr:to>
    <xdr:sp macro="" textlink="">
      <xdr:nvSpPr>
        <xdr:cNvPr id="1889" name="Arrow: Down 1888">
          <a:extLst>
            <a:ext uri="{FF2B5EF4-FFF2-40B4-BE49-F238E27FC236}">
              <a16:creationId xmlns:a16="http://schemas.microsoft.com/office/drawing/2014/main" id="{82723541-1899-49C5-8C63-AEA9022E2D4F}"/>
            </a:ext>
          </a:extLst>
        </xdr:cNvPr>
        <xdr:cNvSpPr/>
      </xdr:nvSpPr>
      <xdr:spPr>
        <a:xfrm>
          <a:off x="9715500" y="4527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248</xdr:row>
      <xdr:rowOff>0</xdr:rowOff>
    </xdr:from>
    <xdr:to>
      <xdr:col>5</xdr:col>
      <xdr:colOff>83820</xdr:colOff>
      <xdr:row>248</xdr:row>
      <xdr:rowOff>114300</xdr:rowOff>
    </xdr:to>
    <xdr:sp macro="" textlink="">
      <xdr:nvSpPr>
        <xdr:cNvPr id="1897" name="Arrow: Down 1896">
          <a:extLst>
            <a:ext uri="{FF2B5EF4-FFF2-40B4-BE49-F238E27FC236}">
              <a16:creationId xmlns:a16="http://schemas.microsoft.com/office/drawing/2014/main" id="{36BD6A44-1B9F-45CE-B1D2-0D0014B08F43}"/>
            </a:ext>
          </a:extLst>
        </xdr:cNvPr>
        <xdr:cNvSpPr/>
      </xdr:nvSpPr>
      <xdr:spPr>
        <a:xfrm>
          <a:off x="192786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248</xdr:row>
      <xdr:rowOff>0</xdr:rowOff>
    </xdr:from>
    <xdr:to>
      <xdr:col>11</xdr:col>
      <xdr:colOff>83820</xdr:colOff>
      <xdr:row>248</xdr:row>
      <xdr:rowOff>114300</xdr:rowOff>
    </xdr:to>
    <xdr:sp macro="" textlink="">
      <xdr:nvSpPr>
        <xdr:cNvPr id="1899" name="Arrow: Down 1898">
          <a:extLst>
            <a:ext uri="{FF2B5EF4-FFF2-40B4-BE49-F238E27FC236}">
              <a16:creationId xmlns:a16="http://schemas.microsoft.com/office/drawing/2014/main" id="{65658A5E-1F07-48AC-A71F-E075E532737D}"/>
            </a:ext>
          </a:extLst>
        </xdr:cNvPr>
        <xdr:cNvSpPr/>
      </xdr:nvSpPr>
      <xdr:spPr>
        <a:xfrm>
          <a:off x="36957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248</xdr:row>
      <xdr:rowOff>0</xdr:rowOff>
    </xdr:from>
    <xdr:to>
      <xdr:col>24</xdr:col>
      <xdr:colOff>83820</xdr:colOff>
      <xdr:row>248</xdr:row>
      <xdr:rowOff>114300</xdr:rowOff>
    </xdr:to>
    <xdr:sp macro="" textlink="">
      <xdr:nvSpPr>
        <xdr:cNvPr id="1900" name="Arrow: Down 1899">
          <a:extLst>
            <a:ext uri="{FF2B5EF4-FFF2-40B4-BE49-F238E27FC236}">
              <a16:creationId xmlns:a16="http://schemas.microsoft.com/office/drawing/2014/main" id="{3155FA88-63A7-4F01-B638-DF060CE71F33}"/>
            </a:ext>
          </a:extLst>
        </xdr:cNvPr>
        <xdr:cNvSpPr/>
      </xdr:nvSpPr>
      <xdr:spPr>
        <a:xfrm>
          <a:off x="65532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248</xdr:row>
      <xdr:rowOff>0</xdr:rowOff>
    </xdr:from>
    <xdr:to>
      <xdr:col>39</xdr:col>
      <xdr:colOff>83820</xdr:colOff>
      <xdr:row>248</xdr:row>
      <xdr:rowOff>114300</xdr:rowOff>
    </xdr:to>
    <xdr:sp macro="" textlink="">
      <xdr:nvSpPr>
        <xdr:cNvPr id="1901" name="Arrow: Down 1900">
          <a:extLst>
            <a:ext uri="{FF2B5EF4-FFF2-40B4-BE49-F238E27FC236}">
              <a16:creationId xmlns:a16="http://schemas.microsoft.com/office/drawing/2014/main" id="{2E5AA7B8-68DF-4CEA-AA85-3E83F0FFAE79}"/>
            </a:ext>
          </a:extLst>
        </xdr:cNvPr>
        <xdr:cNvSpPr/>
      </xdr:nvSpPr>
      <xdr:spPr>
        <a:xfrm rot="10800000">
          <a:off x="97155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248</xdr:row>
      <xdr:rowOff>0</xdr:rowOff>
    </xdr:from>
    <xdr:to>
      <xdr:col>45</xdr:col>
      <xdr:colOff>83820</xdr:colOff>
      <xdr:row>248</xdr:row>
      <xdr:rowOff>114300</xdr:rowOff>
    </xdr:to>
    <xdr:sp macro="" textlink="">
      <xdr:nvSpPr>
        <xdr:cNvPr id="1903" name="Arrow: Down 1902">
          <a:extLst>
            <a:ext uri="{FF2B5EF4-FFF2-40B4-BE49-F238E27FC236}">
              <a16:creationId xmlns:a16="http://schemas.microsoft.com/office/drawing/2014/main" id="{0F8D1C0B-1136-482A-BC44-6F6FB36C115D}"/>
            </a:ext>
          </a:extLst>
        </xdr:cNvPr>
        <xdr:cNvSpPr/>
      </xdr:nvSpPr>
      <xdr:spPr>
        <a:xfrm rot="10800000">
          <a:off x="1152144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248</xdr:row>
      <xdr:rowOff>0</xdr:rowOff>
    </xdr:from>
    <xdr:to>
      <xdr:col>60</xdr:col>
      <xdr:colOff>83820</xdr:colOff>
      <xdr:row>248</xdr:row>
      <xdr:rowOff>114300</xdr:rowOff>
    </xdr:to>
    <xdr:sp macro="" textlink="">
      <xdr:nvSpPr>
        <xdr:cNvPr id="1904" name="Arrow: Down 1903">
          <a:extLst>
            <a:ext uri="{FF2B5EF4-FFF2-40B4-BE49-F238E27FC236}">
              <a16:creationId xmlns:a16="http://schemas.microsoft.com/office/drawing/2014/main" id="{80FC1DD5-9235-447D-9AC7-C08DB61CFBC5}"/>
            </a:ext>
          </a:extLst>
        </xdr:cNvPr>
        <xdr:cNvSpPr/>
      </xdr:nvSpPr>
      <xdr:spPr>
        <a:xfrm>
          <a:off x="168402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249</xdr:row>
      <xdr:rowOff>0</xdr:rowOff>
    </xdr:from>
    <xdr:to>
      <xdr:col>5</xdr:col>
      <xdr:colOff>83820</xdr:colOff>
      <xdr:row>249</xdr:row>
      <xdr:rowOff>114300</xdr:rowOff>
    </xdr:to>
    <xdr:sp macro="" textlink="">
      <xdr:nvSpPr>
        <xdr:cNvPr id="1906" name="Arrow: Down 1905">
          <a:extLst>
            <a:ext uri="{FF2B5EF4-FFF2-40B4-BE49-F238E27FC236}">
              <a16:creationId xmlns:a16="http://schemas.microsoft.com/office/drawing/2014/main" id="{2908CAF9-2F03-46C4-AA46-59756FD0D0B3}"/>
            </a:ext>
          </a:extLst>
        </xdr:cNvPr>
        <xdr:cNvSpPr/>
      </xdr:nvSpPr>
      <xdr:spPr>
        <a:xfrm>
          <a:off x="192786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249</xdr:row>
      <xdr:rowOff>0</xdr:rowOff>
    </xdr:from>
    <xdr:to>
      <xdr:col>11</xdr:col>
      <xdr:colOff>83820</xdr:colOff>
      <xdr:row>249</xdr:row>
      <xdr:rowOff>114300</xdr:rowOff>
    </xdr:to>
    <xdr:sp macro="" textlink="">
      <xdr:nvSpPr>
        <xdr:cNvPr id="1907" name="Arrow: Down 1906">
          <a:extLst>
            <a:ext uri="{FF2B5EF4-FFF2-40B4-BE49-F238E27FC236}">
              <a16:creationId xmlns:a16="http://schemas.microsoft.com/office/drawing/2014/main" id="{FC3AC8D1-B626-45E3-8380-92E85495B7BD}"/>
            </a:ext>
          </a:extLst>
        </xdr:cNvPr>
        <xdr:cNvSpPr/>
      </xdr:nvSpPr>
      <xdr:spPr>
        <a:xfrm>
          <a:off x="36957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249</xdr:row>
      <xdr:rowOff>0</xdr:rowOff>
    </xdr:from>
    <xdr:to>
      <xdr:col>24</xdr:col>
      <xdr:colOff>83820</xdr:colOff>
      <xdr:row>249</xdr:row>
      <xdr:rowOff>114300</xdr:rowOff>
    </xdr:to>
    <xdr:sp macro="" textlink="">
      <xdr:nvSpPr>
        <xdr:cNvPr id="1908" name="Arrow: Down 1907">
          <a:extLst>
            <a:ext uri="{FF2B5EF4-FFF2-40B4-BE49-F238E27FC236}">
              <a16:creationId xmlns:a16="http://schemas.microsoft.com/office/drawing/2014/main" id="{D2C2C637-B192-4420-BEF4-06EA1F14718C}"/>
            </a:ext>
          </a:extLst>
        </xdr:cNvPr>
        <xdr:cNvSpPr/>
      </xdr:nvSpPr>
      <xdr:spPr>
        <a:xfrm>
          <a:off x="65532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249</xdr:row>
      <xdr:rowOff>0</xdr:rowOff>
    </xdr:from>
    <xdr:to>
      <xdr:col>39</xdr:col>
      <xdr:colOff>83820</xdr:colOff>
      <xdr:row>249</xdr:row>
      <xdr:rowOff>114300</xdr:rowOff>
    </xdr:to>
    <xdr:sp macro="" textlink="">
      <xdr:nvSpPr>
        <xdr:cNvPr id="1913" name="Arrow: Down 1912">
          <a:extLst>
            <a:ext uri="{FF2B5EF4-FFF2-40B4-BE49-F238E27FC236}">
              <a16:creationId xmlns:a16="http://schemas.microsoft.com/office/drawing/2014/main" id="{3AC5DFE9-F76D-4B97-9CC2-97E5C201DBD1}"/>
            </a:ext>
          </a:extLst>
        </xdr:cNvPr>
        <xdr:cNvSpPr/>
      </xdr:nvSpPr>
      <xdr:spPr>
        <a:xfrm>
          <a:off x="971550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249</xdr:row>
      <xdr:rowOff>0</xdr:rowOff>
    </xdr:from>
    <xdr:to>
      <xdr:col>71</xdr:col>
      <xdr:colOff>83820</xdr:colOff>
      <xdr:row>249</xdr:row>
      <xdr:rowOff>114300</xdr:rowOff>
    </xdr:to>
    <xdr:sp macro="" textlink="">
      <xdr:nvSpPr>
        <xdr:cNvPr id="1914" name="Arrow: Down 1913">
          <a:extLst>
            <a:ext uri="{FF2B5EF4-FFF2-40B4-BE49-F238E27FC236}">
              <a16:creationId xmlns:a16="http://schemas.microsoft.com/office/drawing/2014/main" id="{77D9609B-EC49-429D-9FA9-19DB5938BD8D}"/>
            </a:ext>
          </a:extLst>
        </xdr:cNvPr>
        <xdr:cNvSpPr/>
      </xdr:nvSpPr>
      <xdr:spPr>
        <a:xfrm rot="10800000">
          <a:off x="2093976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248</xdr:row>
      <xdr:rowOff>0</xdr:rowOff>
    </xdr:from>
    <xdr:to>
      <xdr:col>71</xdr:col>
      <xdr:colOff>83820</xdr:colOff>
      <xdr:row>248</xdr:row>
      <xdr:rowOff>114300</xdr:rowOff>
    </xdr:to>
    <xdr:sp macro="" textlink="">
      <xdr:nvSpPr>
        <xdr:cNvPr id="1915" name="Arrow: Down 1914">
          <a:extLst>
            <a:ext uri="{FF2B5EF4-FFF2-40B4-BE49-F238E27FC236}">
              <a16:creationId xmlns:a16="http://schemas.microsoft.com/office/drawing/2014/main" id="{8F4BCB6F-489B-40F2-BC84-D74A1A8CB321}"/>
            </a:ext>
          </a:extLst>
        </xdr:cNvPr>
        <xdr:cNvSpPr/>
      </xdr:nvSpPr>
      <xdr:spPr>
        <a:xfrm rot="10800000">
          <a:off x="20939760" y="4545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249</xdr:row>
      <xdr:rowOff>0</xdr:rowOff>
    </xdr:from>
    <xdr:to>
      <xdr:col>60</xdr:col>
      <xdr:colOff>83820</xdr:colOff>
      <xdr:row>249</xdr:row>
      <xdr:rowOff>114300</xdr:rowOff>
    </xdr:to>
    <xdr:sp macro="" textlink="">
      <xdr:nvSpPr>
        <xdr:cNvPr id="1917" name="Arrow: Down 1916">
          <a:extLst>
            <a:ext uri="{FF2B5EF4-FFF2-40B4-BE49-F238E27FC236}">
              <a16:creationId xmlns:a16="http://schemas.microsoft.com/office/drawing/2014/main" id="{C6392860-89D7-4378-8312-BDB751ED0736}"/>
            </a:ext>
          </a:extLst>
        </xdr:cNvPr>
        <xdr:cNvSpPr/>
      </xdr:nvSpPr>
      <xdr:spPr>
        <a:xfrm rot="10800000">
          <a:off x="1684020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249</xdr:row>
      <xdr:rowOff>0</xdr:rowOff>
    </xdr:from>
    <xdr:to>
      <xdr:col>45</xdr:col>
      <xdr:colOff>83820</xdr:colOff>
      <xdr:row>249</xdr:row>
      <xdr:rowOff>114300</xdr:rowOff>
    </xdr:to>
    <xdr:sp macro="" textlink="">
      <xdr:nvSpPr>
        <xdr:cNvPr id="1918" name="Arrow: Down 1917">
          <a:extLst>
            <a:ext uri="{FF2B5EF4-FFF2-40B4-BE49-F238E27FC236}">
              <a16:creationId xmlns:a16="http://schemas.microsoft.com/office/drawing/2014/main" id="{56C3AEB5-71C3-4F99-B129-815AB80B63F4}"/>
            </a:ext>
          </a:extLst>
        </xdr:cNvPr>
        <xdr:cNvSpPr/>
      </xdr:nvSpPr>
      <xdr:spPr>
        <a:xfrm>
          <a:off x="1152144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250</xdr:row>
      <xdr:rowOff>0</xdr:rowOff>
    </xdr:from>
    <xdr:to>
      <xdr:col>71</xdr:col>
      <xdr:colOff>83820</xdr:colOff>
      <xdr:row>250</xdr:row>
      <xdr:rowOff>114300</xdr:rowOff>
    </xdr:to>
    <xdr:sp macro="" textlink="">
      <xdr:nvSpPr>
        <xdr:cNvPr id="1930" name="Arrow: Down 1929">
          <a:extLst>
            <a:ext uri="{FF2B5EF4-FFF2-40B4-BE49-F238E27FC236}">
              <a16:creationId xmlns:a16="http://schemas.microsoft.com/office/drawing/2014/main" id="{254448DF-C157-49EE-A131-6C5A72EC34F8}"/>
            </a:ext>
          </a:extLst>
        </xdr:cNvPr>
        <xdr:cNvSpPr/>
      </xdr:nvSpPr>
      <xdr:spPr>
        <a:xfrm rot="10800000">
          <a:off x="2093976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250</xdr:row>
      <xdr:rowOff>0</xdr:rowOff>
    </xdr:from>
    <xdr:to>
      <xdr:col>11</xdr:col>
      <xdr:colOff>83820</xdr:colOff>
      <xdr:row>250</xdr:row>
      <xdr:rowOff>114300</xdr:rowOff>
    </xdr:to>
    <xdr:sp macro="" textlink="">
      <xdr:nvSpPr>
        <xdr:cNvPr id="1934" name="Arrow: Down 1933">
          <a:extLst>
            <a:ext uri="{FF2B5EF4-FFF2-40B4-BE49-F238E27FC236}">
              <a16:creationId xmlns:a16="http://schemas.microsoft.com/office/drawing/2014/main" id="{A93148A9-1A21-4EEF-A35D-F628AAE730A6}"/>
            </a:ext>
          </a:extLst>
        </xdr:cNvPr>
        <xdr:cNvSpPr/>
      </xdr:nvSpPr>
      <xdr:spPr>
        <a:xfrm rot="10800000">
          <a:off x="369570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250</xdr:row>
      <xdr:rowOff>0</xdr:rowOff>
    </xdr:from>
    <xdr:to>
      <xdr:col>5</xdr:col>
      <xdr:colOff>83820</xdr:colOff>
      <xdr:row>250</xdr:row>
      <xdr:rowOff>114300</xdr:rowOff>
    </xdr:to>
    <xdr:sp macro="" textlink="">
      <xdr:nvSpPr>
        <xdr:cNvPr id="1935" name="Arrow: Down 1934">
          <a:extLst>
            <a:ext uri="{FF2B5EF4-FFF2-40B4-BE49-F238E27FC236}">
              <a16:creationId xmlns:a16="http://schemas.microsoft.com/office/drawing/2014/main" id="{4373D05B-B3EE-4997-8610-F5536EF7C617}"/>
            </a:ext>
          </a:extLst>
        </xdr:cNvPr>
        <xdr:cNvSpPr/>
      </xdr:nvSpPr>
      <xdr:spPr>
        <a:xfrm rot="10800000">
          <a:off x="192786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250</xdr:row>
      <xdr:rowOff>0</xdr:rowOff>
    </xdr:from>
    <xdr:to>
      <xdr:col>39</xdr:col>
      <xdr:colOff>83820</xdr:colOff>
      <xdr:row>250</xdr:row>
      <xdr:rowOff>114300</xdr:rowOff>
    </xdr:to>
    <xdr:sp macro="" textlink="">
      <xdr:nvSpPr>
        <xdr:cNvPr id="1937" name="Arrow: Down 1936">
          <a:extLst>
            <a:ext uri="{FF2B5EF4-FFF2-40B4-BE49-F238E27FC236}">
              <a16:creationId xmlns:a16="http://schemas.microsoft.com/office/drawing/2014/main" id="{E8CF4972-4CF3-4006-9C90-2BB4AEC49BAF}"/>
            </a:ext>
          </a:extLst>
        </xdr:cNvPr>
        <xdr:cNvSpPr/>
      </xdr:nvSpPr>
      <xdr:spPr>
        <a:xfrm rot="10800000">
          <a:off x="9715500" y="4581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250</xdr:row>
      <xdr:rowOff>0</xdr:rowOff>
    </xdr:from>
    <xdr:to>
      <xdr:col>45</xdr:col>
      <xdr:colOff>83820</xdr:colOff>
      <xdr:row>250</xdr:row>
      <xdr:rowOff>114300</xdr:rowOff>
    </xdr:to>
    <xdr:sp macro="" textlink="">
      <xdr:nvSpPr>
        <xdr:cNvPr id="1939" name="Arrow: Down 1938">
          <a:extLst>
            <a:ext uri="{FF2B5EF4-FFF2-40B4-BE49-F238E27FC236}">
              <a16:creationId xmlns:a16="http://schemas.microsoft.com/office/drawing/2014/main" id="{F9C71995-F3CF-4D66-8EF8-DAE618BDC930}"/>
            </a:ext>
          </a:extLst>
        </xdr:cNvPr>
        <xdr:cNvSpPr/>
      </xdr:nvSpPr>
      <xdr:spPr>
        <a:xfrm rot="10800000">
          <a:off x="11521440" y="4581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250</xdr:row>
      <xdr:rowOff>0</xdr:rowOff>
    </xdr:from>
    <xdr:to>
      <xdr:col>24</xdr:col>
      <xdr:colOff>83820</xdr:colOff>
      <xdr:row>250</xdr:row>
      <xdr:rowOff>114300</xdr:rowOff>
    </xdr:to>
    <xdr:sp macro="" textlink="">
      <xdr:nvSpPr>
        <xdr:cNvPr id="1941" name="Arrow: Down 1940">
          <a:extLst>
            <a:ext uri="{FF2B5EF4-FFF2-40B4-BE49-F238E27FC236}">
              <a16:creationId xmlns:a16="http://schemas.microsoft.com/office/drawing/2014/main" id="{FAD5710C-CF95-452D-9355-FB4541200DD9}"/>
            </a:ext>
          </a:extLst>
        </xdr:cNvPr>
        <xdr:cNvSpPr/>
      </xdr:nvSpPr>
      <xdr:spPr>
        <a:xfrm rot="10800000">
          <a:off x="655320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250</xdr:row>
      <xdr:rowOff>0</xdr:rowOff>
    </xdr:from>
    <xdr:to>
      <xdr:col>60</xdr:col>
      <xdr:colOff>83820</xdr:colOff>
      <xdr:row>250</xdr:row>
      <xdr:rowOff>114300</xdr:rowOff>
    </xdr:to>
    <xdr:sp macro="" textlink="">
      <xdr:nvSpPr>
        <xdr:cNvPr id="1943" name="Arrow: Down 1942">
          <a:extLst>
            <a:ext uri="{FF2B5EF4-FFF2-40B4-BE49-F238E27FC236}">
              <a16:creationId xmlns:a16="http://schemas.microsoft.com/office/drawing/2014/main" id="{7FB3BEEE-4862-41E9-8915-295F64AC85E4}"/>
            </a:ext>
          </a:extLst>
        </xdr:cNvPr>
        <xdr:cNvSpPr/>
      </xdr:nvSpPr>
      <xdr:spPr>
        <a:xfrm>
          <a:off x="16840200" y="4581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251</xdr:row>
      <xdr:rowOff>0</xdr:rowOff>
    </xdr:from>
    <xdr:to>
      <xdr:col>71</xdr:col>
      <xdr:colOff>83820</xdr:colOff>
      <xdr:row>251</xdr:row>
      <xdr:rowOff>114300</xdr:rowOff>
    </xdr:to>
    <xdr:sp macro="" textlink="">
      <xdr:nvSpPr>
        <xdr:cNvPr id="1877" name="Arrow: Down 1876">
          <a:extLst>
            <a:ext uri="{FF2B5EF4-FFF2-40B4-BE49-F238E27FC236}">
              <a16:creationId xmlns:a16="http://schemas.microsoft.com/office/drawing/2014/main" id="{08EE5F9B-098B-4353-8008-5EE6915E2C94}"/>
            </a:ext>
          </a:extLst>
        </xdr:cNvPr>
        <xdr:cNvSpPr/>
      </xdr:nvSpPr>
      <xdr:spPr>
        <a:xfrm rot="10800000">
          <a:off x="2093976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251</xdr:row>
      <xdr:rowOff>0</xdr:rowOff>
    </xdr:from>
    <xdr:to>
      <xdr:col>24</xdr:col>
      <xdr:colOff>83820</xdr:colOff>
      <xdr:row>251</xdr:row>
      <xdr:rowOff>114300</xdr:rowOff>
    </xdr:to>
    <xdr:sp macro="" textlink="">
      <xdr:nvSpPr>
        <xdr:cNvPr id="1888" name="Arrow: Down 1887">
          <a:extLst>
            <a:ext uri="{FF2B5EF4-FFF2-40B4-BE49-F238E27FC236}">
              <a16:creationId xmlns:a16="http://schemas.microsoft.com/office/drawing/2014/main" id="{F5339808-BBF6-4420-8AE8-E92136A2CD77}"/>
            </a:ext>
          </a:extLst>
        </xdr:cNvPr>
        <xdr:cNvSpPr/>
      </xdr:nvSpPr>
      <xdr:spPr>
        <a:xfrm rot="10800000">
          <a:off x="655320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251</xdr:row>
      <xdr:rowOff>0</xdr:rowOff>
    </xdr:from>
    <xdr:to>
      <xdr:col>60</xdr:col>
      <xdr:colOff>83820</xdr:colOff>
      <xdr:row>251</xdr:row>
      <xdr:rowOff>114300</xdr:rowOff>
    </xdr:to>
    <xdr:sp macro="" textlink="">
      <xdr:nvSpPr>
        <xdr:cNvPr id="1892" name="Arrow: Down 1891">
          <a:extLst>
            <a:ext uri="{FF2B5EF4-FFF2-40B4-BE49-F238E27FC236}">
              <a16:creationId xmlns:a16="http://schemas.microsoft.com/office/drawing/2014/main" id="{88702A5A-D4E1-4310-AA20-959FCEEC5078}"/>
            </a:ext>
          </a:extLst>
        </xdr:cNvPr>
        <xdr:cNvSpPr/>
      </xdr:nvSpPr>
      <xdr:spPr>
        <a:xfrm rot="10800000">
          <a:off x="168402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251</xdr:row>
      <xdr:rowOff>0</xdr:rowOff>
    </xdr:from>
    <xdr:to>
      <xdr:col>5</xdr:col>
      <xdr:colOff>83820</xdr:colOff>
      <xdr:row>251</xdr:row>
      <xdr:rowOff>114300</xdr:rowOff>
    </xdr:to>
    <xdr:sp macro="" textlink="">
      <xdr:nvSpPr>
        <xdr:cNvPr id="1894" name="Arrow: Down 1893">
          <a:extLst>
            <a:ext uri="{FF2B5EF4-FFF2-40B4-BE49-F238E27FC236}">
              <a16:creationId xmlns:a16="http://schemas.microsoft.com/office/drawing/2014/main" id="{97EDF9FB-F608-4D06-B90C-572DBA2CAD51}"/>
            </a:ext>
          </a:extLst>
        </xdr:cNvPr>
        <xdr:cNvSpPr/>
      </xdr:nvSpPr>
      <xdr:spPr>
        <a:xfrm>
          <a:off x="1927860" y="4600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251</xdr:row>
      <xdr:rowOff>0</xdr:rowOff>
    </xdr:from>
    <xdr:to>
      <xdr:col>11</xdr:col>
      <xdr:colOff>83820</xdr:colOff>
      <xdr:row>251</xdr:row>
      <xdr:rowOff>114300</xdr:rowOff>
    </xdr:to>
    <xdr:sp macro="" textlink="">
      <xdr:nvSpPr>
        <xdr:cNvPr id="1895" name="Arrow: Down 1894">
          <a:extLst>
            <a:ext uri="{FF2B5EF4-FFF2-40B4-BE49-F238E27FC236}">
              <a16:creationId xmlns:a16="http://schemas.microsoft.com/office/drawing/2014/main" id="{8708D48C-D05D-41A9-B451-184EA1DFAE0A}"/>
            </a:ext>
          </a:extLst>
        </xdr:cNvPr>
        <xdr:cNvSpPr/>
      </xdr:nvSpPr>
      <xdr:spPr>
        <a:xfrm>
          <a:off x="3695700" y="4600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251</xdr:row>
      <xdr:rowOff>0</xdr:rowOff>
    </xdr:from>
    <xdr:to>
      <xdr:col>39</xdr:col>
      <xdr:colOff>83820</xdr:colOff>
      <xdr:row>251</xdr:row>
      <xdr:rowOff>114300</xdr:rowOff>
    </xdr:to>
    <xdr:sp macro="" textlink="">
      <xdr:nvSpPr>
        <xdr:cNvPr id="1896" name="Arrow: Down 1895">
          <a:extLst>
            <a:ext uri="{FF2B5EF4-FFF2-40B4-BE49-F238E27FC236}">
              <a16:creationId xmlns:a16="http://schemas.microsoft.com/office/drawing/2014/main" id="{8FDF6850-E94C-47B4-AD3A-57512DD9AD22}"/>
            </a:ext>
          </a:extLst>
        </xdr:cNvPr>
        <xdr:cNvSpPr/>
      </xdr:nvSpPr>
      <xdr:spPr>
        <a:xfrm>
          <a:off x="97155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251</xdr:row>
      <xdr:rowOff>0</xdr:rowOff>
    </xdr:from>
    <xdr:to>
      <xdr:col>45</xdr:col>
      <xdr:colOff>83820</xdr:colOff>
      <xdr:row>251</xdr:row>
      <xdr:rowOff>114300</xdr:rowOff>
    </xdr:to>
    <xdr:sp macro="" textlink="">
      <xdr:nvSpPr>
        <xdr:cNvPr id="1902" name="Arrow: Down 1901">
          <a:extLst>
            <a:ext uri="{FF2B5EF4-FFF2-40B4-BE49-F238E27FC236}">
              <a16:creationId xmlns:a16="http://schemas.microsoft.com/office/drawing/2014/main" id="{F56D0AD6-2BE5-4603-87D3-EAE8A0E9ED33}"/>
            </a:ext>
          </a:extLst>
        </xdr:cNvPr>
        <xdr:cNvSpPr/>
      </xdr:nvSpPr>
      <xdr:spPr>
        <a:xfrm>
          <a:off x="1152144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252</xdr:row>
      <xdr:rowOff>0</xdr:rowOff>
    </xdr:from>
    <xdr:to>
      <xdr:col>71</xdr:col>
      <xdr:colOff>83820</xdr:colOff>
      <xdr:row>252</xdr:row>
      <xdr:rowOff>114300</xdr:rowOff>
    </xdr:to>
    <xdr:sp macro="" textlink="">
      <xdr:nvSpPr>
        <xdr:cNvPr id="1920" name="Arrow: Down 1919">
          <a:extLst>
            <a:ext uri="{FF2B5EF4-FFF2-40B4-BE49-F238E27FC236}">
              <a16:creationId xmlns:a16="http://schemas.microsoft.com/office/drawing/2014/main" id="{8A4F503B-95FA-467A-9747-1A62846A6EBB}"/>
            </a:ext>
          </a:extLst>
        </xdr:cNvPr>
        <xdr:cNvSpPr/>
      </xdr:nvSpPr>
      <xdr:spPr>
        <a:xfrm rot="10800000">
          <a:off x="1927098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252</xdr:row>
      <xdr:rowOff>0</xdr:rowOff>
    </xdr:from>
    <xdr:to>
      <xdr:col>24</xdr:col>
      <xdr:colOff>83820</xdr:colOff>
      <xdr:row>252</xdr:row>
      <xdr:rowOff>114300</xdr:rowOff>
    </xdr:to>
    <xdr:sp macro="" textlink="">
      <xdr:nvSpPr>
        <xdr:cNvPr id="1921" name="Arrow: Down 1920">
          <a:extLst>
            <a:ext uri="{FF2B5EF4-FFF2-40B4-BE49-F238E27FC236}">
              <a16:creationId xmlns:a16="http://schemas.microsoft.com/office/drawing/2014/main" id="{5183DB17-7D45-4D99-89CD-D2D2D91193B4}"/>
            </a:ext>
          </a:extLst>
        </xdr:cNvPr>
        <xdr:cNvSpPr/>
      </xdr:nvSpPr>
      <xdr:spPr>
        <a:xfrm rot="10800000">
          <a:off x="65532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252</xdr:row>
      <xdr:rowOff>0</xdr:rowOff>
    </xdr:from>
    <xdr:to>
      <xdr:col>60</xdr:col>
      <xdr:colOff>83820</xdr:colOff>
      <xdr:row>252</xdr:row>
      <xdr:rowOff>114300</xdr:rowOff>
    </xdr:to>
    <xdr:sp macro="" textlink="">
      <xdr:nvSpPr>
        <xdr:cNvPr id="1922" name="Arrow: Down 1921">
          <a:extLst>
            <a:ext uri="{FF2B5EF4-FFF2-40B4-BE49-F238E27FC236}">
              <a16:creationId xmlns:a16="http://schemas.microsoft.com/office/drawing/2014/main" id="{2D03A018-05F8-4EEF-B339-417C09500F67}"/>
            </a:ext>
          </a:extLst>
        </xdr:cNvPr>
        <xdr:cNvSpPr/>
      </xdr:nvSpPr>
      <xdr:spPr>
        <a:xfrm rot="10800000">
          <a:off x="168402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252</xdr:row>
      <xdr:rowOff>0</xdr:rowOff>
    </xdr:from>
    <xdr:to>
      <xdr:col>45</xdr:col>
      <xdr:colOff>83820</xdr:colOff>
      <xdr:row>252</xdr:row>
      <xdr:rowOff>114300</xdr:rowOff>
    </xdr:to>
    <xdr:sp macro="" textlink="">
      <xdr:nvSpPr>
        <xdr:cNvPr id="1928" name="Arrow: Down 1927">
          <a:extLst>
            <a:ext uri="{FF2B5EF4-FFF2-40B4-BE49-F238E27FC236}">
              <a16:creationId xmlns:a16="http://schemas.microsoft.com/office/drawing/2014/main" id="{D80B4A7F-970B-454A-9B42-07F014A155AB}"/>
            </a:ext>
          </a:extLst>
        </xdr:cNvPr>
        <xdr:cNvSpPr/>
      </xdr:nvSpPr>
      <xdr:spPr>
        <a:xfrm rot="10800000">
          <a:off x="11521440" y="4618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252</xdr:row>
      <xdr:rowOff>0</xdr:rowOff>
    </xdr:from>
    <xdr:to>
      <xdr:col>39</xdr:col>
      <xdr:colOff>83820</xdr:colOff>
      <xdr:row>252</xdr:row>
      <xdr:rowOff>114300</xdr:rowOff>
    </xdr:to>
    <xdr:sp macro="" textlink="">
      <xdr:nvSpPr>
        <xdr:cNvPr id="1932" name="Arrow: Down 1931">
          <a:extLst>
            <a:ext uri="{FF2B5EF4-FFF2-40B4-BE49-F238E27FC236}">
              <a16:creationId xmlns:a16="http://schemas.microsoft.com/office/drawing/2014/main" id="{7A0C9E4D-4BB6-4CDE-A1E7-19629CFC5191}"/>
            </a:ext>
          </a:extLst>
        </xdr:cNvPr>
        <xdr:cNvSpPr/>
      </xdr:nvSpPr>
      <xdr:spPr>
        <a:xfrm rot="10800000">
          <a:off x="9715500" y="4618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252</xdr:row>
      <xdr:rowOff>0</xdr:rowOff>
    </xdr:from>
    <xdr:to>
      <xdr:col>11</xdr:col>
      <xdr:colOff>83820</xdr:colOff>
      <xdr:row>252</xdr:row>
      <xdr:rowOff>114300</xdr:rowOff>
    </xdr:to>
    <xdr:sp macro="" textlink="">
      <xdr:nvSpPr>
        <xdr:cNvPr id="1933" name="Arrow: Down 1932">
          <a:extLst>
            <a:ext uri="{FF2B5EF4-FFF2-40B4-BE49-F238E27FC236}">
              <a16:creationId xmlns:a16="http://schemas.microsoft.com/office/drawing/2014/main" id="{CC75AC8E-DFC6-4602-B756-4A15E33A1766}"/>
            </a:ext>
          </a:extLst>
        </xdr:cNvPr>
        <xdr:cNvSpPr/>
      </xdr:nvSpPr>
      <xdr:spPr>
        <a:xfrm rot="10800000">
          <a:off x="36957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83820</xdr:colOff>
      <xdr:row>252</xdr:row>
      <xdr:rowOff>114300</xdr:rowOff>
    </xdr:to>
    <xdr:sp macro="" textlink="">
      <xdr:nvSpPr>
        <xdr:cNvPr id="1938" name="Arrow: Down 1937">
          <a:extLst>
            <a:ext uri="{FF2B5EF4-FFF2-40B4-BE49-F238E27FC236}">
              <a16:creationId xmlns:a16="http://schemas.microsoft.com/office/drawing/2014/main" id="{5390F6F7-D0CD-4236-A720-8C07E10486D6}"/>
            </a:ext>
          </a:extLst>
        </xdr:cNvPr>
        <xdr:cNvSpPr/>
      </xdr:nvSpPr>
      <xdr:spPr>
        <a:xfrm rot="10800000">
          <a:off x="192786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253</xdr:row>
      <xdr:rowOff>0</xdr:rowOff>
    </xdr:from>
    <xdr:to>
      <xdr:col>71</xdr:col>
      <xdr:colOff>83820</xdr:colOff>
      <xdr:row>253</xdr:row>
      <xdr:rowOff>114300</xdr:rowOff>
    </xdr:to>
    <xdr:sp macro="" textlink="">
      <xdr:nvSpPr>
        <xdr:cNvPr id="1846" name="Arrow: Down 1845">
          <a:extLst>
            <a:ext uri="{FF2B5EF4-FFF2-40B4-BE49-F238E27FC236}">
              <a16:creationId xmlns:a16="http://schemas.microsoft.com/office/drawing/2014/main" id="{C21D734A-B703-4415-94E1-26BAADDC1B9E}"/>
            </a:ext>
          </a:extLst>
        </xdr:cNvPr>
        <xdr:cNvSpPr/>
      </xdr:nvSpPr>
      <xdr:spPr>
        <a:xfrm rot="10800000">
          <a:off x="2093976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253</xdr:row>
      <xdr:rowOff>0</xdr:rowOff>
    </xdr:from>
    <xdr:to>
      <xdr:col>24</xdr:col>
      <xdr:colOff>83820</xdr:colOff>
      <xdr:row>253</xdr:row>
      <xdr:rowOff>114300</xdr:rowOff>
    </xdr:to>
    <xdr:sp macro="" textlink="">
      <xdr:nvSpPr>
        <xdr:cNvPr id="1858" name="Arrow: Down 1857">
          <a:extLst>
            <a:ext uri="{FF2B5EF4-FFF2-40B4-BE49-F238E27FC236}">
              <a16:creationId xmlns:a16="http://schemas.microsoft.com/office/drawing/2014/main" id="{14FB4C69-CA6C-43DD-AE78-2FF89215306D}"/>
            </a:ext>
          </a:extLst>
        </xdr:cNvPr>
        <xdr:cNvSpPr/>
      </xdr:nvSpPr>
      <xdr:spPr>
        <a:xfrm rot="10800000">
          <a:off x="65532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253</xdr:row>
      <xdr:rowOff>0</xdr:rowOff>
    </xdr:from>
    <xdr:to>
      <xdr:col>60</xdr:col>
      <xdr:colOff>83820</xdr:colOff>
      <xdr:row>253</xdr:row>
      <xdr:rowOff>114300</xdr:rowOff>
    </xdr:to>
    <xdr:sp macro="" textlink="">
      <xdr:nvSpPr>
        <xdr:cNvPr id="1863" name="Arrow: Down 1862">
          <a:extLst>
            <a:ext uri="{FF2B5EF4-FFF2-40B4-BE49-F238E27FC236}">
              <a16:creationId xmlns:a16="http://schemas.microsoft.com/office/drawing/2014/main" id="{6D1F243F-956B-4E46-B7B7-4751377129F1}"/>
            </a:ext>
          </a:extLst>
        </xdr:cNvPr>
        <xdr:cNvSpPr/>
      </xdr:nvSpPr>
      <xdr:spPr>
        <a:xfrm rot="10800000">
          <a:off x="168402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253</xdr:row>
      <xdr:rowOff>0</xdr:rowOff>
    </xdr:from>
    <xdr:to>
      <xdr:col>11</xdr:col>
      <xdr:colOff>83820</xdr:colOff>
      <xdr:row>253</xdr:row>
      <xdr:rowOff>114300</xdr:rowOff>
    </xdr:to>
    <xdr:sp macro="" textlink="">
      <xdr:nvSpPr>
        <xdr:cNvPr id="1875" name="Arrow: Down 1874">
          <a:extLst>
            <a:ext uri="{FF2B5EF4-FFF2-40B4-BE49-F238E27FC236}">
              <a16:creationId xmlns:a16="http://schemas.microsoft.com/office/drawing/2014/main" id="{06D75A5C-90B9-4E76-B2EF-47D3E2ACB620}"/>
            </a:ext>
          </a:extLst>
        </xdr:cNvPr>
        <xdr:cNvSpPr/>
      </xdr:nvSpPr>
      <xdr:spPr>
        <a:xfrm rot="10800000">
          <a:off x="36957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253</xdr:row>
      <xdr:rowOff>0</xdr:rowOff>
    </xdr:from>
    <xdr:to>
      <xdr:col>5</xdr:col>
      <xdr:colOff>83820</xdr:colOff>
      <xdr:row>253</xdr:row>
      <xdr:rowOff>114300</xdr:rowOff>
    </xdr:to>
    <xdr:sp macro="" textlink="">
      <xdr:nvSpPr>
        <xdr:cNvPr id="1876" name="Arrow: Down 1875">
          <a:extLst>
            <a:ext uri="{FF2B5EF4-FFF2-40B4-BE49-F238E27FC236}">
              <a16:creationId xmlns:a16="http://schemas.microsoft.com/office/drawing/2014/main" id="{7068455A-80FE-4A07-B404-D24199099B13}"/>
            </a:ext>
          </a:extLst>
        </xdr:cNvPr>
        <xdr:cNvSpPr/>
      </xdr:nvSpPr>
      <xdr:spPr>
        <a:xfrm rot="10800000">
          <a:off x="192786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253</xdr:row>
      <xdr:rowOff>0</xdr:rowOff>
    </xdr:from>
    <xdr:to>
      <xdr:col>39</xdr:col>
      <xdr:colOff>83820</xdr:colOff>
      <xdr:row>253</xdr:row>
      <xdr:rowOff>114300</xdr:rowOff>
    </xdr:to>
    <xdr:sp macro="" textlink="">
      <xdr:nvSpPr>
        <xdr:cNvPr id="1879" name="Arrow: Down 1878">
          <a:extLst>
            <a:ext uri="{FF2B5EF4-FFF2-40B4-BE49-F238E27FC236}">
              <a16:creationId xmlns:a16="http://schemas.microsoft.com/office/drawing/2014/main" id="{743D068C-304F-4771-B18F-4ED56DB6AD99}"/>
            </a:ext>
          </a:extLst>
        </xdr:cNvPr>
        <xdr:cNvSpPr/>
      </xdr:nvSpPr>
      <xdr:spPr>
        <a:xfrm>
          <a:off x="971550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253</xdr:row>
      <xdr:rowOff>0</xdr:rowOff>
    </xdr:from>
    <xdr:to>
      <xdr:col>45</xdr:col>
      <xdr:colOff>83820</xdr:colOff>
      <xdr:row>253</xdr:row>
      <xdr:rowOff>114300</xdr:rowOff>
    </xdr:to>
    <xdr:sp macro="" textlink="">
      <xdr:nvSpPr>
        <xdr:cNvPr id="1885" name="Arrow: Down 1884">
          <a:extLst>
            <a:ext uri="{FF2B5EF4-FFF2-40B4-BE49-F238E27FC236}">
              <a16:creationId xmlns:a16="http://schemas.microsoft.com/office/drawing/2014/main" id="{D524ED7F-D5BD-4CE1-8F64-9892BF9473E2}"/>
            </a:ext>
          </a:extLst>
        </xdr:cNvPr>
        <xdr:cNvSpPr/>
      </xdr:nvSpPr>
      <xdr:spPr>
        <a:xfrm>
          <a:off x="1152144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254</xdr:row>
      <xdr:rowOff>0</xdr:rowOff>
    </xdr:from>
    <xdr:to>
      <xdr:col>71</xdr:col>
      <xdr:colOff>83820</xdr:colOff>
      <xdr:row>254</xdr:row>
      <xdr:rowOff>114300</xdr:rowOff>
    </xdr:to>
    <xdr:sp macro="" textlink="">
      <xdr:nvSpPr>
        <xdr:cNvPr id="1886" name="Arrow: Down 1885">
          <a:extLst>
            <a:ext uri="{FF2B5EF4-FFF2-40B4-BE49-F238E27FC236}">
              <a16:creationId xmlns:a16="http://schemas.microsoft.com/office/drawing/2014/main" id="{CE117890-3580-42C0-84E9-4985F7794265}"/>
            </a:ext>
          </a:extLst>
        </xdr:cNvPr>
        <xdr:cNvSpPr/>
      </xdr:nvSpPr>
      <xdr:spPr>
        <a:xfrm rot="10800000">
          <a:off x="1927098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254</xdr:row>
      <xdr:rowOff>0</xdr:rowOff>
    </xdr:from>
    <xdr:to>
      <xdr:col>11</xdr:col>
      <xdr:colOff>83820</xdr:colOff>
      <xdr:row>254</xdr:row>
      <xdr:rowOff>114300</xdr:rowOff>
    </xdr:to>
    <xdr:sp macro="" textlink="">
      <xdr:nvSpPr>
        <xdr:cNvPr id="1893" name="Arrow: Down 1892">
          <a:extLst>
            <a:ext uri="{FF2B5EF4-FFF2-40B4-BE49-F238E27FC236}">
              <a16:creationId xmlns:a16="http://schemas.microsoft.com/office/drawing/2014/main" id="{CB6EB679-9A47-4F77-9402-02496A1B08FF}"/>
            </a:ext>
          </a:extLst>
        </xdr:cNvPr>
        <xdr:cNvSpPr/>
      </xdr:nvSpPr>
      <xdr:spPr>
        <a:xfrm rot="10800000">
          <a:off x="369570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254</xdr:row>
      <xdr:rowOff>0</xdr:rowOff>
    </xdr:from>
    <xdr:to>
      <xdr:col>5</xdr:col>
      <xdr:colOff>83820</xdr:colOff>
      <xdr:row>254</xdr:row>
      <xdr:rowOff>114300</xdr:rowOff>
    </xdr:to>
    <xdr:sp macro="" textlink="">
      <xdr:nvSpPr>
        <xdr:cNvPr id="1898" name="Arrow: Down 1897">
          <a:extLst>
            <a:ext uri="{FF2B5EF4-FFF2-40B4-BE49-F238E27FC236}">
              <a16:creationId xmlns:a16="http://schemas.microsoft.com/office/drawing/2014/main" id="{8A6065C9-71D6-4297-9632-13B94EA2D394}"/>
            </a:ext>
          </a:extLst>
        </xdr:cNvPr>
        <xdr:cNvSpPr/>
      </xdr:nvSpPr>
      <xdr:spPr>
        <a:xfrm rot="10800000">
          <a:off x="192786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254</xdr:row>
      <xdr:rowOff>0</xdr:rowOff>
    </xdr:from>
    <xdr:to>
      <xdr:col>60</xdr:col>
      <xdr:colOff>83820</xdr:colOff>
      <xdr:row>254</xdr:row>
      <xdr:rowOff>114300</xdr:rowOff>
    </xdr:to>
    <xdr:sp macro="" textlink="">
      <xdr:nvSpPr>
        <xdr:cNvPr id="1910" name="Arrow: Down 1909">
          <a:extLst>
            <a:ext uri="{FF2B5EF4-FFF2-40B4-BE49-F238E27FC236}">
              <a16:creationId xmlns:a16="http://schemas.microsoft.com/office/drawing/2014/main" id="{505E7806-FDC3-404B-A348-A6381CB36A7A}"/>
            </a:ext>
          </a:extLst>
        </xdr:cNvPr>
        <xdr:cNvSpPr/>
      </xdr:nvSpPr>
      <xdr:spPr>
        <a:xfrm>
          <a:off x="16840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254</xdr:row>
      <xdr:rowOff>0</xdr:rowOff>
    </xdr:from>
    <xdr:to>
      <xdr:col>24</xdr:col>
      <xdr:colOff>83820</xdr:colOff>
      <xdr:row>254</xdr:row>
      <xdr:rowOff>114300</xdr:rowOff>
    </xdr:to>
    <xdr:sp macro="" textlink="">
      <xdr:nvSpPr>
        <xdr:cNvPr id="1912" name="Arrow: Down 1911">
          <a:extLst>
            <a:ext uri="{FF2B5EF4-FFF2-40B4-BE49-F238E27FC236}">
              <a16:creationId xmlns:a16="http://schemas.microsoft.com/office/drawing/2014/main" id="{E94F320A-E8F5-4C6A-BF74-40663077A159}"/>
            </a:ext>
          </a:extLst>
        </xdr:cNvPr>
        <xdr:cNvSpPr/>
      </xdr:nvSpPr>
      <xdr:spPr>
        <a:xfrm>
          <a:off x="6553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254</xdr:row>
      <xdr:rowOff>0</xdr:rowOff>
    </xdr:from>
    <xdr:to>
      <xdr:col>45</xdr:col>
      <xdr:colOff>83820</xdr:colOff>
      <xdr:row>254</xdr:row>
      <xdr:rowOff>114300</xdr:rowOff>
    </xdr:to>
    <xdr:sp macro="" textlink="">
      <xdr:nvSpPr>
        <xdr:cNvPr id="1916" name="Arrow: Down 1915">
          <a:extLst>
            <a:ext uri="{FF2B5EF4-FFF2-40B4-BE49-F238E27FC236}">
              <a16:creationId xmlns:a16="http://schemas.microsoft.com/office/drawing/2014/main" id="{37CC8240-7EC8-416E-9437-5AE118CABCD3}"/>
            </a:ext>
          </a:extLst>
        </xdr:cNvPr>
        <xdr:cNvSpPr/>
      </xdr:nvSpPr>
      <xdr:spPr>
        <a:xfrm rot="10800000">
          <a:off x="1152144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254</xdr:row>
      <xdr:rowOff>0</xdr:rowOff>
    </xdr:from>
    <xdr:to>
      <xdr:col>39</xdr:col>
      <xdr:colOff>83820</xdr:colOff>
      <xdr:row>254</xdr:row>
      <xdr:rowOff>114300</xdr:rowOff>
    </xdr:to>
    <xdr:sp macro="" textlink="">
      <xdr:nvSpPr>
        <xdr:cNvPr id="1919" name="Arrow: Down 1918">
          <a:extLst>
            <a:ext uri="{FF2B5EF4-FFF2-40B4-BE49-F238E27FC236}">
              <a16:creationId xmlns:a16="http://schemas.microsoft.com/office/drawing/2014/main" id="{E112D329-FD1B-4244-8CA6-1BC9C5FBB5E5}"/>
            </a:ext>
          </a:extLst>
        </xdr:cNvPr>
        <xdr:cNvSpPr/>
      </xdr:nvSpPr>
      <xdr:spPr>
        <a:xfrm rot="10800000">
          <a:off x="97155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255</xdr:row>
      <xdr:rowOff>0</xdr:rowOff>
    </xdr:from>
    <xdr:to>
      <xdr:col>71</xdr:col>
      <xdr:colOff>83820</xdr:colOff>
      <xdr:row>255</xdr:row>
      <xdr:rowOff>114300</xdr:rowOff>
    </xdr:to>
    <xdr:sp macro="" textlink="">
      <xdr:nvSpPr>
        <xdr:cNvPr id="1923" name="Arrow: Down 1922">
          <a:extLst>
            <a:ext uri="{FF2B5EF4-FFF2-40B4-BE49-F238E27FC236}">
              <a16:creationId xmlns:a16="http://schemas.microsoft.com/office/drawing/2014/main" id="{E1CF7C7D-1B49-4A60-94E4-71CD589628A0}"/>
            </a:ext>
          </a:extLst>
        </xdr:cNvPr>
        <xdr:cNvSpPr/>
      </xdr:nvSpPr>
      <xdr:spPr>
        <a:xfrm rot="10800000">
          <a:off x="19270980" y="4655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255</xdr:row>
      <xdr:rowOff>0</xdr:rowOff>
    </xdr:from>
    <xdr:to>
      <xdr:col>60</xdr:col>
      <xdr:colOff>83820</xdr:colOff>
      <xdr:row>255</xdr:row>
      <xdr:rowOff>114300</xdr:rowOff>
    </xdr:to>
    <xdr:sp macro="" textlink="">
      <xdr:nvSpPr>
        <xdr:cNvPr id="1926" name="Arrow: Down 1925">
          <a:extLst>
            <a:ext uri="{FF2B5EF4-FFF2-40B4-BE49-F238E27FC236}">
              <a16:creationId xmlns:a16="http://schemas.microsoft.com/office/drawing/2014/main" id="{BC605F01-9B9D-4FBE-88EA-7D0DE6D43769}"/>
            </a:ext>
          </a:extLst>
        </xdr:cNvPr>
        <xdr:cNvSpPr/>
      </xdr:nvSpPr>
      <xdr:spPr>
        <a:xfrm>
          <a:off x="16840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255</xdr:row>
      <xdr:rowOff>0</xdr:rowOff>
    </xdr:from>
    <xdr:to>
      <xdr:col>24</xdr:col>
      <xdr:colOff>83820</xdr:colOff>
      <xdr:row>255</xdr:row>
      <xdr:rowOff>114300</xdr:rowOff>
    </xdr:to>
    <xdr:sp macro="" textlink="">
      <xdr:nvSpPr>
        <xdr:cNvPr id="1927" name="Arrow: Down 1926">
          <a:extLst>
            <a:ext uri="{FF2B5EF4-FFF2-40B4-BE49-F238E27FC236}">
              <a16:creationId xmlns:a16="http://schemas.microsoft.com/office/drawing/2014/main" id="{A5A7DA1A-52AF-466F-B88E-4BF18FB4227A}"/>
            </a:ext>
          </a:extLst>
        </xdr:cNvPr>
        <xdr:cNvSpPr/>
      </xdr:nvSpPr>
      <xdr:spPr>
        <a:xfrm>
          <a:off x="6553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255</xdr:row>
      <xdr:rowOff>0</xdr:rowOff>
    </xdr:from>
    <xdr:to>
      <xdr:col>45</xdr:col>
      <xdr:colOff>83820</xdr:colOff>
      <xdr:row>255</xdr:row>
      <xdr:rowOff>114300</xdr:rowOff>
    </xdr:to>
    <xdr:sp macro="" textlink="">
      <xdr:nvSpPr>
        <xdr:cNvPr id="1929" name="Arrow: Down 1928">
          <a:extLst>
            <a:ext uri="{FF2B5EF4-FFF2-40B4-BE49-F238E27FC236}">
              <a16:creationId xmlns:a16="http://schemas.microsoft.com/office/drawing/2014/main" id="{158C0904-F171-4022-AF3F-E650E3B4DF42}"/>
            </a:ext>
          </a:extLst>
        </xdr:cNvPr>
        <xdr:cNvSpPr/>
      </xdr:nvSpPr>
      <xdr:spPr>
        <a:xfrm rot="10800000">
          <a:off x="1152144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255</xdr:row>
      <xdr:rowOff>0</xdr:rowOff>
    </xdr:from>
    <xdr:to>
      <xdr:col>39</xdr:col>
      <xdr:colOff>83820</xdr:colOff>
      <xdr:row>255</xdr:row>
      <xdr:rowOff>114300</xdr:rowOff>
    </xdr:to>
    <xdr:sp macro="" textlink="">
      <xdr:nvSpPr>
        <xdr:cNvPr id="1931" name="Arrow: Down 1930">
          <a:extLst>
            <a:ext uri="{FF2B5EF4-FFF2-40B4-BE49-F238E27FC236}">
              <a16:creationId xmlns:a16="http://schemas.microsoft.com/office/drawing/2014/main" id="{19B37972-3726-424B-BAF5-359DD2682585}"/>
            </a:ext>
          </a:extLst>
        </xdr:cNvPr>
        <xdr:cNvSpPr/>
      </xdr:nvSpPr>
      <xdr:spPr>
        <a:xfrm rot="10800000">
          <a:off x="97155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255</xdr:row>
      <xdr:rowOff>0</xdr:rowOff>
    </xdr:from>
    <xdr:to>
      <xdr:col>5</xdr:col>
      <xdr:colOff>83820</xdr:colOff>
      <xdr:row>255</xdr:row>
      <xdr:rowOff>114300</xdr:rowOff>
    </xdr:to>
    <xdr:sp macro="" textlink="">
      <xdr:nvSpPr>
        <xdr:cNvPr id="1936" name="Arrow: Down 1935">
          <a:extLst>
            <a:ext uri="{FF2B5EF4-FFF2-40B4-BE49-F238E27FC236}">
              <a16:creationId xmlns:a16="http://schemas.microsoft.com/office/drawing/2014/main" id="{A09F745B-4071-4DEC-999E-5003C2752346}"/>
            </a:ext>
          </a:extLst>
        </xdr:cNvPr>
        <xdr:cNvSpPr/>
      </xdr:nvSpPr>
      <xdr:spPr>
        <a:xfrm>
          <a:off x="192786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255</xdr:row>
      <xdr:rowOff>0</xdr:rowOff>
    </xdr:from>
    <xdr:to>
      <xdr:col>11</xdr:col>
      <xdr:colOff>83820</xdr:colOff>
      <xdr:row>255</xdr:row>
      <xdr:rowOff>114300</xdr:rowOff>
    </xdr:to>
    <xdr:sp macro="" textlink="">
      <xdr:nvSpPr>
        <xdr:cNvPr id="1940" name="Arrow: Down 1939">
          <a:extLst>
            <a:ext uri="{FF2B5EF4-FFF2-40B4-BE49-F238E27FC236}">
              <a16:creationId xmlns:a16="http://schemas.microsoft.com/office/drawing/2014/main" id="{8BE8A04A-2353-4A85-8691-5511A3F86FC1}"/>
            </a:ext>
          </a:extLst>
        </xdr:cNvPr>
        <xdr:cNvSpPr/>
      </xdr:nvSpPr>
      <xdr:spPr>
        <a:xfrm>
          <a:off x="36957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256</xdr:row>
      <xdr:rowOff>0</xdr:rowOff>
    </xdr:from>
    <xdr:to>
      <xdr:col>71</xdr:col>
      <xdr:colOff>83820</xdr:colOff>
      <xdr:row>256</xdr:row>
      <xdr:rowOff>114300</xdr:rowOff>
    </xdr:to>
    <xdr:sp macro="" textlink="">
      <xdr:nvSpPr>
        <xdr:cNvPr id="1942" name="Arrow: Down 1941">
          <a:extLst>
            <a:ext uri="{FF2B5EF4-FFF2-40B4-BE49-F238E27FC236}">
              <a16:creationId xmlns:a16="http://schemas.microsoft.com/office/drawing/2014/main" id="{48DC631D-2F90-4F3A-B96D-DE1B9596E419}"/>
            </a:ext>
          </a:extLst>
        </xdr:cNvPr>
        <xdr:cNvSpPr/>
      </xdr:nvSpPr>
      <xdr:spPr>
        <a:xfrm rot="10800000">
          <a:off x="19270980" y="4673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256</xdr:row>
      <xdr:rowOff>0</xdr:rowOff>
    </xdr:from>
    <xdr:to>
      <xdr:col>60</xdr:col>
      <xdr:colOff>83820</xdr:colOff>
      <xdr:row>256</xdr:row>
      <xdr:rowOff>114300</xdr:rowOff>
    </xdr:to>
    <xdr:sp macro="" textlink="">
      <xdr:nvSpPr>
        <xdr:cNvPr id="1944" name="Arrow: Down 1943">
          <a:extLst>
            <a:ext uri="{FF2B5EF4-FFF2-40B4-BE49-F238E27FC236}">
              <a16:creationId xmlns:a16="http://schemas.microsoft.com/office/drawing/2014/main" id="{AE0D82BA-B603-4C72-9B09-82D2B61740EE}"/>
            </a:ext>
          </a:extLst>
        </xdr:cNvPr>
        <xdr:cNvSpPr/>
      </xdr:nvSpPr>
      <xdr:spPr>
        <a:xfrm>
          <a:off x="168402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256</xdr:row>
      <xdr:rowOff>0</xdr:rowOff>
    </xdr:from>
    <xdr:to>
      <xdr:col>24</xdr:col>
      <xdr:colOff>83820</xdr:colOff>
      <xdr:row>256</xdr:row>
      <xdr:rowOff>114300</xdr:rowOff>
    </xdr:to>
    <xdr:sp macro="" textlink="">
      <xdr:nvSpPr>
        <xdr:cNvPr id="1945" name="Arrow: Down 1944">
          <a:extLst>
            <a:ext uri="{FF2B5EF4-FFF2-40B4-BE49-F238E27FC236}">
              <a16:creationId xmlns:a16="http://schemas.microsoft.com/office/drawing/2014/main" id="{E5EF1E73-0D25-4503-BBD7-1352E3C1340F}"/>
            </a:ext>
          </a:extLst>
        </xdr:cNvPr>
        <xdr:cNvSpPr/>
      </xdr:nvSpPr>
      <xdr:spPr>
        <a:xfrm>
          <a:off x="65532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256</xdr:row>
      <xdr:rowOff>0</xdr:rowOff>
    </xdr:from>
    <xdr:to>
      <xdr:col>5</xdr:col>
      <xdr:colOff>83820</xdr:colOff>
      <xdr:row>256</xdr:row>
      <xdr:rowOff>114300</xdr:rowOff>
    </xdr:to>
    <xdr:sp macro="" textlink="">
      <xdr:nvSpPr>
        <xdr:cNvPr id="1948" name="Arrow: Down 1947">
          <a:extLst>
            <a:ext uri="{FF2B5EF4-FFF2-40B4-BE49-F238E27FC236}">
              <a16:creationId xmlns:a16="http://schemas.microsoft.com/office/drawing/2014/main" id="{BE0EFF39-3B67-475E-87BF-BE2BDC119B32}"/>
            </a:ext>
          </a:extLst>
        </xdr:cNvPr>
        <xdr:cNvSpPr/>
      </xdr:nvSpPr>
      <xdr:spPr>
        <a:xfrm>
          <a:off x="192786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256</xdr:row>
      <xdr:rowOff>0</xdr:rowOff>
    </xdr:from>
    <xdr:to>
      <xdr:col>11</xdr:col>
      <xdr:colOff>83820</xdr:colOff>
      <xdr:row>256</xdr:row>
      <xdr:rowOff>114300</xdr:rowOff>
    </xdr:to>
    <xdr:sp macro="" textlink="">
      <xdr:nvSpPr>
        <xdr:cNvPr id="1949" name="Arrow: Down 1948">
          <a:extLst>
            <a:ext uri="{FF2B5EF4-FFF2-40B4-BE49-F238E27FC236}">
              <a16:creationId xmlns:a16="http://schemas.microsoft.com/office/drawing/2014/main" id="{5DBC936A-B42D-4E52-B1A3-E8CF16AC4A15}"/>
            </a:ext>
          </a:extLst>
        </xdr:cNvPr>
        <xdr:cNvSpPr/>
      </xdr:nvSpPr>
      <xdr:spPr>
        <a:xfrm>
          <a:off x="36957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256</xdr:row>
      <xdr:rowOff>0</xdr:rowOff>
    </xdr:from>
    <xdr:to>
      <xdr:col>39</xdr:col>
      <xdr:colOff>83820</xdr:colOff>
      <xdr:row>256</xdr:row>
      <xdr:rowOff>114300</xdr:rowOff>
    </xdr:to>
    <xdr:sp macro="" textlink="">
      <xdr:nvSpPr>
        <xdr:cNvPr id="1950" name="Arrow: Down 1949">
          <a:extLst>
            <a:ext uri="{FF2B5EF4-FFF2-40B4-BE49-F238E27FC236}">
              <a16:creationId xmlns:a16="http://schemas.microsoft.com/office/drawing/2014/main" id="{E9FF3B3A-A027-4FA7-9693-F19F3CA4F196}"/>
            </a:ext>
          </a:extLst>
        </xdr:cNvPr>
        <xdr:cNvSpPr/>
      </xdr:nvSpPr>
      <xdr:spPr>
        <a:xfrm>
          <a:off x="971550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256</xdr:row>
      <xdr:rowOff>0</xdr:rowOff>
    </xdr:from>
    <xdr:to>
      <xdr:col>45</xdr:col>
      <xdr:colOff>83820</xdr:colOff>
      <xdr:row>256</xdr:row>
      <xdr:rowOff>114300</xdr:rowOff>
    </xdr:to>
    <xdr:sp macro="" textlink="">
      <xdr:nvSpPr>
        <xdr:cNvPr id="1952" name="Arrow: Down 1951">
          <a:extLst>
            <a:ext uri="{FF2B5EF4-FFF2-40B4-BE49-F238E27FC236}">
              <a16:creationId xmlns:a16="http://schemas.microsoft.com/office/drawing/2014/main" id="{6790D342-4DC5-4492-B5EA-28503D3810FE}"/>
            </a:ext>
          </a:extLst>
        </xdr:cNvPr>
        <xdr:cNvSpPr/>
      </xdr:nvSpPr>
      <xdr:spPr>
        <a:xfrm>
          <a:off x="1152144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257</xdr:row>
      <xdr:rowOff>0</xdr:rowOff>
    </xdr:from>
    <xdr:to>
      <xdr:col>71</xdr:col>
      <xdr:colOff>83820</xdr:colOff>
      <xdr:row>257</xdr:row>
      <xdr:rowOff>114300</xdr:rowOff>
    </xdr:to>
    <xdr:sp macro="" textlink="">
      <xdr:nvSpPr>
        <xdr:cNvPr id="1953" name="Arrow: Down 1952">
          <a:extLst>
            <a:ext uri="{FF2B5EF4-FFF2-40B4-BE49-F238E27FC236}">
              <a16:creationId xmlns:a16="http://schemas.microsoft.com/office/drawing/2014/main" id="{0C037742-CCE9-49E3-AE26-297B623D1265}"/>
            </a:ext>
          </a:extLst>
        </xdr:cNvPr>
        <xdr:cNvSpPr/>
      </xdr:nvSpPr>
      <xdr:spPr>
        <a:xfrm rot="10800000">
          <a:off x="1927098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257</xdr:row>
      <xdr:rowOff>0</xdr:rowOff>
    </xdr:from>
    <xdr:to>
      <xdr:col>45</xdr:col>
      <xdr:colOff>83820</xdr:colOff>
      <xdr:row>257</xdr:row>
      <xdr:rowOff>114300</xdr:rowOff>
    </xdr:to>
    <xdr:sp macro="" textlink="">
      <xdr:nvSpPr>
        <xdr:cNvPr id="1959" name="Arrow: Down 1958">
          <a:extLst>
            <a:ext uri="{FF2B5EF4-FFF2-40B4-BE49-F238E27FC236}">
              <a16:creationId xmlns:a16="http://schemas.microsoft.com/office/drawing/2014/main" id="{9FEFFDBB-D7F7-45CE-B5F9-00866F71C188}"/>
            </a:ext>
          </a:extLst>
        </xdr:cNvPr>
        <xdr:cNvSpPr/>
      </xdr:nvSpPr>
      <xdr:spPr>
        <a:xfrm>
          <a:off x="1152144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257</xdr:row>
      <xdr:rowOff>0</xdr:rowOff>
    </xdr:from>
    <xdr:to>
      <xdr:col>11</xdr:col>
      <xdr:colOff>83820</xdr:colOff>
      <xdr:row>257</xdr:row>
      <xdr:rowOff>114300</xdr:rowOff>
    </xdr:to>
    <xdr:sp macro="" textlink="">
      <xdr:nvSpPr>
        <xdr:cNvPr id="1960" name="Arrow: Down 1959">
          <a:extLst>
            <a:ext uri="{FF2B5EF4-FFF2-40B4-BE49-F238E27FC236}">
              <a16:creationId xmlns:a16="http://schemas.microsoft.com/office/drawing/2014/main" id="{BB8A31EC-0C34-4AA6-B4FE-B0DBD625C063}"/>
            </a:ext>
          </a:extLst>
        </xdr:cNvPr>
        <xdr:cNvSpPr/>
      </xdr:nvSpPr>
      <xdr:spPr>
        <a:xfrm rot="10800000">
          <a:off x="36957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257</xdr:row>
      <xdr:rowOff>0</xdr:rowOff>
    </xdr:from>
    <xdr:to>
      <xdr:col>24</xdr:col>
      <xdr:colOff>83820</xdr:colOff>
      <xdr:row>257</xdr:row>
      <xdr:rowOff>114300</xdr:rowOff>
    </xdr:to>
    <xdr:sp macro="" textlink="">
      <xdr:nvSpPr>
        <xdr:cNvPr id="1961" name="Arrow: Down 1960">
          <a:extLst>
            <a:ext uri="{FF2B5EF4-FFF2-40B4-BE49-F238E27FC236}">
              <a16:creationId xmlns:a16="http://schemas.microsoft.com/office/drawing/2014/main" id="{FF249E7B-3AF9-4A28-99EE-1201D253EAEB}"/>
            </a:ext>
          </a:extLst>
        </xdr:cNvPr>
        <xdr:cNvSpPr/>
      </xdr:nvSpPr>
      <xdr:spPr>
        <a:xfrm rot="10800000">
          <a:off x="6553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257</xdr:row>
      <xdr:rowOff>0</xdr:rowOff>
    </xdr:from>
    <xdr:to>
      <xdr:col>5</xdr:col>
      <xdr:colOff>83820</xdr:colOff>
      <xdr:row>257</xdr:row>
      <xdr:rowOff>114300</xdr:rowOff>
    </xdr:to>
    <xdr:sp macro="" textlink="">
      <xdr:nvSpPr>
        <xdr:cNvPr id="1962" name="Arrow: Down 1961">
          <a:extLst>
            <a:ext uri="{FF2B5EF4-FFF2-40B4-BE49-F238E27FC236}">
              <a16:creationId xmlns:a16="http://schemas.microsoft.com/office/drawing/2014/main" id="{8AF05341-F57D-4CBA-92F5-42A7BBE6E7B8}"/>
            </a:ext>
          </a:extLst>
        </xdr:cNvPr>
        <xdr:cNvSpPr/>
      </xdr:nvSpPr>
      <xdr:spPr>
        <a:xfrm rot="10800000">
          <a:off x="192786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257</xdr:row>
      <xdr:rowOff>0</xdr:rowOff>
    </xdr:from>
    <xdr:to>
      <xdr:col>39</xdr:col>
      <xdr:colOff>83820</xdr:colOff>
      <xdr:row>257</xdr:row>
      <xdr:rowOff>114300</xdr:rowOff>
    </xdr:to>
    <xdr:sp macro="" textlink="">
      <xdr:nvSpPr>
        <xdr:cNvPr id="1963" name="Arrow: Down 1962">
          <a:extLst>
            <a:ext uri="{FF2B5EF4-FFF2-40B4-BE49-F238E27FC236}">
              <a16:creationId xmlns:a16="http://schemas.microsoft.com/office/drawing/2014/main" id="{A6302300-9185-479E-894F-7F50964E62D4}"/>
            </a:ext>
          </a:extLst>
        </xdr:cNvPr>
        <xdr:cNvSpPr/>
      </xdr:nvSpPr>
      <xdr:spPr>
        <a:xfrm rot="10800000">
          <a:off x="9715500" y="4709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257</xdr:row>
      <xdr:rowOff>0</xdr:rowOff>
    </xdr:from>
    <xdr:to>
      <xdr:col>60</xdr:col>
      <xdr:colOff>83820</xdr:colOff>
      <xdr:row>257</xdr:row>
      <xdr:rowOff>114300</xdr:rowOff>
    </xdr:to>
    <xdr:sp macro="" textlink="">
      <xdr:nvSpPr>
        <xdr:cNvPr id="1965" name="Arrow: Down 1964">
          <a:extLst>
            <a:ext uri="{FF2B5EF4-FFF2-40B4-BE49-F238E27FC236}">
              <a16:creationId xmlns:a16="http://schemas.microsoft.com/office/drawing/2014/main" id="{7BF69BE1-1C01-4DA2-A546-FF202F80AC09}"/>
            </a:ext>
          </a:extLst>
        </xdr:cNvPr>
        <xdr:cNvSpPr/>
      </xdr:nvSpPr>
      <xdr:spPr>
        <a:xfrm rot="10800000">
          <a:off x="16840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258</xdr:row>
      <xdr:rowOff>0</xdr:rowOff>
    </xdr:from>
    <xdr:to>
      <xdr:col>71</xdr:col>
      <xdr:colOff>83820</xdr:colOff>
      <xdr:row>258</xdr:row>
      <xdr:rowOff>114300</xdr:rowOff>
    </xdr:to>
    <xdr:sp macro="" textlink="">
      <xdr:nvSpPr>
        <xdr:cNvPr id="1973" name="Arrow: Down 1972">
          <a:extLst>
            <a:ext uri="{FF2B5EF4-FFF2-40B4-BE49-F238E27FC236}">
              <a16:creationId xmlns:a16="http://schemas.microsoft.com/office/drawing/2014/main" id="{CA2CFE95-0A77-4F78-8E90-DE3BAAC3E240}"/>
            </a:ext>
          </a:extLst>
        </xdr:cNvPr>
        <xdr:cNvSpPr/>
      </xdr:nvSpPr>
      <xdr:spPr>
        <a:xfrm rot="10800000">
          <a:off x="2093976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258</xdr:row>
      <xdr:rowOff>0</xdr:rowOff>
    </xdr:from>
    <xdr:to>
      <xdr:col>45</xdr:col>
      <xdr:colOff>83820</xdr:colOff>
      <xdr:row>258</xdr:row>
      <xdr:rowOff>114300</xdr:rowOff>
    </xdr:to>
    <xdr:sp macro="" textlink="">
      <xdr:nvSpPr>
        <xdr:cNvPr id="1974" name="Arrow: Down 1973">
          <a:extLst>
            <a:ext uri="{FF2B5EF4-FFF2-40B4-BE49-F238E27FC236}">
              <a16:creationId xmlns:a16="http://schemas.microsoft.com/office/drawing/2014/main" id="{F51C613F-7212-41AD-87D5-95E2026CE1FE}"/>
            </a:ext>
          </a:extLst>
        </xdr:cNvPr>
        <xdr:cNvSpPr/>
      </xdr:nvSpPr>
      <xdr:spPr>
        <a:xfrm>
          <a:off x="1152144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258</xdr:row>
      <xdr:rowOff>0</xdr:rowOff>
    </xdr:from>
    <xdr:to>
      <xdr:col>11</xdr:col>
      <xdr:colOff>83820</xdr:colOff>
      <xdr:row>258</xdr:row>
      <xdr:rowOff>114300</xdr:rowOff>
    </xdr:to>
    <xdr:sp macro="" textlink="">
      <xdr:nvSpPr>
        <xdr:cNvPr id="1975" name="Arrow: Down 1974">
          <a:extLst>
            <a:ext uri="{FF2B5EF4-FFF2-40B4-BE49-F238E27FC236}">
              <a16:creationId xmlns:a16="http://schemas.microsoft.com/office/drawing/2014/main" id="{A393A150-2615-4D6E-8A54-ACC20C2561A1}"/>
            </a:ext>
          </a:extLst>
        </xdr:cNvPr>
        <xdr:cNvSpPr/>
      </xdr:nvSpPr>
      <xdr:spPr>
        <a:xfrm rot="10800000">
          <a:off x="36957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258</xdr:row>
      <xdr:rowOff>0</xdr:rowOff>
    </xdr:from>
    <xdr:to>
      <xdr:col>24</xdr:col>
      <xdr:colOff>83820</xdr:colOff>
      <xdr:row>258</xdr:row>
      <xdr:rowOff>114300</xdr:rowOff>
    </xdr:to>
    <xdr:sp macro="" textlink="">
      <xdr:nvSpPr>
        <xdr:cNvPr id="1976" name="Arrow: Down 1975">
          <a:extLst>
            <a:ext uri="{FF2B5EF4-FFF2-40B4-BE49-F238E27FC236}">
              <a16:creationId xmlns:a16="http://schemas.microsoft.com/office/drawing/2014/main" id="{017D364E-3435-4990-8151-E7E40DC88B7F}"/>
            </a:ext>
          </a:extLst>
        </xdr:cNvPr>
        <xdr:cNvSpPr/>
      </xdr:nvSpPr>
      <xdr:spPr>
        <a:xfrm rot="10800000">
          <a:off x="6553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258</xdr:row>
      <xdr:rowOff>0</xdr:rowOff>
    </xdr:from>
    <xdr:to>
      <xdr:col>5</xdr:col>
      <xdr:colOff>83820</xdr:colOff>
      <xdr:row>258</xdr:row>
      <xdr:rowOff>114300</xdr:rowOff>
    </xdr:to>
    <xdr:sp macro="" textlink="">
      <xdr:nvSpPr>
        <xdr:cNvPr id="1977" name="Arrow: Down 1976">
          <a:extLst>
            <a:ext uri="{FF2B5EF4-FFF2-40B4-BE49-F238E27FC236}">
              <a16:creationId xmlns:a16="http://schemas.microsoft.com/office/drawing/2014/main" id="{17128DB6-09D5-4898-977B-CD5ED416BF67}"/>
            </a:ext>
          </a:extLst>
        </xdr:cNvPr>
        <xdr:cNvSpPr/>
      </xdr:nvSpPr>
      <xdr:spPr>
        <a:xfrm rot="10800000">
          <a:off x="192786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258</xdr:row>
      <xdr:rowOff>0</xdr:rowOff>
    </xdr:from>
    <xdr:to>
      <xdr:col>60</xdr:col>
      <xdr:colOff>83820</xdr:colOff>
      <xdr:row>258</xdr:row>
      <xdr:rowOff>114300</xdr:rowOff>
    </xdr:to>
    <xdr:sp macro="" textlink="">
      <xdr:nvSpPr>
        <xdr:cNvPr id="1979" name="Arrow: Down 1978">
          <a:extLst>
            <a:ext uri="{FF2B5EF4-FFF2-40B4-BE49-F238E27FC236}">
              <a16:creationId xmlns:a16="http://schemas.microsoft.com/office/drawing/2014/main" id="{9A39BA50-A4CD-4C74-B43B-E78FEDFF89AC}"/>
            </a:ext>
          </a:extLst>
        </xdr:cNvPr>
        <xdr:cNvSpPr/>
      </xdr:nvSpPr>
      <xdr:spPr>
        <a:xfrm rot="10800000">
          <a:off x="16840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258</xdr:row>
      <xdr:rowOff>0</xdr:rowOff>
    </xdr:from>
    <xdr:to>
      <xdr:col>39</xdr:col>
      <xdr:colOff>83820</xdr:colOff>
      <xdr:row>258</xdr:row>
      <xdr:rowOff>114300</xdr:rowOff>
    </xdr:to>
    <xdr:sp macro="" textlink="">
      <xdr:nvSpPr>
        <xdr:cNvPr id="1980" name="Arrow: Down 1979">
          <a:extLst>
            <a:ext uri="{FF2B5EF4-FFF2-40B4-BE49-F238E27FC236}">
              <a16:creationId xmlns:a16="http://schemas.microsoft.com/office/drawing/2014/main" id="{55A201EC-512A-411B-A921-4B60D7445F8C}"/>
            </a:ext>
          </a:extLst>
        </xdr:cNvPr>
        <xdr:cNvSpPr/>
      </xdr:nvSpPr>
      <xdr:spPr>
        <a:xfrm>
          <a:off x="97155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259</xdr:row>
      <xdr:rowOff>0</xdr:rowOff>
    </xdr:from>
    <xdr:to>
      <xdr:col>71</xdr:col>
      <xdr:colOff>83820</xdr:colOff>
      <xdr:row>259</xdr:row>
      <xdr:rowOff>114300</xdr:rowOff>
    </xdr:to>
    <xdr:sp macro="" textlink="">
      <xdr:nvSpPr>
        <xdr:cNvPr id="1981" name="Arrow: Down 1980">
          <a:extLst>
            <a:ext uri="{FF2B5EF4-FFF2-40B4-BE49-F238E27FC236}">
              <a16:creationId xmlns:a16="http://schemas.microsoft.com/office/drawing/2014/main" id="{43E04372-1543-4972-A1E7-89245D784A9D}"/>
            </a:ext>
          </a:extLst>
        </xdr:cNvPr>
        <xdr:cNvSpPr/>
      </xdr:nvSpPr>
      <xdr:spPr>
        <a:xfrm rot="10800000">
          <a:off x="2093976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259</xdr:row>
      <xdr:rowOff>0</xdr:rowOff>
    </xdr:from>
    <xdr:to>
      <xdr:col>11</xdr:col>
      <xdr:colOff>83820</xdr:colOff>
      <xdr:row>259</xdr:row>
      <xdr:rowOff>114300</xdr:rowOff>
    </xdr:to>
    <xdr:sp macro="" textlink="">
      <xdr:nvSpPr>
        <xdr:cNvPr id="1983" name="Arrow: Down 1982">
          <a:extLst>
            <a:ext uri="{FF2B5EF4-FFF2-40B4-BE49-F238E27FC236}">
              <a16:creationId xmlns:a16="http://schemas.microsoft.com/office/drawing/2014/main" id="{99369641-6D28-4DB2-9F0E-84F2A9744B22}"/>
            </a:ext>
          </a:extLst>
        </xdr:cNvPr>
        <xdr:cNvSpPr/>
      </xdr:nvSpPr>
      <xdr:spPr>
        <a:xfrm rot="10800000">
          <a:off x="36957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259</xdr:row>
      <xdr:rowOff>0</xdr:rowOff>
    </xdr:from>
    <xdr:to>
      <xdr:col>24</xdr:col>
      <xdr:colOff>83820</xdr:colOff>
      <xdr:row>259</xdr:row>
      <xdr:rowOff>114300</xdr:rowOff>
    </xdr:to>
    <xdr:sp macro="" textlink="">
      <xdr:nvSpPr>
        <xdr:cNvPr id="1984" name="Arrow: Down 1983">
          <a:extLst>
            <a:ext uri="{FF2B5EF4-FFF2-40B4-BE49-F238E27FC236}">
              <a16:creationId xmlns:a16="http://schemas.microsoft.com/office/drawing/2014/main" id="{D67847BB-D43B-4D05-9D52-9127813EE8F2}"/>
            </a:ext>
          </a:extLst>
        </xdr:cNvPr>
        <xdr:cNvSpPr/>
      </xdr:nvSpPr>
      <xdr:spPr>
        <a:xfrm rot="10800000">
          <a:off x="65532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259</xdr:row>
      <xdr:rowOff>0</xdr:rowOff>
    </xdr:from>
    <xdr:to>
      <xdr:col>5</xdr:col>
      <xdr:colOff>83820</xdr:colOff>
      <xdr:row>259</xdr:row>
      <xdr:rowOff>114300</xdr:rowOff>
    </xdr:to>
    <xdr:sp macro="" textlink="">
      <xdr:nvSpPr>
        <xdr:cNvPr id="1985" name="Arrow: Down 1984">
          <a:extLst>
            <a:ext uri="{FF2B5EF4-FFF2-40B4-BE49-F238E27FC236}">
              <a16:creationId xmlns:a16="http://schemas.microsoft.com/office/drawing/2014/main" id="{38205742-7782-4D5B-8C58-B23A1E58F2ED}"/>
            </a:ext>
          </a:extLst>
        </xdr:cNvPr>
        <xdr:cNvSpPr/>
      </xdr:nvSpPr>
      <xdr:spPr>
        <a:xfrm rot="10800000">
          <a:off x="192786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259</xdr:row>
      <xdr:rowOff>0</xdr:rowOff>
    </xdr:from>
    <xdr:to>
      <xdr:col>60</xdr:col>
      <xdr:colOff>83820</xdr:colOff>
      <xdr:row>259</xdr:row>
      <xdr:rowOff>114300</xdr:rowOff>
    </xdr:to>
    <xdr:sp macro="" textlink="">
      <xdr:nvSpPr>
        <xdr:cNvPr id="1986" name="Arrow: Down 1985">
          <a:extLst>
            <a:ext uri="{FF2B5EF4-FFF2-40B4-BE49-F238E27FC236}">
              <a16:creationId xmlns:a16="http://schemas.microsoft.com/office/drawing/2014/main" id="{513E8274-3E0D-4890-8669-D2B5E638C284}"/>
            </a:ext>
          </a:extLst>
        </xdr:cNvPr>
        <xdr:cNvSpPr/>
      </xdr:nvSpPr>
      <xdr:spPr>
        <a:xfrm rot="10800000">
          <a:off x="168402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259</xdr:row>
      <xdr:rowOff>0</xdr:rowOff>
    </xdr:from>
    <xdr:to>
      <xdr:col>39</xdr:col>
      <xdr:colOff>83820</xdr:colOff>
      <xdr:row>259</xdr:row>
      <xdr:rowOff>114300</xdr:rowOff>
    </xdr:to>
    <xdr:sp macro="" textlink="">
      <xdr:nvSpPr>
        <xdr:cNvPr id="1988" name="Arrow: Down 1987">
          <a:extLst>
            <a:ext uri="{FF2B5EF4-FFF2-40B4-BE49-F238E27FC236}">
              <a16:creationId xmlns:a16="http://schemas.microsoft.com/office/drawing/2014/main" id="{3F28C59E-5CCA-41DA-A228-E65185000529}"/>
            </a:ext>
          </a:extLst>
        </xdr:cNvPr>
        <xdr:cNvSpPr/>
      </xdr:nvSpPr>
      <xdr:spPr>
        <a:xfrm rot="10800000">
          <a:off x="9715500" y="4746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259</xdr:row>
      <xdr:rowOff>0</xdr:rowOff>
    </xdr:from>
    <xdr:to>
      <xdr:col>45</xdr:col>
      <xdr:colOff>83820</xdr:colOff>
      <xdr:row>259</xdr:row>
      <xdr:rowOff>114300</xdr:rowOff>
    </xdr:to>
    <xdr:sp macro="" textlink="">
      <xdr:nvSpPr>
        <xdr:cNvPr id="1989" name="Arrow: Down 1988">
          <a:extLst>
            <a:ext uri="{FF2B5EF4-FFF2-40B4-BE49-F238E27FC236}">
              <a16:creationId xmlns:a16="http://schemas.microsoft.com/office/drawing/2014/main" id="{A5C1A52F-632F-4654-9F44-FC58829810BB}"/>
            </a:ext>
          </a:extLst>
        </xdr:cNvPr>
        <xdr:cNvSpPr/>
      </xdr:nvSpPr>
      <xdr:spPr>
        <a:xfrm rot="10800000">
          <a:off x="11521440" y="4746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260</xdr:row>
      <xdr:rowOff>0</xdr:rowOff>
    </xdr:from>
    <xdr:to>
      <xdr:col>71</xdr:col>
      <xdr:colOff>83820</xdr:colOff>
      <xdr:row>260</xdr:row>
      <xdr:rowOff>114300</xdr:rowOff>
    </xdr:to>
    <xdr:sp macro="" textlink="">
      <xdr:nvSpPr>
        <xdr:cNvPr id="1866" name="Arrow: Down 1865">
          <a:extLst>
            <a:ext uri="{FF2B5EF4-FFF2-40B4-BE49-F238E27FC236}">
              <a16:creationId xmlns:a16="http://schemas.microsoft.com/office/drawing/2014/main" id="{BFB1806D-EA2B-47F2-906D-C7EF89B17FB6}"/>
            </a:ext>
          </a:extLst>
        </xdr:cNvPr>
        <xdr:cNvSpPr/>
      </xdr:nvSpPr>
      <xdr:spPr>
        <a:xfrm rot="10800000">
          <a:off x="20939760" y="4746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260</xdr:row>
      <xdr:rowOff>0</xdr:rowOff>
    </xdr:from>
    <xdr:to>
      <xdr:col>60</xdr:col>
      <xdr:colOff>83820</xdr:colOff>
      <xdr:row>260</xdr:row>
      <xdr:rowOff>114300</xdr:rowOff>
    </xdr:to>
    <xdr:sp macro="" textlink="">
      <xdr:nvSpPr>
        <xdr:cNvPr id="1891" name="Arrow: Down 1890">
          <a:extLst>
            <a:ext uri="{FF2B5EF4-FFF2-40B4-BE49-F238E27FC236}">
              <a16:creationId xmlns:a16="http://schemas.microsoft.com/office/drawing/2014/main" id="{0FB23F0F-8949-4897-9180-DE73B0808CB7}"/>
            </a:ext>
          </a:extLst>
        </xdr:cNvPr>
        <xdr:cNvSpPr/>
      </xdr:nvSpPr>
      <xdr:spPr>
        <a:xfrm rot="10800000">
          <a:off x="16840200" y="4746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260</xdr:row>
      <xdr:rowOff>0</xdr:rowOff>
    </xdr:from>
    <xdr:to>
      <xdr:col>5</xdr:col>
      <xdr:colOff>83820</xdr:colOff>
      <xdr:row>260</xdr:row>
      <xdr:rowOff>114300</xdr:rowOff>
    </xdr:to>
    <xdr:sp macro="" textlink="">
      <xdr:nvSpPr>
        <xdr:cNvPr id="1911" name="Arrow: Down 1910">
          <a:extLst>
            <a:ext uri="{FF2B5EF4-FFF2-40B4-BE49-F238E27FC236}">
              <a16:creationId xmlns:a16="http://schemas.microsoft.com/office/drawing/2014/main" id="{A1788559-1416-4098-A4C2-9A2E8342A21B}"/>
            </a:ext>
          </a:extLst>
        </xdr:cNvPr>
        <xdr:cNvSpPr/>
      </xdr:nvSpPr>
      <xdr:spPr>
        <a:xfrm>
          <a:off x="1927860" y="4764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260</xdr:row>
      <xdr:rowOff>0</xdr:rowOff>
    </xdr:from>
    <xdr:to>
      <xdr:col>11</xdr:col>
      <xdr:colOff>83820</xdr:colOff>
      <xdr:row>260</xdr:row>
      <xdr:rowOff>114300</xdr:rowOff>
    </xdr:to>
    <xdr:sp macro="" textlink="">
      <xdr:nvSpPr>
        <xdr:cNvPr id="1924" name="Arrow: Down 1923">
          <a:extLst>
            <a:ext uri="{FF2B5EF4-FFF2-40B4-BE49-F238E27FC236}">
              <a16:creationId xmlns:a16="http://schemas.microsoft.com/office/drawing/2014/main" id="{E93C4009-981E-4BF9-83FC-A422C5A9A506}"/>
            </a:ext>
          </a:extLst>
        </xdr:cNvPr>
        <xdr:cNvSpPr/>
      </xdr:nvSpPr>
      <xdr:spPr>
        <a:xfrm>
          <a:off x="3695700" y="4764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260</xdr:row>
      <xdr:rowOff>0</xdr:rowOff>
    </xdr:from>
    <xdr:to>
      <xdr:col>24</xdr:col>
      <xdr:colOff>83820</xdr:colOff>
      <xdr:row>260</xdr:row>
      <xdr:rowOff>114300</xdr:rowOff>
    </xdr:to>
    <xdr:sp macro="" textlink="">
      <xdr:nvSpPr>
        <xdr:cNvPr id="1925" name="Arrow: Down 1924">
          <a:extLst>
            <a:ext uri="{FF2B5EF4-FFF2-40B4-BE49-F238E27FC236}">
              <a16:creationId xmlns:a16="http://schemas.microsoft.com/office/drawing/2014/main" id="{44FB8915-AC4F-4230-80B1-F9A8E53FB8A5}"/>
            </a:ext>
          </a:extLst>
        </xdr:cNvPr>
        <xdr:cNvSpPr/>
      </xdr:nvSpPr>
      <xdr:spPr>
        <a:xfrm>
          <a:off x="6553200" y="4764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260</xdr:row>
      <xdr:rowOff>0</xdr:rowOff>
    </xdr:from>
    <xdr:to>
      <xdr:col>45</xdr:col>
      <xdr:colOff>83820</xdr:colOff>
      <xdr:row>260</xdr:row>
      <xdr:rowOff>114300</xdr:rowOff>
    </xdr:to>
    <xdr:sp macro="" textlink="">
      <xdr:nvSpPr>
        <xdr:cNvPr id="1946" name="Arrow: Down 1945">
          <a:extLst>
            <a:ext uri="{FF2B5EF4-FFF2-40B4-BE49-F238E27FC236}">
              <a16:creationId xmlns:a16="http://schemas.microsoft.com/office/drawing/2014/main" id="{106FF3B9-B50B-4562-9373-96D22BFA4A09}"/>
            </a:ext>
          </a:extLst>
        </xdr:cNvPr>
        <xdr:cNvSpPr/>
      </xdr:nvSpPr>
      <xdr:spPr>
        <a:xfrm>
          <a:off x="11521440" y="4764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260</xdr:row>
      <xdr:rowOff>0</xdr:rowOff>
    </xdr:from>
    <xdr:to>
      <xdr:col>39</xdr:col>
      <xdr:colOff>83820</xdr:colOff>
      <xdr:row>260</xdr:row>
      <xdr:rowOff>114300</xdr:rowOff>
    </xdr:to>
    <xdr:sp macro="" textlink="">
      <xdr:nvSpPr>
        <xdr:cNvPr id="1947" name="Arrow: Down 1946">
          <a:extLst>
            <a:ext uri="{FF2B5EF4-FFF2-40B4-BE49-F238E27FC236}">
              <a16:creationId xmlns:a16="http://schemas.microsoft.com/office/drawing/2014/main" id="{2C1FAF55-2ABA-44D7-879D-ED700B53489E}"/>
            </a:ext>
          </a:extLst>
        </xdr:cNvPr>
        <xdr:cNvSpPr/>
      </xdr:nvSpPr>
      <xdr:spPr>
        <a:xfrm>
          <a:off x="9715500" y="4764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261</xdr:row>
      <xdr:rowOff>0</xdr:rowOff>
    </xdr:from>
    <xdr:to>
      <xdr:col>11</xdr:col>
      <xdr:colOff>83820</xdr:colOff>
      <xdr:row>261</xdr:row>
      <xdr:rowOff>114300</xdr:rowOff>
    </xdr:to>
    <xdr:sp macro="" textlink="">
      <xdr:nvSpPr>
        <xdr:cNvPr id="1968" name="Arrow: Down 1967">
          <a:extLst>
            <a:ext uri="{FF2B5EF4-FFF2-40B4-BE49-F238E27FC236}">
              <a16:creationId xmlns:a16="http://schemas.microsoft.com/office/drawing/2014/main" id="{098A139F-B64F-408C-905B-C4B38F6B9B79}"/>
            </a:ext>
          </a:extLst>
        </xdr:cNvPr>
        <xdr:cNvSpPr/>
      </xdr:nvSpPr>
      <xdr:spPr>
        <a:xfrm rot="10800000">
          <a:off x="369570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261</xdr:row>
      <xdr:rowOff>0</xdr:rowOff>
    </xdr:from>
    <xdr:to>
      <xdr:col>5</xdr:col>
      <xdr:colOff>83820</xdr:colOff>
      <xdr:row>261</xdr:row>
      <xdr:rowOff>114300</xdr:rowOff>
    </xdr:to>
    <xdr:sp macro="" textlink="">
      <xdr:nvSpPr>
        <xdr:cNvPr id="1970" name="Arrow: Down 1969">
          <a:extLst>
            <a:ext uri="{FF2B5EF4-FFF2-40B4-BE49-F238E27FC236}">
              <a16:creationId xmlns:a16="http://schemas.microsoft.com/office/drawing/2014/main" id="{D78201A6-7E2E-4B21-A3D4-09261F944337}"/>
            </a:ext>
          </a:extLst>
        </xdr:cNvPr>
        <xdr:cNvSpPr/>
      </xdr:nvSpPr>
      <xdr:spPr>
        <a:xfrm rot="10800000">
          <a:off x="192786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261</xdr:row>
      <xdr:rowOff>0</xdr:rowOff>
    </xdr:from>
    <xdr:to>
      <xdr:col>24</xdr:col>
      <xdr:colOff>83820</xdr:colOff>
      <xdr:row>261</xdr:row>
      <xdr:rowOff>114300</xdr:rowOff>
    </xdr:to>
    <xdr:sp macro="" textlink="">
      <xdr:nvSpPr>
        <xdr:cNvPr id="1972" name="Arrow: Down 1971">
          <a:extLst>
            <a:ext uri="{FF2B5EF4-FFF2-40B4-BE49-F238E27FC236}">
              <a16:creationId xmlns:a16="http://schemas.microsoft.com/office/drawing/2014/main" id="{B2B72EF4-2F56-47F9-83FD-0029B2CBF738}"/>
            </a:ext>
          </a:extLst>
        </xdr:cNvPr>
        <xdr:cNvSpPr/>
      </xdr:nvSpPr>
      <xdr:spPr>
        <a:xfrm rot="10800000">
          <a:off x="655320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261</xdr:row>
      <xdr:rowOff>0</xdr:rowOff>
    </xdr:from>
    <xdr:to>
      <xdr:col>45</xdr:col>
      <xdr:colOff>83820</xdr:colOff>
      <xdr:row>261</xdr:row>
      <xdr:rowOff>114300</xdr:rowOff>
    </xdr:to>
    <xdr:sp macro="" textlink="">
      <xdr:nvSpPr>
        <xdr:cNvPr id="1982" name="Arrow: Down 1981">
          <a:extLst>
            <a:ext uri="{FF2B5EF4-FFF2-40B4-BE49-F238E27FC236}">
              <a16:creationId xmlns:a16="http://schemas.microsoft.com/office/drawing/2014/main" id="{D8DF9504-3074-4769-A085-7388E9392712}"/>
            </a:ext>
          </a:extLst>
        </xdr:cNvPr>
        <xdr:cNvSpPr/>
      </xdr:nvSpPr>
      <xdr:spPr>
        <a:xfrm rot="10800000">
          <a:off x="1152144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261</xdr:row>
      <xdr:rowOff>0</xdr:rowOff>
    </xdr:from>
    <xdr:to>
      <xdr:col>39</xdr:col>
      <xdr:colOff>83820</xdr:colOff>
      <xdr:row>261</xdr:row>
      <xdr:rowOff>114300</xdr:rowOff>
    </xdr:to>
    <xdr:sp macro="" textlink="">
      <xdr:nvSpPr>
        <xdr:cNvPr id="1987" name="Arrow: Down 1986">
          <a:extLst>
            <a:ext uri="{FF2B5EF4-FFF2-40B4-BE49-F238E27FC236}">
              <a16:creationId xmlns:a16="http://schemas.microsoft.com/office/drawing/2014/main" id="{BDA6BB4B-19F9-4BEA-8175-9139B175BBDF}"/>
            </a:ext>
          </a:extLst>
        </xdr:cNvPr>
        <xdr:cNvSpPr/>
      </xdr:nvSpPr>
      <xdr:spPr>
        <a:xfrm rot="10800000">
          <a:off x="971550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261</xdr:row>
      <xdr:rowOff>0</xdr:rowOff>
    </xdr:from>
    <xdr:to>
      <xdr:col>60</xdr:col>
      <xdr:colOff>83820</xdr:colOff>
      <xdr:row>261</xdr:row>
      <xdr:rowOff>114300</xdr:rowOff>
    </xdr:to>
    <xdr:sp macro="" textlink="">
      <xdr:nvSpPr>
        <xdr:cNvPr id="1991" name="Arrow: Down 1990">
          <a:extLst>
            <a:ext uri="{FF2B5EF4-FFF2-40B4-BE49-F238E27FC236}">
              <a16:creationId xmlns:a16="http://schemas.microsoft.com/office/drawing/2014/main" id="{39FFE110-2137-49A0-BD78-7FB17B4CD509}"/>
            </a:ext>
          </a:extLst>
        </xdr:cNvPr>
        <xdr:cNvSpPr/>
      </xdr:nvSpPr>
      <xdr:spPr>
        <a:xfrm>
          <a:off x="1684020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261</xdr:row>
      <xdr:rowOff>0</xdr:rowOff>
    </xdr:from>
    <xdr:to>
      <xdr:col>71</xdr:col>
      <xdr:colOff>83820</xdr:colOff>
      <xdr:row>261</xdr:row>
      <xdr:rowOff>114300</xdr:rowOff>
    </xdr:to>
    <xdr:sp macro="" textlink="">
      <xdr:nvSpPr>
        <xdr:cNvPr id="1992" name="Arrow: Down 1991">
          <a:extLst>
            <a:ext uri="{FF2B5EF4-FFF2-40B4-BE49-F238E27FC236}">
              <a16:creationId xmlns:a16="http://schemas.microsoft.com/office/drawing/2014/main" id="{F1AE1037-2AB9-4F9C-B144-AE15594B3E05}"/>
            </a:ext>
          </a:extLst>
        </xdr:cNvPr>
        <xdr:cNvSpPr/>
      </xdr:nvSpPr>
      <xdr:spPr>
        <a:xfrm rot="10800000">
          <a:off x="1927098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262</xdr:row>
      <xdr:rowOff>0</xdr:rowOff>
    </xdr:from>
    <xdr:to>
      <xdr:col>45</xdr:col>
      <xdr:colOff>83820</xdr:colOff>
      <xdr:row>262</xdr:row>
      <xdr:rowOff>114300</xdr:rowOff>
    </xdr:to>
    <xdr:sp macro="" textlink="">
      <xdr:nvSpPr>
        <xdr:cNvPr id="2003" name="Arrow: Down 2002">
          <a:extLst>
            <a:ext uri="{FF2B5EF4-FFF2-40B4-BE49-F238E27FC236}">
              <a16:creationId xmlns:a16="http://schemas.microsoft.com/office/drawing/2014/main" id="{DE3711F3-87B8-4CCD-B4EF-11603A93C909}"/>
            </a:ext>
          </a:extLst>
        </xdr:cNvPr>
        <xdr:cNvSpPr/>
      </xdr:nvSpPr>
      <xdr:spPr>
        <a:xfrm rot="10800000">
          <a:off x="1152144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262</xdr:row>
      <xdr:rowOff>0</xdr:rowOff>
    </xdr:from>
    <xdr:to>
      <xdr:col>71</xdr:col>
      <xdr:colOff>83820</xdr:colOff>
      <xdr:row>262</xdr:row>
      <xdr:rowOff>114300</xdr:rowOff>
    </xdr:to>
    <xdr:sp macro="" textlink="">
      <xdr:nvSpPr>
        <xdr:cNvPr id="2006" name="Arrow: Down 2005">
          <a:extLst>
            <a:ext uri="{FF2B5EF4-FFF2-40B4-BE49-F238E27FC236}">
              <a16:creationId xmlns:a16="http://schemas.microsoft.com/office/drawing/2014/main" id="{27D24086-24DF-4F3C-9954-D0F0892F1222}"/>
            </a:ext>
          </a:extLst>
        </xdr:cNvPr>
        <xdr:cNvSpPr/>
      </xdr:nvSpPr>
      <xdr:spPr>
        <a:xfrm rot="10800000">
          <a:off x="1927098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262</xdr:row>
      <xdr:rowOff>0</xdr:rowOff>
    </xdr:from>
    <xdr:to>
      <xdr:col>39</xdr:col>
      <xdr:colOff>83820</xdr:colOff>
      <xdr:row>262</xdr:row>
      <xdr:rowOff>114300</xdr:rowOff>
    </xdr:to>
    <xdr:sp macro="" textlink="">
      <xdr:nvSpPr>
        <xdr:cNvPr id="2008" name="Arrow: Down 2007">
          <a:extLst>
            <a:ext uri="{FF2B5EF4-FFF2-40B4-BE49-F238E27FC236}">
              <a16:creationId xmlns:a16="http://schemas.microsoft.com/office/drawing/2014/main" id="{90168537-4D68-497F-8346-EFDB9A3D7319}"/>
            </a:ext>
          </a:extLst>
        </xdr:cNvPr>
        <xdr:cNvSpPr/>
      </xdr:nvSpPr>
      <xdr:spPr>
        <a:xfrm>
          <a:off x="97155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262</xdr:row>
      <xdr:rowOff>0</xdr:rowOff>
    </xdr:from>
    <xdr:to>
      <xdr:col>11</xdr:col>
      <xdr:colOff>83820</xdr:colOff>
      <xdr:row>262</xdr:row>
      <xdr:rowOff>114300</xdr:rowOff>
    </xdr:to>
    <xdr:sp macro="" textlink="">
      <xdr:nvSpPr>
        <xdr:cNvPr id="2009" name="Arrow: Down 2008">
          <a:extLst>
            <a:ext uri="{FF2B5EF4-FFF2-40B4-BE49-F238E27FC236}">
              <a16:creationId xmlns:a16="http://schemas.microsoft.com/office/drawing/2014/main" id="{962D7975-E53D-4381-A09F-3CA83FDB24B9}"/>
            </a:ext>
          </a:extLst>
        </xdr:cNvPr>
        <xdr:cNvSpPr/>
      </xdr:nvSpPr>
      <xdr:spPr>
        <a:xfrm>
          <a:off x="36957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262</xdr:row>
      <xdr:rowOff>0</xdr:rowOff>
    </xdr:from>
    <xdr:to>
      <xdr:col>5</xdr:col>
      <xdr:colOff>83820</xdr:colOff>
      <xdr:row>262</xdr:row>
      <xdr:rowOff>114300</xdr:rowOff>
    </xdr:to>
    <xdr:sp macro="" textlink="">
      <xdr:nvSpPr>
        <xdr:cNvPr id="2010" name="Arrow: Down 2009">
          <a:extLst>
            <a:ext uri="{FF2B5EF4-FFF2-40B4-BE49-F238E27FC236}">
              <a16:creationId xmlns:a16="http://schemas.microsoft.com/office/drawing/2014/main" id="{695571B9-37B2-46D7-ABA6-782A267A2B26}"/>
            </a:ext>
          </a:extLst>
        </xdr:cNvPr>
        <xdr:cNvSpPr/>
      </xdr:nvSpPr>
      <xdr:spPr>
        <a:xfrm>
          <a:off x="192786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262</xdr:row>
      <xdr:rowOff>0</xdr:rowOff>
    </xdr:from>
    <xdr:to>
      <xdr:col>24</xdr:col>
      <xdr:colOff>83820</xdr:colOff>
      <xdr:row>262</xdr:row>
      <xdr:rowOff>114300</xdr:rowOff>
    </xdr:to>
    <xdr:sp macro="" textlink="">
      <xdr:nvSpPr>
        <xdr:cNvPr id="2012" name="Arrow: Down 2011">
          <a:extLst>
            <a:ext uri="{FF2B5EF4-FFF2-40B4-BE49-F238E27FC236}">
              <a16:creationId xmlns:a16="http://schemas.microsoft.com/office/drawing/2014/main" id="{3092055C-98D1-4F55-8477-FAE0C8B2655C}"/>
            </a:ext>
          </a:extLst>
        </xdr:cNvPr>
        <xdr:cNvSpPr/>
      </xdr:nvSpPr>
      <xdr:spPr>
        <a:xfrm>
          <a:off x="65532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262</xdr:row>
      <xdr:rowOff>0</xdr:rowOff>
    </xdr:from>
    <xdr:to>
      <xdr:col>60</xdr:col>
      <xdr:colOff>83820</xdr:colOff>
      <xdr:row>262</xdr:row>
      <xdr:rowOff>114300</xdr:rowOff>
    </xdr:to>
    <xdr:sp macro="" textlink="">
      <xdr:nvSpPr>
        <xdr:cNvPr id="2013" name="Arrow: Down 2012">
          <a:extLst>
            <a:ext uri="{FF2B5EF4-FFF2-40B4-BE49-F238E27FC236}">
              <a16:creationId xmlns:a16="http://schemas.microsoft.com/office/drawing/2014/main" id="{031CC5F1-E5F0-4652-818C-8D662C42CBAE}"/>
            </a:ext>
          </a:extLst>
        </xdr:cNvPr>
        <xdr:cNvSpPr/>
      </xdr:nvSpPr>
      <xdr:spPr>
        <a:xfrm rot="10800000">
          <a:off x="168402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263</xdr:row>
      <xdr:rowOff>0</xdr:rowOff>
    </xdr:from>
    <xdr:to>
      <xdr:col>71</xdr:col>
      <xdr:colOff>83820</xdr:colOff>
      <xdr:row>263</xdr:row>
      <xdr:rowOff>114300</xdr:rowOff>
    </xdr:to>
    <xdr:sp macro="" textlink="">
      <xdr:nvSpPr>
        <xdr:cNvPr id="2015" name="Arrow: Down 2014">
          <a:extLst>
            <a:ext uri="{FF2B5EF4-FFF2-40B4-BE49-F238E27FC236}">
              <a16:creationId xmlns:a16="http://schemas.microsoft.com/office/drawing/2014/main" id="{F1FABE29-B026-41C2-A2D6-152382DA2668}"/>
            </a:ext>
          </a:extLst>
        </xdr:cNvPr>
        <xdr:cNvSpPr/>
      </xdr:nvSpPr>
      <xdr:spPr>
        <a:xfrm rot="10800000">
          <a:off x="1927098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263</xdr:row>
      <xdr:rowOff>0</xdr:rowOff>
    </xdr:from>
    <xdr:to>
      <xdr:col>39</xdr:col>
      <xdr:colOff>83820</xdr:colOff>
      <xdr:row>263</xdr:row>
      <xdr:rowOff>114300</xdr:rowOff>
    </xdr:to>
    <xdr:sp macro="" textlink="">
      <xdr:nvSpPr>
        <xdr:cNvPr id="2016" name="Arrow: Down 2015">
          <a:extLst>
            <a:ext uri="{FF2B5EF4-FFF2-40B4-BE49-F238E27FC236}">
              <a16:creationId xmlns:a16="http://schemas.microsoft.com/office/drawing/2014/main" id="{E9946B91-5D44-409A-AA24-41B9946BAD1A}"/>
            </a:ext>
          </a:extLst>
        </xdr:cNvPr>
        <xdr:cNvSpPr/>
      </xdr:nvSpPr>
      <xdr:spPr>
        <a:xfrm>
          <a:off x="97155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263</xdr:row>
      <xdr:rowOff>0</xdr:rowOff>
    </xdr:from>
    <xdr:to>
      <xdr:col>11</xdr:col>
      <xdr:colOff>83820</xdr:colOff>
      <xdr:row>263</xdr:row>
      <xdr:rowOff>114300</xdr:rowOff>
    </xdr:to>
    <xdr:sp macro="" textlink="">
      <xdr:nvSpPr>
        <xdr:cNvPr id="2017" name="Arrow: Down 2016">
          <a:extLst>
            <a:ext uri="{FF2B5EF4-FFF2-40B4-BE49-F238E27FC236}">
              <a16:creationId xmlns:a16="http://schemas.microsoft.com/office/drawing/2014/main" id="{84B5F7E5-7AC5-4022-8666-AA2A0E5E6F6A}"/>
            </a:ext>
          </a:extLst>
        </xdr:cNvPr>
        <xdr:cNvSpPr/>
      </xdr:nvSpPr>
      <xdr:spPr>
        <a:xfrm>
          <a:off x="36957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263</xdr:row>
      <xdr:rowOff>0</xdr:rowOff>
    </xdr:from>
    <xdr:to>
      <xdr:col>5</xdr:col>
      <xdr:colOff>83820</xdr:colOff>
      <xdr:row>263</xdr:row>
      <xdr:rowOff>114300</xdr:rowOff>
    </xdr:to>
    <xdr:sp macro="" textlink="">
      <xdr:nvSpPr>
        <xdr:cNvPr id="2018" name="Arrow: Down 2017">
          <a:extLst>
            <a:ext uri="{FF2B5EF4-FFF2-40B4-BE49-F238E27FC236}">
              <a16:creationId xmlns:a16="http://schemas.microsoft.com/office/drawing/2014/main" id="{BB0F12C6-E20F-4BD5-9C1D-8547BFB838EF}"/>
            </a:ext>
          </a:extLst>
        </xdr:cNvPr>
        <xdr:cNvSpPr/>
      </xdr:nvSpPr>
      <xdr:spPr>
        <a:xfrm>
          <a:off x="192786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263</xdr:row>
      <xdr:rowOff>0</xdr:rowOff>
    </xdr:from>
    <xdr:to>
      <xdr:col>24</xdr:col>
      <xdr:colOff>83820</xdr:colOff>
      <xdr:row>263</xdr:row>
      <xdr:rowOff>114300</xdr:rowOff>
    </xdr:to>
    <xdr:sp macro="" textlink="">
      <xdr:nvSpPr>
        <xdr:cNvPr id="2019" name="Arrow: Down 2018">
          <a:extLst>
            <a:ext uri="{FF2B5EF4-FFF2-40B4-BE49-F238E27FC236}">
              <a16:creationId xmlns:a16="http://schemas.microsoft.com/office/drawing/2014/main" id="{24B11066-6DB9-4907-9983-3F2BE6BEEF99}"/>
            </a:ext>
          </a:extLst>
        </xdr:cNvPr>
        <xdr:cNvSpPr/>
      </xdr:nvSpPr>
      <xdr:spPr>
        <a:xfrm>
          <a:off x="65532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263</xdr:row>
      <xdr:rowOff>0</xdr:rowOff>
    </xdr:from>
    <xdr:to>
      <xdr:col>60</xdr:col>
      <xdr:colOff>83820</xdr:colOff>
      <xdr:row>263</xdr:row>
      <xdr:rowOff>114300</xdr:rowOff>
    </xdr:to>
    <xdr:sp macro="" textlink="">
      <xdr:nvSpPr>
        <xdr:cNvPr id="2020" name="Arrow: Down 2019">
          <a:extLst>
            <a:ext uri="{FF2B5EF4-FFF2-40B4-BE49-F238E27FC236}">
              <a16:creationId xmlns:a16="http://schemas.microsoft.com/office/drawing/2014/main" id="{9B13FC43-49CD-4CED-931D-8CF1874FA0DE}"/>
            </a:ext>
          </a:extLst>
        </xdr:cNvPr>
        <xdr:cNvSpPr/>
      </xdr:nvSpPr>
      <xdr:spPr>
        <a:xfrm rot="10800000">
          <a:off x="168402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263</xdr:row>
      <xdr:rowOff>0</xdr:rowOff>
    </xdr:from>
    <xdr:to>
      <xdr:col>45</xdr:col>
      <xdr:colOff>83820</xdr:colOff>
      <xdr:row>263</xdr:row>
      <xdr:rowOff>114300</xdr:rowOff>
    </xdr:to>
    <xdr:sp macro="" textlink="">
      <xdr:nvSpPr>
        <xdr:cNvPr id="2021" name="Arrow: Down 2020">
          <a:extLst>
            <a:ext uri="{FF2B5EF4-FFF2-40B4-BE49-F238E27FC236}">
              <a16:creationId xmlns:a16="http://schemas.microsoft.com/office/drawing/2014/main" id="{4E155ADF-ED71-429B-875C-6700A3A7910D}"/>
            </a:ext>
          </a:extLst>
        </xdr:cNvPr>
        <xdr:cNvSpPr/>
      </xdr:nvSpPr>
      <xdr:spPr>
        <a:xfrm>
          <a:off x="11521440" y="4819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264</xdr:row>
      <xdr:rowOff>0</xdr:rowOff>
    </xdr:from>
    <xdr:to>
      <xdr:col>71</xdr:col>
      <xdr:colOff>83820</xdr:colOff>
      <xdr:row>264</xdr:row>
      <xdr:rowOff>114300</xdr:rowOff>
    </xdr:to>
    <xdr:sp macro="" textlink="">
      <xdr:nvSpPr>
        <xdr:cNvPr id="2030" name="Arrow: Down 2029">
          <a:extLst>
            <a:ext uri="{FF2B5EF4-FFF2-40B4-BE49-F238E27FC236}">
              <a16:creationId xmlns:a16="http://schemas.microsoft.com/office/drawing/2014/main" id="{8E74B778-8E84-4DBA-930A-EA7F6C17A329}"/>
            </a:ext>
          </a:extLst>
        </xdr:cNvPr>
        <xdr:cNvSpPr/>
      </xdr:nvSpPr>
      <xdr:spPr>
        <a:xfrm>
          <a:off x="1927098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264</xdr:row>
      <xdr:rowOff>0</xdr:rowOff>
    </xdr:from>
    <xdr:to>
      <xdr:col>60</xdr:col>
      <xdr:colOff>83820</xdr:colOff>
      <xdr:row>264</xdr:row>
      <xdr:rowOff>114300</xdr:rowOff>
    </xdr:to>
    <xdr:sp macro="" textlink="">
      <xdr:nvSpPr>
        <xdr:cNvPr id="2031" name="Arrow: Down 2030">
          <a:extLst>
            <a:ext uri="{FF2B5EF4-FFF2-40B4-BE49-F238E27FC236}">
              <a16:creationId xmlns:a16="http://schemas.microsoft.com/office/drawing/2014/main" id="{98368858-4DB9-4F03-91FD-11ACE7D3A6DC}"/>
            </a:ext>
          </a:extLst>
        </xdr:cNvPr>
        <xdr:cNvSpPr/>
      </xdr:nvSpPr>
      <xdr:spPr>
        <a:xfrm>
          <a:off x="1684020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264</xdr:row>
      <xdr:rowOff>0</xdr:rowOff>
    </xdr:from>
    <xdr:to>
      <xdr:col>39</xdr:col>
      <xdr:colOff>83820</xdr:colOff>
      <xdr:row>264</xdr:row>
      <xdr:rowOff>114300</xdr:rowOff>
    </xdr:to>
    <xdr:sp macro="" textlink="">
      <xdr:nvSpPr>
        <xdr:cNvPr id="2033" name="Arrow: Down 2032">
          <a:extLst>
            <a:ext uri="{FF2B5EF4-FFF2-40B4-BE49-F238E27FC236}">
              <a16:creationId xmlns:a16="http://schemas.microsoft.com/office/drawing/2014/main" id="{881514F2-BA44-4354-B77A-4782DC0A5B11}"/>
            </a:ext>
          </a:extLst>
        </xdr:cNvPr>
        <xdr:cNvSpPr/>
      </xdr:nvSpPr>
      <xdr:spPr>
        <a:xfrm rot="10800000">
          <a:off x="971550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264</xdr:row>
      <xdr:rowOff>0</xdr:rowOff>
    </xdr:from>
    <xdr:to>
      <xdr:col>45</xdr:col>
      <xdr:colOff>83820</xdr:colOff>
      <xdr:row>264</xdr:row>
      <xdr:rowOff>114300</xdr:rowOff>
    </xdr:to>
    <xdr:sp macro="" textlink="">
      <xdr:nvSpPr>
        <xdr:cNvPr id="2035" name="Arrow: Down 2034">
          <a:extLst>
            <a:ext uri="{FF2B5EF4-FFF2-40B4-BE49-F238E27FC236}">
              <a16:creationId xmlns:a16="http://schemas.microsoft.com/office/drawing/2014/main" id="{E9238BEC-7AA7-4CFA-894B-657B828B937B}"/>
            </a:ext>
          </a:extLst>
        </xdr:cNvPr>
        <xdr:cNvSpPr/>
      </xdr:nvSpPr>
      <xdr:spPr>
        <a:xfrm rot="10800000">
          <a:off x="1152144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264</xdr:row>
      <xdr:rowOff>0</xdr:rowOff>
    </xdr:from>
    <xdr:to>
      <xdr:col>11</xdr:col>
      <xdr:colOff>83820</xdr:colOff>
      <xdr:row>264</xdr:row>
      <xdr:rowOff>114300</xdr:rowOff>
    </xdr:to>
    <xdr:sp macro="" textlink="">
      <xdr:nvSpPr>
        <xdr:cNvPr id="2036" name="Arrow: Down 2035">
          <a:extLst>
            <a:ext uri="{FF2B5EF4-FFF2-40B4-BE49-F238E27FC236}">
              <a16:creationId xmlns:a16="http://schemas.microsoft.com/office/drawing/2014/main" id="{BA3E803E-7FBD-4134-BA81-4428A32C72D7}"/>
            </a:ext>
          </a:extLst>
        </xdr:cNvPr>
        <xdr:cNvSpPr/>
      </xdr:nvSpPr>
      <xdr:spPr>
        <a:xfrm rot="10800000">
          <a:off x="36957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264</xdr:row>
      <xdr:rowOff>0</xdr:rowOff>
    </xdr:from>
    <xdr:to>
      <xdr:col>5</xdr:col>
      <xdr:colOff>83820</xdr:colOff>
      <xdr:row>264</xdr:row>
      <xdr:rowOff>114300</xdr:rowOff>
    </xdr:to>
    <xdr:sp macro="" textlink="">
      <xdr:nvSpPr>
        <xdr:cNvPr id="2037" name="Arrow: Down 2036">
          <a:extLst>
            <a:ext uri="{FF2B5EF4-FFF2-40B4-BE49-F238E27FC236}">
              <a16:creationId xmlns:a16="http://schemas.microsoft.com/office/drawing/2014/main" id="{38A1D19C-90FD-4A6D-AF35-C12F9F8A0440}"/>
            </a:ext>
          </a:extLst>
        </xdr:cNvPr>
        <xdr:cNvSpPr/>
      </xdr:nvSpPr>
      <xdr:spPr>
        <a:xfrm rot="10800000">
          <a:off x="192786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264</xdr:row>
      <xdr:rowOff>0</xdr:rowOff>
    </xdr:from>
    <xdr:to>
      <xdr:col>24</xdr:col>
      <xdr:colOff>83820</xdr:colOff>
      <xdr:row>264</xdr:row>
      <xdr:rowOff>114300</xdr:rowOff>
    </xdr:to>
    <xdr:sp macro="" textlink="">
      <xdr:nvSpPr>
        <xdr:cNvPr id="2038" name="Arrow: Down 2037">
          <a:extLst>
            <a:ext uri="{FF2B5EF4-FFF2-40B4-BE49-F238E27FC236}">
              <a16:creationId xmlns:a16="http://schemas.microsoft.com/office/drawing/2014/main" id="{CD5D4D95-A3FA-4A83-9AB2-537B7BFB16A3}"/>
            </a:ext>
          </a:extLst>
        </xdr:cNvPr>
        <xdr:cNvSpPr/>
      </xdr:nvSpPr>
      <xdr:spPr>
        <a:xfrm rot="10800000">
          <a:off x="65532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265</xdr:row>
      <xdr:rowOff>0</xdr:rowOff>
    </xdr:from>
    <xdr:to>
      <xdr:col>45</xdr:col>
      <xdr:colOff>83820</xdr:colOff>
      <xdr:row>265</xdr:row>
      <xdr:rowOff>114300</xdr:rowOff>
    </xdr:to>
    <xdr:sp macro="" textlink="">
      <xdr:nvSpPr>
        <xdr:cNvPr id="2042" name="Arrow: Down 2041">
          <a:extLst>
            <a:ext uri="{FF2B5EF4-FFF2-40B4-BE49-F238E27FC236}">
              <a16:creationId xmlns:a16="http://schemas.microsoft.com/office/drawing/2014/main" id="{6A3A177A-5850-485F-B44F-FC9E6656EF4B}"/>
            </a:ext>
          </a:extLst>
        </xdr:cNvPr>
        <xdr:cNvSpPr/>
      </xdr:nvSpPr>
      <xdr:spPr>
        <a:xfrm rot="10800000">
          <a:off x="1152144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265</xdr:row>
      <xdr:rowOff>0</xdr:rowOff>
    </xdr:from>
    <xdr:to>
      <xdr:col>11</xdr:col>
      <xdr:colOff>83820</xdr:colOff>
      <xdr:row>265</xdr:row>
      <xdr:rowOff>114300</xdr:rowOff>
    </xdr:to>
    <xdr:sp macro="" textlink="">
      <xdr:nvSpPr>
        <xdr:cNvPr id="2043" name="Arrow: Down 2042">
          <a:extLst>
            <a:ext uri="{FF2B5EF4-FFF2-40B4-BE49-F238E27FC236}">
              <a16:creationId xmlns:a16="http://schemas.microsoft.com/office/drawing/2014/main" id="{7E64627B-D6A6-40C6-ADFB-A89587105C22}"/>
            </a:ext>
          </a:extLst>
        </xdr:cNvPr>
        <xdr:cNvSpPr/>
      </xdr:nvSpPr>
      <xdr:spPr>
        <a:xfrm rot="10800000">
          <a:off x="36957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265</xdr:row>
      <xdr:rowOff>0</xdr:rowOff>
    </xdr:from>
    <xdr:to>
      <xdr:col>5</xdr:col>
      <xdr:colOff>83820</xdr:colOff>
      <xdr:row>265</xdr:row>
      <xdr:rowOff>114300</xdr:rowOff>
    </xdr:to>
    <xdr:sp macro="" textlink="">
      <xdr:nvSpPr>
        <xdr:cNvPr id="2044" name="Arrow: Down 2043">
          <a:extLst>
            <a:ext uri="{FF2B5EF4-FFF2-40B4-BE49-F238E27FC236}">
              <a16:creationId xmlns:a16="http://schemas.microsoft.com/office/drawing/2014/main" id="{734CCB78-1E08-4977-B5AE-74581625791B}"/>
            </a:ext>
          </a:extLst>
        </xdr:cNvPr>
        <xdr:cNvSpPr/>
      </xdr:nvSpPr>
      <xdr:spPr>
        <a:xfrm rot="10800000">
          <a:off x="192786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265</xdr:row>
      <xdr:rowOff>0</xdr:rowOff>
    </xdr:from>
    <xdr:to>
      <xdr:col>24</xdr:col>
      <xdr:colOff>83820</xdr:colOff>
      <xdr:row>265</xdr:row>
      <xdr:rowOff>114300</xdr:rowOff>
    </xdr:to>
    <xdr:sp macro="" textlink="">
      <xdr:nvSpPr>
        <xdr:cNvPr id="2045" name="Arrow: Down 2044">
          <a:extLst>
            <a:ext uri="{FF2B5EF4-FFF2-40B4-BE49-F238E27FC236}">
              <a16:creationId xmlns:a16="http://schemas.microsoft.com/office/drawing/2014/main" id="{FA0F733C-A09B-4732-A8B8-ECC2A503C1F3}"/>
            </a:ext>
          </a:extLst>
        </xdr:cNvPr>
        <xdr:cNvSpPr/>
      </xdr:nvSpPr>
      <xdr:spPr>
        <a:xfrm rot="10800000">
          <a:off x="65532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265</xdr:row>
      <xdr:rowOff>0</xdr:rowOff>
    </xdr:from>
    <xdr:to>
      <xdr:col>39</xdr:col>
      <xdr:colOff>83820</xdr:colOff>
      <xdr:row>265</xdr:row>
      <xdr:rowOff>114300</xdr:rowOff>
    </xdr:to>
    <xdr:sp macro="" textlink="">
      <xdr:nvSpPr>
        <xdr:cNvPr id="2046" name="Arrow: Down 2045">
          <a:extLst>
            <a:ext uri="{FF2B5EF4-FFF2-40B4-BE49-F238E27FC236}">
              <a16:creationId xmlns:a16="http://schemas.microsoft.com/office/drawing/2014/main" id="{52ACDACD-98DD-4232-AA97-6D3A256C3253}"/>
            </a:ext>
          </a:extLst>
        </xdr:cNvPr>
        <xdr:cNvSpPr/>
      </xdr:nvSpPr>
      <xdr:spPr>
        <a:xfrm>
          <a:off x="97155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265</xdr:row>
      <xdr:rowOff>0</xdr:rowOff>
    </xdr:from>
    <xdr:to>
      <xdr:col>60</xdr:col>
      <xdr:colOff>83820</xdr:colOff>
      <xdr:row>265</xdr:row>
      <xdr:rowOff>114300</xdr:rowOff>
    </xdr:to>
    <xdr:sp macro="" textlink="">
      <xdr:nvSpPr>
        <xdr:cNvPr id="2048" name="Arrow: Down 2047">
          <a:extLst>
            <a:ext uri="{FF2B5EF4-FFF2-40B4-BE49-F238E27FC236}">
              <a16:creationId xmlns:a16="http://schemas.microsoft.com/office/drawing/2014/main" id="{8FDD2FC6-2D94-47C1-9988-37945A4613D5}"/>
            </a:ext>
          </a:extLst>
        </xdr:cNvPr>
        <xdr:cNvSpPr/>
      </xdr:nvSpPr>
      <xdr:spPr>
        <a:xfrm rot="10800000">
          <a:off x="168402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265</xdr:row>
      <xdr:rowOff>0</xdr:rowOff>
    </xdr:from>
    <xdr:to>
      <xdr:col>71</xdr:col>
      <xdr:colOff>83820</xdr:colOff>
      <xdr:row>265</xdr:row>
      <xdr:rowOff>114300</xdr:rowOff>
    </xdr:to>
    <xdr:sp macro="" textlink="">
      <xdr:nvSpPr>
        <xdr:cNvPr id="2049" name="Arrow: Down 2048">
          <a:extLst>
            <a:ext uri="{FF2B5EF4-FFF2-40B4-BE49-F238E27FC236}">
              <a16:creationId xmlns:a16="http://schemas.microsoft.com/office/drawing/2014/main" id="{5C9CFEB4-830C-4F47-8649-9D12687F055B}"/>
            </a:ext>
          </a:extLst>
        </xdr:cNvPr>
        <xdr:cNvSpPr/>
      </xdr:nvSpPr>
      <xdr:spPr>
        <a:xfrm rot="10800000">
          <a:off x="1927098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266</xdr:row>
      <xdr:rowOff>0</xdr:rowOff>
    </xdr:from>
    <xdr:to>
      <xdr:col>45</xdr:col>
      <xdr:colOff>83820</xdr:colOff>
      <xdr:row>266</xdr:row>
      <xdr:rowOff>114300</xdr:rowOff>
    </xdr:to>
    <xdr:sp macro="" textlink="">
      <xdr:nvSpPr>
        <xdr:cNvPr id="2050" name="Arrow: Down 2049">
          <a:extLst>
            <a:ext uri="{FF2B5EF4-FFF2-40B4-BE49-F238E27FC236}">
              <a16:creationId xmlns:a16="http://schemas.microsoft.com/office/drawing/2014/main" id="{215EA844-27BE-48A5-AD6E-D25C48D79019}"/>
            </a:ext>
          </a:extLst>
        </xdr:cNvPr>
        <xdr:cNvSpPr/>
      </xdr:nvSpPr>
      <xdr:spPr>
        <a:xfrm rot="10800000">
          <a:off x="11521440" y="4856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266</xdr:row>
      <xdr:rowOff>0</xdr:rowOff>
    </xdr:from>
    <xdr:to>
      <xdr:col>11</xdr:col>
      <xdr:colOff>83820</xdr:colOff>
      <xdr:row>266</xdr:row>
      <xdr:rowOff>114300</xdr:rowOff>
    </xdr:to>
    <xdr:sp macro="" textlink="">
      <xdr:nvSpPr>
        <xdr:cNvPr id="2051" name="Arrow: Down 2050">
          <a:extLst>
            <a:ext uri="{FF2B5EF4-FFF2-40B4-BE49-F238E27FC236}">
              <a16:creationId xmlns:a16="http://schemas.microsoft.com/office/drawing/2014/main" id="{65CAE488-0DAE-4E33-967B-FF6613018827}"/>
            </a:ext>
          </a:extLst>
        </xdr:cNvPr>
        <xdr:cNvSpPr/>
      </xdr:nvSpPr>
      <xdr:spPr>
        <a:xfrm rot="10800000">
          <a:off x="36957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266</xdr:row>
      <xdr:rowOff>0</xdr:rowOff>
    </xdr:from>
    <xdr:to>
      <xdr:col>5</xdr:col>
      <xdr:colOff>83820</xdr:colOff>
      <xdr:row>266</xdr:row>
      <xdr:rowOff>114300</xdr:rowOff>
    </xdr:to>
    <xdr:sp macro="" textlink="">
      <xdr:nvSpPr>
        <xdr:cNvPr id="2052" name="Arrow: Down 2051">
          <a:extLst>
            <a:ext uri="{FF2B5EF4-FFF2-40B4-BE49-F238E27FC236}">
              <a16:creationId xmlns:a16="http://schemas.microsoft.com/office/drawing/2014/main" id="{8D148D0E-F1F9-46BE-9734-AD3540BF8151}"/>
            </a:ext>
          </a:extLst>
        </xdr:cNvPr>
        <xdr:cNvSpPr/>
      </xdr:nvSpPr>
      <xdr:spPr>
        <a:xfrm rot="10800000">
          <a:off x="192786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266</xdr:row>
      <xdr:rowOff>0</xdr:rowOff>
    </xdr:from>
    <xdr:to>
      <xdr:col>24</xdr:col>
      <xdr:colOff>83820</xdr:colOff>
      <xdr:row>266</xdr:row>
      <xdr:rowOff>114300</xdr:rowOff>
    </xdr:to>
    <xdr:sp macro="" textlink="">
      <xdr:nvSpPr>
        <xdr:cNvPr id="2053" name="Arrow: Down 2052">
          <a:extLst>
            <a:ext uri="{FF2B5EF4-FFF2-40B4-BE49-F238E27FC236}">
              <a16:creationId xmlns:a16="http://schemas.microsoft.com/office/drawing/2014/main" id="{DA9ADAAD-AE30-49C0-BF29-55205DD19B11}"/>
            </a:ext>
          </a:extLst>
        </xdr:cNvPr>
        <xdr:cNvSpPr/>
      </xdr:nvSpPr>
      <xdr:spPr>
        <a:xfrm rot="10800000">
          <a:off x="65532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266</xdr:row>
      <xdr:rowOff>0</xdr:rowOff>
    </xdr:from>
    <xdr:to>
      <xdr:col>39</xdr:col>
      <xdr:colOff>83820</xdr:colOff>
      <xdr:row>266</xdr:row>
      <xdr:rowOff>114300</xdr:rowOff>
    </xdr:to>
    <xdr:sp macro="" textlink="">
      <xdr:nvSpPr>
        <xdr:cNvPr id="2057" name="Arrow: Down 2056">
          <a:extLst>
            <a:ext uri="{FF2B5EF4-FFF2-40B4-BE49-F238E27FC236}">
              <a16:creationId xmlns:a16="http://schemas.microsoft.com/office/drawing/2014/main" id="{C0A90710-7CBA-4D5E-A574-0F31D271E3C5}"/>
            </a:ext>
          </a:extLst>
        </xdr:cNvPr>
        <xdr:cNvSpPr/>
      </xdr:nvSpPr>
      <xdr:spPr>
        <a:xfrm rot="10800000">
          <a:off x="9715500" y="4874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266</xdr:row>
      <xdr:rowOff>0</xdr:rowOff>
    </xdr:from>
    <xdr:to>
      <xdr:col>60</xdr:col>
      <xdr:colOff>83820</xdr:colOff>
      <xdr:row>266</xdr:row>
      <xdr:rowOff>114300</xdr:rowOff>
    </xdr:to>
    <xdr:sp macro="" textlink="">
      <xdr:nvSpPr>
        <xdr:cNvPr id="2058" name="Arrow: Down 2057">
          <a:extLst>
            <a:ext uri="{FF2B5EF4-FFF2-40B4-BE49-F238E27FC236}">
              <a16:creationId xmlns:a16="http://schemas.microsoft.com/office/drawing/2014/main" id="{56A64496-0750-4CA8-9A6F-391E2F280CCC}"/>
            </a:ext>
          </a:extLst>
        </xdr:cNvPr>
        <xdr:cNvSpPr/>
      </xdr:nvSpPr>
      <xdr:spPr>
        <a:xfrm>
          <a:off x="16840200" y="4874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266</xdr:row>
      <xdr:rowOff>0</xdr:rowOff>
    </xdr:from>
    <xdr:to>
      <xdr:col>71</xdr:col>
      <xdr:colOff>83820</xdr:colOff>
      <xdr:row>266</xdr:row>
      <xdr:rowOff>114300</xdr:rowOff>
    </xdr:to>
    <xdr:sp macro="" textlink="">
      <xdr:nvSpPr>
        <xdr:cNvPr id="2060" name="Arrow: Down 2059">
          <a:extLst>
            <a:ext uri="{FF2B5EF4-FFF2-40B4-BE49-F238E27FC236}">
              <a16:creationId xmlns:a16="http://schemas.microsoft.com/office/drawing/2014/main" id="{804B61C1-6226-4BB4-A175-43A132E11C6B}"/>
            </a:ext>
          </a:extLst>
        </xdr:cNvPr>
        <xdr:cNvSpPr/>
      </xdr:nvSpPr>
      <xdr:spPr>
        <a:xfrm>
          <a:off x="19270980" y="4874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267</xdr:row>
      <xdr:rowOff>0</xdr:rowOff>
    </xdr:from>
    <xdr:to>
      <xdr:col>11</xdr:col>
      <xdr:colOff>83820</xdr:colOff>
      <xdr:row>267</xdr:row>
      <xdr:rowOff>114300</xdr:rowOff>
    </xdr:to>
    <xdr:sp macro="" textlink="">
      <xdr:nvSpPr>
        <xdr:cNvPr id="2062" name="Arrow: Down 2061">
          <a:extLst>
            <a:ext uri="{FF2B5EF4-FFF2-40B4-BE49-F238E27FC236}">
              <a16:creationId xmlns:a16="http://schemas.microsoft.com/office/drawing/2014/main" id="{1D4690AA-824A-4831-AB49-7A7EEED8629A}"/>
            </a:ext>
          </a:extLst>
        </xdr:cNvPr>
        <xdr:cNvSpPr/>
      </xdr:nvSpPr>
      <xdr:spPr>
        <a:xfrm rot="10800000">
          <a:off x="3695700" y="4874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267</xdr:row>
      <xdr:rowOff>0</xdr:rowOff>
    </xdr:from>
    <xdr:to>
      <xdr:col>5</xdr:col>
      <xdr:colOff>83820</xdr:colOff>
      <xdr:row>267</xdr:row>
      <xdr:rowOff>114300</xdr:rowOff>
    </xdr:to>
    <xdr:sp macro="" textlink="">
      <xdr:nvSpPr>
        <xdr:cNvPr id="2063" name="Arrow: Down 2062">
          <a:extLst>
            <a:ext uri="{FF2B5EF4-FFF2-40B4-BE49-F238E27FC236}">
              <a16:creationId xmlns:a16="http://schemas.microsoft.com/office/drawing/2014/main" id="{695129F4-3155-4BB5-A418-713F84C775A0}"/>
            </a:ext>
          </a:extLst>
        </xdr:cNvPr>
        <xdr:cNvSpPr/>
      </xdr:nvSpPr>
      <xdr:spPr>
        <a:xfrm rot="10800000">
          <a:off x="1927860" y="4874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267</xdr:row>
      <xdr:rowOff>0</xdr:rowOff>
    </xdr:from>
    <xdr:to>
      <xdr:col>24</xdr:col>
      <xdr:colOff>83820</xdr:colOff>
      <xdr:row>267</xdr:row>
      <xdr:rowOff>114300</xdr:rowOff>
    </xdr:to>
    <xdr:sp macro="" textlink="">
      <xdr:nvSpPr>
        <xdr:cNvPr id="2064" name="Arrow: Down 2063">
          <a:extLst>
            <a:ext uri="{FF2B5EF4-FFF2-40B4-BE49-F238E27FC236}">
              <a16:creationId xmlns:a16="http://schemas.microsoft.com/office/drawing/2014/main" id="{0F383473-6424-4BC9-9430-09C747BBE471}"/>
            </a:ext>
          </a:extLst>
        </xdr:cNvPr>
        <xdr:cNvSpPr/>
      </xdr:nvSpPr>
      <xdr:spPr>
        <a:xfrm rot="10800000">
          <a:off x="6553200" y="4874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267</xdr:row>
      <xdr:rowOff>0</xdr:rowOff>
    </xdr:from>
    <xdr:to>
      <xdr:col>45</xdr:col>
      <xdr:colOff>83820</xdr:colOff>
      <xdr:row>267</xdr:row>
      <xdr:rowOff>114300</xdr:rowOff>
    </xdr:to>
    <xdr:sp macro="" textlink="">
      <xdr:nvSpPr>
        <xdr:cNvPr id="2068" name="Arrow: Down 2067">
          <a:extLst>
            <a:ext uri="{FF2B5EF4-FFF2-40B4-BE49-F238E27FC236}">
              <a16:creationId xmlns:a16="http://schemas.microsoft.com/office/drawing/2014/main" id="{27E4632E-7A5C-4B26-ABCF-8A5AC8AAA692}"/>
            </a:ext>
          </a:extLst>
        </xdr:cNvPr>
        <xdr:cNvSpPr/>
      </xdr:nvSpPr>
      <xdr:spPr>
        <a:xfrm>
          <a:off x="1152144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267</xdr:row>
      <xdr:rowOff>0</xdr:rowOff>
    </xdr:from>
    <xdr:to>
      <xdr:col>39</xdr:col>
      <xdr:colOff>83820</xdr:colOff>
      <xdr:row>267</xdr:row>
      <xdr:rowOff>114300</xdr:rowOff>
    </xdr:to>
    <xdr:sp macro="" textlink="">
      <xdr:nvSpPr>
        <xdr:cNvPr id="2069" name="Arrow: Down 2068">
          <a:extLst>
            <a:ext uri="{FF2B5EF4-FFF2-40B4-BE49-F238E27FC236}">
              <a16:creationId xmlns:a16="http://schemas.microsoft.com/office/drawing/2014/main" id="{875E91E3-AA2F-4D20-AA9E-2F27728D4B41}"/>
            </a:ext>
          </a:extLst>
        </xdr:cNvPr>
        <xdr:cNvSpPr/>
      </xdr:nvSpPr>
      <xdr:spPr>
        <a:xfrm>
          <a:off x="97155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267</xdr:row>
      <xdr:rowOff>0</xdr:rowOff>
    </xdr:from>
    <xdr:to>
      <xdr:col>71</xdr:col>
      <xdr:colOff>83820</xdr:colOff>
      <xdr:row>267</xdr:row>
      <xdr:rowOff>114300</xdr:rowOff>
    </xdr:to>
    <xdr:sp macro="" textlink="">
      <xdr:nvSpPr>
        <xdr:cNvPr id="2070" name="Arrow: Down 2069">
          <a:extLst>
            <a:ext uri="{FF2B5EF4-FFF2-40B4-BE49-F238E27FC236}">
              <a16:creationId xmlns:a16="http://schemas.microsoft.com/office/drawing/2014/main" id="{D59DF99D-0427-4139-BA93-5CC60B61230E}"/>
            </a:ext>
          </a:extLst>
        </xdr:cNvPr>
        <xdr:cNvSpPr/>
      </xdr:nvSpPr>
      <xdr:spPr>
        <a:xfrm rot="10800000">
          <a:off x="1927098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267</xdr:row>
      <xdr:rowOff>0</xdr:rowOff>
    </xdr:from>
    <xdr:to>
      <xdr:col>60</xdr:col>
      <xdr:colOff>83820</xdr:colOff>
      <xdr:row>267</xdr:row>
      <xdr:rowOff>114300</xdr:rowOff>
    </xdr:to>
    <xdr:sp macro="" textlink="">
      <xdr:nvSpPr>
        <xdr:cNvPr id="2072" name="Arrow: Down 2071">
          <a:extLst>
            <a:ext uri="{FF2B5EF4-FFF2-40B4-BE49-F238E27FC236}">
              <a16:creationId xmlns:a16="http://schemas.microsoft.com/office/drawing/2014/main" id="{4CC7DF7D-877E-44CF-A834-2967C8B932F4}"/>
            </a:ext>
          </a:extLst>
        </xdr:cNvPr>
        <xdr:cNvSpPr/>
      </xdr:nvSpPr>
      <xdr:spPr>
        <a:xfrm rot="10800000">
          <a:off x="168402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268</xdr:row>
      <xdr:rowOff>0</xdr:rowOff>
    </xdr:from>
    <xdr:to>
      <xdr:col>11</xdr:col>
      <xdr:colOff>83820</xdr:colOff>
      <xdr:row>268</xdr:row>
      <xdr:rowOff>114300</xdr:rowOff>
    </xdr:to>
    <xdr:sp macro="" textlink="">
      <xdr:nvSpPr>
        <xdr:cNvPr id="2073" name="Arrow: Down 2072">
          <a:extLst>
            <a:ext uri="{FF2B5EF4-FFF2-40B4-BE49-F238E27FC236}">
              <a16:creationId xmlns:a16="http://schemas.microsoft.com/office/drawing/2014/main" id="{B2A8C157-4EF7-489F-BC00-602FACBCC34E}"/>
            </a:ext>
          </a:extLst>
        </xdr:cNvPr>
        <xdr:cNvSpPr/>
      </xdr:nvSpPr>
      <xdr:spPr>
        <a:xfrm rot="10800000">
          <a:off x="36957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268</xdr:row>
      <xdr:rowOff>0</xdr:rowOff>
    </xdr:from>
    <xdr:to>
      <xdr:col>5</xdr:col>
      <xdr:colOff>83820</xdr:colOff>
      <xdr:row>268</xdr:row>
      <xdr:rowOff>114300</xdr:rowOff>
    </xdr:to>
    <xdr:sp macro="" textlink="">
      <xdr:nvSpPr>
        <xdr:cNvPr id="2074" name="Arrow: Down 2073">
          <a:extLst>
            <a:ext uri="{FF2B5EF4-FFF2-40B4-BE49-F238E27FC236}">
              <a16:creationId xmlns:a16="http://schemas.microsoft.com/office/drawing/2014/main" id="{1C1F20BE-4816-4CE2-8A5E-DECF7103127A}"/>
            </a:ext>
          </a:extLst>
        </xdr:cNvPr>
        <xdr:cNvSpPr/>
      </xdr:nvSpPr>
      <xdr:spPr>
        <a:xfrm rot="10800000">
          <a:off x="192786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268</xdr:row>
      <xdr:rowOff>0</xdr:rowOff>
    </xdr:from>
    <xdr:to>
      <xdr:col>45</xdr:col>
      <xdr:colOff>83820</xdr:colOff>
      <xdr:row>268</xdr:row>
      <xdr:rowOff>114300</xdr:rowOff>
    </xdr:to>
    <xdr:sp macro="" textlink="">
      <xdr:nvSpPr>
        <xdr:cNvPr id="2076" name="Arrow: Down 2075">
          <a:extLst>
            <a:ext uri="{FF2B5EF4-FFF2-40B4-BE49-F238E27FC236}">
              <a16:creationId xmlns:a16="http://schemas.microsoft.com/office/drawing/2014/main" id="{DA3E85B6-7CE9-4C4D-96C3-5BA9FCDD9B55}"/>
            </a:ext>
          </a:extLst>
        </xdr:cNvPr>
        <xdr:cNvSpPr/>
      </xdr:nvSpPr>
      <xdr:spPr>
        <a:xfrm>
          <a:off x="1152144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268</xdr:row>
      <xdr:rowOff>0</xdr:rowOff>
    </xdr:from>
    <xdr:to>
      <xdr:col>39</xdr:col>
      <xdr:colOff>83820</xdr:colOff>
      <xdr:row>268</xdr:row>
      <xdr:rowOff>114300</xdr:rowOff>
    </xdr:to>
    <xdr:sp macro="" textlink="">
      <xdr:nvSpPr>
        <xdr:cNvPr id="2077" name="Arrow: Down 2076">
          <a:extLst>
            <a:ext uri="{FF2B5EF4-FFF2-40B4-BE49-F238E27FC236}">
              <a16:creationId xmlns:a16="http://schemas.microsoft.com/office/drawing/2014/main" id="{01658A97-896D-4FB4-A09F-47F3AEEF2F3C}"/>
            </a:ext>
          </a:extLst>
        </xdr:cNvPr>
        <xdr:cNvSpPr/>
      </xdr:nvSpPr>
      <xdr:spPr>
        <a:xfrm>
          <a:off x="97155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268</xdr:row>
      <xdr:rowOff>0</xdr:rowOff>
    </xdr:from>
    <xdr:to>
      <xdr:col>71</xdr:col>
      <xdr:colOff>83820</xdr:colOff>
      <xdr:row>268</xdr:row>
      <xdr:rowOff>114300</xdr:rowOff>
    </xdr:to>
    <xdr:sp macro="" textlink="">
      <xdr:nvSpPr>
        <xdr:cNvPr id="2078" name="Arrow: Down 2077">
          <a:extLst>
            <a:ext uri="{FF2B5EF4-FFF2-40B4-BE49-F238E27FC236}">
              <a16:creationId xmlns:a16="http://schemas.microsoft.com/office/drawing/2014/main" id="{2669C173-56C4-415D-9F0A-6FB007FA9EFB}"/>
            </a:ext>
          </a:extLst>
        </xdr:cNvPr>
        <xdr:cNvSpPr/>
      </xdr:nvSpPr>
      <xdr:spPr>
        <a:xfrm rot="10800000">
          <a:off x="1927098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268</xdr:row>
      <xdr:rowOff>0</xdr:rowOff>
    </xdr:from>
    <xdr:to>
      <xdr:col>60</xdr:col>
      <xdr:colOff>83820</xdr:colOff>
      <xdr:row>268</xdr:row>
      <xdr:rowOff>114300</xdr:rowOff>
    </xdr:to>
    <xdr:sp macro="" textlink="">
      <xdr:nvSpPr>
        <xdr:cNvPr id="2080" name="Arrow: Down 2079">
          <a:extLst>
            <a:ext uri="{FF2B5EF4-FFF2-40B4-BE49-F238E27FC236}">
              <a16:creationId xmlns:a16="http://schemas.microsoft.com/office/drawing/2014/main" id="{0FAB4119-61D4-427C-87D2-FF9F75FCB7A4}"/>
            </a:ext>
          </a:extLst>
        </xdr:cNvPr>
        <xdr:cNvSpPr/>
      </xdr:nvSpPr>
      <xdr:spPr>
        <a:xfrm>
          <a:off x="16840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268</xdr:row>
      <xdr:rowOff>0</xdr:rowOff>
    </xdr:from>
    <xdr:to>
      <xdr:col>24</xdr:col>
      <xdr:colOff>83820</xdr:colOff>
      <xdr:row>268</xdr:row>
      <xdr:rowOff>114300</xdr:rowOff>
    </xdr:to>
    <xdr:sp macro="" textlink="">
      <xdr:nvSpPr>
        <xdr:cNvPr id="2081" name="Arrow: Down 2080">
          <a:extLst>
            <a:ext uri="{FF2B5EF4-FFF2-40B4-BE49-F238E27FC236}">
              <a16:creationId xmlns:a16="http://schemas.microsoft.com/office/drawing/2014/main" id="{DC488098-D252-4A39-B4D2-3A346FA1EF1B}"/>
            </a:ext>
          </a:extLst>
        </xdr:cNvPr>
        <xdr:cNvSpPr/>
      </xdr:nvSpPr>
      <xdr:spPr>
        <a:xfrm>
          <a:off x="6553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269</xdr:row>
      <xdr:rowOff>0</xdr:rowOff>
    </xdr:from>
    <xdr:to>
      <xdr:col>60</xdr:col>
      <xdr:colOff>83820</xdr:colOff>
      <xdr:row>269</xdr:row>
      <xdr:rowOff>114300</xdr:rowOff>
    </xdr:to>
    <xdr:sp macro="" textlink="">
      <xdr:nvSpPr>
        <xdr:cNvPr id="1956" name="Arrow: Down 1955">
          <a:extLst>
            <a:ext uri="{FF2B5EF4-FFF2-40B4-BE49-F238E27FC236}">
              <a16:creationId xmlns:a16="http://schemas.microsoft.com/office/drawing/2014/main" id="{647597B5-6AD9-49E2-992B-E3196A485CF4}"/>
            </a:ext>
          </a:extLst>
        </xdr:cNvPr>
        <xdr:cNvSpPr/>
      </xdr:nvSpPr>
      <xdr:spPr>
        <a:xfrm>
          <a:off x="16840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269</xdr:row>
      <xdr:rowOff>0</xdr:rowOff>
    </xdr:from>
    <xdr:to>
      <xdr:col>24</xdr:col>
      <xdr:colOff>83820</xdr:colOff>
      <xdr:row>269</xdr:row>
      <xdr:rowOff>114300</xdr:rowOff>
    </xdr:to>
    <xdr:sp macro="" textlink="">
      <xdr:nvSpPr>
        <xdr:cNvPr id="1957" name="Arrow: Down 1956">
          <a:extLst>
            <a:ext uri="{FF2B5EF4-FFF2-40B4-BE49-F238E27FC236}">
              <a16:creationId xmlns:a16="http://schemas.microsoft.com/office/drawing/2014/main" id="{9BFA75FC-DC5D-425F-8C40-D780385E60EC}"/>
            </a:ext>
          </a:extLst>
        </xdr:cNvPr>
        <xdr:cNvSpPr/>
      </xdr:nvSpPr>
      <xdr:spPr>
        <a:xfrm>
          <a:off x="6553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269</xdr:row>
      <xdr:rowOff>0</xdr:rowOff>
    </xdr:from>
    <xdr:to>
      <xdr:col>71</xdr:col>
      <xdr:colOff>83820</xdr:colOff>
      <xdr:row>269</xdr:row>
      <xdr:rowOff>114300</xdr:rowOff>
    </xdr:to>
    <xdr:sp macro="" textlink="">
      <xdr:nvSpPr>
        <xdr:cNvPr id="1958" name="Arrow: Down 1957">
          <a:extLst>
            <a:ext uri="{FF2B5EF4-FFF2-40B4-BE49-F238E27FC236}">
              <a16:creationId xmlns:a16="http://schemas.microsoft.com/office/drawing/2014/main" id="{A72499BE-E780-4697-886F-7AB158E37DDF}"/>
            </a:ext>
          </a:extLst>
        </xdr:cNvPr>
        <xdr:cNvSpPr/>
      </xdr:nvSpPr>
      <xdr:spPr>
        <a:xfrm rot="10800000">
          <a:off x="19270980" y="4929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269</xdr:row>
      <xdr:rowOff>0</xdr:rowOff>
    </xdr:from>
    <xdr:to>
      <xdr:col>11</xdr:col>
      <xdr:colOff>83820</xdr:colOff>
      <xdr:row>269</xdr:row>
      <xdr:rowOff>114300</xdr:rowOff>
    </xdr:to>
    <xdr:sp macro="" textlink="">
      <xdr:nvSpPr>
        <xdr:cNvPr id="1964" name="Arrow: Down 1963">
          <a:extLst>
            <a:ext uri="{FF2B5EF4-FFF2-40B4-BE49-F238E27FC236}">
              <a16:creationId xmlns:a16="http://schemas.microsoft.com/office/drawing/2014/main" id="{B1527F4C-CCC4-4AB1-AF17-FBBC497D56FB}"/>
            </a:ext>
          </a:extLst>
        </xdr:cNvPr>
        <xdr:cNvSpPr/>
      </xdr:nvSpPr>
      <xdr:spPr>
        <a:xfrm>
          <a:off x="36957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269</xdr:row>
      <xdr:rowOff>0</xdr:rowOff>
    </xdr:from>
    <xdr:to>
      <xdr:col>5</xdr:col>
      <xdr:colOff>83820</xdr:colOff>
      <xdr:row>269</xdr:row>
      <xdr:rowOff>114300</xdr:rowOff>
    </xdr:to>
    <xdr:sp macro="" textlink="">
      <xdr:nvSpPr>
        <xdr:cNvPr id="1966" name="Arrow: Down 1965">
          <a:extLst>
            <a:ext uri="{FF2B5EF4-FFF2-40B4-BE49-F238E27FC236}">
              <a16:creationId xmlns:a16="http://schemas.microsoft.com/office/drawing/2014/main" id="{D521B053-2635-4764-A115-97C76FFF87ED}"/>
            </a:ext>
          </a:extLst>
        </xdr:cNvPr>
        <xdr:cNvSpPr/>
      </xdr:nvSpPr>
      <xdr:spPr>
        <a:xfrm>
          <a:off x="192786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269</xdr:row>
      <xdr:rowOff>0</xdr:rowOff>
    </xdr:from>
    <xdr:to>
      <xdr:col>45</xdr:col>
      <xdr:colOff>83820</xdr:colOff>
      <xdr:row>269</xdr:row>
      <xdr:rowOff>114300</xdr:rowOff>
    </xdr:to>
    <xdr:sp macro="" textlink="">
      <xdr:nvSpPr>
        <xdr:cNvPr id="1967" name="Arrow: Down 1966">
          <a:extLst>
            <a:ext uri="{FF2B5EF4-FFF2-40B4-BE49-F238E27FC236}">
              <a16:creationId xmlns:a16="http://schemas.microsoft.com/office/drawing/2014/main" id="{AF651D0A-4A38-4B90-AEB1-0BE09DC87764}"/>
            </a:ext>
          </a:extLst>
        </xdr:cNvPr>
        <xdr:cNvSpPr/>
      </xdr:nvSpPr>
      <xdr:spPr>
        <a:xfrm rot="10800000">
          <a:off x="1152144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269</xdr:row>
      <xdr:rowOff>0</xdr:rowOff>
    </xdr:from>
    <xdr:to>
      <xdr:col>39</xdr:col>
      <xdr:colOff>83820</xdr:colOff>
      <xdr:row>269</xdr:row>
      <xdr:rowOff>114300</xdr:rowOff>
    </xdr:to>
    <xdr:sp macro="" textlink="">
      <xdr:nvSpPr>
        <xdr:cNvPr id="1969" name="Arrow: Down 1968">
          <a:extLst>
            <a:ext uri="{FF2B5EF4-FFF2-40B4-BE49-F238E27FC236}">
              <a16:creationId xmlns:a16="http://schemas.microsoft.com/office/drawing/2014/main" id="{FC189B81-DF02-4C46-8711-597FE9FC819C}"/>
            </a:ext>
          </a:extLst>
        </xdr:cNvPr>
        <xdr:cNvSpPr/>
      </xdr:nvSpPr>
      <xdr:spPr>
        <a:xfrm rot="10800000">
          <a:off x="97155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270</xdr:row>
      <xdr:rowOff>0</xdr:rowOff>
    </xdr:from>
    <xdr:to>
      <xdr:col>24</xdr:col>
      <xdr:colOff>83820</xdr:colOff>
      <xdr:row>270</xdr:row>
      <xdr:rowOff>114300</xdr:rowOff>
    </xdr:to>
    <xdr:sp macro="" textlink="">
      <xdr:nvSpPr>
        <xdr:cNvPr id="1978" name="Arrow: Down 1977">
          <a:extLst>
            <a:ext uri="{FF2B5EF4-FFF2-40B4-BE49-F238E27FC236}">
              <a16:creationId xmlns:a16="http://schemas.microsoft.com/office/drawing/2014/main" id="{019A01B6-C937-460F-9E11-1CE94283FBB1}"/>
            </a:ext>
          </a:extLst>
        </xdr:cNvPr>
        <xdr:cNvSpPr/>
      </xdr:nvSpPr>
      <xdr:spPr>
        <a:xfrm>
          <a:off x="65532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270</xdr:row>
      <xdr:rowOff>0</xdr:rowOff>
    </xdr:from>
    <xdr:to>
      <xdr:col>71</xdr:col>
      <xdr:colOff>83820</xdr:colOff>
      <xdr:row>270</xdr:row>
      <xdr:rowOff>114300</xdr:rowOff>
    </xdr:to>
    <xdr:sp macro="" textlink="">
      <xdr:nvSpPr>
        <xdr:cNvPr id="1990" name="Arrow: Down 1989">
          <a:extLst>
            <a:ext uri="{FF2B5EF4-FFF2-40B4-BE49-F238E27FC236}">
              <a16:creationId xmlns:a16="http://schemas.microsoft.com/office/drawing/2014/main" id="{48F8525E-F508-43DE-A119-CDC4C51C0DF9}"/>
            </a:ext>
          </a:extLst>
        </xdr:cNvPr>
        <xdr:cNvSpPr/>
      </xdr:nvSpPr>
      <xdr:spPr>
        <a:xfrm rot="10800000">
          <a:off x="19270980" y="4929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270</xdr:row>
      <xdr:rowOff>0</xdr:rowOff>
    </xdr:from>
    <xdr:to>
      <xdr:col>11</xdr:col>
      <xdr:colOff>83820</xdr:colOff>
      <xdr:row>270</xdr:row>
      <xdr:rowOff>114300</xdr:rowOff>
    </xdr:to>
    <xdr:sp macro="" textlink="">
      <xdr:nvSpPr>
        <xdr:cNvPr id="1993" name="Arrow: Down 1992">
          <a:extLst>
            <a:ext uri="{FF2B5EF4-FFF2-40B4-BE49-F238E27FC236}">
              <a16:creationId xmlns:a16="http://schemas.microsoft.com/office/drawing/2014/main" id="{197B30A3-67E9-45C1-9325-45F8CBEA387A}"/>
            </a:ext>
          </a:extLst>
        </xdr:cNvPr>
        <xdr:cNvSpPr/>
      </xdr:nvSpPr>
      <xdr:spPr>
        <a:xfrm>
          <a:off x="36957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83820</xdr:colOff>
      <xdr:row>270</xdr:row>
      <xdr:rowOff>114300</xdr:rowOff>
    </xdr:to>
    <xdr:sp macro="" textlink="">
      <xdr:nvSpPr>
        <xdr:cNvPr id="1994" name="Arrow: Down 1993">
          <a:extLst>
            <a:ext uri="{FF2B5EF4-FFF2-40B4-BE49-F238E27FC236}">
              <a16:creationId xmlns:a16="http://schemas.microsoft.com/office/drawing/2014/main" id="{337D5289-1DA7-423B-A79F-5A0AF3357264}"/>
            </a:ext>
          </a:extLst>
        </xdr:cNvPr>
        <xdr:cNvSpPr/>
      </xdr:nvSpPr>
      <xdr:spPr>
        <a:xfrm>
          <a:off x="192786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270</xdr:row>
      <xdr:rowOff>0</xdr:rowOff>
    </xdr:from>
    <xdr:to>
      <xdr:col>60</xdr:col>
      <xdr:colOff>83820</xdr:colOff>
      <xdr:row>270</xdr:row>
      <xdr:rowOff>114300</xdr:rowOff>
    </xdr:to>
    <xdr:sp macro="" textlink="">
      <xdr:nvSpPr>
        <xdr:cNvPr id="1997" name="Arrow: Down 1996">
          <a:extLst>
            <a:ext uri="{FF2B5EF4-FFF2-40B4-BE49-F238E27FC236}">
              <a16:creationId xmlns:a16="http://schemas.microsoft.com/office/drawing/2014/main" id="{EBAE0A0A-452F-4625-A41C-B1888A6BAF23}"/>
            </a:ext>
          </a:extLst>
        </xdr:cNvPr>
        <xdr:cNvSpPr/>
      </xdr:nvSpPr>
      <xdr:spPr>
        <a:xfrm rot="10800000">
          <a:off x="1684020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270</xdr:row>
      <xdr:rowOff>0</xdr:rowOff>
    </xdr:from>
    <xdr:to>
      <xdr:col>45</xdr:col>
      <xdr:colOff>83820</xdr:colOff>
      <xdr:row>270</xdr:row>
      <xdr:rowOff>114300</xdr:rowOff>
    </xdr:to>
    <xdr:sp macro="" textlink="">
      <xdr:nvSpPr>
        <xdr:cNvPr id="1998" name="Arrow: Down 1997">
          <a:extLst>
            <a:ext uri="{FF2B5EF4-FFF2-40B4-BE49-F238E27FC236}">
              <a16:creationId xmlns:a16="http://schemas.microsoft.com/office/drawing/2014/main" id="{9B1B3057-4564-4E13-B763-F1923F0777A4}"/>
            </a:ext>
          </a:extLst>
        </xdr:cNvPr>
        <xdr:cNvSpPr/>
      </xdr:nvSpPr>
      <xdr:spPr>
        <a:xfrm>
          <a:off x="1152144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270</xdr:row>
      <xdr:rowOff>0</xdr:rowOff>
    </xdr:from>
    <xdr:to>
      <xdr:col>39</xdr:col>
      <xdr:colOff>83820</xdr:colOff>
      <xdr:row>270</xdr:row>
      <xdr:rowOff>114300</xdr:rowOff>
    </xdr:to>
    <xdr:sp macro="" textlink="">
      <xdr:nvSpPr>
        <xdr:cNvPr id="1999" name="Arrow: Down 1998">
          <a:extLst>
            <a:ext uri="{FF2B5EF4-FFF2-40B4-BE49-F238E27FC236}">
              <a16:creationId xmlns:a16="http://schemas.microsoft.com/office/drawing/2014/main" id="{38A72398-4C77-4836-8CE1-CFB5B5EDB72E}"/>
            </a:ext>
          </a:extLst>
        </xdr:cNvPr>
        <xdr:cNvSpPr/>
      </xdr:nvSpPr>
      <xdr:spPr>
        <a:xfrm>
          <a:off x="971550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271</xdr:row>
      <xdr:rowOff>0</xdr:rowOff>
    </xdr:from>
    <xdr:to>
      <xdr:col>71</xdr:col>
      <xdr:colOff>83820</xdr:colOff>
      <xdr:row>271</xdr:row>
      <xdr:rowOff>114300</xdr:rowOff>
    </xdr:to>
    <xdr:sp macro="" textlink="">
      <xdr:nvSpPr>
        <xdr:cNvPr id="2022" name="Arrow: Down 2021">
          <a:extLst>
            <a:ext uri="{FF2B5EF4-FFF2-40B4-BE49-F238E27FC236}">
              <a16:creationId xmlns:a16="http://schemas.microsoft.com/office/drawing/2014/main" id="{0AB0E029-FD57-4773-BECF-15934FD7722E}"/>
            </a:ext>
          </a:extLst>
        </xdr:cNvPr>
        <xdr:cNvSpPr/>
      </xdr:nvSpPr>
      <xdr:spPr>
        <a:xfrm rot="10800000">
          <a:off x="2117598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271</xdr:row>
      <xdr:rowOff>0</xdr:rowOff>
    </xdr:from>
    <xdr:to>
      <xdr:col>60</xdr:col>
      <xdr:colOff>83820</xdr:colOff>
      <xdr:row>271</xdr:row>
      <xdr:rowOff>114300</xdr:rowOff>
    </xdr:to>
    <xdr:sp macro="" textlink="">
      <xdr:nvSpPr>
        <xdr:cNvPr id="2029" name="Arrow: Down 2028">
          <a:extLst>
            <a:ext uri="{FF2B5EF4-FFF2-40B4-BE49-F238E27FC236}">
              <a16:creationId xmlns:a16="http://schemas.microsoft.com/office/drawing/2014/main" id="{AA1A5F3E-D0DB-4380-9690-3AB164D96003}"/>
            </a:ext>
          </a:extLst>
        </xdr:cNvPr>
        <xdr:cNvSpPr/>
      </xdr:nvSpPr>
      <xdr:spPr>
        <a:xfrm>
          <a:off x="17076420" y="4965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271</xdr:row>
      <xdr:rowOff>0</xdr:rowOff>
    </xdr:from>
    <xdr:to>
      <xdr:col>45</xdr:col>
      <xdr:colOff>83820</xdr:colOff>
      <xdr:row>271</xdr:row>
      <xdr:rowOff>114300</xdr:rowOff>
    </xdr:to>
    <xdr:sp macro="" textlink="">
      <xdr:nvSpPr>
        <xdr:cNvPr id="2032" name="Arrow: Down 2031">
          <a:extLst>
            <a:ext uri="{FF2B5EF4-FFF2-40B4-BE49-F238E27FC236}">
              <a16:creationId xmlns:a16="http://schemas.microsoft.com/office/drawing/2014/main" id="{49FAF21F-ACF9-46C5-9FB2-6156D8560549}"/>
            </a:ext>
          </a:extLst>
        </xdr:cNvPr>
        <xdr:cNvSpPr/>
      </xdr:nvSpPr>
      <xdr:spPr>
        <a:xfrm rot="10800000">
          <a:off x="11521440" y="4965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271</xdr:row>
      <xdr:rowOff>0</xdr:rowOff>
    </xdr:from>
    <xdr:to>
      <xdr:col>5</xdr:col>
      <xdr:colOff>83820</xdr:colOff>
      <xdr:row>271</xdr:row>
      <xdr:rowOff>114300</xdr:rowOff>
    </xdr:to>
    <xdr:sp macro="" textlink="">
      <xdr:nvSpPr>
        <xdr:cNvPr id="2039" name="Arrow: Down 2038">
          <a:extLst>
            <a:ext uri="{FF2B5EF4-FFF2-40B4-BE49-F238E27FC236}">
              <a16:creationId xmlns:a16="http://schemas.microsoft.com/office/drawing/2014/main" id="{FD8CBE1B-0B0B-4E96-8A89-0BEA082DE174}"/>
            </a:ext>
          </a:extLst>
        </xdr:cNvPr>
        <xdr:cNvSpPr/>
      </xdr:nvSpPr>
      <xdr:spPr>
        <a:xfrm rot="10800000">
          <a:off x="192786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271</xdr:row>
      <xdr:rowOff>0</xdr:rowOff>
    </xdr:from>
    <xdr:to>
      <xdr:col>11</xdr:col>
      <xdr:colOff>83820</xdr:colOff>
      <xdr:row>271</xdr:row>
      <xdr:rowOff>114300</xdr:rowOff>
    </xdr:to>
    <xdr:sp macro="" textlink="">
      <xdr:nvSpPr>
        <xdr:cNvPr id="2040" name="Arrow: Down 2039">
          <a:extLst>
            <a:ext uri="{FF2B5EF4-FFF2-40B4-BE49-F238E27FC236}">
              <a16:creationId xmlns:a16="http://schemas.microsoft.com/office/drawing/2014/main" id="{E16F6DA3-8AA0-4544-94FB-ACC9BC1EE51B}"/>
            </a:ext>
          </a:extLst>
        </xdr:cNvPr>
        <xdr:cNvSpPr/>
      </xdr:nvSpPr>
      <xdr:spPr>
        <a:xfrm rot="10800000">
          <a:off x="36957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271</xdr:row>
      <xdr:rowOff>0</xdr:rowOff>
    </xdr:from>
    <xdr:to>
      <xdr:col>24</xdr:col>
      <xdr:colOff>83820</xdr:colOff>
      <xdr:row>271</xdr:row>
      <xdr:rowOff>114300</xdr:rowOff>
    </xdr:to>
    <xdr:sp macro="" textlink="">
      <xdr:nvSpPr>
        <xdr:cNvPr id="2047" name="Arrow: Down 2046">
          <a:extLst>
            <a:ext uri="{FF2B5EF4-FFF2-40B4-BE49-F238E27FC236}">
              <a16:creationId xmlns:a16="http://schemas.microsoft.com/office/drawing/2014/main" id="{8E05879B-9409-4EC5-9D90-74FACCF2690F}"/>
            </a:ext>
          </a:extLst>
        </xdr:cNvPr>
        <xdr:cNvSpPr/>
      </xdr:nvSpPr>
      <xdr:spPr>
        <a:xfrm rot="10800000">
          <a:off x="65532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271</xdr:row>
      <xdr:rowOff>0</xdr:rowOff>
    </xdr:from>
    <xdr:to>
      <xdr:col>39</xdr:col>
      <xdr:colOff>83820</xdr:colOff>
      <xdr:row>271</xdr:row>
      <xdr:rowOff>114300</xdr:rowOff>
    </xdr:to>
    <xdr:sp macro="" textlink="">
      <xdr:nvSpPr>
        <xdr:cNvPr id="2055" name="Arrow: Down 2054">
          <a:extLst>
            <a:ext uri="{FF2B5EF4-FFF2-40B4-BE49-F238E27FC236}">
              <a16:creationId xmlns:a16="http://schemas.microsoft.com/office/drawing/2014/main" id="{1E3C9A31-5771-49F7-A10B-C459BABC2712}"/>
            </a:ext>
          </a:extLst>
        </xdr:cNvPr>
        <xdr:cNvSpPr/>
      </xdr:nvSpPr>
      <xdr:spPr>
        <a:xfrm rot="10800000">
          <a:off x="9715500" y="4965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272</xdr:row>
      <xdr:rowOff>0</xdr:rowOff>
    </xdr:from>
    <xdr:to>
      <xdr:col>71</xdr:col>
      <xdr:colOff>83820</xdr:colOff>
      <xdr:row>272</xdr:row>
      <xdr:rowOff>114300</xdr:rowOff>
    </xdr:to>
    <xdr:sp macro="" textlink="">
      <xdr:nvSpPr>
        <xdr:cNvPr id="2075" name="Arrow: Down 2074">
          <a:extLst>
            <a:ext uri="{FF2B5EF4-FFF2-40B4-BE49-F238E27FC236}">
              <a16:creationId xmlns:a16="http://schemas.microsoft.com/office/drawing/2014/main" id="{94093CB1-A4F5-47D3-A4DD-2815D00AE591}"/>
            </a:ext>
          </a:extLst>
        </xdr:cNvPr>
        <xdr:cNvSpPr/>
      </xdr:nvSpPr>
      <xdr:spPr>
        <a:xfrm rot="10800000">
          <a:off x="195072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272</xdr:row>
      <xdr:rowOff>0</xdr:rowOff>
    </xdr:from>
    <xdr:to>
      <xdr:col>5</xdr:col>
      <xdr:colOff>83820</xdr:colOff>
      <xdr:row>272</xdr:row>
      <xdr:rowOff>114300</xdr:rowOff>
    </xdr:to>
    <xdr:sp macro="" textlink="">
      <xdr:nvSpPr>
        <xdr:cNvPr id="2083" name="Arrow: Down 2082">
          <a:extLst>
            <a:ext uri="{FF2B5EF4-FFF2-40B4-BE49-F238E27FC236}">
              <a16:creationId xmlns:a16="http://schemas.microsoft.com/office/drawing/2014/main" id="{E18D454A-9917-4D1D-8536-24FC20582EA4}"/>
            </a:ext>
          </a:extLst>
        </xdr:cNvPr>
        <xdr:cNvSpPr/>
      </xdr:nvSpPr>
      <xdr:spPr>
        <a:xfrm rot="10800000">
          <a:off x="192786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272</xdr:row>
      <xdr:rowOff>0</xdr:rowOff>
    </xdr:from>
    <xdr:to>
      <xdr:col>11</xdr:col>
      <xdr:colOff>83820</xdr:colOff>
      <xdr:row>272</xdr:row>
      <xdr:rowOff>114300</xdr:rowOff>
    </xdr:to>
    <xdr:sp macro="" textlink="">
      <xdr:nvSpPr>
        <xdr:cNvPr id="2084" name="Arrow: Down 2083">
          <a:extLst>
            <a:ext uri="{FF2B5EF4-FFF2-40B4-BE49-F238E27FC236}">
              <a16:creationId xmlns:a16="http://schemas.microsoft.com/office/drawing/2014/main" id="{E8289760-D19A-4FEE-B638-0CCA30E81E67}"/>
            </a:ext>
          </a:extLst>
        </xdr:cNvPr>
        <xdr:cNvSpPr/>
      </xdr:nvSpPr>
      <xdr:spPr>
        <a:xfrm rot="10800000">
          <a:off x="36957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272</xdr:row>
      <xdr:rowOff>0</xdr:rowOff>
    </xdr:from>
    <xdr:to>
      <xdr:col>24</xdr:col>
      <xdr:colOff>83820</xdr:colOff>
      <xdr:row>272</xdr:row>
      <xdr:rowOff>114300</xdr:rowOff>
    </xdr:to>
    <xdr:sp macro="" textlink="">
      <xdr:nvSpPr>
        <xdr:cNvPr id="2085" name="Arrow: Down 2084">
          <a:extLst>
            <a:ext uri="{FF2B5EF4-FFF2-40B4-BE49-F238E27FC236}">
              <a16:creationId xmlns:a16="http://schemas.microsoft.com/office/drawing/2014/main" id="{1F166A16-9388-4061-9E89-B2393BE7A19D}"/>
            </a:ext>
          </a:extLst>
        </xdr:cNvPr>
        <xdr:cNvSpPr/>
      </xdr:nvSpPr>
      <xdr:spPr>
        <a:xfrm rot="10800000">
          <a:off x="65532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272</xdr:row>
      <xdr:rowOff>0</xdr:rowOff>
    </xdr:from>
    <xdr:to>
      <xdr:col>45</xdr:col>
      <xdr:colOff>83820</xdr:colOff>
      <xdr:row>272</xdr:row>
      <xdr:rowOff>114300</xdr:rowOff>
    </xdr:to>
    <xdr:sp macro="" textlink="">
      <xdr:nvSpPr>
        <xdr:cNvPr id="2087" name="Arrow: Down 2086">
          <a:extLst>
            <a:ext uri="{FF2B5EF4-FFF2-40B4-BE49-F238E27FC236}">
              <a16:creationId xmlns:a16="http://schemas.microsoft.com/office/drawing/2014/main" id="{D93EA978-044F-4288-B6C9-355674D893CF}"/>
            </a:ext>
          </a:extLst>
        </xdr:cNvPr>
        <xdr:cNvSpPr/>
      </xdr:nvSpPr>
      <xdr:spPr>
        <a:xfrm>
          <a:off x="1152144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272</xdr:row>
      <xdr:rowOff>0</xdr:rowOff>
    </xdr:from>
    <xdr:to>
      <xdr:col>39</xdr:col>
      <xdr:colOff>83820</xdr:colOff>
      <xdr:row>272</xdr:row>
      <xdr:rowOff>114300</xdr:rowOff>
    </xdr:to>
    <xdr:sp macro="" textlink="">
      <xdr:nvSpPr>
        <xdr:cNvPr id="2088" name="Arrow: Down 2087">
          <a:extLst>
            <a:ext uri="{FF2B5EF4-FFF2-40B4-BE49-F238E27FC236}">
              <a16:creationId xmlns:a16="http://schemas.microsoft.com/office/drawing/2014/main" id="{34D516A4-391D-453D-916E-AB9B83BBD393}"/>
            </a:ext>
          </a:extLst>
        </xdr:cNvPr>
        <xdr:cNvSpPr/>
      </xdr:nvSpPr>
      <xdr:spPr>
        <a:xfrm>
          <a:off x="97155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272</xdr:row>
      <xdr:rowOff>0</xdr:rowOff>
    </xdr:from>
    <xdr:to>
      <xdr:col>60</xdr:col>
      <xdr:colOff>83820</xdr:colOff>
      <xdr:row>272</xdr:row>
      <xdr:rowOff>114300</xdr:rowOff>
    </xdr:to>
    <xdr:sp macro="" textlink="">
      <xdr:nvSpPr>
        <xdr:cNvPr id="2089" name="Arrow: Down 2088">
          <a:extLst>
            <a:ext uri="{FF2B5EF4-FFF2-40B4-BE49-F238E27FC236}">
              <a16:creationId xmlns:a16="http://schemas.microsoft.com/office/drawing/2014/main" id="{88D6FDBF-7C69-471D-AE0B-223BCBEC29E3}"/>
            </a:ext>
          </a:extLst>
        </xdr:cNvPr>
        <xdr:cNvSpPr/>
      </xdr:nvSpPr>
      <xdr:spPr>
        <a:xfrm rot="10800000">
          <a:off x="1707642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273</xdr:row>
      <xdr:rowOff>0</xdr:rowOff>
    </xdr:from>
    <xdr:to>
      <xdr:col>71</xdr:col>
      <xdr:colOff>83820</xdr:colOff>
      <xdr:row>273</xdr:row>
      <xdr:rowOff>114300</xdr:rowOff>
    </xdr:to>
    <xdr:sp macro="" textlink="">
      <xdr:nvSpPr>
        <xdr:cNvPr id="1951" name="Arrow: Down 1950">
          <a:extLst>
            <a:ext uri="{FF2B5EF4-FFF2-40B4-BE49-F238E27FC236}">
              <a16:creationId xmlns:a16="http://schemas.microsoft.com/office/drawing/2014/main" id="{BB234EB2-B952-4437-8664-6E000975C215}"/>
            </a:ext>
          </a:extLst>
        </xdr:cNvPr>
        <xdr:cNvSpPr/>
      </xdr:nvSpPr>
      <xdr:spPr>
        <a:xfrm rot="10800000">
          <a:off x="195072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273</xdr:row>
      <xdr:rowOff>0</xdr:rowOff>
    </xdr:from>
    <xdr:to>
      <xdr:col>5</xdr:col>
      <xdr:colOff>83820</xdr:colOff>
      <xdr:row>273</xdr:row>
      <xdr:rowOff>114300</xdr:rowOff>
    </xdr:to>
    <xdr:sp macro="" textlink="">
      <xdr:nvSpPr>
        <xdr:cNvPr id="1954" name="Arrow: Down 1953">
          <a:extLst>
            <a:ext uri="{FF2B5EF4-FFF2-40B4-BE49-F238E27FC236}">
              <a16:creationId xmlns:a16="http://schemas.microsoft.com/office/drawing/2014/main" id="{C2174273-3D3B-418B-ABE1-C20D8AD22B8F}"/>
            </a:ext>
          </a:extLst>
        </xdr:cNvPr>
        <xdr:cNvSpPr/>
      </xdr:nvSpPr>
      <xdr:spPr>
        <a:xfrm rot="10800000">
          <a:off x="192786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273</xdr:row>
      <xdr:rowOff>0</xdr:rowOff>
    </xdr:from>
    <xdr:to>
      <xdr:col>11</xdr:col>
      <xdr:colOff>83820</xdr:colOff>
      <xdr:row>273</xdr:row>
      <xdr:rowOff>114300</xdr:rowOff>
    </xdr:to>
    <xdr:sp macro="" textlink="">
      <xdr:nvSpPr>
        <xdr:cNvPr id="1955" name="Arrow: Down 1954">
          <a:extLst>
            <a:ext uri="{FF2B5EF4-FFF2-40B4-BE49-F238E27FC236}">
              <a16:creationId xmlns:a16="http://schemas.microsoft.com/office/drawing/2014/main" id="{E32AA42F-DCA5-4A34-A3D4-3F325FE4FF15}"/>
            </a:ext>
          </a:extLst>
        </xdr:cNvPr>
        <xdr:cNvSpPr/>
      </xdr:nvSpPr>
      <xdr:spPr>
        <a:xfrm rot="10800000">
          <a:off x="36957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273</xdr:row>
      <xdr:rowOff>0</xdr:rowOff>
    </xdr:from>
    <xdr:to>
      <xdr:col>24</xdr:col>
      <xdr:colOff>83820</xdr:colOff>
      <xdr:row>273</xdr:row>
      <xdr:rowOff>114300</xdr:rowOff>
    </xdr:to>
    <xdr:sp macro="" textlink="">
      <xdr:nvSpPr>
        <xdr:cNvPr id="1971" name="Arrow: Down 1970">
          <a:extLst>
            <a:ext uri="{FF2B5EF4-FFF2-40B4-BE49-F238E27FC236}">
              <a16:creationId xmlns:a16="http://schemas.microsoft.com/office/drawing/2014/main" id="{B88B4161-15FB-42FA-B221-22F36B6C0F65}"/>
            </a:ext>
          </a:extLst>
        </xdr:cNvPr>
        <xdr:cNvSpPr/>
      </xdr:nvSpPr>
      <xdr:spPr>
        <a:xfrm rot="10800000">
          <a:off x="65532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273</xdr:row>
      <xdr:rowOff>0</xdr:rowOff>
    </xdr:from>
    <xdr:to>
      <xdr:col>45</xdr:col>
      <xdr:colOff>83820</xdr:colOff>
      <xdr:row>273</xdr:row>
      <xdr:rowOff>114300</xdr:rowOff>
    </xdr:to>
    <xdr:sp macro="" textlink="">
      <xdr:nvSpPr>
        <xdr:cNvPr id="2001" name="Arrow: Down 2000">
          <a:extLst>
            <a:ext uri="{FF2B5EF4-FFF2-40B4-BE49-F238E27FC236}">
              <a16:creationId xmlns:a16="http://schemas.microsoft.com/office/drawing/2014/main" id="{9F2460C1-1D30-4EF9-9324-1DE05436277C}"/>
            </a:ext>
          </a:extLst>
        </xdr:cNvPr>
        <xdr:cNvSpPr/>
      </xdr:nvSpPr>
      <xdr:spPr>
        <a:xfrm rot="10800000">
          <a:off x="11521440" y="5002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273</xdr:row>
      <xdr:rowOff>0</xdr:rowOff>
    </xdr:from>
    <xdr:to>
      <xdr:col>39</xdr:col>
      <xdr:colOff>83820</xdr:colOff>
      <xdr:row>273</xdr:row>
      <xdr:rowOff>114300</xdr:rowOff>
    </xdr:to>
    <xdr:sp macro="" textlink="">
      <xdr:nvSpPr>
        <xdr:cNvPr id="2002" name="Arrow: Down 2001">
          <a:extLst>
            <a:ext uri="{FF2B5EF4-FFF2-40B4-BE49-F238E27FC236}">
              <a16:creationId xmlns:a16="http://schemas.microsoft.com/office/drawing/2014/main" id="{99214505-8EBE-48F7-B86A-FF9D069BC6EE}"/>
            </a:ext>
          </a:extLst>
        </xdr:cNvPr>
        <xdr:cNvSpPr/>
      </xdr:nvSpPr>
      <xdr:spPr>
        <a:xfrm rot="10800000">
          <a:off x="9715500" y="5002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274</xdr:row>
      <xdr:rowOff>0</xdr:rowOff>
    </xdr:from>
    <xdr:to>
      <xdr:col>71</xdr:col>
      <xdr:colOff>83820</xdr:colOff>
      <xdr:row>274</xdr:row>
      <xdr:rowOff>114300</xdr:rowOff>
    </xdr:to>
    <xdr:sp macro="" textlink="">
      <xdr:nvSpPr>
        <xdr:cNvPr id="2004" name="Arrow: Down 2003">
          <a:extLst>
            <a:ext uri="{FF2B5EF4-FFF2-40B4-BE49-F238E27FC236}">
              <a16:creationId xmlns:a16="http://schemas.microsoft.com/office/drawing/2014/main" id="{EC4F4E19-C722-42E2-AE94-4742056E3312}"/>
            </a:ext>
          </a:extLst>
        </xdr:cNvPr>
        <xdr:cNvSpPr/>
      </xdr:nvSpPr>
      <xdr:spPr>
        <a:xfrm rot="10800000">
          <a:off x="19507200" y="5002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274</xdr:row>
      <xdr:rowOff>0</xdr:rowOff>
    </xdr:from>
    <xdr:to>
      <xdr:col>5</xdr:col>
      <xdr:colOff>83820</xdr:colOff>
      <xdr:row>274</xdr:row>
      <xdr:rowOff>114300</xdr:rowOff>
    </xdr:to>
    <xdr:sp macro="" textlink="">
      <xdr:nvSpPr>
        <xdr:cNvPr id="2005" name="Arrow: Down 2004">
          <a:extLst>
            <a:ext uri="{FF2B5EF4-FFF2-40B4-BE49-F238E27FC236}">
              <a16:creationId xmlns:a16="http://schemas.microsoft.com/office/drawing/2014/main" id="{4243CBD9-E741-476B-8C8D-0EF7BDABFC02}"/>
            </a:ext>
          </a:extLst>
        </xdr:cNvPr>
        <xdr:cNvSpPr/>
      </xdr:nvSpPr>
      <xdr:spPr>
        <a:xfrm rot="10800000">
          <a:off x="1927860" y="5002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273</xdr:row>
      <xdr:rowOff>0</xdr:rowOff>
    </xdr:from>
    <xdr:to>
      <xdr:col>60</xdr:col>
      <xdr:colOff>83820</xdr:colOff>
      <xdr:row>273</xdr:row>
      <xdr:rowOff>114300</xdr:rowOff>
    </xdr:to>
    <xdr:sp macro="" textlink="">
      <xdr:nvSpPr>
        <xdr:cNvPr id="2024" name="Arrow: Down 2023">
          <a:extLst>
            <a:ext uri="{FF2B5EF4-FFF2-40B4-BE49-F238E27FC236}">
              <a16:creationId xmlns:a16="http://schemas.microsoft.com/office/drawing/2014/main" id="{A3C57874-9395-46EA-8740-2BF785221B72}"/>
            </a:ext>
          </a:extLst>
        </xdr:cNvPr>
        <xdr:cNvSpPr/>
      </xdr:nvSpPr>
      <xdr:spPr>
        <a:xfrm>
          <a:off x="17076420" y="5002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274</xdr:row>
      <xdr:rowOff>0</xdr:rowOff>
    </xdr:from>
    <xdr:to>
      <xdr:col>60</xdr:col>
      <xdr:colOff>83820</xdr:colOff>
      <xdr:row>274</xdr:row>
      <xdr:rowOff>114300</xdr:rowOff>
    </xdr:to>
    <xdr:sp macro="" textlink="">
      <xdr:nvSpPr>
        <xdr:cNvPr id="2026" name="Arrow: Down 2025">
          <a:extLst>
            <a:ext uri="{FF2B5EF4-FFF2-40B4-BE49-F238E27FC236}">
              <a16:creationId xmlns:a16="http://schemas.microsoft.com/office/drawing/2014/main" id="{A21922CD-3704-40AE-81DB-E4694BB2ACF0}"/>
            </a:ext>
          </a:extLst>
        </xdr:cNvPr>
        <xdr:cNvSpPr/>
      </xdr:nvSpPr>
      <xdr:spPr>
        <a:xfrm>
          <a:off x="1707642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274</xdr:row>
      <xdr:rowOff>0</xdr:rowOff>
    </xdr:from>
    <xdr:to>
      <xdr:col>11</xdr:col>
      <xdr:colOff>83820</xdr:colOff>
      <xdr:row>274</xdr:row>
      <xdr:rowOff>114300</xdr:rowOff>
    </xdr:to>
    <xdr:sp macro="" textlink="">
      <xdr:nvSpPr>
        <xdr:cNvPr id="2028" name="Arrow: Down 2027">
          <a:extLst>
            <a:ext uri="{FF2B5EF4-FFF2-40B4-BE49-F238E27FC236}">
              <a16:creationId xmlns:a16="http://schemas.microsoft.com/office/drawing/2014/main" id="{9ADDA73F-E026-4CDC-9E65-1FD24BF3E90C}"/>
            </a:ext>
          </a:extLst>
        </xdr:cNvPr>
        <xdr:cNvSpPr/>
      </xdr:nvSpPr>
      <xdr:spPr>
        <a:xfrm>
          <a:off x="369570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274</xdr:row>
      <xdr:rowOff>0</xdr:rowOff>
    </xdr:from>
    <xdr:to>
      <xdr:col>24</xdr:col>
      <xdr:colOff>83820</xdr:colOff>
      <xdr:row>274</xdr:row>
      <xdr:rowOff>114300</xdr:rowOff>
    </xdr:to>
    <xdr:sp macro="" textlink="">
      <xdr:nvSpPr>
        <xdr:cNvPr id="2034" name="Arrow: Down 2033">
          <a:extLst>
            <a:ext uri="{FF2B5EF4-FFF2-40B4-BE49-F238E27FC236}">
              <a16:creationId xmlns:a16="http://schemas.microsoft.com/office/drawing/2014/main" id="{BC079721-172C-4C09-AA74-CBAF40B89C64}"/>
            </a:ext>
          </a:extLst>
        </xdr:cNvPr>
        <xdr:cNvSpPr/>
      </xdr:nvSpPr>
      <xdr:spPr>
        <a:xfrm>
          <a:off x="655320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274</xdr:row>
      <xdr:rowOff>0</xdr:rowOff>
    </xdr:from>
    <xdr:to>
      <xdr:col>39</xdr:col>
      <xdr:colOff>83820</xdr:colOff>
      <xdr:row>274</xdr:row>
      <xdr:rowOff>114300</xdr:rowOff>
    </xdr:to>
    <xdr:sp macro="" textlink="">
      <xdr:nvSpPr>
        <xdr:cNvPr id="2054" name="Arrow: Down 2053">
          <a:extLst>
            <a:ext uri="{FF2B5EF4-FFF2-40B4-BE49-F238E27FC236}">
              <a16:creationId xmlns:a16="http://schemas.microsoft.com/office/drawing/2014/main" id="{E3E0A5BE-0295-4022-9D9C-7C11CF2077C1}"/>
            </a:ext>
          </a:extLst>
        </xdr:cNvPr>
        <xdr:cNvSpPr/>
      </xdr:nvSpPr>
      <xdr:spPr>
        <a:xfrm>
          <a:off x="971550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274</xdr:row>
      <xdr:rowOff>0</xdr:rowOff>
    </xdr:from>
    <xdr:to>
      <xdr:col>45</xdr:col>
      <xdr:colOff>83820</xdr:colOff>
      <xdr:row>274</xdr:row>
      <xdr:rowOff>114300</xdr:rowOff>
    </xdr:to>
    <xdr:sp macro="" textlink="">
      <xdr:nvSpPr>
        <xdr:cNvPr id="2056" name="Arrow: Down 2055">
          <a:extLst>
            <a:ext uri="{FF2B5EF4-FFF2-40B4-BE49-F238E27FC236}">
              <a16:creationId xmlns:a16="http://schemas.microsoft.com/office/drawing/2014/main" id="{2C833DF4-1C2E-4EBC-904C-243D45B8B8A5}"/>
            </a:ext>
          </a:extLst>
        </xdr:cNvPr>
        <xdr:cNvSpPr/>
      </xdr:nvSpPr>
      <xdr:spPr>
        <a:xfrm>
          <a:off x="1152144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275</xdr:row>
      <xdr:rowOff>0</xdr:rowOff>
    </xdr:from>
    <xdr:to>
      <xdr:col>71</xdr:col>
      <xdr:colOff>83820</xdr:colOff>
      <xdr:row>275</xdr:row>
      <xdr:rowOff>114300</xdr:rowOff>
    </xdr:to>
    <xdr:sp macro="" textlink="">
      <xdr:nvSpPr>
        <xdr:cNvPr id="2059" name="Arrow: Down 2058">
          <a:extLst>
            <a:ext uri="{FF2B5EF4-FFF2-40B4-BE49-F238E27FC236}">
              <a16:creationId xmlns:a16="http://schemas.microsoft.com/office/drawing/2014/main" id="{FDD0A2FC-629B-4566-9E96-4C930C34DA47}"/>
            </a:ext>
          </a:extLst>
        </xdr:cNvPr>
        <xdr:cNvSpPr/>
      </xdr:nvSpPr>
      <xdr:spPr>
        <a:xfrm rot="10800000">
          <a:off x="1950720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275</xdr:row>
      <xdr:rowOff>0</xdr:rowOff>
    </xdr:from>
    <xdr:to>
      <xdr:col>5</xdr:col>
      <xdr:colOff>83820</xdr:colOff>
      <xdr:row>275</xdr:row>
      <xdr:rowOff>114300</xdr:rowOff>
    </xdr:to>
    <xdr:sp macro="" textlink="">
      <xdr:nvSpPr>
        <xdr:cNvPr id="2061" name="Arrow: Down 2060">
          <a:extLst>
            <a:ext uri="{FF2B5EF4-FFF2-40B4-BE49-F238E27FC236}">
              <a16:creationId xmlns:a16="http://schemas.microsoft.com/office/drawing/2014/main" id="{D3AFB07C-079C-4A10-8A1E-8D09296D2211}"/>
            </a:ext>
          </a:extLst>
        </xdr:cNvPr>
        <xdr:cNvSpPr/>
      </xdr:nvSpPr>
      <xdr:spPr>
        <a:xfrm rot="10800000">
          <a:off x="192786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275</xdr:row>
      <xdr:rowOff>0</xdr:rowOff>
    </xdr:from>
    <xdr:to>
      <xdr:col>24</xdr:col>
      <xdr:colOff>83820</xdr:colOff>
      <xdr:row>275</xdr:row>
      <xdr:rowOff>114300</xdr:rowOff>
    </xdr:to>
    <xdr:sp macro="" textlink="">
      <xdr:nvSpPr>
        <xdr:cNvPr id="2067" name="Arrow: Down 2066">
          <a:extLst>
            <a:ext uri="{FF2B5EF4-FFF2-40B4-BE49-F238E27FC236}">
              <a16:creationId xmlns:a16="http://schemas.microsoft.com/office/drawing/2014/main" id="{7B71B6C8-60D1-458E-8C1F-3E8E074E2012}"/>
            </a:ext>
          </a:extLst>
        </xdr:cNvPr>
        <xdr:cNvSpPr/>
      </xdr:nvSpPr>
      <xdr:spPr>
        <a:xfrm>
          <a:off x="655320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275</xdr:row>
      <xdr:rowOff>0</xdr:rowOff>
    </xdr:from>
    <xdr:to>
      <xdr:col>60</xdr:col>
      <xdr:colOff>83820</xdr:colOff>
      <xdr:row>275</xdr:row>
      <xdr:rowOff>114300</xdr:rowOff>
    </xdr:to>
    <xdr:sp macro="" textlink="">
      <xdr:nvSpPr>
        <xdr:cNvPr id="2082" name="Arrow: Down 2081">
          <a:extLst>
            <a:ext uri="{FF2B5EF4-FFF2-40B4-BE49-F238E27FC236}">
              <a16:creationId xmlns:a16="http://schemas.microsoft.com/office/drawing/2014/main" id="{5D0C96C4-409F-419F-BB28-6B9279A743C5}"/>
            </a:ext>
          </a:extLst>
        </xdr:cNvPr>
        <xdr:cNvSpPr/>
      </xdr:nvSpPr>
      <xdr:spPr>
        <a:xfrm rot="10800000">
          <a:off x="17076420" y="5039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275</xdr:row>
      <xdr:rowOff>0</xdr:rowOff>
    </xdr:from>
    <xdr:to>
      <xdr:col>11</xdr:col>
      <xdr:colOff>83820</xdr:colOff>
      <xdr:row>275</xdr:row>
      <xdr:rowOff>114300</xdr:rowOff>
    </xdr:to>
    <xdr:sp macro="" textlink="">
      <xdr:nvSpPr>
        <xdr:cNvPr id="2086" name="Arrow: Down 2085">
          <a:extLst>
            <a:ext uri="{FF2B5EF4-FFF2-40B4-BE49-F238E27FC236}">
              <a16:creationId xmlns:a16="http://schemas.microsoft.com/office/drawing/2014/main" id="{8E80EBE3-4A9F-47FE-AF0F-D1C88A194CB7}"/>
            </a:ext>
          </a:extLst>
        </xdr:cNvPr>
        <xdr:cNvSpPr/>
      </xdr:nvSpPr>
      <xdr:spPr>
        <a:xfrm rot="10800000">
          <a:off x="3695700" y="5039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275</xdr:row>
      <xdr:rowOff>0</xdr:rowOff>
    </xdr:from>
    <xdr:to>
      <xdr:col>45</xdr:col>
      <xdr:colOff>83820</xdr:colOff>
      <xdr:row>275</xdr:row>
      <xdr:rowOff>114300</xdr:rowOff>
    </xdr:to>
    <xdr:sp macro="" textlink="">
      <xdr:nvSpPr>
        <xdr:cNvPr id="2090" name="Arrow: Down 2089">
          <a:extLst>
            <a:ext uri="{FF2B5EF4-FFF2-40B4-BE49-F238E27FC236}">
              <a16:creationId xmlns:a16="http://schemas.microsoft.com/office/drawing/2014/main" id="{3C0B4974-5B20-41C6-9C28-82D15302EED7}"/>
            </a:ext>
          </a:extLst>
        </xdr:cNvPr>
        <xdr:cNvSpPr/>
      </xdr:nvSpPr>
      <xdr:spPr>
        <a:xfrm rot="10800000">
          <a:off x="1152144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275</xdr:row>
      <xdr:rowOff>0</xdr:rowOff>
    </xdr:from>
    <xdr:to>
      <xdr:col>39</xdr:col>
      <xdr:colOff>83820</xdr:colOff>
      <xdr:row>275</xdr:row>
      <xdr:rowOff>114300</xdr:rowOff>
    </xdr:to>
    <xdr:sp macro="" textlink="">
      <xdr:nvSpPr>
        <xdr:cNvPr id="2091" name="Arrow: Down 2090">
          <a:extLst>
            <a:ext uri="{FF2B5EF4-FFF2-40B4-BE49-F238E27FC236}">
              <a16:creationId xmlns:a16="http://schemas.microsoft.com/office/drawing/2014/main" id="{9E9BE1F0-53AB-4D3E-BD34-40508D47B298}"/>
            </a:ext>
          </a:extLst>
        </xdr:cNvPr>
        <xdr:cNvSpPr/>
      </xdr:nvSpPr>
      <xdr:spPr>
        <a:xfrm rot="10800000">
          <a:off x="971550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276</xdr:row>
      <xdr:rowOff>0</xdr:rowOff>
    </xdr:from>
    <xdr:to>
      <xdr:col>71</xdr:col>
      <xdr:colOff>83820</xdr:colOff>
      <xdr:row>276</xdr:row>
      <xdr:rowOff>114300</xdr:rowOff>
    </xdr:to>
    <xdr:sp macro="" textlink="">
      <xdr:nvSpPr>
        <xdr:cNvPr id="2092" name="Arrow: Down 2091">
          <a:extLst>
            <a:ext uri="{FF2B5EF4-FFF2-40B4-BE49-F238E27FC236}">
              <a16:creationId xmlns:a16="http://schemas.microsoft.com/office/drawing/2014/main" id="{3033C595-A0CB-4BC6-BE87-0B7D37814F3A}"/>
            </a:ext>
          </a:extLst>
        </xdr:cNvPr>
        <xdr:cNvSpPr/>
      </xdr:nvSpPr>
      <xdr:spPr>
        <a:xfrm rot="10800000">
          <a:off x="19507200" y="5039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276</xdr:row>
      <xdr:rowOff>0</xdr:rowOff>
    </xdr:from>
    <xdr:to>
      <xdr:col>24</xdr:col>
      <xdr:colOff>83820</xdr:colOff>
      <xdr:row>276</xdr:row>
      <xdr:rowOff>114300</xdr:rowOff>
    </xdr:to>
    <xdr:sp macro="" textlink="">
      <xdr:nvSpPr>
        <xdr:cNvPr id="2094" name="Arrow: Down 2093">
          <a:extLst>
            <a:ext uri="{FF2B5EF4-FFF2-40B4-BE49-F238E27FC236}">
              <a16:creationId xmlns:a16="http://schemas.microsoft.com/office/drawing/2014/main" id="{240DC794-F2B7-42A5-942D-F43570231AC9}"/>
            </a:ext>
          </a:extLst>
        </xdr:cNvPr>
        <xdr:cNvSpPr/>
      </xdr:nvSpPr>
      <xdr:spPr>
        <a:xfrm>
          <a:off x="655320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276</xdr:row>
      <xdr:rowOff>0</xdr:rowOff>
    </xdr:from>
    <xdr:to>
      <xdr:col>45</xdr:col>
      <xdr:colOff>83820</xdr:colOff>
      <xdr:row>276</xdr:row>
      <xdr:rowOff>114300</xdr:rowOff>
    </xdr:to>
    <xdr:sp macro="" textlink="">
      <xdr:nvSpPr>
        <xdr:cNvPr id="2097" name="Arrow: Down 2096">
          <a:extLst>
            <a:ext uri="{FF2B5EF4-FFF2-40B4-BE49-F238E27FC236}">
              <a16:creationId xmlns:a16="http://schemas.microsoft.com/office/drawing/2014/main" id="{8B56F44A-5A14-49A1-8D6E-07C6D1BF0107}"/>
            </a:ext>
          </a:extLst>
        </xdr:cNvPr>
        <xdr:cNvSpPr/>
      </xdr:nvSpPr>
      <xdr:spPr>
        <a:xfrm rot="10800000">
          <a:off x="1152144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276</xdr:row>
      <xdr:rowOff>0</xdr:rowOff>
    </xdr:from>
    <xdr:to>
      <xdr:col>60</xdr:col>
      <xdr:colOff>83820</xdr:colOff>
      <xdr:row>276</xdr:row>
      <xdr:rowOff>114300</xdr:rowOff>
    </xdr:to>
    <xdr:sp macro="" textlink="">
      <xdr:nvSpPr>
        <xdr:cNvPr id="2100" name="Arrow: Down 2099">
          <a:extLst>
            <a:ext uri="{FF2B5EF4-FFF2-40B4-BE49-F238E27FC236}">
              <a16:creationId xmlns:a16="http://schemas.microsoft.com/office/drawing/2014/main" id="{6E791A8A-B80C-44CA-940A-BE4132613ACA}"/>
            </a:ext>
          </a:extLst>
        </xdr:cNvPr>
        <xdr:cNvSpPr/>
      </xdr:nvSpPr>
      <xdr:spPr>
        <a:xfrm>
          <a:off x="1707642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276</xdr:row>
      <xdr:rowOff>0</xdr:rowOff>
    </xdr:from>
    <xdr:to>
      <xdr:col>11</xdr:col>
      <xdr:colOff>83820</xdr:colOff>
      <xdr:row>276</xdr:row>
      <xdr:rowOff>114300</xdr:rowOff>
    </xdr:to>
    <xdr:sp macro="" textlink="">
      <xdr:nvSpPr>
        <xdr:cNvPr id="2102" name="Arrow: Down 2101">
          <a:extLst>
            <a:ext uri="{FF2B5EF4-FFF2-40B4-BE49-F238E27FC236}">
              <a16:creationId xmlns:a16="http://schemas.microsoft.com/office/drawing/2014/main" id="{3EFC8675-8A59-4925-9657-BE218BB1C41D}"/>
            </a:ext>
          </a:extLst>
        </xdr:cNvPr>
        <xdr:cNvSpPr/>
      </xdr:nvSpPr>
      <xdr:spPr>
        <a:xfrm>
          <a:off x="369570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276</xdr:row>
      <xdr:rowOff>0</xdr:rowOff>
    </xdr:from>
    <xdr:to>
      <xdr:col>5</xdr:col>
      <xdr:colOff>83820</xdr:colOff>
      <xdr:row>276</xdr:row>
      <xdr:rowOff>114300</xdr:rowOff>
    </xdr:to>
    <xdr:sp macro="" textlink="">
      <xdr:nvSpPr>
        <xdr:cNvPr id="2103" name="Arrow: Down 2102">
          <a:extLst>
            <a:ext uri="{FF2B5EF4-FFF2-40B4-BE49-F238E27FC236}">
              <a16:creationId xmlns:a16="http://schemas.microsoft.com/office/drawing/2014/main" id="{4889138C-0818-492D-91E7-00F6B84D3F46}"/>
            </a:ext>
          </a:extLst>
        </xdr:cNvPr>
        <xdr:cNvSpPr/>
      </xdr:nvSpPr>
      <xdr:spPr>
        <a:xfrm>
          <a:off x="192786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276</xdr:row>
      <xdr:rowOff>0</xdr:rowOff>
    </xdr:from>
    <xdr:to>
      <xdr:col>39</xdr:col>
      <xdr:colOff>83820</xdr:colOff>
      <xdr:row>276</xdr:row>
      <xdr:rowOff>114300</xdr:rowOff>
    </xdr:to>
    <xdr:sp macro="" textlink="">
      <xdr:nvSpPr>
        <xdr:cNvPr id="2104" name="Arrow: Down 2103">
          <a:extLst>
            <a:ext uri="{FF2B5EF4-FFF2-40B4-BE49-F238E27FC236}">
              <a16:creationId xmlns:a16="http://schemas.microsoft.com/office/drawing/2014/main" id="{3EA19CB6-D708-4D3B-8FE7-159883F02B4D}"/>
            </a:ext>
          </a:extLst>
        </xdr:cNvPr>
        <xdr:cNvSpPr/>
      </xdr:nvSpPr>
      <xdr:spPr>
        <a:xfrm>
          <a:off x="9715500" y="5057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277</xdr:row>
      <xdr:rowOff>0</xdr:rowOff>
    </xdr:from>
    <xdr:to>
      <xdr:col>71</xdr:col>
      <xdr:colOff>83820</xdr:colOff>
      <xdr:row>277</xdr:row>
      <xdr:rowOff>114300</xdr:rowOff>
    </xdr:to>
    <xdr:sp macro="" textlink="">
      <xdr:nvSpPr>
        <xdr:cNvPr id="2105" name="Arrow: Down 2104">
          <a:extLst>
            <a:ext uri="{FF2B5EF4-FFF2-40B4-BE49-F238E27FC236}">
              <a16:creationId xmlns:a16="http://schemas.microsoft.com/office/drawing/2014/main" id="{63574F84-038D-40C2-8B9C-7AF0A51CA427}"/>
            </a:ext>
          </a:extLst>
        </xdr:cNvPr>
        <xdr:cNvSpPr/>
      </xdr:nvSpPr>
      <xdr:spPr>
        <a:xfrm rot="10800000">
          <a:off x="19507200" y="5057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277</xdr:row>
      <xdr:rowOff>0</xdr:rowOff>
    </xdr:from>
    <xdr:to>
      <xdr:col>24</xdr:col>
      <xdr:colOff>83820</xdr:colOff>
      <xdr:row>277</xdr:row>
      <xdr:rowOff>114300</xdr:rowOff>
    </xdr:to>
    <xdr:sp macro="" textlink="">
      <xdr:nvSpPr>
        <xdr:cNvPr id="2106" name="Arrow: Down 2105">
          <a:extLst>
            <a:ext uri="{FF2B5EF4-FFF2-40B4-BE49-F238E27FC236}">
              <a16:creationId xmlns:a16="http://schemas.microsoft.com/office/drawing/2014/main" id="{18B54BB2-0E6C-493A-9FCB-A554134E64A0}"/>
            </a:ext>
          </a:extLst>
        </xdr:cNvPr>
        <xdr:cNvSpPr/>
      </xdr:nvSpPr>
      <xdr:spPr>
        <a:xfrm>
          <a:off x="655320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277</xdr:row>
      <xdr:rowOff>0</xdr:rowOff>
    </xdr:from>
    <xdr:to>
      <xdr:col>11</xdr:col>
      <xdr:colOff>83820</xdr:colOff>
      <xdr:row>277</xdr:row>
      <xdr:rowOff>114300</xdr:rowOff>
    </xdr:to>
    <xdr:sp macro="" textlink="">
      <xdr:nvSpPr>
        <xdr:cNvPr id="2109" name="Arrow: Down 2108">
          <a:extLst>
            <a:ext uri="{FF2B5EF4-FFF2-40B4-BE49-F238E27FC236}">
              <a16:creationId xmlns:a16="http://schemas.microsoft.com/office/drawing/2014/main" id="{9A8CEB58-03B5-4274-8D66-89FD7DD2088D}"/>
            </a:ext>
          </a:extLst>
        </xdr:cNvPr>
        <xdr:cNvSpPr/>
      </xdr:nvSpPr>
      <xdr:spPr>
        <a:xfrm>
          <a:off x="369570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277</xdr:row>
      <xdr:rowOff>0</xdr:rowOff>
    </xdr:from>
    <xdr:to>
      <xdr:col>5</xdr:col>
      <xdr:colOff>83820</xdr:colOff>
      <xdr:row>277</xdr:row>
      <xdr:rowOff>114300</xdr:rowOff>
    </xdr:to>
    <xdr:sp macro="" textlink="">
      <xdr:nvSpPr>
        <xdr:cNvPr id="2110" name="Arrow: Down 2109">
          <a:extLst>
            <a:ext uri="{FF2B5EF4-FFF2-40B4-BE49-F238E27FC236}">
              <a16:creationId xmlns:a16="http://schemas.microsoft.com/office/drawing/2014/main" id="{DAEB29FC-C1DD-4F2A-AEF4-6400325E232B}"/>
            </a:ext>
          </a:extLst>
        </xdr:cNvPr>
        <xdr:cNvSpPr/>
      </xdr:nvSpPr>
      <xdr:spPr>
        <a:xfrm>
          <a:off x="192786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277</xdr:row>
      <xdr:rowOff>0</xdr:rowOff>
    </xdr:from>
    <xdr:to>
      <xdr:col>39</xdr:col>
      <xdr:colOff>83820</xdr:colOff>
      <xdr:row>277</xdr:row>
      <xdr:rowOff>114300</xdr:rowOff>
    </xdr:to>
    <xdr:sp macro="" textlink="">
      <xdr:nvSpPr>
        <xdr:cNvPr id="2111" name="Arrow: Down 2110">
          <a:extLst>
            <a:ext uri="{FF2B5EF4-FFF2-40B4-BE49-F238E27FC236}">
              <a16:creationId xmlns:a16="http://schemas.microsoft.com/office/drawing/2014/main" id="{D6161650-DA57-49E6-82DC-D2ED158E3041}"/>
            </a:ext>
          </a:extLst>
        </xdr:cNvPr>
        <xdr:cNvSpPr/>
      </xdr:nvSpPr>
      <xdr:spPr>
        <a:xfrm>
          <a:off x="9715500" y="5057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277</xdr:row>
      <xdr:rowOff>0</xdr:rowOff>
    </xdr:from>
    <xdr:to>
      <xdr:col>60</xdr:col>
      <xdr:colOff>83820</xdr:colOff>
      <xdr:row>277</xdr:row>
      <xdr:rowOff>114300</xdr:rowOff>
    </xdr:to>
    <xdr:sp macro="" textlink="">
      <xdr:nvSpPr>
        <xdr:cNvPr id="2113" name="Arrow: Down 2112">
          <a:extLst>
            <a:ext uri="{FF2B5EF4-FFF2-40B4-BE49-F238E27FC236}">
              <a16:creationId xmlns:a16="http://schemas.microsoft.com/office/drawing/2014/main" id="{BA3BD789-BDEE-4F66-9474-7938D6453724}"/>
            </a:ext>
          </a:extLst>
        </xdr:cNvPr>
        <xdr:cNvSpPr/>
      </xdr:nvSpPr>
      <xdr:spPr>
        <a:xfrm rot="10800000">
          <a:off x="17076420" y="5075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277</xdr:row>
      <xdr:rowOff>0</xdr:rowOff>
    </xdr:from>
    <xdr:to>
      <xdr:col>45</xdr:col>
      <xdr:colOff>83820</xdr:colOff>
      <xdr:row>277</xdr:row>
      <xdr:rowOff>114300</xdr:rowOff>
    </xdr:to>
    <xdr:sp macro="" textlink="">
      <xdr:nvSpPr>
        <xdr:cNvPr id="2114" name="Arrow: Down 2113">
          <a:extLst>
            <a:ext uri="{FF2B5EF4-FFF2-40B4-BE49-F238E27FC236}">
              <a16:creationId xmlns:a16="http://schemas.microsoft.com/office/drawing/2014/main" id="{B4FB78DD-503D-47EE-878A-09D1DF2E4741}"/>
            </a:ext>
          </a:extLst>
        </xdr:cNvPr>
        <xdr:cNvSpPr/>
      </xdr:nvSpPr>
      <xdr:spPr>
        <a:xfrm>
          <a:off x="11521440" y="5075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278</xdr:row>
      <xdr:rowOff>0</xdr:rowOff>
    </xdr:from>
    <xdr:to>
      <xdr:col>71</xdr:col>
      <xdr:colOff>83820</xdr:colOff>
      <xdr:row>278</xdr:row>
      <xdr:rowOff>114300</xdr:rowOff>
    </xdr:to>
    <xdr:sp macro="" textlink="">
      <xdr:nvSpPr>
        <xdr:cNvPr id="2115" name="Arrow: Down 2114">
          <a:extLst>
            <a:ext uri="{FF2B5EF4-FFF2-40B4-BE49-F238E27FC236}">
              <a16:creationId xmlns:a16="http://schemas.microsoft.com/office/drawing/2014/main" id="{8F1E19B8-5FD7-4AB3-8035-A4D1D01D2FBA}"/>
            </a:ext>
          </a:extLst>
        </xdr:cNvPr>
        <xdr:cNvSpPr/>
      </xdr:nvSpPr>
      <xdr:spPr>
        <a:xfrm rot="10800000">
          <a:off x="19507200" y="5075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278</xdr:row>
      <xdr:rowOff>0</xdr:rowOff>
    </xdr:from>
    <xdr:to>
      <xdr:col>5</xdr:col>
      <xdr:colOff>83820</xdr:colOff>
      <xdr:row>278</xdr:row>
      <xdr:rowOff>114300</xdr:rowOff>
    </xdr:to>
    <xdr:sp macro="" textlink="">
      <xdr:nvSpPr>
        <xdr:cNvPr id="2122" name="Arrow: Down 2121">
          <a:extLst>
            <a:ext uri="{FF2B5EF4-FFF2-40B4-BE49-F238E27FC236}">
              <a16:creationId xmlns:a16="http://schemas.microsoft.com/office/drawing/2014/main" id="{AB66A51F-ED82-4FAE-BEEB-548FF23098F8}"/>
            </a:ext>
          </a:extLst>
        </xdr:cNvPr>
        <xdr:cNvSpPr/>
      </xdr:nvSpPr>
      <xdr:spPr>
        <a:xfrm rot="10800000">
          <a:off x="192786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278</xdr:row>
      <xdr:rowOff>0</xdr:rowOff>
    </xdr:from>
    <xdr:to>
      <xdr:col>11</xdr:col>
      <xdr:colOff>83820</xdr:colOff>
      <xdr:row>278</xdr:row>
      <xdr:rowOff>114300</xdr:rowOff>
    </xdr:to>
    <xdr:sp macro="" textlink="">
      <xdr:nvSpPr>
        <xdr:cNvPr id="2123" name="Arrow: Down 2122">
          <a:extLst>
            <a:ext uri="{FF2B5EF4-FFF2-40B4-BE49-F238E27FC236}">
              <a16:creationId xmlns:a16="http://schemas.microsoft.com/office/drawing/2014/main" id="{2DEAFD21-8C96-42FE-9242-434D28F51131}"/>
            </a:ext>
          </a:extLst>
        </xdr:cNvPr>
        <xdr:cNvSpPr/>
      </xdr:nvSpPr>
      <xdr:spPr>
        <a:xfrm rot="10800000">
          <a:off x="36957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278</xdr:row>
      <xdr:rowOff>0</xdr:rowOff>
    </xdr:from>
    <xdr:to>
      <xdr:col>24</xdr:col>
      <xdr:colOff>83820</xdr:colOff>
      <xdr:row>278</xdr:row>
      <xdr:rowOff>114300</xdr:rowOff>
    </xdr:to>
    <xdr:sp macro="" textlink="">
      <xdr:nvSpPr>
        <xdr:cNvPr id="2124" name="Arrow: Down 2123">
          <a:extLst>
            <a:ext uri="{FF2B5EF4-FFF2-40B4-BE49-F238E27FC236}">
              <a16:creationId xmlns:a16="http://schemas.microsoft.com/office/drawing/2014/main" id="{7A58309D-A764-4774-8C87-CEBF495FACB7}"/>
            </a:ext>
          </a:extLst>
        </xdr:cNvPr>
        <xdr:cNvSpPr/>
      </xdr:nvSpPr>
      <xdr:spPr>
        <a:xfrm rot="10800000">
          <a:off x="65532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278</xdr:row>
      <xdr:rowOff>0</xdr:rowOff>
    </xdr:from>
    <xdr:to>
      <xdr:col>39</xdr:col>
      <xdr:colOff>83820</xdr:colOff>
      <xdr:row>278</xdr:row>
      <xdr:rowOff>114300</xdr:rowOff>
    </xdr:to>
    <xdr:sp macro="" textlink="">
      <xdr:nvSpPr>
        <xdr:cNvPr id="2125" name="Arrow: Down 2124">
          <a:extLst>
            <a:ext uri="{FF2B5EF4-FFF2-40B4-BE49-F238E27FC236}">
              <a16:creationId xmlns:a16="http://schemas.microsoft.com/office/drawing/2014/main" id="{13C5584D-758A-4016-A304-137C249301E2}"/>
            </a:ext>
          </a:extLst>
        </xdr:cNvPr>
        <xdr:cNvSpPr/>
      </xdr:nvSpPr>
      <xdr:spPr>
        <a:xfrm rot="10800000">
          <a:off x="971550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278</xdr:row>
      <xdr:rowOff>0</xdr:rowOff>
    </xdr:from>
    <xdr:to>
      <xdr:col>45</xdr:col>
      <xdr:colOff>83820</xdr:colOff>
      <xdr:row>278</xdr:row>
      <xdr:rowOff>114300</xdr:rowOff>
    </xdr:to>
    <xdr:sp macro="" textlink="">
      <xdr:nvSpPr>
        <xdr:cNvPr id="2126" name="Arrow: Down 2125">
          <a:extLst>
            <a:ext uri="{FF2B5EF4-FFF2-40B4-BE49-F238E27FC236}">
              <a16:creationId xmlns:a16="http://schemas.microsoft.com/office/drawing/2014/main" id="{DFD90931-C192-4F05-82D1-675A24D83776}"/>
            </a:ext>
          </a:extLst>
        </xdr:cNvPr>
        <xdr:cNvSpPr/>
      </xdr:nvSpPr>
      <xdr:spPr>
        <a:xfrm rot="10800000">
          <a:off x="1152144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279</xdr:row>
      <xdr:rowOff>0</xdr:rowOff>
    </xdr:from>
    <xdr:to>
      <xdr:col>71</xdr:col>
      <xdr:colOff>83820</xdr:colOff>
      <xdr:row>279</xdr:row>
      <xdr:rowOff>114300</xdr:rowOff>
    </xdr:to>
    <xdr:sp macro="" textlink="">
      <xdr:nvSpPr>
        <xdr:cNvPr id="2127" name="Arrow: Down 2126">
          <a:extLst>
            <a:ext uri="{FF2B5EF4-FFF2-40B4-BE49-F238E27FC236}">
              <a16:creationId xmlns:a16="http://schemas.microsoft.com/office/drawing/2014/main" id="{82081810-2C55-4131-AC0B-40D104898520}"/>
            </a:ext>
          </a:extLst>
        </xdr:cNvPr>
        <xdr:cNvSpPr/>
      </xdr:nvSpPr>
      <xdr:spPr>
        <a:xfrm rot="10800000">
          <a:off x="195072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279</xdr:row>
      <xdr:rowOff>0</xdr:rowOff>
    </xdr:from>
    <xdr:to>
      <xdr:col>5</xdr:col>
      <xdr:colOff>83820</xdr:colOff>
      <xdr:row>279</xdr:row>
      <xdr:rowOff>114300</xdr:rowOff>
    </xdr:to>
    <xdr:sp macro="" textlink="">
      <xdr:nvSpPr>
        <xdr:cNvPr id="2128" name="Arrow: Down 2127">
          <a:extLst>
            <a:ext uri="{FF2B5EF4-FFF2-40B4-BE49-F238E27FC236}">
              <a16:creationId xmlns:a16="http://schemas.microsoft.com/office/drawing/2014/main" id="{B91CE9D7-5C25-4D28-B9CB-D7E74881CEB4}"/>
            </a:ext>
          </a:extLst>
        </xdr:cNvPr>
        <xdr:cNvSpPr/>
      </xdr:nvSpPr>
      <xdr:spPr>
        <a:xfrm rot="10800000">
          <a:off x="192786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279</xdr:row>
      <xdr:rowOff>0</xdr:rowOff>
    </xdr:from>
    <xdr:to>
      <xdr:col>24</xdr:col>
      <xdr:colOff>83820</xdr:colOff>
      <xdr:row>279</xdr:row>
      <xdr:rowOff>114300</xdr:rowOff>
    </xdr:to>
    <xdr:sp macro="" textlink="">
      <xdr:nvSpPr>
        <xdr:cNvPr id="2130" name="Arrow: Down 2129">
          <a:extLst>
            <a:ext uri="{FF2B5EF4-FFF2-40B4-BE49-F238E27FC236}">
              <a16:creationId xmlns:a16="http://schemas.microsoft.com/office/drawing/2014/main" id="{94E6D06C-6C8B-4E8D-89E3-60E9C67E1B31}"/>
            </a:ext>
          </a:extLst>
        </xdr:cNvPr>
        <xdr:cNvSpPr/>
      </xdr:nvSpPr>
      <xdr:spPr>
        <a:xfrm rot="10800000">
          <a:off x="65532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279</xdr:row>
      <xdr:rowOff>0</xdr:rowOff>
    </xdr:from>
    <xdr:to>
      <xdr:col>45</xdr:col>
      <xdr:colOff>83820</xdr:colOff>
      <xdr:row>279</xdr:row>
      <xdr:rowOff>114300</xdr:rowOff>
    </xdr:to>
    <xdr:sp macro="" textlink="">
      <xdr:nvSpPr>
        <xdr:cNvPr id="2132" name="Arrow: Down 2131">
          <a:extLst>
            <a:ext uri="{FF2B5EF4-FFF2-40B4-BE49-F238E27FC236}">
              <a16:creationId xmlns:a16="http://schemas.microsoft.com/office/drawing/2014/main" id="{EA32ECBE-EE58-462B-8B0A-5D512DA41F32}"/>
            </a:ext>
          </a:extLst>
        </xdr:cNvPr>
        <xdr:cNvSpPr/>
      </xdr:nvSpPr>
      <xdr:spPr>
        <a:xfrm rot="10800000">
          <a:off x="1152144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278</xdr:row>
      <xdr:rowOff>0</xdr:rowOff>
    </xdr:from>
    <xdr:to>
      <xdr:col>60</xdr:col>
      <xdr:colOff>83820</xdr:colOff>
      <xdr:row>278</xdr:row>
      <xdr:rowOff>114300</xdr:rowOff>
    </xdr:to>
    <xdr:sp macro="" textlink="">
      <xdr:nvSpPr>
        <xdr:cNvPr id="2133" name="Arrow: Down 2132">
          <a:extLst>
            <a:ext uri="{FF2B5EF4-FFF2-40B4-BE49-F238E27FC236}">
              <a16:creationId xmlns:a16="http://schemas.microsoft.com/office/drawing/2014/main" id="{803FD0BF-4AF5-4CBE-8CD8-FF64F63264A5}"/>
            </a:ext>
          </a:extLst>
        </xdr:cNvPr>
        <xdr:cNvSpPr/>
      </xdr:nvSpPr>
      <xdr:spPr>
        <a:xfrm>
          <a:off x="1712976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279</xdr:row>
      <xdr:rowOff>0</xdr:rowOff>
    </xdr:from>
    <xdr:to>
      <xdr:col>11</xdr:col>
      <xdr:colOff>83820</xdr:colOff>
      <xdr:row>279</xdr:row>
      <xdr:rowOff>114300</xdr:rowOff>
    </xdr:to>
    <xdr:sp macro="" textlink="">
      <xdr:nvSpPr>
        <xdr:cNvPr id="2136" name="Arrow: Down 2135">
          <a:extLst>
            <a:ext uri="{FF2B5EF4-FFF2-40B4-BE49-F238E27FC236}">
              <a16:creationId xmlns:a16="http://schemas.microsoft.com/office/drawing/2014/main" id="{BFC85D01-DD2A-4812-A57A-D1B2589332FD}"/>
            </a:ext>
          </a:extLst>
        </xdr:cNvPr>
        <xdr:cNvSpPr/>
      </xdr:nvSpPr>
      <xdr:spPr>
        <a:xfrm>
          <a:off x="3695700" y="5112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279</xdr:row>
      <xdr:rowOff>0</xdr:rowOff>
    </xdr:from>
    <xdr:to>
      <xdr:col>39</xdr:col>
      <xdr:colOff>83820</xdr:colOff>
      <xdr:row>279</xdr:row>
      <xdr:rowOff>114300</xdr:rowOff>
    </xdr:to>
    <xdr:sp macro="" textlink="">
      <xdr:nvSpPr>
        <xdr:cNvPr id="2137" name="Arrow: Down 2136">
          <a:extLst>
            <a:ext uri="{FF2B5EF4-FFF2-40B4-BE49-F238E27FC236}">
              <a16:creationId xmlns:a16="http://schemas.microsoft.com/office/drawing/2014/main" id="{578D2AB3-E682-478E-A7C8-7C8A0CA31BD2}"/>
            </a:ext>
          </a:extLst>
        </xdr:cNvPr>
        <xdr:cNvSpPr/>
      </xdr:nvSpPr>
      <xdr:spPr>
        <a:xfrm>
          <a:off x="971550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279</xdr:row>
      <xdr:rowOff>0</xdr:rowOff>
    </xdr:from>
    <xdr:to>
      <xdr:col>60</xdr:col>
      <xdr:colOff>83820</xdr:colOff>
      <xdr:row>279</xdr:row>
      <xdr:rowOff>114300</xdr:rowOff>
    </xdr:to>
    <xdr:sp macro="" textlink="">
      <xdr:nvSpPr>
        <xdr:cNvPr id="2139" name="Arrow: Down 2138">
          <a:extLst>
            <a:ext uri="{FF2B5EF4-FFF2-40B4-BE49-F238E27FC236}">
              <a16:creationId xmlns:a16="http://schemas.microsoft.com/office/drawing/2014/main" id="{D55AF668-F5FD-473A-9FE1-F9DE40115465}"/>
            </a:ext>
          </a:extLst>
        </xdr:cNvPr>
        <xdr:cNvSpPr/>
      </xdr:nvSpPr>
      <xdr:spPr>
        <a:xfrm rot="10800000">
          <a:off x="1712976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280</xdr:row>
      <xdr:rowOff>0</xdr:rowOff>
    </xdr:from>
    <xdr:to>
      <xdr:col>71</xdr:col>
      <xdr:colOff>83820</xdr:colOff>
      <xdr:row>280</xdr:row>
      <xdr:rowOff>114300</xdr:rowOff>
    </xdr:to>
    <xdr:sp macro="" textlink="">
      <xdr:nvSpPr>
        <xdr:cNvPr id="1995" name="Arrow: Down 1994">
          <a:extLst>
            <a:ext uri="{FF2B5EF4-FFF2-40B4-BE49-F238E27FC236}">
              <a16:creationId xmlns:a16="http://schemas.microsoft.com/office/drawing/2014/main" id="{0672F9DE-B2C7-4836-802D-8ADE6AD91AAB}"/>
            </a:ext>
          </a:extLst>
        </xdr:cNvPr>
        <xdr:cNvSpPr/>
      </xdr:nvSpPr>
      <xdr:spPr>
        <a:xfrm rot="10800000">
          <a:off x="1956054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280</xdr:row>
      <xdr:rowOff>0</xdr:rowOff>
    </xdr:from>
    <xdr:to>
      <xdr:col>5</xdr:col>
      <xdr:colOff>83820</xdr:colOff>
      <xdr:row>280</xdr:row>
      <xdr:rowOff>114300</xdr:rowOff>
    </xdr:to>
    <xdr:sp macro="" textlink="">
      <xdr:nvSpPr>
        <xdr:cNvPr id="1996" name="Arrow: Down 1995">
          <a:extLst>
            <a:ext uri="{FF2B5EF4-FFF2-40B4-BE49-F238E27FC236}">
              <a16:creationId xmlns:a16="http://schemas.microsoft.com/office/drawing/2014/main" id="{CA5D0FC8-F31C-4C4C-965F-117F1EB99BDF}"/>
            </a:ext>
          </a:extLst>
        </xdr:cNvPr>
        <xdr:cNvSpPr/>
      </xdr:nvSpPr>
      <xdr:spPr>
        <a:xfrm rot="10800000">
          <a:off x="192786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280</xdr:row>
      <xdr:rowOff>0</xdr:rowOff>
    </xdr:from>
    <xdr:to>
      <xdr:col>24</xdr:col>
      <xdr:colOff>83820</xdr:colOff>
      <xdr:row>280</xdr:row>
      <xdr:rowOff>114300</xdr:rowOff>
    </xdr:to>
    <xdr:sp macro="" textlink="">
      <xdr:nvSpPr>
        <xdr:cNvPr id="2000" name="Arrow: Down 1999">
          <a:extLst>
            <a:ext uri="{FF2B5EF4-FFF2-40B4-BE49-F238E27FC236}">
              <a16:creationId xmlns:a16="http://schemas.microsoft.com/office/drawing/2014/main" id="{C1D4782F-000D-4ADB-B3BE-3F4DBE9F650D}"/>
            </a:ext>
          </a:extLst>
        </xdr:cNvPr>
        <xdr:cNvSpPr/>
      </xdr:nvSpPr>
      <xdr:spPr>
        <a:xfrm rot="10800000">
          <a:off x="655320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280</xdr:row>
      <xdr:rowOff>0</xdr:rowOff>
    </xdr:from>
    <xdr:to>
      <xdr:col>45</xdr:col>
      <xdr:colOff>83820</xdr:colOff>
      <xdr:row>280</xdr:row>
      <xdr:rowOff>114300</xdr:rowOff>
    </xdr:to>
    <xdr:sp macro="" textlink="">
      <xdr:nvSpPr>
        <xdr:cNvPr id="2007" name="Arrow: Down 2006">
          <a:extLst>
            <a:ext uri="{FF2B5EF4-FFF2-40B4-BE49-F238E27FC236}">
              <a16:creationId xmlns:a16="http://schemas.microsoft.com/office/drawing/2014/main" id="{F9E9EC3D-70D0-4C43-B929-DAD645254929}"/>
            </a:ext>
          </a:extLst>
        </xdr:cNvPr>
        <xdr:cNvSpPr/>
      </xdr:nvSpPr>
      <xdr:spPr>
        <a:xfrm rot="10800000">
          <a:off x="11574780" y="5112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280</xdr:row>
      <xdr:rowOff>0</xdr:rowOff>
    </xdr:from>
    <xdr:to>
      <xdr:col>60</xdr:col>
      <xdr:colOff>83820</xdr:colOff>
      <xdr:row>280</xdr:row>
      <xdr:rowOff>114300</xdr:rowOff>
    </xdr:to>
    <xdr:sp macro="" textlink="">
      <xdr:nvSpPr>
        <xdr:cNvPr id="2023" name="Arrow: Down 2022">
          <a:extLst>
            <a:ext uri="{FF2B5EF4-FFF2-40B4-BE49-F238E27FC236}">
              <a16:creationId xmlns:a16="http://schemas.microsoft.com/office/drawing/2014/main" id="{1DDDC586-A7A2-4178-868D-B5AF1080586F}"/>
            </a:ext>
          </a:extLst>
        </xdr:cNvPr>
        <xdr:cNvSpPr/>
      </xdr:nvSpPr>
      <xdr:spPr>
        <a:xfrm rot="10800000">
          <a:off x="1712976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280</xdr:row>
      <xdr:rowOff>0</xdr:rowOff>
    </xdr:from>
    <xdr:to>
      <xdr:col>39</xdr:col>
      <xdr:colOff>83820</xdr:colOff>
      <xdr:row>280</xdr:row>
      <xdr:rowOff>114300</xdr:rowOff>
    </xdr:to>
    <xdr:sp macro="" textlink="">
      <xdr:nvSpPr>
        <xdr:cNvPr id="2025" name="Arrow: Down 2024">
          <a:extLst>
            <a:ext uri="{FF2B5EF4-FFF2-40B4-BE49-F238E27FC236}">
              <a16:creationId xmlns:a16="http://schemas.microsoft.com/office/drawing/2014/main" id="{0AFA28CE-44D5-4A0E-BCE8-0C60717B927B}"/>
            </a:ext>
          </a:extLst>
        </xdr:cNvPr>
        <xdr:cNvSpPr/>
      </xdr:nvSpPr>
      <xdr:spPr>
        <a:xfrm rot="10800000">
          <a:off x="9715500" y="5130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280</xdr:row>
      <xdr:rowOff>0</xdr:rowOff>
    </xdr:from>
    <xdr:to>
      <xdr:col>11</xdr:col>
      <xdr:colOff>83820</xdr:colOff>
      <xdr:row>280</xdr:row>
      <xdr:rowOff>114300</xdr:rowOff>
    </xdr:to>
    <xdr:sp macro="" textlink="">
      <xdr:nvSpPr>
        <xdr:cNvPr id="2041" name="Arrow: Down 2040">
          <a:extLst>
            <a:ext uri="{FF2B5EF4-FFF2-40B4-BE49-F238E27FC236}">
              <a16:creationId xmlns:a16="http://schemas.microsoft.com/office/drawing/2014/main" id="{CF944EE6-D627-4431-A244-40168F583481}"/>
            </a:ext>
          </a:extLst>
        </xdr:cNvPr>
        <xdr:cNvSpPr/>
      </xdr:nvSpPr>
      <xdr:spPr>
        <a:xfrm rot="10800000">
          <a:off x="3695700" y="5130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281</xdr:row>
      <xdr:rowOff>0</xdr:rowOff>
    </xdr:from>
    <xdr:to>
      <xdr:col>71</xdr:col>
      <xdr:colOff>83820</xdr:colOff>
      <xdr:row>281</xdr:row>
      <xdr:rowOff>114300</xdr:rowOff>
    </xdr:to>
    <xdr:sp macro="" textlink="">
      <xdr:nvSpPr>
        <xdr:cNvPr id="2098" name="Arrow: Down 2097">
          <a:extLst>
            <a:ext uri="{FF2B5EF4-FFF2-40B4-BE49-F238E27FC236}">
              <a16:creationId xmlns:a16="http://schemas.microsoft.com/office/drawing/2014/main" id="{AED74FFE-88C3-4E2B-92B6-FAD184D96D37}"/>
            </a:ext>
          </a:extLst>
        </xdr:cNvPr>
        <xdr:cNvSpPr/>
      </xdr:nvSpPr>
      <xdr:spPr>
        <a:xfrm rot="10800000">
          <a:off x="19560540" y="5130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281</xdr:row>
      <xdr:rowOff>0</xdr:rowOff>
    </xdr:from>
    <xdr:to>
      <xdr:col>60</xdr:col>
      <xdr:colOff>83820</xdr:colOff>
      <xdr:row>281</xdr:row>
      <xdr:rowOff>114300</xdr:rowOff>
    </xdr:to>
    <xdr:sp macro="" textlink="">
      <xdr:nvSpPr>
        <xdr:cNvPr id="2117" name="Arrow: Down 2116">
          <a:extLst>
            <a:ext uri="{FF2B5EF4-FFF2-40B4-BE49-F238E27FC236}">
              <a16:creationId xmlns:a16="http://schemas.microsoft.com/office/drawing/2014/main" id="{3EE48CD5-EEBC-4436-9655-B1BD80BE4606}"/>
            </a:ext>
          </a:extLst>
        </xdr:cNvPr>
        <xdr:cNvSpPr/>
      </xdr:nvSpPr>
      <xdr:spPr>
        <a:xfrm>
          <a:off x="1712976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281</xdr:row>
      <xdr:rowOff>0</xdr:rowOff>
    </xdr:from>
    <xdr:to>
      <xdr:col>24</xdr:col>
      <xdr:colOff>83820</xdr:colOff>
      <xdr:row>281</xdr:row>
      <xdr:rowOff>114300</xdr:rowOff>
    </xdr:to>
    <xdr:sp macro="" textlink="">
      <xdr:nvSpPr>
        <xdr:cNvPr id="2118" name="Arrow: Down 2117">
          <a:extLst>
            <a:ext uri="{FF2B5EF4-FFF2-40B4-BE49-F238E27FC236}">
              <a16:creationId xmlns:a16="http://schemas.microsoft.com/office/drawing/2014/main" id="{B46C7A82-FE53-4EC2-96E2-062157FBBA64}"/>
            </a:ext>
          </a:extLst>
        </xdr:cNvPr>
        <xdr:cNvSpPr/>
      </xdr:nvSpPr>
      <xdr:spPr>
        <a:xfrm>
          <a:off x="65532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281</xdr:row>
      <xdr:rowOff>0</xdr:rowOff>
    </xdr:from>
    <xdr:to>
      <xdr:col>5</xdr:col>
      <xdr:colOff>83820</xdr:colOff>
      <xdr:row>281</xdr:row>
      <xdr:rowOff>114300</xdr:rowOff>
    </xdr:to>
    <xdr:sp macro="" textlink="">
      <xdr:nvSpPr>
        <xdr:cNvPr id="2119" name="Arrow: Down 2118">
          <a:extLst>
            <a:ext uri="{FF2B5EF4-FFF2-40B4-BE49-F238E27FC236}">
              <a16:creationId xmlns:a16="http://schemas.microsoft.com/office/drawing/2014/main" id="{73B4BF1D-4C9F-4818-8539-DAD71C42B909}"/>
            </a:ext>
          </a:extLst>
        </xdr:cNvPr>
        <xdr:cNvSpPr/>
      </xdr:nvSpPr>
      <xdr:spPr>
        <a:xfrm>
          <a:off x="192786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281</xdr:row>
      <xdr:rowOff>0</xdr:rowOff>
    </xdr:from>
    <xdr:to>
      <xdr:col>11</xdr:col>
      <xdr:colOff>83820</xdr:colOff>
      <xdr:row>281</xdr:row>
      <xdr:rowOff>114300</xdr:rowOff>
    </xdr:to>
    <xdr:sp macro="" textlink="">
      <xdr:nvSpPr>
        <xdr:cNvPr id="2121" name="Arrow: Down 2120">
          <a:extLst>
            <a:ext uri="{FF2B5EF4-FFF2-40B4-BE49-F238E27FC236}">
              <a16:creationId xmlns:a16="http://schemas.microsoft.com/office/drawing/2014/main" id="{9D4067DF-B0B4-4186-91C5-C15C301457C9}"/>
            </a:ext>
          </a:extLst>
        </xdr:cNvPr>
        <xdr:cNvSpPr/>
      </xdr:nvSpPr>
      <xdr:spPr>
        <a:xfrm>
          <a:off x="36957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281</xdr:row>
      <xdr:rowOff>0</xdr:rowOff>
    </xdr:from>
    <xdr:to>
      <xdr:col>45</xdr:col>
      <xdr:colOff>83820</xdr:colOff>
      <xdr:row>281</xdr:row>
      <xdr:rowOff>114300</xdr:rowOff>
    </xdr:to>
    <xdr:sp macro="" textlink="">
      <xdr:nvSpPr>
        <xdr:cNvPr id="2131" name="Arrow: Down 2130">
          <a:extLst>
            <a:ext uri="{FF2B5EF4-FFF2-40B4-BE49-F238E27FC236}">
              <a16:creationId xmlns:a16="http://schemas.microsoft.com/office/drawing/2014/main" id="{BD014597-68CA-4F56-84D0-D8F01040F5C4}"/>
            </a:ext>
          </a:extLst>
        </xdr:cNvPr>
        <xdr:cNvSpPr/>
      </xdr:nvSpPr>
      <xdr:spPr>
        <a:xfrm rot="10800000">
          <a:off x="1157478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281</xdr:row>
      <xdr:rowOff>0</xdr:rowOff>
    </xdr:from>
    <xdr:to>
      <xdr:col>39</xdr:col>
      <xdr:colOff>83820</xdr:colOff>
      <xdr:row>281</xdr:row>
      <xdr:rowOff>114300</xdr:rowOff>
    </xdr:to>
    <xdr:sp macro="" textlink="">
      <xdr:nvSpPr>
        <xdr:cNvPr id="2134" name="Arrow: Down 2133">
          <a:extLst>
            <a:ext uri="{FF2B5EF4-FFF2-40B4-BE49-F238E27FC236}">
              <a16:creationId xmlns:a16="http://schemas.microsoft.com/office/drawing/2014/main" id="{3A0FFCCF-C1E0-465E-BCC5-49DC1BB0DDDE}"/>
            </a:ext>
          </a:extLst>
        </xdr:cNvPr>
        <xdr:cNvSpPr/>
      </xdr:nvSpPr>
      <xdr:spPr>
        <a:xfrm rot="10800000">
          <a:off x="97155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282</xdr:row>
      <xdr:rowOff>0</xdr:rowOff>
    </xdr:from>
    <xdr:to>
      <xdr:col>71</xdr:col>
      <xdr:colOff>83820</xdr:colOff>
      <xdr:row>282</xdr:row>
      <xdr:rowOff>114300</xdr:rowOff>
    </xdr:to>
    <xdr:sp macro="" textlink="">
      <xdr:nvSpPr>
        <xdr:cNvPr id="2011" name="Arrow: Down 2010">
          <a:extLst>
            <a:ext uri="{FF2B5EF4-FFF2-40B4-BE49-F238E27FC236}">
              <a16:creationId xmlns:a16="http://schemas.microsoft.com/office/drawing/2014/main" id="{B90B9F98-002D-46FF-A5ED-459FE238269B}"/>
            </a:ext>
          </a:extLst>
        </xdr:cNvPr>
        <xdr:cNvSpPr/>
      </xdr:nvSpPr>
      <xdr:spPr>
        <a:xfrm rot="10800000">
          <a:off x="19560540" y="5148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282</xdr:row>
      <xdr:rowOff>0</xdr:rowOff>
    </xdr:from>
    <xdr:to>
      <xdr:col>60</xdr:col>
      <xdr:colOff>83820</xdr:colOff>
      <xdr:row>282</xdr:row>
      <xdr:rowOff>114300</xdr:rowOff>
    </xdr:to>
    <xdr:sp macro="" textlink="">
      <xdr:nvSpPr>
        <xdr:cNvPr id="2014" name="Arrow: Down 2013">
          <a:extLst>
            <a:ext uri="{FF2B5EF4-FFF2-40B4-BE49-F238E27FC236}">
              <a16:creationId xmlns:a16="http://schemas.microsoft.com/office/drawing/2014/main" id="{2BF865BA-8217-4B97-848C-569E7280A71C}"/>
            </a:ext>
          </a:extLst>
        </xdr:cNvPr>
        <xdr:cNvSpPr/>
      </xdr:nvSpPr>
      <xdr:spPr>
        <a:xfrm>
          <a:off x="1712976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282</xdr:row>
      <xdr:rowOff>0</xdr:rowOff>
    </xdr:from>
    <xdr:to>
      <xdr:col>24</xdr:col>
      <xdr:colOff>83820</xdr:colOff>
      <xdr:row>282</xdr:row>
      <xdr:rowOff>114300</xdr:rowOff>
    </xdr:to>
    <xdr:sp macro="" textlink="">
      <xdr:nvSpPr>
        <xdr:cNvPr id="2027" name="Arrow: Down 2026">
          <a:extLst>
            <a:ext uri="{FF2B5EF4-FFF2-40B4-BE49-F238E27FC236}">
              <a16:creationId xmlns:a16="http://schemas.microsoft.com/office/drawing/2014/main" id="{722B66C6-5066-441A-A695-CE7EA4872697}"/>
            </a:ext>
          </a:extLst>
        </xdr:cNvPr>
        <xdr:cNvSpPr/>
      </xdr:nvSpPr>
      <xdr:spPr>
        <a:xfrm>
          <a:off x="65532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282</xdr:row>
      <xdr:rowOff>0</xdr:rowOff>
    </xdr:from>
    <xdr:to>
      <xdr:col>11</xdr:col>
      <xdr:colOff>83820</xdr:colOff>
      <xdr:row>282</xdr:row>
      <xdr:rowOff>114300</xdr:rowOff>
    </xdr:to>
    <xdr:sp macro="" textlink="">
      <xdr:nvSpPr>
        <xdr:cNvPr id="2093" name="Arrow: Down 2092">
          <a:extLst>
            <a:ext uri="{FF2B5EF4-FFF2-40B4-BE49-F238E27FC236}">
              <a16:creationId xmlns:a16="http://schemas.microsoft.com/office/drawing/2014/main" id="{EA8FE41D-8C33-4077-9B2B-8C0D0F0C6915}"/>
            </a:ext>
          </a:extLst>
        </xdr:cNvPr>
        <xdr:cNvSpPr/>
      </xdr:nvSpPr>
      <xdr:spPr>
        <a:xfrm rot="10800000">
          <a:off x="369570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282</xdr:row>
      <xdr:rowOff>0</xdr:rowOff>
    </xdr:from>
    <xdr:to>
      <xdr:col>5</xdr:col>
      <xdr:colOff>83820</xdr:colOff>
      <xdr:row>282</xdr:row>
      <xdr:rowOff>114300</xdr:rowOff>
    </xdr:to>
    <xdr:sp macro="" textlink="">
      <xdr:nvSpPr>
        <xdr:cNvPr id="2095" name="Arrow: Down 2094">
          <a:extLst>
            <a:ext uri="{FF2B5EF4-FFF2-40B4-BE49-F238E27FC236}">
              <a16:creationId xmlns:a16="http://schemas.microsoft.com/office/drawing/2014/main" id="{8F4D8CB6-39D9-4EEE-9DCE-68F367CE84DA}"/>
            </a:ext>
          </a:extLst>
        </xdr:cNvPr>
        <xdr:cNvSpPr/>
      </xdr:nvSpPr>
      <xdr:spPr>
        <a:xfrm rot="10800000">
          <a:off x="192786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282</xdr:row>
      <xdr:rowOff>0</xdr:rowOff>
    </xdr:from>
    <xdr:to>
      <xdr:col>39</xdr:col>
      <xdr:colOff>83820</xdr:colOff>
      <xdr:row>282</xdr:row>
      <xdr:rowOff>114300</xdr:rowOff>
    </xdr:to>
    <xdr:sp macro="" textlink="">
      <xdr:nvSpPr>
        <xdr:cNvPr id="2096" name="Arrow: Down 2095">
          <a:extLst>
            <a:ext uri="{FF2B5EF4-FFF2-40B4-BE49-F238E27FC236}">
              <a16:creationId xmlns:a16="http://schemas.microsoft.com/office/drawing/2014/main" id="{3A954CCC-E20F-4475-A4A5-FFC374B87346}"/>
            </a:ext>
          </a:extLst>
        </xdr:cNvPr>
        <xdr:cNvSpPr/>
      </xdr:nvSpPr>
      <xdr:spPr>
        <a:xfrm>
          <a:off x="971550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283</xdr:row>
      <xdr:rowOff>0</xdr:rowOff>
    </xdr:from>
    <xdr:to>
      <xdr:col>71</xdr:col>
      <xdr:colOff>83820</xdr:colOff>
      <xdr:row>283</xdr:row>
      <xdr:rowOff>114300</xdr:rowOff>
    </xdr:to>
    <xdr:sp macro="" textlink="">
      <xdr:nvSpPr>
        <xdr:cNvPr id="2099" name="Arrow: Down 2098">
          <a:extLst>
            <a:ext uri="{FF2B5EF4-FFF2-40B4-BE49-F238E27FC236}">
              <a16:creationId xmlns:a16="http://schemas.microsoft.com/office/drawing/2014/main" id="{17A645AD-155E-40B9-BC32-AC0DED788440}"/>
            </a:ext>
          </a:extLst>
        </xdr:cNvPr>
        <xdr:cNvSpPr/>
      </xdr:nvSpPr>
      <xdr:spPr>
        <a:xfrm rot="10800000">
          <a:off x="1956054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283</xdr:row>
      <xdr:rowOff>0</xdr:rowOff>
    </xdr:from>
    <xdr:to>
      <xdr:col>60</xdr:col>
      <xdr:colOff>83820</xdr:colOff>
      <xdr:row>283</xdr:row>
      <xdr:rowOff>114300</xdr:rowOff>
    </xdr:to>
    <xdr:sp macro="" textlink="">
      <xdr:nvSpPr>
        <xdr:cNvPr id="2101" name="Arrow: Down 2100">
          <a:extLst>
            <a:ext uri="{FF2B5EF4-FFF2-40B4-BE49-F238E27FC236}">
              <a16:creationId xmlns:a16="http://schemas.microsoft.com/office/drawing/2014/main" id="{80BB0C64-7BAF-4C81-BE1E-CBFF6F4D8D84}"/>
            </a:ext>
          </a:extLst>
        </xdr:cNvPr>
        <xdr:cNvSpPr/>
      </xdr:nvSpPr>
      <xdr:spPr>
        <a:xfrm>
          <a:off x="17129760" y="5167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283</xdr:row>
      <xdr:rowOff>0</xdr:rowOff>
    </xdr:from>
    <xdr:to>
      <xdr:col>24</xdr:col>
      <xdr:colOff>83820</xdr:colOff>
      <xdr:row>283</xdr:row>
      <xdr:rowOff>114300</xdr:rowOff>
    </xdr:to>
    <xdr:sp macro="" textlink="">
      <xdr:nvSpPr>
        <xdr:cNvPr id="2107" name="Arrow: Down 2106">
          <a:extLst>
            <a:ext uri="{FF2B5EF4-FFF2-40B4-BE49-F238E27FC236}">
              <a16:creationId xmlns:a16="http://schemas.microsoft.com/office/drawing/2014/main" id="{F241999B-2F5D-4F15-A18C-B330ED0C9DEF}"/>
            </a:ext>
          </a:extLst>
        </xdr:cNvPr>
        <xdr:cNvSpPr/>
      </xdr:nvSpPr>
      <xdr:spPr>
        <a:xfrm>
          <a:off x="6553200" y="5167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282</xdr:row>
      <xdr:rowOff>0</xdr:rowOff>
    </xdr:from>
    <xdr:to>
      <xdr:col>45</xdr:col>
      <xdr:colOff>83820</xdr:colOff>
      <xdr:row>282</xdr:row>
      <xdr:rowOff>114300</xdr:rowOff>
    </xdr:to>
    <xdr:sp macro="" textlink="">
      <xdr:nvSpPr>
        <xdr:cNvPr id="2120" name="Arrow: Down 2119">
          <a:extLst>
            <a:ext uri="{FF2B5EF4-FFF2-40B4-BE49-F238E27FC236}">
              <a16:creationId xmlns:a16="http://schemas.microsoft.com/office/drawing/2014/main" id="{6D8663CA-A189-4B98-9184-924C55663BEC}"/>
            </a:ext>
          </a:extLst>
        </xdr:cNvPr>
        <xdr:cNvSpPr/>
      </xdr:nvSpPr>
      <xdr:spPr>
        <a:xfrm>
          <a:off x="1157478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283</xdr:row>
      <xdr:rowOff>0</xdr:rowOff>
    </xdr:from>
    <xdr:to>
      <xdr:col>5</xdr:col>
      <xdr:colOff>83820</xdr:colOff>
      <xdr:row>283</xdr:row>
      <xdr:rowOff>114300</xdr:rowOff>
    </xdr:to>
    <xdr:sp macro="" textlink="">
      <xdr:nvSpPr>
        <xdr:cNvPr id="2129" name="Arrow: Down 2128">
          <a:extLst>
            <a:ext uri="{FF2B5EF4-FFF2-40B4-BE49-F238E27FC236}">
              <a16:creationId xmlns:a16="http://schemas.microsoft.com/office/drawing/2014/main" id="{B48C2243-1481-4950-98F1-F39EC44D4293}"/>
            </a:ext>
          </a:extLst>
        </xdr:cNvPr>
        <xdr:cNvSpPr/>
      </xdr:nvSpPr>
      <xdr:spPr>
        <a:xfrm>
          <a:off x="192786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283</xdr:row>
      <xdr:rowOff>0</xdr:rowOff>
    </xdr:from>
    <xdr:to>
      <xdr:col>11</xdr:col>
      <xdr:colOff>83820</xdr:colOff>
      <xdr:row>283</xdr:row>
      <xdr:rowOff>114300</xdr:rowOff>
    </xdr:to>
    <xdr:sp macro="" textlink="">
      <xdr:nvSpPr>
        <xdr:cNvPr id="2135" name="Arrow: Down 2134">
          <a:extLst>
            <a:ext uri="{FF2B5EF4-FFF2-40B4-BE49-F238E27FC236}">
              <a16:creationId xmlns:a16="http://schemas.microsoft.com/office/drawing/2014/main" id="{4FA06EDE-09BD-4F4F-B652-FB2A7F47C661}"/>
            </a:ext>
          </a:extLst>
        </xdr:cNvPr>
        <xdr:cNvSpPr/>
      </xdr:nvSpPr>
      <xdr:spPr>
        <a:xfrm>
          <a:off x="36957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283</xdr:row>
      <xdr:rowOff>0</xdr:rowOff>
    </xdr:from>
    <xdr:to>
      <xdr:col>39</xdr:col>
      <xdr:colOff>83820</xdr:colOff>
      <xdr:row>283</xdr:row>
      <xdr:rowOff>114300</xdr:rowOff>
    </xdr:to>
    <xdr:sp macro="" textlink="">
      <xdr:nvSpPr>
        <xdr:cNvPr id="2138" name="Arrow: Down 2137">
          <a:extLst>
            <a:ext uri="{FF2B5EF4-FFF2-40B4-BE49-F238E27FC236}">
              <a16:creationId xmlns:a16="http://schemas.microsoft.com/office/drawing/2014/main" id="{94539074-D6EF-4188-A229-5A1C70DFA43D}"/>
            </a:ext>
          </a:extLst>
        </xdr:cNvPr>
        <xdr:cNvSpPr/>
      </xdr:nvSpPr>
      <xdr:spPr>
        <a:xfrm rot="10800000">
          <a:off x="97155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283</xdr:row>
      <xdr:rowOff>0</xdr:rowOff>
    </xdr:from>
    <xdr:to>
      <xdr:col>45</xdr:col>
      <xdr:colOff>83820</xdr:colOff>
      <xdr:row>283</xdr:row>
      <xdr:rowOff>114300</xdr:rowOff>
    </xdr:to>
    <xdr:sp macro="" textlink="">
      <xdr:nvSpPr>
        <xdr:cNvPr id="2140" name="Arrow: Down 2139">
          <a:extLst>
            <a:ext uri="{FF2B5EF4-FFF2-40B4-BE49-F238E27FC236}">
              <a16:creationId xmlns:a16="http://schemas.microsoft.com/office/drawing/2014/main" id="{98525CA6-1BC7-4116-B5AA-2454E8FCDFF1}"/>
            </a:ext>
          </a:extLst>
        </xdr:cNvPr>
        <xdr:cNvSpPr/>
      </xdr:nvSpPr>
      <xdr:spPr>
        <a:xfrm rot="10800000">
          <a:off x="1157478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284</xdr:row>
      <xdr:rowOff>0</xdr:rowOff>
    </xdr:from>
    <xdr:to>
      <xdr:col>71</xdr:col>
      <xdr:colOff>83820</xdr:colOff>
      <xdr:row>284</xdr:row>
      <xdr:rowOff>114300</xdr:rowOff>
    </xdr:to>
    <xdr:sp macro="" textlink="">
      <xdr:nvSpPr>
        <xdr:cNvPr id="2157" name="Arrow: Down 2156">
          <a:extLst>
            <a:ext uri="{FF2B5EF4-FFF2-40B4-BE49-F238E27FC236}">
              <a16:creationId xmlns:a16="http://schemas.microsoft.com/office/drawing/2014/main" id="{4DFA4103-542E-4699-9094-A0B3DED48D00}"/>
            </a:ext>
          </a:extLst>
        </xdr:cNvPr>
        <xdr:cNvSpPr/>
      </xdr:nvSpPr>
      <xdr:spPr>
        <a:xfrm rot="10800000">
          <a:off x="19560540" y="5185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284</xdr:row>
      <xdr:rowOff>0</xdr:rowOff>
    </xdr:from>
    <xdr:to>
      <xdr:col>24</xdr:col>
      <xdr:colOff>83820</xdr:colOff>
      <xdr:row>284</xdr:row>
      <xdr:rowOff>114300</xdr:rowOff>
    </xdr:to>
    <xdr:sp macro="" textlink="">
      <xdr:nvSpPr>
        <xdr:cNvPr id="2159" name="Arrow: Down 2158">
          <a:extLst>
            <a:ext uri="{FF2B5EF4-FFF2-40B4-BE49-F238E27FC236}">
              <a16:creationId xmlns:a16="http://schemas.microsoft.com/office/drawing/2014/main" id="{0786F9BA-17E3-4FF2-905A-8CB224DA2DE6}"/>
            </a:ext>
          </a:extLst>
        </xdr:cNvPr>
        <xdr:cNvSpPr/>
      </xdr:nvSpPr>
      <xdr:spPr>
        <a:xfrm>
          <a:off x="65532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284</xdr:row>
      <xdr:rowOff>0</xdr:rowOff>
    </xdr:from>
    <xdr:to>
      <xdr:col>5</xdr:col>
      <xdr:colOff>83820</xdr:colOff>
      <xdr:row>284</xdr:row>
      <xdr:rowOff>114300</xdr:rowOff>
    </xdr:to>
    <xdr:sp macro="" textlink="">
      <xdr:nvSpPr>
        <xdr:cNvPr id="2160" name="Arrow: Down 2159">
          <a:extLst>
            <a:ext uri="{FF2B5EF4-FFF2-40B4-BE49-F238E27FC236}">
              <a16:creationId xmlns:a16="http://schemas.microsoft.com/office/drawing/2014/main" id="{9BFDADCC-3E8E-4BDB-915C-2194BEB16C47}"/>
            </a:ext>
          </a:extLst>
        </xdr:cNvPr>
        <xdr:cNvSpPr/>
      </xdr:nvSpPr>
      <xdr:spPr>
        <a:xfrm>
          <a:off x="192786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284</xdr:row>
      <xdr:rowOff>0</xdr:rowOff>
    </xdr:from>
    <xdr:to>
      <xdr:col>11</xdr:col>
      <xdr:colOff>83820</xdr:colOff>
      <xdr:row>284</xdr:row>
      <xdr:rowOff>114300</xdr:rowOff>
    </xdr:to>
    <xdr:sp macro="" textlink="">
      <xdr:nvSpPr>
        <xdr:cNvPr id="2161" name="Arrow: Down 2160">
          <a:extLst>
            <a:ext uri="{FF2B5EF4-FFF2-40B4-BE49-F238E27FC236}">
              <a16:creationId xmlns:a16="http://schemas.microsoft.com/office/drawing/2014/main" id="{8918D63B-89D7-4B3D-B370-F13C58761F89}"/>
            </a:ext>
          </a:extLst>
        </xdr:cNvPr>
        <xdr:cNvSpPr/>
      </xdr:nvSpPr>
      <xdr:spPr>
        <a:xfrm>
          <a:off x="36957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284</xdr:row>
      <xdr:rowOff>0</xdr:rowOff>
    </xdr:from>
    <xdr:to>
      <xdr:col>45</xdr:col>
      <xdr:colOff>83820</xdr:colOff>
      <xdr:row>284</xdr:row>
      <xdr:rowOff>114300</xdr:rowOff>
    </xdr:to>
    <xdr:sp macro="" textlink="">
      <xdr:nvSpPr>
        <xdr:cNvPr id="2164" name="Arrow: Down 2163">
          <a:extLst>
            <a:ext uri="{FF2B5EF4-FFF2-40B4-BE49-F238E27FC236}">
              <a16:creationId xmlns:a16="http://schemas.microsoft.com/office/drawing/2014/main" id="{D536792E-2CE0-449B-B17A-D7921BA76533}"/>
            </a:ext>
          </a:extLst>
        </xdr:cNvPr>
        <xdr:cNvSpPr/>
      </xdr:nvSpPr>
      <xdr:spPr>
        <a:xfrm>
          <a:off x="1157478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284</xdr:row>
      <xdr:rowOff>0</xdr:rowOff>
    </xdr:from>
    <xdr:to>
      <xdr:col>39</xdr:col>
      <xdr:colOff>83820</xdr:colOff>
      <xdr:row>284</xdr:row>
      <xdr:rowOff>114300</xdr:rowOff>
    </xdr:to>
    <xdr:sp macro="" textlink="">
      <xdr:nvSpPr>
        <xdr:cNvPr id="2165" name="Arrow: Down 2164">
          <a:extLst>
            <a:ext uri="{FF2B5EF4-FFF2-40B4-BE49-F238E27FC236}">
              <a16:creationId xmlns:a16="http://schemas.microsoft.com/office/drawing/2014/main" id="{42B623CA-A4DD-4AD8-8248-E6081CB65BA5}"/>
            </a:ext>
          </a:extLst>
        </xdr:cNvPr>
        <xdr:cNvSpPr/>
      </xdr:nvSpPr>
      <xdr:spPr>
        <a:xfrm>
          <a:off x="971550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284</xdr:row>
      <xdr:rowOff>0</xdr:rowOff>
    </xdr:from>
    <xdr:to>
      <xdr:col>60</xdr:col>
      <xdr:colOff>83820</xdr:colOff>
      <xdr:row>284</xdr:row>
      <xdr:rowOff>114300</xdr:rowOff>
    </xdr:to>
    <xdr:sp macro="" textlink="">
      <xdr:nvSpPr>
        <xdr:cNvPr id="2166" name="Arrow: Down 2165">
          <a:extLst>
            <a:ext uri="{FF2B5EF4-FFF2-40B4-BE49-F238E27FC236}">
              <a16:creationId xmlns:a16="http://schemas.microsoft.com/office/drawing/2014/main" id="{E968260F-1F0C-4085-955D-14ED20BAB4A0}"/>
            </a:ext>
          </a:extLst>
        </xdr:cNvPr>
        <xdr:cNvSpPr/>
      </xdr:nvSpPr>
      <xdr:spPr>
        <a:xfrm rot="10800000">
          <a:off x="1712976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285</xdr:row>
      <xdr:rowOff>0</xdr:rowOff>
    </xdr:from>
    <xdr:to>
      <xdr:col>71</xdr:col>
      <xdr:colOff>83820</xdr:colOff>
      <xdr:row>285</xdr:row>
      <xdr:rowOff>114300</xdr:rowOff>
    </xdr:to>
    <xdr:sp macro="" textlink="">
      <xdr:nvSpPr>
        <xdr:cNvPr id="2167" name="Arrow: Down 2166">
          <a:extLst>
            <a:ext uri="{FF2B5EF4-FFF2-40B4-BE49-F238E27FC236}">
              <a16:creationId xmlns:a16="http://schemas.microsoft.com/office/drawing/2014/main" id="{D2CE3F67-034D-4F76-B2FF-607018BDB311}"/>
            </a:ext>
          </a:extLst>
        </xdr:cNvPr>
        <xdr:cNvSpPr/>
      </xdr:nvSpPr>
      <xdr:spPr>
        <a:xfrm rot="10800000">
          <a:off x="1956054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285</xdr:row>
      <xdr:rowOff>0</xdr:rowOff>
    </xdr:from>
    <xdr:to>
      <xdr:col>11</xdr:col>
      <xdr:colOff>83820</xdr:colOff>
      <xdr:row>285</xdr:row>
      <xdr:rowOff>114300</xdr:rowOff>
    </xdr:to>
    <xdr:sp macro="" textlink="">
      <xdr:nvSpPr>
        <xdr:cNvPr id="2174" name="Arrow: Down 2173">
          <a:extLst>
            <a:ext uri="{FF2B5EF4-FFF2-40B4-BE49-F238E27FC236}">
              <a16:creationId xmlns:a16="http://schemas.microsoft.com/office/drawing/2014/main" id="{21D647E0-21E4-4E3D-8721-D62C2390C89F}"/>
            </a:ext>
          </a:extLst>
        </xdr:cNvPr>
        <xdr:cNvSpPr/>
      </xdr:nvSpPr>
      <xdr:spPr>
        <a:xfrm rot="10800000">
          <a:off x="369570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285</xdr:row>
      <xdr:rowOff>0</xdr:rowOff>
    </xdr:from>
    <xdr:to>
      <xdr:col>5</xdr:col>
      <xdr:colOff>83820</xdr:colOff>
      <xdr:row>285</xdr:row>
      <xdr:rowOff>114300</xdr:rowOff>
    </xdr:to>
    <xdr:sp macro="" textlink="">
      <xdr:nvSpPr>
        <xdr:cNvPr id="2175" name="Arrow: Down 2174">
          <a:extLst>
            <a:ext uri="{FF2B5EF4-FFF2-40B4-BE49-F238E27FC236}">
              <a16:creationId xmlns:a16="http://schemas.microsoft.com/office/drawing/2014/main" id="{59611B12-EAFB-435D-A91F-25F17EE2AE6C}"/>
            </a:ext>
          </a:extLst>
        </xdr:cNvPr>
        <xdr:cNvSpPr/>
      </xdr:nvSpPr>
      <xdr:spPr>
        <a:xfrm rot="10800000">
          <a:off x="192786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285</xdr:row>
      <xdr:rowOff>0</xdr:rowOff>
    </xdr:from>
    <xdr:to>
      <xdr:col>24</xdr:col>
      <xdr:colOff>83820</xdr:colOff>
      <xdr:row>285</xdr:row>
      <xdr:rowOff>114300</xdr:rowOff>
    </xdr:to>
    <xdr:sp macro="" textlink="">
      <xdr:nvSpPr>
        <xdr:cNvPr id="2177" name="Arrow: Down 2176">
          <a:extLst>
            <a:ext uri="{FF2B5EF4-FFF2-40B4-BE49-F238E27FC236}">
              <a16:creationId xmlns:a16="http://schemas.microsoft.com/office/drawing/2014/main" id="{90175877-6E0E-4F0C-9B58-6C3B3D6F7C71}"/>
            </a:ext>
          </a:extLst>
        </xdr:cNvPr>
        <xdr:cNvSpPr/>
      </xdr:nvSpPr>
      <xdr:spPr>
        <a:xfrm rot="10800000">
          <a:off x="655320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285</xdr:row>
      <xdr:rowOff>0</xdr:rowOff>
    </xdr:from>
    <xdr:to>
      <xdr:col>45</xdr:col>
      <xdr:colOff>83820</xdr:colOff>
      <xdr:row>285</xdr:row>
      <xdr:rowOff>114300</xdr:rowOff>
    </xdr:to>
    <xdr:sp macro="" textlink="">
      <xdr:nvSpPr>
        <xdr:cNvPr id="2178" name="Arrow: Down 2177">
          <a:extLst>
            <a:ext uri="{FF2B5EF4-FFF2-40B4-BE49-F238E27FC236}">
              <a16:creationId xmlns:a16="http://schemas.microsoft.com/office/drawing/2014/main" id="{AC49A5DC-95D6-4A51-81CF-F667A476C4AE}"/>
            </a:ext>
          </a:extLst>
        </xdr:cNvPr>
        <xdr:cNvSpPr/>
      </xdr:nvSpPr>
      <xdr:spPr>
        <a:xfrm rot="10800000">
          <a:off x="1157478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285</xdr:row>
      <xdr:rowOff>0</xdr:rowOff>
    </xdr:from>
    <xdr:to>
      <xdr:col>39</xdr:col>
      <xdr:colOff>83820</xdr:colOff>
      <xdr:row>285</xdr:row>
      <xdr:rowOff>114300</xdr:rowOff>
    </xdr:to>
    <xdr:sp macro="" textlink="">
      <xdr:nvSpPr>
        <xdr:cNvPr id="2179" name="Arrow: Down 2178">
          <a:extLst>
            <a:ext uri="{FF2B5EF4-FFF2-40B4-BE49-F238E27FC236}">
              <a16:creationId xmlns:a16="http://schemas.microsoft.com/office/drawing/2014/main" id="{00106525-AA6C-4C2D-AF53-1CD692999906}"/>
            </a:ext>
          </a:extLst>
        </xdr:cNvPr>
        <xdr:cNvSpPr/>
      </xdr:nvSpPr>
      <xdr:spPr>
        <a:xfrm rot="10800000">
          <a:off x="971550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285</xdr:row>
      <xdr:rowOff>0</xdr:rowOff>
    </xdr:from>
    <xdr:to>
      <xdr:col>60</xdr:col>
      <xdr:colOff>83820</xdr:colOff>
      <xdr:row>285</xdr:row>
      <xdr:rowOff>114300</xdr:rowOff>
    </xdr:to>
    <xdr:sp macro="" textlink="">
      <xdr:nvSpPr>
        <xdr:cNvPr id="2180" name="Arrow: Down 2179">
          <a:extLst>
            <a:ext uri="{FF2B5EF4-FFF2-40B4-BE49-F238E27FC236}">
              <a16:creationId xmlns:a16="http://schemas.microsoft.com/office/drawing/2014/main" id="{08EFA290-3607-46CD-93A7-543CEB64A917}"/>
            </a:ext>
          </a:extLst>
        </xdr:cNvPr>
        <xdr:cNvSpPr/>
      </xdr:nvSpPr>
      <xdr:spPr>
        <a:xfrm>
          <a:off x="1712976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286</xdr:row>
      <xdr:rowOff>0</xdr:rowOff>
    </xdr:from>
    <xdr:to>
      <xdr:col>71</xdr:col>
      <xdr:colOff>83820</xdr:colOff>
      <xdr:row>286</xdr:row>
      <xdr:rowOff>114300</xdr:rowOff>
    </xdr:to>
    <xdr:sp macro="" textlink="">
      <xdr:nvSpPr>
        <xdr:cNvPr id="2181" name="Arrow: Down 2180">
          <a:extLst>
            <a:ext uri="{FF2B5EF4-FFF2-40B4-BE49-F238E27FC236}">
              <a16:creationId xmlns:a16="http://schemas.microsoft.com/office/drawing/2014/main" id="{9D54E433-02FE-4E17-8216-3D4FBFE091D2}"/>
            </a:ext>
          </a:extLst>
        </xdr:cNvPr>
        <xdr:cNvSpPr/>
      </xdr:nvSpPr>
      <xdr:spPr>
        <a:xfrm rot="10800000">
          <a:off x="1956054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286</xdr:row>
      <xdr:rowOff>0</xdr:rowOff>
    </xdr:from>
    <xdr:to>
      <xdr:col>24</xdr:col>
      <xdr:colOff>83820</xdr:colOff>
      <xdr:row>286</xdr:row>
      <xdr:rowOff>114300</xdr:rowOff>
    </xdr:to>
    <xdr:sp macro="" textlink="">
      <xdr:nvSpPr>
        <xdr:cNvPr id="2184" name="Arrow: Down 2183">
          <a:extLst>
            <a:ext uri="{FF2B5EF4-FFF2-40B4-BE49-F238E27FC236}">
              <a16:creationId xmlns:a16="http://schemas.microsoft.com/office/drawing/2014/main" id="{DF360C5A-B805-4A52-B138-B1DCE31689AA}"/>
            </a:ext>
          </a:extLst>
        </xdr:cNvPr>
        <xdr:cNvSpPr/>
      </xdr:nvSpPr>
      <xdr:spPr>
        <a:xfrm rot="10800000">
          <a:off x="655320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286</xdr:row>
      <xdr:rowOff>0</xdr:rowOff>
    </xdr:from>
    <xdr:to>
      <xdr:col>45</xdr:col>
      <xdr:colOff>83820</xdr:colOff>
      <xdr:row>286</xdr:row>
      <xdr:rowOff>114300</xdr:rowOff>
    </xdr:to>
    <xdr:sp macro="" textlink="">
      <xdr:nvSpPr>
        <xdr:cNvPr id="2185" name="Arrow: Down 2184">
          <a:extLst>
            <a:ext uri="{FF2B5EF4-FFF2-40B4-BE49-F238E27FC236}">
              <a16:creationId xmlns:a16="http://schemas.microsoft.com/office/drawing/2014/main" id="{F21C0468-D5DA-4FF3-AB86-0683940D40D4}"/>
            </a:ext>
          </a:extLst>
        </xdr:cNvPr>
        <xdr:cNvSpPr/>
      </xdr:nvSpPr>
      <xdr:spPr>
        <a:xfrm rot="10800000">
          <a:off x="1157478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286</xdr:row>
      <xdr:rowOff>0</xdr:rowOff>
    </xdr:from>
    <xdr:to>
      <xdr:col>60</xdr:col>
      <xdr:colOff>83820</xdr:colOff>
      <xdr:row>286</xdr:row>
      <xdr:rowOff>114300</xdr:rowOff>
    </xdr:to>
    <xdr:sp macro="" textlink="">
      <xdr:nvSpPr>
        <xdr:cNvPr id="2189" name="Arrow: Down 2188">
          <a:extLst>
            <a:ext uri="{FF2B5EF4-FFF2-40B4-BE49-F238E27FC236}">
              <a16:creationId xmlns:a16="http://schemas.microsoft.com/office/drawing/2014/main" id="{C3F4CD66-A699-477C-8A3E-6F084134B896}"/>
            </a:ext>
          </a:extLst>
        </xdr:cNvPr>
        <xdr:cNvSpPr/>
      </xdr:nvSpPr>
      <xdr:spPr>
        <a:xfrm rot="10800000">
          <a:off x="1712976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286</xdr:row>
      <xdr:rowOff>0</xdr:rowOff>
    </xdr:from>
    <xdr:to>
      <xdr:col>39</xdr:col>
      <xdr:colOff>83820</xdr:colOff>
      <xdr:row>286</xdr:row>
      <xdr:rowOff>114300</xdr:rowOff>
    </xdr:to>
    <xdr:sp macro="" textlink="">
      <xdr:nvSpPr>
        <xdr:cNvPr id="2191" name="Arrow: Down 2190">
          <a:extLst>
            <a:ext uri="{FF2B5EF4-FFF2-40B4-BE49-F238E27FC236}">
              <a16:creationId xmlns:a16="http://schemas.microsoft.com/office/drawing/2014/main" id="{F33C7C7D-B338-42B2-9B63-9740254639FB}"/>
            </a:ext>
          </a:extLst>
        </xdr:cNvPr>
        <xdr:cNvSpPr/>
      </xdr:nvSpPr>
      <xdr:spPr>
        <a:xfrm>
          <a:off x="971550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286</xdr:row>
      <xdr:rowOff>0</xdr:rowOff>
    </xdr:from>
    <xdr:to>
      <xdr:col>5</xdr:col>
      <xdr:colOff>83820</xdr:colOff>
      <xdr:row>286</xdr:row>
      <xdr:rowOff>114300</xdr:rowOff>
    </xdr:to>
    <xdr:sp macro="" textlink="">
      <xdr:nvSpPr>
        <xdr:cNvPr id="2192" name="Arrow: Down 2191">
          <a:extLst>
            <a:ext uri="{FF2B5EF4-FFF2-40B4-BE49-F238E27FC236}">
              <a16:creationId xmlns:a16="http://schemas.microsoft.com/office/drawing/2014/main" id="{088A1E15-A59A-4767-AE0D-F141B7E845ED}"/>
            </a:ext>
          </a:extLst>
        </xdr:cNvPr>
        <xdr:cNvSpPr/>
      </xdr:nvSpPr>
      <xdr:spPr>
        <a:xfrm>
          <a:off x="1927860" y="5240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286</xdr:row>
      <xdr:rowOff>0</xdr:rowOff>
    </xdr:from>
    <xdr:to>
      <xdr:col>11</xdr:col>
      <xdr:colOff>83820</xdr:colOff>
      <xdr:row>286</xdr:row>
      <xdr:rowOff>114300</xdr:rowOff>
    </xdr:to>
    <xdr:sp macro="" textlink="">
      <xdr:nvSpPr>
        <xdr:cNvPr id="2194" name="Arrow: Down 2193">
          <a:extLst>
            <a:ext uri="{FF2B5EF4-FFF2-40B4-BE49-F238E27FC236}">
              <a16:creationId xmlns:a16="http://schemas.microsoft.com/office/drawing/2014/main" id="{821BB29F-84CE-4A0E-A88D-AD6238852954}"/>
            </a:ext>
          </a:extLst>
        </xdr:cNvPr>
        <xdr:cNvSpPr/>
      </xdr:nvSpPr>
      <xdr:spPr>
        <a:xfrm>
          <a:off x="3695700" y="5240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287</xdr:row>
      <xdr:rowOff>0</xdr:rowOff>
    </xdr:from>
    <xdr:to>
      <xdr:col>71</xdr:col>
      <xdr:colOff>83820</xdr:colOff>
      <xdr:row>287</xdr:row>
      <xdr:rowOff>114300</xdr:rowOff>
    </xdr:to>
    <xdr:sp macro="" textlink="">
      <xdr:nvSpPr>
        <xdr:cNvPr id="2195" name="Arrow: Down 2194">
          <a:extLst>
            <a:ext uri="{FF2B5EF4-FFF2-40B4-BE49-F238E27FC236}">
              <a16:creationId xmlns:a16="http://schemas.microsoft.com/office/drawing/2014/main" id="{B0F6E3DD-684B-4E72-A6AB-E145E86988E8}"/>
            </a:ext>
          </a:extLst>
        </xdr:cNvPr>
        <xdr:cNvSpPr/>
      </xdr:nvSpPr>
      <xdr:spPr>
        <a:xfrm rot="10800000">
          <a:off x="1956054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287</xdr:row>
      <xdr:rowOff>0</xdr:rowOff>
    </xdr:from>
    <xdr:to>
      <xdr:col>24</xdr:col>
      <xdr:colOff>83820</xdr:colOff>
      <xdr:row>287</xdr:row>
      <xdr:rowOff>114300</xdr:rowOff>
    </xdr:to>
    <xdr:sp macro="" textlink="">
      <xdr:nvSpPr>
        <xdr:cNvPr id="2196" name="Arrow: Down 2195">
          <a:extLst>
            <a:ext uri="{FF2B5EF4-FFF2-40B4-BE49-F238E27FC236}">
              <a16:creationId xmlns:a16="http://schemas.microsoft.com/office/drawing/2014/main" id="{955FE57E-4AF0-4116-B098-6D0432F0EE2F}"/>
            </a:ext>
          </a:extLst>
        </xdr:cNvPr>
        <xdr:cNvSpPr/>
      </xdr:nvSpPr>
      <xdr:spPr>
        <a:xfrm rot="10800000">
          <a:off x="655320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287</xdr:row>
      <xdr:rowOff>0</xdr:rowOff>
    </xdr:from>
    <xdr:to>
      <xdr:col>45</xdr:col>
      <xdr:colOff>83820</xdr:colOff>
      <xdr:row>287</xdr:row>
      <xdr:rowOff>114300</xdr:rowOff>
    </xdr:to>
    <xdr:sp macro="" textlink="">
      <xdr:nvSpPr>
        <xdr:cNvPr id="2197" name="Arrow: Down 2196">
          <a:extLst>
            <a:ext uri="{FF2B5EF4-FFF2-40B4-BE49-F238E27FC236}">
              <a16:creationId xmlns:a16="http://schemas.microsoft.com/office/drawing/2014/main" id="{34205BE3-6486-4190-9C67-6CDAEC4A781B}"/>
            </a:ext>
          </a:extLst>
        </xdr:cNvPr>
        <xdr:cNvSpPr/>
      </xdr:nvSpPr>
      <xdr:spPr>
        <a:xfrm rot="10800000">
          <a:off x="11574780" y="5240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287</xdr:row>
      <xdr:rowOff>0</xdr:rowOff>
    </xdr:from>
    <xdr:to>
      <xdr:col>60</xdr:col>
      <xdr:colOff>83820</xdr:colOff>
      <xdr:row>287</xdr:row>
      <xdr:rowOff>114300</xdr:rowOff>
    </xdr:to>
    <xdr:sp macro="" textlink="">
      <xdr:nvSpPr>
        <xdr:cNvPr id="2198" name="Arrow: Down 2197">
          <a:extLst>
            <a:ext uri="{FF2B5EF4-FFF2-40B4-BE49-F238E27FC236}">
              <a16:creationId xmlns:a16="http://schemas.microsoft.com/office/drawing/2014/main" id="{FC3B1608-877C-4DFC-AA50-C5669D0D0D32}"/>
            </a:ext>
          </a:extLst>
        </xdr:cNvPr>
        <xdr:cNvSpPr/>
      </xdr:nvSpPr>
      <xdr:spPr>
        <a:xfrm rot="10800000">
          <a:off x="1712976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287</xdr:row>
      <xdr:rowOff>0</xdr:rowOff>
    </xdr:from>
    <xdr:to>
      <xdr:col>11</xdr:col>
      <xdr:colOff>83820</xdr:colOff>
      <xdr:row>287</xdr:row>
      <xdr:rowOff>114300</xdr:rowOff>
    </xdr:to>
    <xdr:sp macro="" textlink="">
      <xdr:nvSpPr>
        <xdr:cNvPr id="2202" name="Arrow: Down 2201">
          <a:extLst>
            <a:ext uri="{FF2B5EF4-FFF2-40B4-BE49-F238E27FC236}">
              <a16:creationId xmlns:a16="http://schemas.microsoft.com/office/drawing/2014/main" id="{53812F0D-C511-42A5-BA1E-DB5BE32B658B}"/>
            </a:ext>
          </a:extLst>
        </xdr:cNvPr>
        <xdr:cNvSpPr/>
      </xdr:nvSpPr>
      <xdr:spPr>
        <a:xfrm rot="10800000">
          <a:off x="3695700" y="5258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287</xdr:row>
      <xdr:rowOff>0</xdr:rowOff>
    </xdr:from>
    <xdr:to>
      <xdr:col>5</xdr:col>
      <xdr:colOff>83820</xdr:colOff>
      <xdr:row>287</xdr:row>
      <xdr:rowOff>114300</xdr:rowOff>
    </xdr:to>
    <xdr:sp macro="" textlink="">
      <xdr:nvSpPr>
        <xdr:cNvPr id="2204" name="Arrow: Down 2203">
          <a:extLst>
            <a:ext uri="{FF2B5EF4-FFF2-40B4-BE49-F238E27FC236}">
              <a16:creationId xmlns:a16="http://schemas.microsoft.com/office/drawing/2014/main" id="{8987A1F4-020A-4862-822F-6DA62A9B8CA5}"/>
            </a:ext>
          </a:extLst>
        </xdr:cNvPr>
        <xdr:cNvSpPr/>
      </xdr:nvSpPr>
      <xdr:spPr>
        <a:xfrm rot="10800000">
          <a:off x="1927860" y="5258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287</xdr:row>
      <xdr:rowOff>0</xdr:rowOff>
    </xdr:from>
    <xdr:to>
      <xdr:col>39</xdr:col>
      <xdr:colOff>83820</xdr:colOff>
      <xdr:row>287</xdr:row>
      <xdr:rowOff>114300</xdr:rowOff>
    </xdr:to>
    <xdr:sp macro="" textlink="">
      <xdr:nvSpPr>
        <xdr:cNvPr id="2205" name="Arrow: Down 2204">
          <a:extLst>
            <a:ext uri="{FF2B5EF4-FFF2-40B4-BE49-F238E27FC236}">
              <a16:creationId xmlns:a16="http://schemas.microsoft.com/office/drawing/2014/main" id="{9D2BDB8A-D00A-4062-8400-ACF56CDAC13B}"/>
            </a:ext>
          </a:extLst>
        </xdr:cNvPr>
        <xdr:cNvSpPr/>
      </xdr:nvSpPr>
      <xdr:spPr>
        <a:xfrm rot="10800000">
          <a:off x="9715500" y="5258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288</xdr:row>
      <xdr:rowOff>0</xdr:rowOff>
    </xdr:from>
    <xdr:to>
      <xdr:col>71</xdr:col>
      <xdr:colOff>83820</xdr:colOff>
      <xdr:row>288</xdr:row>
      <xdr:rowOff>114300</xdr:rowOff>
    </xdr:to>
    <xdr:sp macro="" textlink="">
      <xdr:nvSpPr>
        <xdr:cNvPr id="2206" name="Arrow: Down 2205">
          <a:extLst>
            <a:ext uri="{FF2B5EF4-FFF2-40B4-BE49-F238E27FC236}">
              <a16:creationId xmlns:a16="http://schemas.microsoft.com/office/drawing/2014/main" id="{19C4EB1E-07A0-4AF9-ABE9-9E5105558C84}"/>
            </a:ext>
          </a:extLst>
        </xdr:cNvPr>
        <xdr:cNvSpPr/>
      </xdr:nvSpPr>
      <xdr:spPr>
        <a:xfrm rot="10800000">
          <a:off x="19560540" y="5258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288</xdr:row>
      <xdr:rowOff>0</xdr:rowOff>
    </xdr:from>
    <xdr:to>
      <xdr:col>45</xdr:col>
      <xdr:colOff>83820</xdr:colOff>
      <xdr:row>288</xdr:row>
      <xdr:rowOff>114300</xdr:rowOff>
    </xdr:to>
    <xdr:sp macro="" textlink="">
      <xdr:nvSpPr>
        <xdr:cNvPr id="2208" name="Arrow: Down 2207">
          <a:extLst>
            <a:ext uri="{FF2B5EF4-FFF2-40B4-BE49-F238E27FC236}">
              <a16:creationId xmlns:a16="http://schemas.microsoft.com/office/drawing/2014/main" id="{74622F58-E2EE-4798-A683-068105C7F33B}"/>
            </a:ext>
          </a:extLst>
        </xdr:cNvPr>
        <xdr:cNvSpPr/>
      </xdr:nvSpPr>
      <xdr:spPr>
        <a:xfrm rot="10800000">
          <a:off x="11574780" y="5258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288</xdr:row>
      <xdr:rowOff>0</xdr:rowOff>
    </xdr:from>
    <xdr:to>
      <xdr:col>24</xdr:col>
      <xdr:colOff>83820</xdr:colOff>
      <xdr:row>288</xdr:row>
      <xdr:rowOff>114300</xdr:rowOff>
    </xdr:to>
    <xdr:sp macro="" textlink="">
      <xdr:nvSpPr>
        <xdr:cNvPr id="2214" name="Arrow: Down 2213">
          <a:extLst>
            <a:ext uri="{FF2B5EF4-FFF2-40B4-BE49-F238E27FC236}">
              <a16:creationId xmlns:a16="http://schemas.microsoft.com/office/drawing/2014/main" id="{BA039032-C030-4CB2-BCF3-B96DE8F4F8B4}"/>
            </a:ext>
          </a:extLst>
        </xdr:cNvPr>
        <xdr:cNvSpPr/>
      </xdr:nvSpPr>
      <xdr:spPr>
        <a:xfrm>
          <a:off x="65532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288</xdr:row>
      <xdr:rowOff>0</xdr:rowOff>
    </xdr:from>
    <xdr:to>
      <xdr:col>11</xdr:col>
      <xdr:colOff>83820</xdr:colOff>
      <xdr:row>288</xdr:row>
      <xdr:rowOff>114300</xdr:rowOff>
    </xdr:to>
    <xdr:sp macro="" textlink="">
      <xdr:nvSpPr>
        <xdr:cNvPr id="2215" name="Arrow: Down 2214">
          <a:extLst>
            <a:ext uri="{FF2B5EF4-FFF2-40B4-BE49-F238E27FC236}">
              <a16:creationId xmlns:a16="http://schemas.microsoft.com/office/drawing/2014/main" id="{6000E190-2D95-476A-A977-EE8A5C127CF2}"/>
            </a:ext>
          </a:extLst>
        </xdr:cNvPr>
        <xdr:cNvSpPr/>
      </xdr:nvSpPr>
      <xdr:spPr>
        <a:xfrm>
          <a:off x="36957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83820</xdr:colOff>
      <xdr:row>288</xdr:row>
      <xdr:rowOff>114300</xdr:rowOff>
    </xdr:to>
    <xdr:sp macro="" textlink="">
      <xdr:nvSpPr>
        <xdr:cNvPr id="2216" name="Arrow: Down 2215">
          <a:extLst>
            <a:ext uri="{FF2B5EF4-FFF2-40B4-BE49-F238E27FC236}">
              <a16:creationId xmlns:a16="http://schemas.microsoft.com/office/drawing/2014/main" id="{E3B08E26-E1D5-4515-9869-3597DAC79F64}"/>
            </a:ext>
          </a:extLst>
        </xdr:cNvPr>
        <xdr:cNvSpPr/>
      </xdr:nvSpPr>
      <xdr:spPr>
        <a:xfrm>
          <a:off x="19278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288</xdr:row>
      <xdr:rowOff>0</xdr:rowOff>
    </xdr:from>
    <xdr:to>
      <xdr:col>60</xdr:col>
      <xdr:colOff>83820</xdr:colOff>
      <xdr:row>288</xdr:row>
      <xdr:rowOff>114300</xdr:rowOff>
    </xdr:to>
    <xdr:sp macro="" textlink="">
      <xdr:nvSpPr>
        <xdr:cNvPr id="2217" name="Arrow: Down 2216">
          <a:extLst>
            <a:ext uri="{FF2B5EF4-FFF2-40B4-BE49-F238E27FC236}">
              <a16:creationId xmlns:a16="http://schemas.microsoft.com/office/drawing/2014/main" id="{145DEED2-ED91-412F-BA71-848D24D33076}"/>
            </a:ext>
          </a:extLst>
        </xdr:cNvPr>
        <xdr:cNvSpPr/>
      </xdr:nvSpPr>
      <xdr:spPr>
        <a:xfrm>
          <a:off x="171297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289</xdr:row>
      <xdr:rowOff>0</xdr:rowOff>
    </xdr:from>
    <xdr:to>
      <xdr:col>71</xdr:col>
      <xdr:colOff>83820</xdr:colOff>
      <xdr:row>289</xdr:row>
      <xdr:rowOff>114300</xdr:rowOff>
    </xdr:to>
    <xdr:sp macro="" textlink="">
      <xdr:nvSpPr>
        <xdr:cNvPr id="2219" name="Arrow: Down 2218">
          <a:extLst>
            <a:ext uri="{FF2B5EF4-FFF2-40B4-BE49-F238E27FC236}">
              <a16:creationId xmlns:a16="http://schemas.microsoft.com/office/drawing/2014/main" id="{556465CE-5E62-47C0-B8A1-BB0B507E00D0}"/>
            </a:ext>
          </a:extLst>
        </xdr:cNvPr>
        <xdr:cNvSpPr/>
      </xdr:nvSpPr>
      <xdr:spPr>
        <a:xfrm rot="10800000">
          <a:off x="19560540" y="5276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289</xdr:row>
      <xdr:rowOff>0</xdr:rowOff>
    </xdr:from>
    <xdr:to>
      <xdr:col>45</xdr:col>
      <xdr:colOff>83820</xdr:colOff>
      <xdr:row>289</xdr:row>
      <xdr:rowOff>114300</xdr:rowOff>
    </xdr:to>
    <xdr:sp macro="" textlink="">
      <xdr:nvSpPr>
        <xdr:cNvPr id="2220" name="Arrow: Down 2219">
          <a:extLst>
            <a:ext uri="{FF2B5EF4-FFF2-40B4-BE49-F238E27FC236}">
              <a16:creationId xmlns:a16="http://schemas.microsoft.com/office/drawing/2014/main" id="{8ABC186F-7A55-48D3-9AC9-93D4E8A28DF9}"/>
            </a:ext>
          </a:extLst>
        </xdr:cNvPr>
        <xdr:cNvSpPr/>
      </xdr:nvSpPr>
      <xdr:spPr>
        <a:xfrm rot="10800000">
          <a:off x="1157478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289</xdr:row>
      <xdr:rowOff>0</xdr:rowOff>
    </xdr:from>
    <xdr:to>
      <xdr:col>24</xdr:col>
      <xdr:colOff>83820</xdr:colOff>
      <xdr:row>289</xdr:row>
      <xdr:rowOff>114300</xdr:rowOff>
    </xdr:to>
    <xdr:sp macro="" textlink="">
      <xdr:nvSpPr>
        <xdr:cNvPr id="2221" name="Arrow: Down 2220">
          <a:extLst>
            <a:ext uri="{FF2B5EF4-FFF2-40B4-BE49-F238E27FC236}">
              <a16:creationId xmlns:a16="http://schemas.microsoft.com/office/drawing/2014/main" id="{A6E35819-EC08-48BB-8390-7B31FA4CDCAE}"/>
            </a:ext>
          </a:extLst>
        </xdr:cNvPr>
        <xdr:cNvSpPr/>
      </xdr:nvSpPr>
      <xdr:spPr>
        <a:xfrm>
          <a:off x="65532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289</xdr:row>
      <xdr:rowOff>0</xdr:rowOff>
    </xdr:from>
    <xdr:to>
      <xdr:col>11</xdr:col>
      <xdr:colOff>83820</xdr:colOff>
      <xdr:row>289</xdr:row>
      <xdr:rowOff>114300</xdr:rowOff>
    </xdr:to>
    <xdr:sp macro="" textlink="">
      <xdr:nvSpPr>
        <xdr:cNvPr id="2222" name="Arrow: Down 2221">
          <a:extLst>
            <a:ext uri="{FF2B5EF4-FFF2-40B4-BE49-F238E27FC236}">
              <a16:creationId xmlns:a16="http://schemas.microsoft.com/office/drawing/2014/main" id="{E940A475-6FE5-472F-9DB9-CF1F71C6E61A}"/>
            </a:ext>
          </a:extLst>
        </xdr:cNvPr>
        <xdr:cNvSpPr/>
      </xdr:nvSpPr>
      <xdr:spPr>
        <a:xfrm>
          <a:off x="36957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289</xdr:row>
      <xdr:rowOff>0</xdr:rowOff>
    </xdr:from>
    <xdr:to>
      <xdr:col>5</xdr:col>
      <xdr:colOff>83820</xdr:colOff>
      <xdr:row>289</xdr:row>
      <xdr:rowOff>114300</xdr:rowOff>
    </xdr:to>
    <xdr:sp macro="" textlink="">
      <xdr:nvSpPr>
        <xdr:cNvPr id="2223" name="Arrow: Down 2222">
          <a:extLst>
            <a:ext uri="{FF2B5EF4-FFF2-40B4-BE49-F238E27FC236}">
              <a16:creationId xmlns:a16="http://schemas.microsoft.com/office/drawing/2014/main" id="{63C9A977-91F0-48C6-92E1-D7B15717C6F1}"/>
            </a:ext>
          </a:extLst>
        </xdr:cNvPr>
        <xdr:cNvSpPr/>
      </xdr:nvSpPr>
      <xdr:spPr>
        <a:xfrm>
          <a:off x="19278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289</xdr:row>
      <xdr:rowOff>0</xdr:rowOff>
    </xdr:from>
    <xdr:to>
      <xdr:col>60</xdr:col>
      <xdr:colOff>83820</xdr:colOff>
      <xdr:row>289</xdr:row>
      <xdr:rowOff>114300</xdr:rowOff>
    </xdr:to>
    <xdr:sp macro="" textlink="">
      <xdr:nvSpPr>
        <xdr:cNvPr id="2224" name="Arrow: Down 2223">
          <a:extLst>
            <a:ext uri="{FF2B5EF4-FFF2-40B4-BE49-F238E27FC236}">
              <a16:creationId xmlns:a16="http://schemas.microsoft.com/office/drawing/2014/main" id="{FCA36FC7-1020-4567-9543-9F4DCB18C1D3}"/>
            </a:ext>
          </a:extLst>
        </xdr:cNvPr>
        <xdr:cNvSpPr/>
      </xdr:nvSpPr>
      <xdr:spPr>
        <a:xfrm>
          <a:off x="171297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289</xdr:row>
      <xdr:rowOff>0</xdr:rowOff>
    </xdr:from>
    <xdr:to>
      <xdr:col>39</xdr:col>
      <xdr:colOff>83820</xdr:colOff>
      <xdr:row>289</xdr:row>
      <xdr:rowOff>114300</xdr:rowOff>
    </xdr:to>
    <xdr:sp macro="" textlink="">
      <xdr:nvSpPr>
        <xdr:cNvPr id="2227" name="Arrow: Down 2226">
          <a:extLst>
            <a:ext uri="{FF2B5EF4-FFF2-40B4-BE49-F238E27FC236}">
              <a16:creationId xmlns:a16="http://schemas.microsoft.com/office/drawing/2014/main" id="{048F0F7F-7399-4CE7-A174-303519B7A911}"/>
            </a:ext>
          </a:extLst>
        </xdr:cNvPr>
        <xdr:cNvSpPr/>
      </xdr:nvSpPr>
      <xdr:spPr>
        <a:xfrm>
          <a:off x="9715500" y="5295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288</xdr:row>
      <xdr:rowOff>0</xdr:rowOff>
    </xdr:from>
    <xdr:to>
      <xdr:col>39</xdr:col>
      <xdr:colOff>83820</xdr:colOff>
      <xdr:row>288</xdr:row>
      <xdr:rowOff>114300</xdr:rowOff>
    </xdr:to>
    <xdr:sp macro="" textlink="">
      <xdr:nvSpPr>
        <xdr:cNvPr id="2228" name="Arrow: Down 2227">
          <a:extLst>
            <a:ext uri="{FF2B5EF4-FFF2-40B4-BE49-F238E27FC236}">
              <a16:creationId xmlns:a16="http://schemas.microsoft.com/office/drawing/2014/main" id="{CDBC08D9-0DD1-4B92-BCDE-488674348625}"/>
            </a:ext>
          </a:extLst>
        </xdr:cNvPr>
        <xdr:cNvSpPr/>
      </xdr:nvSpPr>
      <xdr:spPr>
        <a:xfrm>
          <a:off x="9715500" y="5276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290</xdr:row>
      <xdr:rowOff>0</xdr:rowOff>
    </xdr:from>
    <xdr:to>
      <xdr:col>45</xdr:col>
      <xdr:colOff>83820</xdr:colOff>
      <xdr:row>290</xdr:row>
      <xdr:rowOff>114300</xdr:rowOff>
    </xdr:to>
    <xdr:sp macro="" textlink="">
      <xdr:nvSpPr>
        <xdr:cNvPr id="2066" name="Arrow: Down 2065">
          <a:extLst>
            <a:ext uri="{FF2B5EF4-FFF2-40B4-BE49-F238E27FC236}">
              <a16:creationId xmlns:a16="http://schemas.microsoft.com/office/drawing/2014/main" id="{2F4DEB2C-95BB-4A74-A88F-B84EBA6D66EF}"/>
            </a:ext>
          </a:extLst>
        </xdr:cNvPr>
        <xdr:cNvSpPr/>
      </xdr:nvSpPr>
      <xdr:spPr>
        <a:xfrm rot="10800000">
          <a:off x="11574780" y="5295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290</xdr:row>
      <xdr:rowOff>0</xdr:rowOff>
    </xdr:from>
    <xdr:to>
      <xdr:col>60</xdr:col>
      <xdr:colOff>83820</xdr:colOff>
      <xdr:row>290</xdr:row>
      <xdr:rowOff>114300</xdr:rowOff>
    </xdr:to>
    <xdr:sp macro="" textlink="">
      <xdr:nvSpPr>
        <xdr:cNvPr id="2112" name="Arrow: Down 2111">
          <a:extLst>
            <a:ext uri="{FF2B5EF4-FFF2-40B4-BE49-F238E27FC236}">
              <a16:creationId xmlns:a16="http://schemas.microsoft.com/office/drawing/2014/main" id="{6C5CA3A7-6581-41F3-97E3-B6D61A36C58B}"/>
            </a:ext>
          </a:extLst>
        </xdr:cNvPr>
        <xdr:cNvSpPr/>
      </xdr:nvSpPr>
      <xdr:spPr>
        <a:xfrm>
          <a:off x="17129760" y="5295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290</xdr:row>
      <xdr:rowOff>0</xdr:rowOff>
    </xdr:from>
    <xdr:to>
      <xdr:col>5</xdr:col>
      <xdr:colOff>83820</xdr:colOff>
      <xdr:row>290</xdr:row>
      <xdr:rowOff>114300</xdr:rowOff>
    </xdr:to>
    <xdr:sp macro="" textlink="">
      <xdr:nvSpPr>
        <xdr:cNvPr id="2141" name="Arrow: Down 2140">
          <a:extLst>
            <a:ext uri="{FF2B5EF4-FFF2-40B4-BE49-F238E27FC236}">
              <a16:creationId xmlns:a16="http://schemas.microsoft.com/office/drawing/2014/main" id="{61770223-6A67-449A-8678-B6BC287F048C}"/>
            </a:ext>
          </a:extLst>
        </xdr:cNvPr>
        <xdr:cNvSpPr/>
      </xdr:nvSpPr>
      <xdr:spPr>
        <a:xfrm rot="10800000">
          <a:off x="1927860" y="5313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290</xdr:row>
      <xdr:rowOff>0</xdr:rowOff>
    </xdr:from>
    <xdr:to>
      <xdr:col>11</xdr:col>
      <xdr:colOff>83820</xdr:colOff>
      <xdr:row>290</xdr:row>
      <xdr:rowOff>114300</xdr:rowOff>
    </xdr:to>
    <xdr:sp macro="" textlink="">
      <xdr:nvSpPr>
        <xdr:cNvPr id="2142" name="Arrow: Down 2141">
          <a:extLst>
            <a:ext uri="{FF2B5EF4-FFF2-40B4-BE49-F238E27FC236}">
              <a16:creationId xmlns:a16="http://schemas.microsoft.com/office/drawing/2014/main" id="{5B86FD29-D09C-4FBB-A349-5B6BBEA45BEB}"/>
            </a:ext>
          </a:extLst>
        </xdr:cNvPr>
        <xdr:cNvSpPr/>
      </xdr:nvSpPr>
      <xdr:spPr>
        <a:xfrm rot="10800000">
          <a:off x="3695700" y="5313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290</xdr:row>
      <xdr:rowOff>0</xdr:rowOff>
    </xdr:from>
    <xdr:to>
      <xdr:col>24</xdr:col>
      <xdr:colOff>83820</xdr:colOff>
      <xdr:row>290</xdr:row>
      <xdr:rowOff>114300</xdr:rowOff>
    </xdr:to>
    <xdr:sp macro="" textlink="">
      <xdr:nvSpPr>
        <xdr:cNvPr id="2143" name="Arrow: Down 2142">
          <a:extLst>
            <a:ext uri="{FF2B5EF4-FFF2-40B4-BE49-F238E27FC236}">
              <a16:creationId xmlns:a16="http://schemas.microsoft.com/office/drawing/2014/main" id="{F9027708-6A53-4F33-AB4A-55FE5B510431}"/>
            </a:ext>
          </a:extLst>
        </xdr:cNvPr>
        <xdr:cNvSpPr/>
      </xdr:nvSpPr>
      <xdr:spPr>
        <a:xfrm rot="10800000">
          <a:off x="6553200" y="5313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290</xdr:row>
      <xdr:rowOff>0</xdr:rowOff>
    </xdr:from>
    <xdr:to>
      <xdr:col>39</xdr:col>
      <xdr:colOff>83820</xdr:colOff>
      <xdr:row>290</xdr:row>
      <xdr:rowOff>114300</xdr:rowOff>
    </xdr:to>
    <xdr:sp macro="" textlink="">
      <xdr:nvSpPr>
        <xdr:cNvPr id="2144" name="Arrow: Down 2143">
          <a:extLst>
            <a:ext uri="{FF2B5EF4-FFF2-40B4-BE49-F238E27FC236}">
              <a16:creationId xmlns:a16="http://schemas.microsoft.com/office/drawing/2014/main" id="{532E209D-3B00-4654-9E87-389724F17096}"/>
            </a:ext>
          </a:extLst>
        </xdr:cNvPr>
        <xdr:cNvSpPr/>
      </xdr:nvSpPr>
      <xdr:spPr>
        <a:xfrm rot="10800000">
          <a:off x="9715500" y="5313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290</xdr:row>
      <xdr:rowOff>0</xdr:rowOff>
    </xdr:from>
    <xdr:to>
      <xdr:col>71</xdr:col>
      <xdr:colOff>83820</xdr:colOff>
      <xdr:row>290</xdr:row>
      <xdr:rowOff>114300</xdr:rowOff>
    </xdr:to>
    <xdr:sp macro="" textlink="">
      <xdr:nvSpPr>
        <xdr:cNvPr id="2145" name="Arrow: Down 2144">
          <a:extLst>
            <a:ext uri="{FF2B5EF4-FFF2-40B4-BE49-F238E27FC236}">
              <a16:creationId xmlns:a16="http://schemas.microsoft.com/office/drawing/2014/main" id="{9365194B-7764-4408-903F-15AC222459D1}"/>
            </a:ext>
          </a:extLst>
        </xdr:cNvPr>
        <xdr:cNvSpPr/>
      </xdr:nvSpPr>
      <xdr:spPr>
        <a:xfrm>
          <a:off x="19560540" y="5313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291</xdr:row>
      <xdr:rowOff>0</xdr:rowOff>
    </xdr:from>
    <xdr:to>
      <xdr:col>45</xdr:col>
      <xdr:colOff>83820</xdr:colOff>
      <xdr:row>291</xdr:row>
      <xdr:rowOff>114300</xdr:rowOff>
    </xdr:to>
    <xdr:sp macro="" textlink="">
      <xdr:nvSpPr>
        <xdr:cNvPr id="2146" name="Arrow: Down 2145">
          <a:extLst>
            <a:ext uri="{FF2B5EF4-FFF2-40B4-BE49-F238E27FC236}">
              <a16:creationId xmlns:a16="http://schemas.microsoft.com/office/drawing/2014/main" id="{99A972FB-2BA1-4F5C-B4B7-10EE2EBC6B02}"/>
            </a:ext>
          </a:extLst>
        </xdr:cNvPr>
        <xdr:cNvSpPr/>
      </xdr:nvSpPr>
      <xdr:spPr>
        <a:xfrm rot="10800000">
          <a:off x="11574780" y="5313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291</xdr:row>
      <xdr:rowOff>0</xdr:rowOff>
    </xdr:from>
    <xdr:to>
      <xdr:col>71</xdr:col>
      <xdr:colOff>83820</xdr:colOff>
      <xdr:row>291</xdr:row>
      <xdr:rowOff>114300</xdr:rowOff>
    </xdr:to>
    <xdr:sp macro="" textlink="">
      <xdr:nvSpPr>
        <xdr:cNvPr id="2153" name="Arrow: Down 2152">
          <a:extLst>
            <a:ext uri="{FF2B5EF4-FFF2-40B4-BE49-F238E27FC236}">
              <a16:creationId xmlns:a16="http://schemas.microsoft.com/office/drawing/2014/main" id="{7BBC54F4-AC56-4FBB-A071-6F1230EAC7DB}"/>
            </a:ext>
          </a:extLst>
        </xdr:cNvPr>
        <xdr:cNvSpPr/>
      </xdr:nvSpPr>
      <xdr:spPr>
        <a:xfrm rot="10800000">
          <a:off x="1956054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291</xdr:row>
      <xdr:rowOff>0</xdr:rowOff>
    </xdr:from>
    <xdr:to>
      <xdr:col>60</xdr:col>
      <xdr:colOff>83820</xdr:colOff>
      <xdr:row>291</xdr:row>
      <xdr:rowOff>114300</xdr:rowOff>
    </xdr:to>
    <xdr:sp macro="" textlink="">
      <xdr:nvSpPr>
        <xdr:cNvPr id="2154" name="Arrow: Down 2153">
          <a:extLst>
            <a:ext uri="{FF2B5EF4-FFF2-40B4-BE49-F238E27FC236}">
              <a16:creationId xmlns:a16="http://schemas.microsoft.com/office/drawing/2014/main" id="{0ADF5C96-0924-42E2-ABF7-9334812D9BD6}"/>
            </a:ext>
          </a:extLst>
        </xdr:cNvPr>
        <xdr:cNvSpPr/>
      </xdr:nvSpPr>
      <xdr:spPr>
        <a:xfrm rot="10800000">
          <a:off x="1712976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291</xdr:row>
      <xdr:rowOff>0</xdr:rowOff>
    </xdr:from>
    <xdr:to>
      <xdr:col>39</xdr:col>
      <xdr:colOff>83820</xdr:colOff>
      <xdr:row>291</xdr:row>
      <xdr:rowOff>114300</xdr:rowOff>
    </xdr:to>
    <xdr:sp macro="" textlink="">
      <xdr:nvSpPr>
        <xdr:cNvPr id="2155" name="Arrow: Down 2154">
          <a:extLst>
            <a:ext uri="{FF2B5EF4-FFF2-40B4-BE49-F238E27FC236}">
              <a16:creationId xmlns:a16="http://schemas.microsoft.com/office/drawing/2014/main" id="{CBEAEC0E-F191-4751-BAE8-49845F7D7158}"/>
            </a:ext>
          </a:extLst>
        </xdr:cNvPr>
        <xdr:cNvSpPr/>
      </xdr:nvSpPr>
      <xdr:spPr>
        <a:xfrm>
          <a:off x="971550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291</xdr:row>
      <xdr:rowOff>0</xdr:rowOff>
    </xdr:from>
    <xdr:to>
      <xdr:col>24</xdr:col>
      <xdr:colOff>83820</xdr:colOff>
      <xdr:row>291</xdr:row>
      <xdr:rowOff>114300</xdr:rowOff>
    </xdr:to>
    <xdr:sp macro="" textlink="">
      <xdr:nvSpPr>
        <xdr:cNvPr id="2158" name="Arrow: Down 2157">
          <a:extLst>
            <a:ext uri="{FF2B5EF4-FFF2-40B4-BE49-F238E27FC236}">
              <a16:creationId xmlns:a16="http://schemas.microsoft.com/office/drawing/2014/main" id="{1F1D1A37-3B66-4CF3-B1A1-D7E953E6A0F7}"/>
            </a:ext>
          </a:extLst>
        </xdr:cNvPr>
        <xdr:cNvSpPr/>
      </xdr:nvSpPr>
      <xdr:spPr>
        <a:xfrm>
          <a:off x="655320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291</xdr:row>
      <xdr:rowOff>0</xdr:rowOff>
    </xdr:from>
    <xdr:to>
      <xdr:col>5</xdr:col>
      <xdr:colOff>83820</xdr:colOff>
      <xdr:row>291</xdr:row>
      <xdr:rowOff>114300</xdr:rowOff>
    </xdr:to>
    <xdr:sp macro="" textlink="">
      <xdr:nvSpPr>
        <xdr:cNvPr id="2162" name="Arrow: Down 2161">
          <a:extLst>
            <a:ext uri="{FF2B5EF4-FFF2-40B4-BE49-F238E27FC236}">
              <a16:creationId xmlns:a16="http://schemas.microsoft.com/office/drawing/2014/main" id="{2056776E-FE99-455C-ADC8-2E21CBBD6E8E}"/>
            </a:ext>
          </a:extLst>
        </xdr:cNvPr>
        <xdr:cNvSpPr/>
      </xdr:nvSpPr>
      <xdr:spPr>
        <a:xfrm>
          <a:off x="192786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291</xdr:row>
      <xdr:rowOff>0</xdr:rowOff>
    </xdr:from>
    <xdr:to>
      <xdr:col>11</xdr:col>
      <xdr:colOff>83820</xdr:colOff>
      <xdr:row>291</xdr:row>
      <xdr:rowOff>114300</xdr:rowOff>
    </xdr:to>
    <xdr:sp macro="" textlink="">
      <xdr:nvSpPr>
        <xdr:cNvPr id="2163" name="Arrow: Down 2162">
          <a:extLst>
            <a:ext uri="{FF2B5EF4-FFF2-40B4-BE49-F238E27FC236}">
              <a16:creationId xmlns:a16="http://schemas.microsoft.com/office/drawing/2014/main" id="{DE28CCD9-A19D-482D-B72F-BC3E8F7E48B1}"/>
            </a:ext>
          </a:extLst>
        </xdr:cNvPr>
        <xdr:cNvSpPr/>
      </xdr:nvSpPr>
      <xdr:spPr>
        <a:xfrm>
          <a:off x="369570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292</xdr:row>
      <xdr:rowOff>0</xdr:rowOff>
    </xdr:from>
    <xdr:to>
      <xdr:col>45</xdr:col>
      <xdr:colOff>83820</xdr:colOff>
      <xdr:row>292</xdr:row>
      <xdr:rowOff>114300</xdr:rowOff>
    </xdr:to>
    <xdr:sp macro="" textlink="">
      <xdr:nvSpPr>
        <xdr:cNvPr id="2168" name="Arrow: Down 2167">
          <a:extLst>
            <a:ext uri="{FF2B5EF4-FFF2-40B4-BE49-F238E27FC236}">
              <a16:creationId xmlns:a16="http://schemas.microsoft.com/office/drawing/2014/main" id="{FE59F341-B001-40FF-A908-D8F6653D1B6A}"/>
            </a:ext>
          </a:extLst>
        </xdr:cNvPr>
        <xdr:cNvSpPr/>
      </xdr:nvSpPr>
      <xdr:spPr>
        <a:xfrm rot="10800000">
          <a:off x="1157478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292</xdr:row>
      <xdr:rowOff>0</xdr:rowOff>
    </xdr:from>
    <xdr:to>
      <xdr:col>71</xdr:col>
      <xdr:colOff>83820</xdr:colOff>
      <xdr:row>292</xdr:row>
      <xdr:rowOff>114300</xdr:rowOff>
    </xdr:to>
    <xdr:sp macro="" textlink="">
      <xdr:nvSpPr>
        <xdr:cNvPr id="2169" name="Arrow: Down 2168">
          <a:extLst>
            <a:ext uri="{FF2B5EF4-FFF2-40B4-BE49-F238E27FC236}">
              <a16:creationId xmlns:a16="http://schemas.microsoft.com/office/drawing/2014/main" id="{C1C309D7-90C3-40D4-B6B9-A4749ACAB08D}"/>
            </a:ext>
          </a:extLst>
        </xdr:cNvPr>
        <xdr:cNvSpPr/>
      </xdr:nvSpPr>
      <xdr:spPr>
        <a:xfrm rot="10800000">
          <a:off x="1956054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292</xdr:row>
      <xdr:rowOff>0</xdr:rowOff>
    </xdr:from>
    <xdr:to>
      <xdr:col>60</xdr:col>
      <xdr:colOff>83820</xdr:colOff>
      <xdr:row>292</xdr:row>
      <xdr:rowOff>114300</xdr:rowOff>
    </xdr:to>
    <xdr:sp macro="" textlink="">
      <xdr:nvSpPr>
        <xdr:cNvPr id="2182" name="Arrow: Down 2181">
          <a:extLst>
            <a:ext uri="{FF2B5EF4-FFF2-40B4-BE49-F238E27FC236}">
              <a16:creationId xmlns:a16="http://schemas.microsoft.com/office/drawing/2014/main" id="{2EF854CC-3C15-42C9-A59D-0E15286D99D4}"/>
            </a:ext>
          </a:extLst>
        </xdr:cNvPr>
        <xdr:cNvSpPr/>
      </xdr:nvSpPr>
      <xdr:spPr>
        <a:xfrm>
          <a:off x="17129760" y="5350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292</xdr:row>
      <xdr:rowOff>0</xdr:rowOff>
    </xdr:from>
    <xdr:to>
      <xdr:col>39</xdr:col>
      <xdr:colOff>83820</xdr:colOff>
      <xdr:row>292</xdr:row>
      <xdr:rowOff>114300</xdr:rowOff>
    </xdr:to>
    <xdr:sp macro="" textlink="">
      <xdr:nvSpPr>
        <xdr:cNvPr id="2183" name="Arrow: Down 2182">
          <a:extLst>
            <a:ext uri="{FF2B5EF4-FFF2-40B4-BE49-F238E27FC236}">
              <a16:creationId xmlns:a16="http://schemas.microsoft.com/office/drawing/2014/main" id="{DB138E01-7430-44A8-B7E0-A36EFF6C89E5}"/>
            </a:ext>
          </a:extLst>
        </xdr:cNvPr>
        <xdr:cNvSpPr/>
      </xdr:nvSpPr>
      <xdr:spPr>
        <a:xfrm rot="10800000">
          <a:off x="9715500" y="5350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292</xdr:row>
      <xdr:rowOff>0</xdr:rowOff>
    </xdr:from>
    <xdr:to>
      <xdr:col>24</xdr:col>
      <xdr:colOff>83820</xdr:colOff>
      <xdr:row>292</xdr:row>
      <xdr:rowOff>114300</xdr:rowOff>
    </xdr:to>
    <xdr:sp macro="" textlink="">
      <xdr:nvSpPr>
        <xdr:cNvPr id="2186" name="Arrow: Down 2185">
          <a:extLst>
            <a:ext uri="{FF2B5EF4-FFF2-40B4-BE49-F238E27FC236}">
              <a16:creationId xmlns:a16="http://schemas.microsoft.com/office/drawing/2014/main" id="{C8E45E4E-E5A1-434B-83D5-04B38FF7A975}"/>
            </a:ext>
          </a:extLst>
        </xdr:cNvPr>
        <xdr:cNvSpPr/>
      </xdr:nvSpPr>
      <xdr:spPr>
        <a:xfrm rot="10800000">
          <a:off x="65532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292</xdr:row>
      <xdr:rowOff>0</xdr:rowOff>
    </xdr:from>
    <xdr:to>
      <xdr:col>11</xdr:col>
      <xdr:colOff>83820</xdr:colOff>
      <xdr:row>292</xdr:row>
      <xdr:rowOff>114300</xdr:rowOff>
    </xdr:to>
    <xdr:sp macro="" textlink="">
      <xdr:nvSpPr>
        <xdr:cNvPr id="2188" name="Arrow: Down 2187">
          <a:extLst>
            <a:ext uri="{FF2B5EF4-FFF2-40B4-BE49-F238E27FC236}">
              <a16:creationId xmlns:a16="http://schemas.microsoft.com/office/drawing/2014/main" id="{046DB357-E370-4C3B-B928-EB87BE7066FC}"/>
            </a:ext>
          </a:extLst>
        </xdr:cNvPr>
        <xdr:cNvSpPr/>
      </xdr:nvSpPr>
      <xdr:spPr>
        <a:xfrm rot="10800000">
          <a:off x="36957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292</xdr:row>
      <xdr:rowOff>0</xdr:rowOff>
    </xdr:from>
    <xdr:to>
      <xdr:col>5</xdr:col>
      <xdr:colOff>83820</xdr:colOff>
      <xdr:row>292</xdr:row>
      <xdr:rowOff>114300</xdr:rowOff>
    </xdr:to>
    <xdr:sp macro="" textlink="">
      <xdr:nvSpPr>
        <xdr:cNvPr id="2190" name="Arrow: Down 2189">
          <a:extLst>
            <a:ext uri="{FF2B5EF4-FFF2-40B4-BE49-F238E27FC236}">
              <a16:creationId xmlns:a16="http://schemas.microsoft.com/office/drawing/2014/main" id="{C006A281-0A03-4C7D-8609-1BA1C9CBAA40}"/>
            </a:ext>
          </a:extLst>
        </xdr:cNvPr>
        <xdr:cNvSpPr/>
      </xdr:nvSpPr>
      <xdr:spPr>
        <a:xfrm rot="10800000">
          <a:off x="192786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293</xdr:row>
      <xdr:rowOff>0</xdr:rowOff>
    </xdr:from>
    <xdr:to>
      <xdr:col>45</xdr:col>
      <xdr:colOff>83820</xdr:colOff>
      <xdr:row>293</xdr:row>
      <xdr:rowOff>114300</xdr:rowOff>
    </xdr:to>
    <xdr:sp macro="" textlink="">
      <xdr:nvSpPr>
        <xdr:cNvPr id="2193" name="Arrow: Down 2192">
          <a:extLst>
            <a:ext uri="{FF2B5EF4-FFF2-40B4-BE49-F238E27FC236}">
              <a16:creationId xmlns:a16="http://schemas.microsoft.com/office/drawing/2014/main" id="{49364E1E-9410-4350-907B-FBE7D8123938}"/>
            </a:ext>
          </a:extLst>
        </xdr:cNvPr>
        <xdr:cNvSpPr/>
      </xdr:nvSpPr>
      <xdr:spPr>
        <a:xfrm rot="10800000">
          <a:off x="11574780" y="5350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293</xdr:row>
      <xdr:rowOff>0</xdr:rowOff>
    </xdr:from>
    <xdr:to>
      <xdr:col>71</xdr:col>
      <xdr:colOff>83820</xdr:colOff>
      <xdr:row>293</xdr:row>
      <xdr:rowOff>114300</xdr:rowOff>
    </xdr:to>
    <xdr:sp macro="" textlink="">
      <xdr:nvSpPr>
        <xdr:cNvPr id="2199" name="Arrow: Down 2198">
          <a:extLst>
            <a:ext uri="{FF2B5EF4-FFF2-40B4-BE49-F238E27FC236}">
              <a16:creationId xmlns:a16="http://schemas.microsoft.com/office/drawing/2014/main" id="{35E53171-5343-4BD4-AFE4-32BE30E03B07}"/>
            </a:ext>
          </a:extLst>
        </xdr:cNvPr>
        <xdr:cNvSpPr/>
      </xdr:nvSpPr>
      <xdr:spPr>
        <a:xfrm rot="10800000">
          <a:off x="2122932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293</xdr:row>
      <xdr:rowOff>0</xdr:rowOff>
    </xdr:from>
    <xdr:to>
      <xdr:col>24</xdr:col>
      <xdr:colOff>83820</xdr:colOff>
      <xdr:row>293</xdr:row>
      <xdr:rowOff>114300</xdr:rowOff>
    </xdr:to>
    <xdr:sp macro="" textlink="">
      <xdr:nvSpPr>
        <xdr:cNvPr id="2203" name="Arrow: Down 2202">
          <a:extLst>
            <a:ext uri="{FF2B5EF4-FFF2-40B4-BE49-F238E27FC236}">
              <a16:creationId xmlns:a16="http://schemas.microsoft.com/office/drawing/2014/main" id="{60953F01-FEF2-485D-87C8-A5E9D4E63960}"/>
            </a:ext>
          </a:extLst>
        </xdr:cNvPr>
        <xdr:cNvSpPr/>
      </xdr:nvSpPr>
      <xdr:spPr>
        <a:xfrm rot="10800000">
          <a:off x="65532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293</xdr:row>
      <xdr:rowOff>0</xdr:rowOff>
    </xdr:from>
    <xdr:to>
      <xdr:col>11</xdr:col>
      <xdr:colOff>83820</xdr:colOff>
      <xdr:row>293</xdr:row>
      <xdr:rowOff>114300</xdr:rowOff>
    </xdr:to>
    <xdr:sp macro="" textlink="">
      <xdr:nvSpPr>
        <xdr:cNvPr id="2207" name="Arrow: Down 2206">
          <a:extLst>
            <a:ext uri="{FF2B5EF4-FFF2-40B4-BE49-F238E27FC236}">
              <a16:creationId xmlns:a16="http://schemas.microsoft.com/office/drawing/2014/main" id="{136AF1CB-4708-41F5-AC02-0E4A237B8C25}"/>
            </a:ext>
          </a:extLst>
        </xdr:cNvPr>
        <xdr:cNvSpPr/>
      </xdr:nvSpPr>
      <xdr:spPr>
        <a:xfrm rot="10800000">
          <a:off x="36957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293</xdr:row>
      <xdr:rowOff>0</xdr:rowOff>
    </xdr:from>
    <xdr:to>
      <xdr:col>5</xdr:col>
      <xdr:colOff>83820</xdr:colOff>
      <xdr:row>293</xdr:row>
      <xdr:rowOff>114300</xdr:rowOff>
    </xdr:to>
    <xdr:sp macro="" textlink="">
      <xdr:nvSpPr>
        <xdr:cNvPr id="2209" name="Arrow: Down 2208">
          <a:extLst>
            <a:ext uri="{FF2B5EF4-FFF2-40B4-BE49-F238E27FC236}">
              <a16:creationId xmlns:a16="http://schemas.microsoft.com/office/drawing/2014/main" id="{9CB0F238-8D3A-41CC-871B-5DF2584766D6}"/>
            </a:ext>
          </a:extLst>
        </xdr:cNvPr>
        <xdr:cNvSpPr/>
      </xdr:nvSpPr>
      <xdr:spPr>
        <a:xfrm rot="10800000">
          <a:off x="192786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293</xdr:row>
      <xdr:rowOff>0</xdr:rowOff>
    </xdr:from>
    <xdr:to>
      <xdr:col>60</xdr:col>
      <xdr:colOff>83820</xdr:colOff>
      <xdr:row>293</xdr:row>
      <xdr:rowOff>114300</xdr:rowOff>
    </xdr:to>
    <xdr:sp macro="" textlink="">
      <xdr:nvSpPr>
        <xdr:cNvPr id="2210" name="Arrow: Down 2209">
          <a:extLst>
            <a:ext uri="{FF2B5EF4-FFF2-40B4-BE49-F238E27FC236}">
              <a16:creationId xmlns:a16="http://schemas.microsoft.com/office/drawing/2014/main" id="{2DBCD196-9AF5-4342-9503-9C410814C945}"/>
            </a:ext>
          </a:extLst>
        </xdr:cNvPr>
        <xdr:cNvSpPr/>
      </xdr:nvSpPr>
      <xdr:spPr>
        <a:xfrm rot="10800000">
          <a:off x="1712976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293</xdr:row>
      <xdr:rowOff>0</xdr:rowOff>
    </xdr:from>
    <xdr:to>
      <xdr:col>39</xdr:col>
      <xdr:colOff>83820</xdr:colOff>
      <xdr:row>293</xdr:row>
      <xdr:rowOff>114300</xdr:rowOff>
    </xdr:to>
    <xdr:sp macro="" textlink="">
      <xdr:nvSpPr>
        <xdr:cNvPr id="2211" name="Arrow: Down 2210">
          <a:extLst>
            <a:ext uri="{FF2B5EF4-FFF2-40B4-BE49-F238E27FC236}">
              <a16:creationId xmlns:a16="http://schemas.microsoft.com/office/drawing/2014/main" id="{429C60BD-7912-4513-BE0B-181FF7AEB55B}"/>
            </a:ext>
          </a:extLst>
        </xdr:cNvPr>
        <xdr:cNvSpPr/>
      </xdr:nvSpPr>
      <xdr:spPr>
        <a:xfrm>
          <a:off x="971550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294</xdr:row>
      <xdr:rowOff>0</xdr:rowOff>
    </xdr:from>
    <xdr:to>
      <xdr:col>45</xdr:col>
      <xdr:colOff>83820</xdr:colOff>
      <xdr:row>294</xdr:row>
      <xdr:rowOff>114300</xdr:rowOff>
    </xdr:to>
    <xdr:sp macro="" textlink="">
      <xdr:nvSpPr>
        <xdr:cNvPr id="2212" name="Arrow: Down 2211">
          <a:extLst>
            <a:ext uri="{FF2B5EF4-FFF2-40B4-BE49-F238E27FC236}">
              <a16:creationId xmlns:a16="http://schemas.microsoft.com/office/drawing/2014/main" id="{39949E2E-5B6F-4850-B886-CF0C6A7A33B3}"/>
            </a:ext>
          </a:extLst>
        </xdr:cNvPr>
        <xdr:cNvSpPr/>
      </xdr:nvSpPr>
      <xdr:spPr>
        <a:xfrm rot="10800000">
          <a:off x="11574780" y="5368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294</xdr:row>
      <xdr:rowOff>0</xdr:rowOff>
    </xdr:from>
    <xdr:to>
      <xdr:col>11</xdr:col>
      <xdr:colOff>83820</xdr:colOff>
      <xdr:row>294</xdr:row>
      <xdr:rowOff>114300</xdr:rowOff>
    </xdr:to>
    <xdr:sp macro="" textlink="">
      <xdr:nvSpPr>
        <xdr:cNvPr id="2225" name="Arrow: Down 2224">
          <a:extLst>
            <a:ext uri="{FF2B5EF4-FFF2-40B4-BE49-F238E27FC236}">
              <a16:creationId xmlns:a16="http://schemas.microsoft.com/office/drawing/2014/main" id="{9EC5B9C5-3281-4AFC-8AD4-CCEA64B14C75}"/>
            </a:ext>
          </a:extLst>
        </xdr:cNvPr>
        <xdr:cNvSpPr/>
      </xdr:nvSpPr>
      <xdr:spPr>
        <a:xfrm rot="10800000">
          <a:off x="369570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294</xdr:row>
      <xdr:rowOff>0</xdr:rowOff>
    </xdr:from>
    <xdr:to>
      <xdr:col>5</xdr:col>
      <xdr:colOff>83820</xdr:colOff>
      <xdr:row>294</xdr:row>
      <xdr:rowOff>114300</xdr:rowOff>
    </xdr:to>
    <xdr:sp macro="" textlink="">
      <xdr:nvSpPr>
        <xdr:cNvPr id="2226" name="Arrow: Down 2225">
          <a:extLst>
            <a:ext uri="{FF2B5EF4-FFF2-40B4-BE49-F238E27FC236}">
              <a16:creationId xmlns:a16="http://schemas.microsoft.com/office/drawing/2014/main" id="{779835A8-9479-45D7-9468-D112BE69BB35}"/>
            </a:ext>
          </a:extLst>
        </xdr:cNvPr>
        <xdr:cNvSpPr/>
      </xdr:nvSpPr>
      <xdr:spPr>
        <a:xfrm rot="10800000">
          <a:off x="192786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294</xdr:row>
      <xdr:rowOff>0</xdr:rowOff>
    </xdr:from>
    <xdr:to>
      <xdr:col>24</xdr:col>
      <xdr:colOff>83820</xdr:colOff>
      <xdr:row>294</xdr:row>
      <xdr:rowOff>114300</xdr:rowOff>
    </xdr:to>
    <xdr:sp macro="" textlink="">
      <xdr:nvSpPr>
        <xdr:cNvPr id="2231" name="Arrow: Down 2230">
          <a:extLst>
            <a:ext uri="{FF2B5EF4-FFF2-40B4-BE49-F238E27FC236}">
              <a16:creationId xmlns:a16="http://schemas.microsoft.com/office/drawing/2014/main" id="{D41E3EDB-0E77-4423-AB95-E343E9E76907}"/>
            </a:ext>
          </a:extLst>
        </xdr:cNvPr>
        <xdr:cNvSpPr/>
      </xdr:nvSpPr>
      <xdr:spPr>
        <a:xfrm>
          <a:off x="655320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294</xdr:row>
      <xdr:rowOff>0</xdr:rowOff>
    </xdr:from>
    <xdr:to>
      <xdr:col>60</xdr:col>
      <xdr:colOff>83820</xdr:colOff>
      <xdr:row>294</xdr:row>
      <xdr:rowOff>114300</xdr:rowOff>
    </xdr:to>
    <xdr:sp macro="" textlink="">
      <xdr:nvSpPr>
        <xdr:cNvPr id="2232" name="Arrow: Down 2231">
          <a:extLst>
            <a:ext uri="{FF2B5EF4-FFF2-40B4-BE49-F238E27FC236}">
              <a16:creationId xmlns:a16="http://schemas.microsoft.com/office/drawing/2014/main" id="{EF329937-C401-42DF-8560-0F8A2A487EFE}"/>
            </a:ext>
          </a:extLst>
        </xdr:cNvPr>
        <xdr:cNvSpPr/>
      </xdr:nvSpPr>
      <xdr:spPr>
        <a:xfrm>
          <a:off x="1712976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294</xdr:row>
      <xdr:rowOff>0</xdr:rowOff>
    </xdr:from>
    <xdr:to>
      <xdr:col>71</xdr:col>
      <xdr:colOff>83820</xdr:colOff>
      <xdr:row>294</xdr:row>
      <xdr:rowOff>114300</xdr:rowOff>
    </xdr:to>
    <xdr:sp macro="" textlink="">
      <xdr:nvSpPr>
        <xdr:cNvPr id="2234" name="Arrow: Down 2233">
          <a:extLst>
            <a:ext uri="{FF2B5EF4-FFF2-40B4-BE49-F238E27FC236}">
              <a16:creationId xmlns:a16="http://schemas.microsoft.com/office/drawing/2014/main" id="{0EA629D8-D28C-4396-9849-BF80F1BB7EFC}"/>
            </a:ext>
          </a:extLst>
        </xdr:cNvPr>
        <xdr:cNvSpPr/>
      </xdr:nvSpPr>
      <xdr:spPr>
        <a:xfrm>
          <a:off x="2122932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294</xdr:row>
      <xdr:rowOff>0</xdr:rowOff>
    </xdr:from>
    <xdr:to>
      <xdr:col>39</xdr:col>
      <xdr:colOff>83820</xdr:colOff>
      <xdr:row>294</xdr:row>
      <xdr:rowOff>114300</xdr:rowOff>
    </xdr:to>
    <xdr:sp macro="" textlink="">
      <xdr:nvSpPr>
        <xdr:cNvPr id="2235" name="Arrow: Down 2234">
          <a:extLst>
            <a:ext uri="{FF2B5EF4-FFF2-40B4-BE49-F238E27FC236}">
              <a16:creationId xmlns:a16="http://schemas.microsoft.com/office/drawing/2014/main" id="{37CF070B-011A-4584-820B-47360BD78578}"/>
            </a:ext>
          </a:extLst>
        </xdr:cNvPr>
        <xdr:cNvSpPr/>
      </xdr:nvSpPr>
      <xdr:spPr>
        <a:xfrm rot="10800000">
          <a:off x="971550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295</xdr:row>
      <xdr:rowOff>0</xdr:rowOff>
    </xdr:from>
    <xdr:to>
      <xdr:col>24</xdr:col>
      <xdr:colOff>83820</xdr:colOff>
      <xdr:row>295</xdr:row>
      <xdr:rowOff>114300</xdr:rowOff>
    </xdr:to>
    <xdr:sp macro="" textlink="">
      <xdr:nvSpPr>
        <xdr:cNvPr id="2239" name="Arrow: Down 2238">
          <a:extLst>
            <a:ext uri="{FF2B5EF4-FFF2-40B4-BE49-F238E27FC236}">
              <a16:creationId xmlns:a16="http://schemas.microsoft.com/office/drawing/2014/main" id="{18BBB17C-1DA4-4A59-88D2-642D3CD1B466}"/>
            </a:ext>
          </a:extLst>
        </xdr:cNvPr>
        <xdr:cNvSpPr/>
      </xdr:nvSpPr>
      <xdr:spPr>
        <a:xfrm>
          <a:off x="655320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295</xdr:row>
      <xdr:rowOff>0</xdr:rowOff>
    </xdr:from>
    <xdr:to>
      <xdr:col>60</xdr:col>
      <xdr:colOff>83820</xdr:colOff>
      <xdr:row>295</xdr:row>
      <xdr:rowOff>114300</xdr:rowOff>
    </xdr:to>
    <xdr:sp macro="" textlink="">
      <xdr:nvSpPr>
        <xdr:cNvPr id="2240" name="Arrow: Down 2239">
          <a:extLst>
            <a:ext uri="{FF2B5EF4-FFF2-40B4-BE49-F238E27FC236}">
              <a16:creationId xmlns:a16="http://schemas.microsoft.com/office/drawing/2014/main" id="{A9C82124-2AED-4763-96CB-006D170C988C}"/>
            </a:ext>
          </a:extLst>
        </xdr:cNvPr>
        <xdr:cNvSpPr/>
      </xdr:nvSpPr>
      <xdr:spPr>
        <a:xfrm>
          <a:off x="1712976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295</xdr:row>
      <xdr:rowOff>0</xdr:rowOff>
    </xdr:from>
    <xdr:to>
      <xdr:col>5</xdr:col>
      <xdr:colOff>83820</xdr:colOff>
      <xdr:row>295</xdr:row>
      <xdr:rowOff>114300</xdr:rowOff>
    </xdr:to>
    <xdr:sp macro="" textlink="">
      <xdr:nvSpPr>
        <xdr:cNvPr id="2243" name="Arrow: Down 2242">
          <a:extLst>
            <a:ext uri="{FF2B5EF4-FFF2-40B4-BE49-F238E27FC236}">
              <a16:creationId xmlns:a16="http://schemas.microsoft.com/office/drawing/2014/main" id="{1E3F79B1-4503-4822-B12B-711E6F8C2B47}"/>
            </a:ext>
          </a:extLst>
        </xdr:cNvPr>
        <xdr:cNvSpPr/>
      </xdr:nvSpPr>
      <xdr:spPr>
        <a:xfrm>
          <a:off x="192786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295</xdr:row>
      <xdr:rowOff>0</xdr:rowOff>
    </xdr:from>
    <xdr:to>
      <xdr:col>11</xdr:col>
      <xdr:colOff>83820</xdr:colOff>
      <xdr:row>295</xdr:row>
      <xdr:rowOff>114300</xdr:rowOff>
    </xdr:to>
    <xdr:sp macro="" textlink="">
      <xdr:nvSpPr>
        <xdr:cNvPr id="2245" name="Arrow: Down 2244">
          <a:extLst>
            <a:ext uri="{FF2B5EF4-FFF2-40B4-BE49-F238E27FC236}">
              <a16:creationId xmlns:a16="http://schemas.microsoft.com/office/drawing/2014/main" id="{9A9A8DC3-40B2-4AEC-B1EF-26946C13C710}"/>
            </a:ext>
          </a:extLst>
        </xdr:cNvPr>
        <xdr:cNvSpPr/>
      </xdr:nvSpPr>
      <xdr:spPr>
        <a:xfrm>
          <a:off x="369570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295</xdr:row>
      <xdr:rowOff>0</xdr:rowOff>
    </xdr:from>
    <xdr:to>
      <xdr:col>39</xdr:col>
      <xdr:colOff>83820</xdr:colOff>
      <xdr:row>295</xdr:row>
      <xdr:rowOff>114300</xdr:rowOff>
    </xdr:to>
    <xdr:sp macro="" textlink="">
      <xdr:nvSpPr>
        <xdr:cNvPr id="2247" name="Arrow: Down 2246">
          <a:extLst>
            <a:ext uri="{FF2B5EF4-FFF2-40B4-BE49-F238E27FC236}">
              <a16:creationId xmlns:a16="http://schemas.microsoft.com/office/drawing/2014/main" id="{0F07BE77-DA6F-481D-94AE-04CD9DF42E27}"/>
            </a:ext>
          </a:extLst>
        </xdr:cNvPr>
        <xdr:cNvSpPr/>
      </xdr:nvSpPr>
      <xdr:spPr>
        <a:xfrm>
          <a:off x="9715500" y="5404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296</xdr:row>
      <xdr:rowOff>0</xdr:rowOff>
    </xdr:from>
    <xdr:to>
      <xdr:col>24</xdr:col>
      <xdr:colOff>83820</xdr:colOff>
      <xdr:row>296</xdr:row>
      <xdr:rowOff>114300</xdr:rowOff>
    </xdr:to>
    <xdr:sp macro="" textlink="">
      <xdr:nvSpPr>
        <xdr:cNvPr id="2248" name="Arrow: Down 2247">
          <a:extLst>
            <a:ext uri="{FF2B5EF4-FFF2-40B4-BE49-F238E27FC236}">
              <a16:creationId xmlns:a16="http://schemas.microsoft.com/office/drawing/2014/main" id="{24147562-C3D4-4651-BFA3-CBC5AFEC8DC2}"/>
            </a:ext>
          </a:extLst>
        </xdr:cNvPr>
        <xdr:cNvSpPr/>
      </xdr:nvSpPr>
      <xdr:spPr>
        <a:xfrm>
          <a:off x="655320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296</xdr:row>
      <xdr:rowOff>0</xdr:rowOff>
    </xdr:from>
    <xdr:to>
      <xdr:col>5</xdr:col>
      <xdr:colOff>83820</xdr:colOff>
      <xdr:row>296</xdr:row>
      <xdr:rowOff>114300</xdr:rowOff>
    </xdr:to>
    <xdr:sp macro="" textlink="">
      <xdr:nvSpPr>
        <xdr:cNvPr id="2251" name="Arrow: Down 2250">
          <a:extLst>
            <a:ext uri="{FF2B5EF4-FFF2-40B4-BE49-F238E27FC236}">
              <a16:creationId xmlns:a16="http://schemas.microsoft.com/office/drawing/2014/main" id="{E52418C3-5F17-4073-AD6F-E457AB04EBD0}"/>
            </a:ext>
          </a:extLst>
        </xdr:cNvPr>
        <xdr:cNvSpPr/>
      </xdr:nvSpPr>
      <xdr:spPr>
        <a:xfrm>
          <a:off x="192786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296</xdr:row>
      <xdr:rowOff>0</xdr:rowOff>
    </xdr:from>
    <xdr:to>
      <xdr:col>11</xdr:col>
      <xdr:colOff>83820</xdr:colOff>
      <xdr:row>296</xdr:row>
      <xdr:rowOff>114300</xdr:rowOff>
    </xdr:to>
    <xdr:sp macro="" textlink="">
      <xdr:nvSpPr>
        <xdr:cNvPr id="2252" name="Arrow: Down 2251">
          <a:extLst>
            <a:ext uri="{FF2B5EF4-FFF2-40B4-BE49-F238E27FC236}">
              <a16:creationId xmlns:a16="http://schemas.microsoft.com/office/drawing/2014/main" id="{22F7FC62-4546-454E-8F90-D39FE151A88B}"/>
            </a:ext>
          </a:extLst>
        </xdr:cNvPr>
        <xdr:cNvSpPr/>
      </xdr:nvSpPr>
      <xdr:spPr>
        <a:xfrm>
          <a:off x="369570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296</xdr:row>
      <xdr:rowOff>0</xdr:rowOff>
    </xdr:from>
    <xdr:to>
      <xdr:col>39</xdr:col>
      <xdr:colOff>83820</xdr:colOff>
      <xdr:row>296</xdr:row>
      <xdr:rowOff>114300</xdr:rowOff>
    </xdr:to>
    <xdr:sp macro="" textlink="">
      <xdr:nvSpPr>
        <xdr:cNvPr id="2253" name="Arrow: Down 2252">
          <a:extLst>
            <a:ext uri="{FF2B5EF4-FFF2-40B4-BE49-F238E27FC236}">
              <a16:creationId xmlns:a16="http://schemas.microsoft.com/office/drawing/2014/main" id="{FA9F5796-A5AD-4D73-ACEA-C9212A78339F}"/>
            </a:ext>
          </a:extLst>
        </xdr:cNvPr>
        <xdr:cNvSpPr/>
      </xdr:nvSpPr>
      <xdr:spPr>
        <a:xfrm>
          <a:off x="9715500" y="5404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296</xdr:row>
      <xdr:rowOff>0</xdr:rowOff>
    </xdr:from>
    <xdr:to>
      <xdr:col>60</xdr:col>
      <xdr:colOff>83820</xdr:colOff>
      <xdr:row>296</xdr:row>
      <xdr:rowOff>114300</xdr:rowOff>
    </xdr:to>
    <xdr:sp macro="" textlink="">
      <xdr:nvSpPr>
        <xdr:cNvPr id="2254" name="Arrow: Down 2253">
          <a:extLst>
            <a:ext uri="{FF2B5EF4-FFF2-40B4-BE49-F238E27FC236}">
              <a16:creationId xmlns:a16="http://schemas.microsoft.com/office/drawing/2014/main" id="{B85DB76A-0FA7-4F7F-A610-98D5D39D45D9}"/>
            </a:ext>
          </a:extLst>
        </xdr:cNvPr>
        <xdr:cNvSpPr/>
      </xdr:nvSpPr>
      <xdr:spPr>
        <a:xfrm rot="10800000">
          <a:off x="17129760" y="5423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295</xdr:row>
      <xdr:rowOff>0</xdr:rowOff>
    </xdr:from>
    <xdr:to>
      <xdr:col>45</xdr:col>
      <xdr:colOff>83820</xdr:colOff>
      <xdr:row>295</xdr:row>
      <xdr:rowOff>114300</xdr:rowOff>
    </xdr:to>
    <xdr:sp macro="" textlink="">
      <xdr:nvSpPr>
        <xdr:cNvPr id="2255" name="Arrow: Down 2254">
          <a:extLst>
            <a:ext uri="{FF2B5EF4-FFF2-40B4-BE49-F238E27FC236}">
              <a16:creationId xmlns:a16="http://schemas.microsoft.com/office/drawing/2014/main" id="{28D0DF20-1DDF-419A-82AB-B7C66833E6CB}"/>
            </a:ext>
          </a:extLst>
        </xdr:cNvPr>
        <xdr:cNvSpPr/>
      </xdr:nvSpPr>
      <xdr:spPr>
        <a:xfrm rot="10800000">
          <a:off x="1157478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296</xdr:row>
      <xdr:rowOff>0</xdr:rowOff>
    </xdr:from>
    <xdr:to>
      <xdr:col>45</xdr:col>
      <xdr:colOff>83820</xdr:colOff>
      <xdr:row>296</xdr:row>
      <xdr:rowOff>114300</xdr:rowOff>
    </xdr:to>
    <xdr:sp macro="" textlink="">
      <xdr:nvSpPr>
        <xdr:cNvPr id="2256" name="Arrow: Down 2255">
          <a:extLst>
            <a:ext uri="{FF2B5EF4-FFF2-40B4-BE49-F238E27FC236}">
              <a16:creationId xmlns:a16="http://schemas.microsoft.com/office/drawing/2014/main" id="{E169F491-9259-47D1-81D4-F706D9925470}"/>
            </a:ext>
          </a:extLst>
        </xdr:cNvPr>
        <xdr:cNvSpPr/>
      </xdr:nvSpPr>
      <xdr:spPr>
        <a:xfrm>
          <a:off x="11574780" y="5423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297</xdr:row>
      <xdr:rowOff>0</xdr:rowOff>
    </xdr:from>
    <xdr:to>
      <xdr:col>24</xdr:col>
      <xdr:colOff>83820</xdr:colOff>
      <xdr:row>297</xdr:row>
      <xdr:rowOff>114300</xdr:rowOff>
    </xdr:to>
    <xdr:sp macro="" textlink="">
      <xdr:nvSpPr>
        <xdr:cNvPr id="2257" name="Arrow: Down 2256">
          <a:extLst>
            <a:ext uri="{FF2B5EF4-FFF2-40B4-BE49-F238E27FC236}">
              <a16:creationId xmlns:a16="http://schemas.microsoft.com/office/drawing/2014/main" id="{61B0EA91-0CFE-40D8-AC0F-DA31594AD5B6}"/>
            </a:ext>
          </a:extLst>
        </xdr:cNvPr>
        <xdr:cNvSpPr/>
      </xdr:nvSpPr>
      <xdr:spPr>
        <a:xfrm>
          <a:off x="6553200" y="5423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297</xdr:row>
      <xdr:rowOff>0</xdr:rowOff>
    </xdr:from>
    <xdr:to>
      <xdr:col>71</xdr:col>
      <xdr:colOff>83820</xdr:colOff>
      <xdr:row>297</xdr:row>
      <xdr:rowOff>114300</xdr:rowOff>
    </xdr:to>
    <xdr:sp macro="" textlink="">
      <xdr:nvSpPr>
        <xdr:cNvPr id="2265" name="Arrow: Down 2264">
          <a:extLst>
            <a:ext uri="{FF2B5EF4-FFF2-40B4-BE49-F238E27FC236}">
              <a16:creationId xmlns:a16="http://schemas.microsoft.com/office/drawing/2014/main" id="{165F0B49-C4FF-4D02-933F-6584EDE5C3AB}"/>
            </a:ext>
          </a:extLst>
        </xdr:cNvPr>
        <xdr:cNvSpPr/>
      </xdr:nvSpPr>
      <xdr:spPr>
        <a:xfrm rot="10800000">
          <a:off x="1956054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296</xdr:row>
      <xdr:rowOff>0</xdr:rowOff>
    </xdr:from>
    <xdr:to>
      <xdr:col>71</xdr:col>
      <xdr:colOff>83820</xdr:colOff>
      <xdr:row>296</xdr:row>
      <xdr:rowOff>114300</xdr:rowOff>
    </xdr:to>
    <xdr:sp macro="" textlink="">
      <xdr:nvSpPr>
        <xdr:cNvPr id="2266" name="Arrow: Down 2265">
          <a:extLst>
            <a:ext uri="{FF2B5EF4-FFF2-40B4-BE49-F238E27FC236}">
              <a16:creationId xmlns:a16="http://schemas.microsoft.com/office/drawing/2014/main" id="{6A0E7214-719A-4E01-8E89-4830B5C70136}"/>
            </a:ext>
          </a:extLst>
        </xdr:cNvPr>
        <xdr:cNvSpPr/>
      </xdr:nvSpPr>
      <xdr:spPr>
        <a:xfrm rot="10800000">
          <a:off x="19560540" y="5423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295</xdr:row>
      <xdr:rowOff>0</xdr:rowOff>
    </xdr:from>
    <xdr:to>
      <xdr:col>71</xdr:col>
      <xdr:colOff>83820</xdr:colOff>
      <xdr:row>295</xdr:row>
      <xdr:rowOff>114300</xdr:rowOff>
    </xdr:to>
    <xdr:sp macro="" textlink="">
      <xdr:nvSpPr>
        <xdr:cNvPr id="2268" name="Arrow: Down 2267">
          <a:extLst>
            <a:ext uri="{FF2B5EF4-FFF2-40B4-BE49-F238E27FC236}">
              <a16:creationId xmlns:a16="http://schemas.microsoft.com/office/drawing/2014/main" id="{D1EE692E-721C-41F6-AB10-C6F4BF736C8F}"/>
            </a:ext>
          </a:extLst>
        </xdr:cNvPr>
        <xdr:cNvSpPr/>
      </xdr:nvSpPr>
      <xdr:spPr>
        <a:xfrm rot="10800000">
          <a:off x="19560540" y="5404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297</xdr:row>
      <xdr:rowOff>0</xdr:rowOff>
    </xdr:from>
    <xdr:to>
      <xdr:col>5</xdr:col>
      <xdr:colOff>83820</xdr:colOff>
      <xdr:row>297</xdr:row>
      <xdr:rowOff>114300</xdr:rowOff>
    </xdr:to>
    <xdr:sp macro="" textlink="">
      <xdr:nvSpPr>
        <xdr:cNvPr id="2269" name="Arrow: Down 2268">
          <a:extLst>
            <a:ext uri="{FF2B5EF4-FFF2-40B4-BE49-F238E27FC236}">
              <a16:creationId xmlns:a16="http://schemas.microsoft.com/office/drawing/2014/main" id="{4BF21E63-4697-4BE7-ABEF-4A6280B2609E}"/>
            </a:ext>
          </a:extLst>
        </xdr:cNvPr>
        <xdr:cNvSpPr/>
      </xdr:nvSpPr>
      <xdr:spPr>
        <a:xfrm rot="10800000">
          <a:off x="192786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297</xdr:row>
      <xdr:rowOff>0</xdr:rowOff>
    </xdr:from>
    <xdr:to>
      <xdr:col>11</xdr:col>
      <xdr:colOff>83820</xdr:colOff>
      <xdr:row>297</xdr:row>
      <xdr:rowOff>114300</xdr:rowOff>
    </xdr:to>
    <xdr:sp macro="" textlink="">
      <xdr:nvSpPr>
        <xdr:cNvPr id="2270" name="Arrow: Down 2269">
          <a:extLst>
            <a:ext uri="{FF2B5EF4-FFF2-40B4-BE49-F238E27FC236}">
              <a16:creationId xmlns:a16="http://schemas.microsoft.com/office/drawing/2014/main" id="{BFEF240D-8B00-4112-821C-3B89C26B3AEE}"/>
            </a:ext>
          </a:extLst>
        </xdr:cNvPr>
        <xdr:cNvSpPr/>
      </xdr:nvSpPr>
      <xdr:spPr>
        <a:xfrm rot="10800000">
          <a:off x="369570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297</xdr:row>
      <xdr:rowOff>0</xdr:rowOff>
    </xdr:from>
    <xdr:to>
      <xdr:col>39</xdr:col>
      <xdr:colOff>83820</xdr:colOff>
      <xdr:row>297</xdr:row>
      <xdr:rowOff>114300</xdr:rowOff>
    </xdr:to>
    <xdr:sp macro="" textlink="">
      <xdr:nvSpPr>
        <xdr:cNvPr id="2272" name="Arrow: Down 2271">
          <a:extLst>
            <a:ext uri="{FF2B5EF4-FFF2-40B4-BE49-F238E27FC236}">
              <a16:creationId xmlns:a16="http://schemas.microsoft.com/office/drawing/2014/main" id="{F8CC822D-DEA2-46C3-B382-8DE0B1E36CAD}"/>
            </a:ext>
          </a:extLst>
        </xdr:cNvPr>
        <xdr:cNvSpPr/>
      </xdr:nvSpPr>
      <xdr:spPr>
        <a:xfrm rot="10800000">
          <a:off x="971550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297</xdr:row>
      <xdr:rowOff>0</xdr:rowOff>
    </xdr:from>
    <xdr:to>
      <xdr:col>45</xdr:col>
      <xdr:colOff>83820</xdr:colOff>
      <xdr:row>297</xdr:row>
      <xdr:rowOff>114300</xdr:rowOff>
    </xdr:to>
    <xdr:sp macro="" textlink="">
      <xdr:nvSpPr>
        <xdr:cNvPr id="2274" name="Arrow: Down 2273">
          <a:extLst>
            <a:ext uri="{FF2B5EF4-FFF2-40B4-BE49-F238E27FC236}">
              <a16:creationId xmlns:a16="http://schemas.microsoft.com/office/drawing/2014/main" id="{5EC7D1A7-EBF2-411E-B8CC-CB58F4EE2D27}"/>
            </a:ext>
          </a:extLst>
        </xdr:cNvPr>
        <xdr:cNvSpPr/>
      </xdr:nvSpPr>
      <xdr:spPr>
        <a:xfrm rot="10800000">
          <a:off x="1157478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297</xdr:row>
      <xdr:rowOff>0</xdr:rowOff>
    </xdr:from>
    <xdr:to>
      <xdr:col>60</xdr:col>
      <xdr:colOff>83820</xdr:colOff>
      <xdr:row>297</xdr:row>
      <xdr:rowOff>114300</xdr:rowOff>
    </xdr:to>
    <xdr:sp macro="" textlink="">
      <xdr:nvSpPr>
        <xdr:cNvPr id="2275" name="Arrow: Down 2274">
          <a:extLst>
            <a:ext uri="{FF2B5EF4-FFF2-40B4-BE49-F238E27FC236}">
              <a16:creationId xmlns:a16="http://schemas.microsoft.com/office/drawing/2014/main" id="{05FB3E19-D0BB-43A6-8E28-D7947FB58A0E}"/>
            </a:ext>
          </a:extLst>
        </xdr:cNvPr>
        <xdr:cNvSpPr/>
      </xdr:nvSpPr>
      <xdr:spPr>
        <a:xfrm>
          <a:off x="1712976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298</xdr:row>
      <xdr:rowOff>0</xdr:rowOff>
    </xdr:from>
    <xdr:to>
      <xdr:col>24</xdr:col>
      <xdr:colOff>83820</xdr:colOff>
      <xdr:row>298</xdr:row>
      <xdr:rowOff>114300</xdr:rowOff>
    </xdr:to>
    <xdr:sp macro="" textlink="">
      <xdr:nvSpPr>
        <xdr:cNvPr id="2152" name="Arrow: Down 2151">
          <a:extLst>
            <a:ext uri="{FF2B5EF4-FFF2-40B4-BE49-F238E27FC236}">
              <a16:creationId xmlns:a16="http://schemas.microsoft.com/office/drawing/2014/main" id="{4BB624DF-59C5-4ECC-9231-A6F0E677BB76}"/>
            </a:ext>
          </a:extLst>
        </xdr:cNvPr>
        <xdr:cNvSpPr/>
      </xdr:nvSpPr>
      <xdr:spPr>
        <a:xfrm>
          <a:off x="655320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298</xdr:row>
      <xdr:rowOff>0</xdr:rowOff>
    </xdr:from>
    <xdr:to>
      <xdr:col>71</xdr:col>
      <xdr:colOff>83820</xdr:colOff>
      <xdr:row>298</xdr:row>
      <xdr:rowOff>114300</xdr:rowOff>
    </xdr:to>
    <xdr:sp macro="" textlink="">
      <xdr:nvSpPr>
        <xdr:cNvPr id="2156" name="Arrow: Down 2155">
          <a:extLst>
            <a:ext uri="{FF2B5EF4-FFF2-40B4-BE49-F238E27FC236}">
              <a16:creationId xmlns:a16="http://schemas.microsoft.com/office/drawing/2014/main" id="{911A49BA-4DA7-49E2-B87F-CB97D84EA31F}"/>
            </a:ext>
          </a:extLst>
        </xdr:cNvPr>
        <xdr:cNvSpPr/>
      </xdr:nvSpPr>
      <xdr:spPr>
        <a:xfrm rot="10800000">
          <a:off x="1956054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298</xdr:row>
      <xdr:rowOff>0</xdr:rowOff>
    </xdr:from>
    <xdr:to>
      <xdr:col>60</xdr:col>
      <xdr:colOff>83820</xdr:colOff>
      <xdr:row>298</xdr:row>
      <xdr:rowOff>114300</xdr:rowOff>
    </xdr:to>
    <xdr:sp macro="" textlink="">
      <xdr:nvSpPr>
        <xdr:cNvPr id="2187" name="Arrow: Down 2186">
          <a:extLst>
            <a:ext uri="{FF2B5EF4-FFF2-40B4-BE49-F238E27FC236}">
              <a16:creationId xmlns:a16="http://schemas.microsoft.com/office/drawing/2014/main" id="{7DCBB1C2-39BC-4590-A7C4-BBB70B20E08F}"/>
            </a:ext>
          </a:extLst>
        </xdr:cNvPr>
        <xdr:cNvSpPr/>
      </xdr:nvSpPr>
      <xdr:spPr>
        <a:xfrm rot="10800000">
          <a:off x="1712976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298</xdr:row>
      <xdr:rowOff>0</xdr:rowOff>
    </xdr:from>
    <xdr:to>
      <xdr:col>5</xdr:col>
      <xdr:colOff>83820</xdr:colOff>
      <xdr:row>298</xdr:row>
      <xdr:rowOff>114300</xdr:rowOff>
    </xdr:to>
    <xdr:sp macro="" textlink="">
      <xdr:nvSpPr>
        <xdr:cNvPr id="2201" name="Arrow: Down 2200">
          <a:extLst>
            <a:ext uri="{FF2B5EF4-FFF2-40B4-BE49-F238E27FC236}">
              <a16:creationId xmlns:a16="http://schemas.microsoft.com/office/drawing/2014/main" id="{3002F192-A92F-4650-8DD9-CB046C171573}"/>
            </a:ext>
          </a:extLst>
        </xdr:cNvPr>
        <xdr:cNvSpPr/>
      </xdr:nvSpPr>
      <xdr:spPr>
        <a:xfrm>
          <a:off x="192786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298</xdr:row>
      <xdr:rowOff>0</xdr:rowOff>
    </xdr:from>
    <xdr:to>
      <xdr:col>11</xdr:col>
      <xdr:colOff>83820</xdr:colOff>
      <xdr:row>298</xdr:row>
      <xdr:rowOff>114300</xdr:rowOff>
    </xdr:to>
    <xdr:sp macro="" textlink="">
      <xdr:nvSpPr>
        <xdr:cNvPr id="2213" name="Arrow: Down 2212">
          <a:extLst>
            <a:ext uri="{FF2B5EF4-FFF2-40B4-BE49-F238E27FC236}">
              <a16:creationId xmlns:a16="http://schemas.microsoft.com/office/drawing/2014/main" id="{32660C36-29BB-4BC5-AB21-B90FA0364CAB}"/>
            </a:ext>
          </a:extLst>
        </xdr:cNvPr>
        <xdr:cNvSpPr/>
      </xdr:nvSpPr>
      <xdr:spPr>
        <a:xfrm>
          <a:off x="369570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298</xdr:row>
      <xdr:rowOff>0</xdr:rowOff>
    </xdr:from>
    <xdr:to>
      <xdr:col>39</xdr:col>
      <xdr:colOff>83820</xdr:colOff>
      <xdr:row>298</xdr:row>
      <xdr:rowOff>114300</xdr:rowOff>
    </xdr:to>
    <xdr:sp macro="" textlink="">
      <xdr:nvSpPr>
        <xdr:cNvPr id="2229" name="Arrow: Down 2228">
          <a:extLst>
            <a:ext uri="{FF2B5EF4-FFF2-40B4-BE49-F238E27FC236}">
              <a16:creationId xmlns:a16="http://schemas.microsoft.com/office/drawing/2014/main" id="{2549D206-2484-499B-BD20-7C3CD5C9C9DD}"/>
            </a:ext>
          </a:extLst>
        </xdr:cNvPr>
        <xdr:cNvSpPr/>
      </xdr:nvSpPr>
      <xdr:spPr>
        <a:xfrm>
          <a:off x="971550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298</xdr:row>
      <xdr:rowOff>0</xdr:rowOff>
    </xdr:from>
    <xdr:to>
      <xdr:col>45</xdr:col>
      <xdr:colOff>83820</xdr:colOff>
      <xdr:row>298</xdr:row>
      <xdr:rowOff>114300</xdr:rowOff>
    </xdr:to>
    <xdr:sp macro="" textlink="">
      <xdr:nvSpPr>
        <xdr:cNvPr id="2230" name="Arrow: Down 2229">
          <a:extLst>
            <a:ext uri="{FF2B5EF4-FFF2-40B4-BE49-F238E27FC236}">
              <a16:creationId xmlns:a16="http://schemas.microsoft.com/office/drawing/2014/main" id="{A98181A6-6207-4D62-9CE4-788047F954D9}"/>
            </a:ext>
          </a:extLst>
        </xdr:cNvPr>
        <xdr:cNvSpPr/>
      </xdr:nvSpPr>
      <xdr:spPr>
        <a:xfrm>
          <a:off x="1157478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299</xdr:row>
      <xdr:rowOff>0</xdr:rowOff>
    </xdr:from>
    <xdr:to>
      <xdr:col>71</xdr:col>
      <xdr:colOff>83820</xdr:colOff>
      <xdr:row>299</xdr:row>
      <xdr:rowOff>114300</xdr:rowOff>
    </xdr:to>
    <xdr:sp macro="" textlink="">
      <xdr:nvSpPr>
        <xdr:cNvPr id="2249" name="Arrow: Down 2248">
          <a:extLst>
            <a:ext uri="{FF2B5EF4-FFF2-40B4-BE49-F238E27FC236}">
              <a16:creationId xmlns:a16="http://schemas.microsoft.com/office/drawing/2014/main" id="{1193391F-3A3D-43CB-8F34-3E4202CC90B1}"/>
            </a:ext>
          </a:extLst>
        </xdr:cNvPr>
        <xdr:cNvSpPr/>
      </xdr:nvSpPr>
      <xdr:spPr>
        <a:xfrm rot="10800000">
          <a:off x="1956054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299</xdr:row>
      <xdr:rowOff>0</xdr:rowOff>
    </xdr:from>
    <xdr:to>
      <xdr:col>5</xdr:col>
      <xdr:colOff>83820</xdr:colOff>
      <xdr:row>299</xdr:row>
      <xdr:rowOff>114300</xdr:rowOff>
    </xdr:to>
    <xdr:sp macro="" textlink="">
      <xdr:nvSpPr>
        <xdr:cNvPr id="2258" name="Arrow: Down 2257">
          <a:extLst>
            <a:ext uri="{FF2B5EF4-FFF2-40B4-BE49-F238E27FC236}">
              <a16:creationId xmlns:a16="http://schemas.microsoft.com/office/drawing/2014/main" id="{10FF98EF-234F-4B2D-BD42-8CB86931188D}"/>
            </a:ext>
          </a:extLst>
        </xdr:cNvPr>
        <xdr:cNvSpPr/>
      </xdr:nvSpPr>
      <xdr:spPr>
        <a:xfrm>
          <a:off x="192786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299</xdr:row>
      <xdr:rowOff>0</xdr:rowOff>
    </xdr:from>
    <xdr:to>
      <xdr:col>11</xdr:col>
      <xdr:colOff>83820</xdr:colOff>
      <xdr:row>299</xdr:row>
      <xdr:rowOff>114300</xdr:rowOff>
    </xdr:to>
    <xdr:sp macro="" textlink="">
      <xdr:nvSpPr>
        <xdr:cNvPr id="2259" name="Arrow: Down 2258">
          <a:extLst>
            <a:ext uri="{FF2B5EF4-FFF2-40B4-BE49-F238E27FC236}">
              <a16:creationId xmlns:a16="http://schemas.microsoft.com/office/drawing/2014/main" id="{C5F635E0-D9C1-4211-BDFB-B4F5A52F313D}"/>
            </a:ext>
          </a:extLst>
        </xdr:cNvPr>
        <xdr:cNvSpPr/>
      </xdr:nvSpPr>
      <xdr:spPr>
        <a:xfrm>
          <a:off x="369570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299</xdr:row>
      <xdr:rowOff>0</xdr:rowOff>
    </xdr:from>
    <xdr:to>
      <xdr:col>60</xdr:col>
      <xdr:colOff>83820</xdr:colOff>
      <xdr:row>299</xdr:row>
      <xdr:rowOff>114300</xdr:rowOff>
    </xdr:to>
    <xdr:sp macro="" textlink="">
      <xdr:nvSpPr>
        <xdr:cNvPr id="2264" name="Arrow: Down 2263">
          <a:extLst>
            <a:ext uri="{FF2B5EF4-FFF2-40B4-BE49-F238E27FC236}">
              <a16:creationId xmlns:a16="http://schemas.microsoft.com/office/drawing/2014/main" id="{D92614F3-F0B1-4BF6-8AD7-B55772183E21}"/>
            </a:ext>
          </a:extLst>
        </xdr:cNvPr>
        <xdr:cNvSpPr/>
      </xdr:nvSpPr>
      <xdr:spPr>
        <a:xfrm>
          <a:off x="17129760" y="5478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299</xdr:row>
      <xdr:rowOff>0</xdr:rowOff>
    </xdr:from>
    <xdr:to>
      <xdr:col>39</xdr:col>
      <xdr:colOff>83820</xdr:colOff>
      <xdr:row>299</xdr:row>
      <xdr:rowOff>114300</xdr:rowOff>
    </xdr:to>
    <xdr:sp macro="" textlink="">
      <xdr:nvSpPr>
        <xdr:cNvPr id="2271" name="Arrow: Down 2270">
          <a:extLst>
            <a:ext uri="{FF2B5EF4-FFF2-40B4-BE49-F238E27FC236}">
              <a16:creationId xmlns:a16="http://schemas.microsoft.com/office/drawing/2014/main" id="{9AFAA0FA-3B61-499C-932D-66A2FCFA0D4F}"/>
            </a:ext>
          </a:extLst>
        </xdr:cNvPr>
        <xdr:cNvSpPr/>
      </xdr:nvSpPr>
      <xdr:spPr>
        <a:xfrm rot="10800000">
          <a:off x="9715500" y="5478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299</xdr:row>
      <xdr:rowOff>0</xdr:rowOff>
    </xdr:from>
    <xdr:to>
      <xdr:col>45</xdr:col>
      <xdr:colOff>83820</xdr:colOff>
      <xdr:row>299</xdr:row>
      <xdr:rowOff>114300</xdr:rowOff>
    </xdr:to>
    <xdr:sp macro="" textlink="">
      <xdr:nvSpPr>
        <xdr:cNvPr id="2273" name="Arrow: Down 2272">
          <a:extLst>
            <a:ext uri="{FF2B5EF4-FFF2-40B4-BE49-F238E27FC236}">
              <a16:creationId xmlns:a16="http://schemas.microsoft.com/office/drawing/2014/main" id="{AC5C15E5-8E59-4B94-AF42-24FEB3695A82}"/>
            </a:ext>
          </a:extLst>
        </xdr:cNvPr>
        <xdr:cNvSpPr/>
      </xdr:nvSpPr>
      <xdr:spPr>
        <a:xfrm rot="10800000">
          <a:off x="11574780" y="5478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299</xdr:row>
      <xdr:rowOff>0</xdr:rowOff>
    </xdr:from>
    <xdr:to>
      <xdr:col>24</xdr:col>
      <xdr:colOff>83820</xdr:colOff>
      <xdr:row>299</xdr:row>
      <xdr:rowOff>114300</xdr:rowOff>
    </xdr:to>
    <xdr:sp macro="" textlink="">
      <xdr:nvSpPr>
        <xdr:cNvPr id="2276" name="Arrow: Down 2275">
          <a:extLst>
            <a:ext uri="{FF2B5EF4-FFF2-40B4-BE49-F238E27FC236}">
              <a16:creationId xmlns:a16="http://schemas.microsoft.com/office/drawing/2014/main" id="{AA06E640-3F65-4DBE-AEC1-C408269C017E}"/>
            </a:ext>
          </a:extLst>
        </xdr:cNvPr>
        <xdr:cNvSpPr/>
      </xdr:nvSpPr>
      <xdr:spPr>
        <a:xfrm rot="10800000">
          <a:off x="6553200" y="5478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300</xdr:row>
      <xdr:rowOff>0</xdr:rowOff>
    </xdr:from>
    <xdr:to>
      <xdr:col>71</xdr:col>
      <xdr:colOff>83820</xdr:colOff>
      <xdr:row>300</xdr:row>
      <xdr:rowOff>114300</xdr:rowOff>
    </xdr:to>
    <xdr:sp macro="" textlink="">
      <xdr:nvSpPr>
        <xdr:cNvPr id="2277" name="Arrow: Down 2276">
          <a:extLst>
            <a:ext uri="{FF2B5EF4-FFF2-40B4-BE49-F238E27FC236}">
              <a16:creationId xmlns:a16="http://schemas.microsoft.com/office/drawing/2014/main" id="{7F09D6D7-06EE-4792-A25C-E0CF6EE1437B}"/>
            </a:ext>
          </a:extLst>
        </xdr:cNvPr>
        <xdr:cNvSpPr/>
      </xdr:nvSpPr>
      <xdr:spPr>
        <a:xfrm rot="10800000">
          <a:off x="19560540" y="5478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300</xdr:row>
      <xdr:rowOff>0</xdr:rowOff>
    </xdr:from>
    <xdr:to>
      <xdr:col>24</xdr:col>
      <xdr:colOff>83820</xdr:colOff>
      <xdr:row>300</xdr:row>
      <xdr:rowOff>114300</xdr:rowOff>
    </xdr:to>
    <xdr:sp macro="" textlink="">
      <xdr:nvSpPr>
        <xdr:cNvPr id="2283" name="Arrow: Down 2282">
          <a:extLst>
            <a:ext uri="{FF2B5EF4-FFF2-40B4-BE49-F238E27FC236}">
              <a16:creationId xmlns:a16="http://schemas.microsoft.com/office/drawing/2014/main" id="{832D7F65-6C26-497E-A07A-FE50430D0A40}"/>
            </a:ext>
          </a:extLst>
        </xdr:cNvPr>
        <xdr:cNvSpPr/>
      </xdr:nvSpPr>
      <xdr:spPr>
        <a:xfrm rot="10800000">
          <a:off x="6553200" y="5478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300</xdr:row>
      <xdr:rowOff>0</xdr:rowOff>
    </xdr:from>
    <xdr:to>
      <xdr:col>5</xdr:col>
      <xdr:colOff>83820</xdr:colOff>
      <xdr:row>300</xdr:row>
      <xdr:rowOff>114300</xdr:rowOff>
    </xdr:to>
    <xdr:sp macro="" textlink="">
      <xdr:nvSpPr>
        <xdr:cNvPr id="2284" name="Arrow: Down 2283">
          <a:extLst>
            <a:ext uri="{FF2B5EF4-FFF2-40B4-BE49-F238E27FC236}">
              <a16:creationId xmlns:a16="http://schemas.microsoft.com/office/drawing/2014/main" id="{86250825-09AC-4565-BB60-7AF6C885F2E7}"/>
            </a:ext>
          </a:extLst>
        </xdr:cNvPr>
        <xdr:cNvSpPr/>
      </xdr:nvSpPr>
      <xdr:spPr>
        <a:xfrm rot="10800000">
          <a:off x="19278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300</xdr:row>
      <xdr:rowOff>0</xdr:rowOff>
    </xdr:from>
    <xdr:to>
      <xdr:col>11</xdr:col>
      <xdr:colOff>83820</xdr:colOff>
      <xdr:row>300</xdr:row>
      <xdr:rowOff>114300</xdr:rowOff>
    </xdr:to>
    <xdr:sp macro="" textlink="">
      <xdr:nvSpPr>
        <xdr:cNvPr id="2285" name="Arrow: Down 2284">
          <a:extLst>
            <a:ext uri="{FF2B5EF4-FFF2-40B4-BE49-F238E27FC236}">
              <a16:creationId xmlns:a16="http://schemas.microsoft.com/office/drawing/2014/main" id="{8F9CDBB1-B618-4049-9249-FFF64AFB355D}"/>
            </a:ext>
          </a:extLst>
        </xdr:cNvPr>
        <xdr:cNvSpPr/>
      </xdr:nvSpPr>
      <xdr:spPr>
        <a:xfrm rot="10800000">
          <a:off x="36957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300</xdr:row>
      <xdr:rowOff>0</xdr:rowOff>
    </xdr:from>
    <xdr:to>
      <xdr:col>45</xdr:col>
      <xdr:colOff>83820</xdr:colOff>
      <xdr:row>300</xdr:row>
      <xdr:rowOff>114300</xdr:rowOff>
    </xdr:to>
    <xdr:sp macro="" textlink="">
      <xdr:nvSpPr>
        <xdr:cNvPr id="2286" name="Arrow: Down 2285">
          <a:extLst>
            <a:ext uri="{FF2B5EF4-FFF2-40B4-BE49-F238E27FC236}">
              <a16:creationId xmlns:a16="http://schemas.microsoft.com/office/drawing/2014/main" id="{EBC8FB06-5EE1-4044-AFFE-A6BC2EF60BCF}"/>
            </a:ext>
          </a:extLst>
        </xdr:cNvPr>
        <xdr:cNvSpPr/>
      </xdr:nvSpPr>
      <xdr:spPr>
        <a:xfrm>
          <a:off x="1157478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300</xdr:row>
      <xdr:rowOff>0</xdr:rowOff>
    </xdr:from>
    <xdr:to>
      <xdr:col>39</xdr:col>
      <xdr:colOff>83820</xdr:colOff>
      <xdr:row>300</xdr:row>
      <xdr:rowOff>114300</xdr:rowOff>
    </xdr:to>
    <xdr:sp macro="" textlink="">
      <xdr:nvSpPr>
        <xdr:cNvPr id="2287" name="Arrow: Down 2286">
          <a:extLst>
            <a:ext uri="{FF2B5EF4-FFF2-40B4-BE49-F238E27FC236}">
              <a16:creationId xmlns:a16="http://schemas.microsoft.com/office/drawing/2014/main" id="{42FF1448-B3A5-4243-8B89-9720E2959996}"/>
            </a:ext>
          </a:extLst>
        </xdr:cNvPr>
        <xdr:cNvSpPr/>
      </xdr:nvSpPr>
      <xdr:spPr>
        <a:xfrm>
          <a:off x="97155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300</xdr:row>
      <xdr:rowOff>0</xdr:rowOff>
    </xdr:from>
    <xdr:to>
      <xdr:col>60</xdr:col>
      <xdr:colOff>83820</xdr:colOff>
      <xdr:row>300</xdr:row>
      <xdr:rowOff>114300</xdr:rowOff>
    </xdr:to>
    <xdr:sp macro="" textlink="">
      <xdr:nvSpPr>
        <xdr:cNvPr id="2288" name="Arrow: Down 2287">
          <a:extLst>
            <a:ext uri="{FF2B5EF4-FFF2-40B4-BE49-F238E27FC236}">
              <a16:creationId xmlns:a16="http://schemas.microsoft.com/office/drawing/2014/main" id="{707EFBED-B439-4D2C-9DA0-F4BBF49A4052}"/>
            </a:ext>
          </a:extLst>
        </xdr:cNvPr>
        <xdr:cNvSpPr/>
      </xdr:nvSpPr>
      <xdr:spPr>
        <a:xfrm rot="10800000">
          <a:off x="171297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301</xdr:row>
      <xdr:rowOff>0</xdr:rowOff>
    </xdr:from>
    <xdr:to>
      <xdr:col>71</xdr:col>
      <xdr:colOff>83820</xdr:colOff>
      <xdr:row>301</xdr:row>
      <xdr:rowOff>114300</xdr:rowOff>
    </xdr:to>
    <xdr:sp macro="" textlink="">
      <xdr:nvSpPr>
        <xdr:cNvPr id="2296" name="Arrow: Down 2295">
          <a:extLst>
            <a:ext uri="{FF2B5EF4-FFF2-40B4-BE49-F238E27FC236}">
              <a16:creationId xmlns:a16="http://schemas.microsoft.com/office/drawing/2014/main" id="{0AFDEFAC-F947-48CF-911E-2DAD16B28E97}"/>
            </a:ext>
          </a:extLst>
        </xdr:cNvPr>
        <xdr:cNvSpPr/>
      </xdr:nvSpPr>
      <xdr:spPr>
        <a:xfrm rot="10800000">
          <a:off x="1956054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301</xdr:row>
      <xdr:rowOff>0</xdr:rowOff>
    </xdr:from>
    <xdr:to>
      <xdr:col>24</xdr:col>
      <xdr:colOff>83820</xdr:colOff>
      <xdr:row>301</xdr:row>
      <xdr:rowOff>114300</xdr:rowOff>
    </xdr:to>
    <xdr:sp macro="" textlink="">
      <xdr:nvSpPr>
        <xdr:cNvPr id="2297" name="Arrow: Down 2296">
          <a:extLst>
            <a:ext uri="{FF2B5EF4-FFF2-40B4-BE49-F238E27FC236}">
              <a16:creationId xmlns:a16="http://schemas.microsoft.com/office/drawing/2014/main" id="{CCEA1291-CD5E-4F3E-A42A-18F8340A4B5D}"/>
            </a:ext>
          </a:extLst>
        </xdr:cNvPr>
        <xdr:cNvSpPr/>
      </xdr:nvSpPr>
      <xdr:spPr>
        <a:xfrm rot="10800000">
          <a:off x="65532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301</xdr:row>
      <xdr:rowOff>0</xdr:rowOff>
    </xdr:from>
    <xdr:to>
      <xdr:col>5</xdr:col>
      <xdr:colOff>83820</xdr:colOff>
      <xdr:row>301</xdr:row>
      <xdr:rowOff>114300</xdr:rowOff>
    </xdr:to>
    <xdr:sp macro="" textlink="">
      <xdr:nvSpPr>
        <xdr:cNvPr id="2298" name="Arrow: Down 2297">
          <a:extLst>
            <a:ext uri="{FF2B5EF4-FFF2-40B4-BE49-F238E27FC236}">
              <a16:creationId xmlns:a16="http://schemas.microsoft.com/office/drawing/2014/main" id="{115DF259-37CC-47FC-A056-7364CF64DB66}"/>
            </a:ext>
          </a:extLst>
        </xdr:cNvPr>
        <xdr:cNvSpPr/>
      </xdr:nvSpPr>
      <xdr:spPr>
        <a:xfrm rot="10800000">
          <a:off x="19278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301</xdr:row>
      <xdr:rowOff>0</xdr:rowOff>
    </xdr:from>
    <xdr:to>
      <xdr:col>11</xdr:col>
      <xdr:colOff>83820</xdr:colOff>
      <xdr:row>301</xdr:row>
      <xdr:rowOff>114300</xdr:rowOff>
    </xdr:to>
    <xdr:sp macro="" textlink="">
      <xdr:nvSpPr>
        <xdr:cNvPr id="2299" name="Arrow: Down 2298">
          <a:extLst>
            <a:ext uri="{FF2B5EF4-FFF2-40B4-BE49-F238E27FC236}">
              <a16:creationId xmlns:a16="http://schemas.microsoft.com/office/drawing/2014/main" id="{6E7A4B8D-1AB9-4DC6-941B-81E8056989E9}"/>
            </a:ext>
          </a:extLst>
        </xdr:cNvPr>
        <xdr:cNvSpPr/>
      </xdr:nvSpPr>
      <xdr:spPr>
        <a:xfrm rot="10800000">
          <a:off x="36957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301</xdr:row>
      <xdr:rowOff>0</xdr:rowOff>
    </xdr:from>
    <xdr:to>
      <xdr:col>45</xdr:col>
      <xdr:colOff>83820</xdr:colOff>
      <xdr:row>301</xdr:row>
      <xdr:rowOff>114300</xdr:rowOff>
    </xdr:to>
    <xdr:sp macro="" textlink="">
      <xdr:nvSpPr>
        <xdr:cNvPr id="2300" name="Arrow: Down 2299">
          <a:extLst>
            <a:ext uri="{FF2B5EF4-FFF2-40B4-BE49-F238E27FC236}">
              <a16:creationId xmlns:a16="http://schemas.microsoft.com/office/drawing/2014/main" id="{05F992FF-D67B-495C-BCDE-EABC07F97F85}"/>
            </a:ext>
          </a:extLst>
        </xdr:cNvPr>
        <xdr:cNvSpPr/>
      </xdr:nvSpPr>
      <xdr:spPr>
        <a:xfrm>
          <a:off x="1157478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301</xdr:row>
      <xdr:rowOff>0</xdr:rowOff>
    </xdr:from>
    <xdr:to>
      <xdr:col>60</xdr:col>
      <xdr:colOff>83820</xdr:colOff>
      <xdr:row>301</xdr:row>
      <xdr:rowOff>114300</xdr:rowOff>
    </xdr:to>
    <xdr:sp macro="" textlink="">
      <xdr:nvSpPr>
        <xdr:cNvPr id="2302" name="Arrow: Down 2301">
          <a:extLst>
            <a:ext uri="{FF2B5EF4-FFF2-40B4-BE49-F238E27FC236}">
              <a16:creationId xmlns:a16="http://schemas.microsoft.com/office/drawing/2014/main" id="{FAB98E6B-7E86-4FD7-B461-B9FB4DA9628B}"/>
            </a:ext>
          </a:extLst>
        </xdr:cNvPr>
        <xdr:cNvSpPr/>
      </xdr:nvSpPr>
      <xdr:spPr>
        <a:xfrm rot="10800000">
          <a:off x="171297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301</xdr:row>
      <xdr:rowOff>0</xdr:rowOff>
    </xdr:from>
    <xdr:to>
      <xdr:col>39</xdr:col>
      <xdr:colOff>83820</xdr:colOff>
      <xdr:row>301</xdr:row>
      <xdr:rowOff>114300</xdr:rowOff>
    </xdr:to>
    <xdr:sp macro="" textlink="">
      <xdr:nvSpPr>
        <xdr:cNvPr id="2304" name="Arrow: Down 2303">
          <a:extLst>
            <a:ext uri="{FF2B5EF4-FFF2-40B4-BE49-F238E27FC236}">
              <a16:creationId xmlns:a16="http://schemas.microsoft.com/office/drawing/2014/main" id="{9DDE52AA-562C-4CFC-BF1A-B19E38E541D9}"/>
            </a:ext>
          </a:extLst>
        </xdr:cNvPr>
        <xdr:cNvSpPr/>
      </xdr:nvSpPr>
      <xdr:spPr>
        <a:xfrm rot="10800000">
          <a:off x="9715500" y="5514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302</xdr:row>
      <xdr:rowOff>0</xdr:rowOff>
    </xdr:from>
    <xdr:to>
      <xdr:col>71</xdr:col>
      <xdr:colOff>83820</xdr:colOff>
      <xdr:row>302</xdr:row>
      <xdr:rowOff>114300</xdr:rowOff>
    </xdr:to>
    <xdr:sp macro="" textlink="">
      <xdr:nvSpPr>
        <xdr:cNvPr id="2312" name="Arrow: Down 2311">
          <a:extLst>
            <a:ext uri="{FF2B5EF4-FFF2-40B4-BE49-F238E27FC236}">
              <a16:creationId xmlns:a16="http://schemas.microsoft.com/office/drawing/2014/main" id="{2BCE23BD-A8E0-455B-96CD-7A993C6F1952}"/>
            </a:ext>
          </a:extLst>
        </xdr:cNvPr>
        <xdr:cNvSpPr/>
      </xdr:nvSpPr>
      <xdr:spPr>
        <a:xfrm rot="10800000">
          <a:off x="1956054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302</xdr:row>
      <xdr:rowOff>0</xdr:rowOff>
    </xdr:from>
    <xdr:to>
      <xdr:col>24</xdr:col>
      <xdr:colOff>83820</xdr:colOff>
      <xdr:row>302</xdr:row>
      <xdr:rowOff>114300</xdr:rowOff>
    </xdr:to>
    <xdr:sp macro="" textlink="">
      <xdr:nvSpPr>
        <xdr:cNvPr id="2313" name="Arrow: Down 2312">
          <a:extLst>
            <a:ext uri="{FF2B5EF4-FFF2-40B4-BE49-F238E27FC236}">
              <a16:creationId xmlns:a16="http://schemas.microsoft.com/office/drawing/2014/main" id="{512E819F-F3C5-4296-8931-947874AE0026}"/>
            </a:ext>
          </a:extLst>
        </xdr:cNvPr>
        <xdr:cNvSpPr/>
      </xdr:nvSpPr>
      <xdr:spPr>
        <a:xfrm rot="10800000">
          <a:off x="655320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302</xdr:row>
      <xdr:rowOff>0</xdr:rowOff>
    </xdr:from>
    <xdr:to>
      <xdr:col>5</xdr:col>
      <xdr:colOff>83820</xdr:colOff>
      <xdr:row>302</xdr:row>
      <xdr:rowOff>114300</xdr:rowOff>
    </xdr:to>
    <xdr:sp macro="" textlink="">
      <xdr:nvSpPr>
        <xdr:cNvPr id="2314" name="Arrow: Down 2313">
          <a:extLst>
            <a:ext uri="{FF2B5EF4-FFF2-40B4-BE49-F238E27FC236}">
              <a16:creationId xmlns:a16="http://schemas.microsoft.com/office/drawing/2014/main" id="{9A537B08-C955-457B-AD1C-0C112FBD06AC}"/>
            </a:ext>
          </a:extLst>
        </xdr:cNvPr>
        <xdr:cNvSpPr/>
      </xdr:nvSpPr>
      <xdr:spPr>
        <a:xfrm rot="10800000">
          <a:off x="192786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302</xdr:row>
      <xdr:rowOff>0</xdr:rowOff>
    </xdr:from>
    <xdr:to>
      <xdr:col>11</xdr:col>
      <xdr:colOff>83820</xdr:colOff>
      <xdr:row>302</xdr:row>
      <xdr:rowOff>114300</xdr:rowOff>
    </xdr:to>
    <xdr:sp macro="" textlink="">
      <xdr:nvSpPr>
        <xdr:cNvPr id="2315" name="Arrow: Down 2314">
          <a:extLst>
            <a:ext uri="{FF2B5EF4-FFF2-40B4-BE49-F238E27FC236}">
              <a16:creationId xmlns:a16="http://schemas.microsoft.com/office/drawing/2014/main" id="{40A61644-C46A-4A57-A34F-2FAE9D144709}"/>
            </a:ext>
          </a:extLst>
        </xdr:cNvPr>
        <xdr:cNvSpPr/>
      </xdr:nvSpPr>
      <xdr:spPr>
        <a:xfrm rot="10800000">
          <a:off x="369570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302</xdr:row>
      <xdr:rowOff>0</xdr:rowOff>
    </xdr:from>
    <xdr:to>
      <xdr:col>45</xdr:col>
      <xdr:colOff>83820</xdr:colOff>
      <xdr:row>302</xdr:row>
      <xdr:rowOff>114300</xdr:rowOff>
    </xdr:to>
    <xdr:sp macro="" textlink="">
      <xdr:nvSpPr>
        <xdr:cNvPr id="2316" name="Arrow: Down 2315">
          <a:extLst>
            <a:ext uri="{FF2B5EF4-FFF2-40B4-BE49-F238E27FC236}">
              <a16:creationId xmlns:a16="http://schemas.microsoft.com/office/drawing/2014/main" id="{C7699586-5818-4A48-A0E6-2E4D063D8F72}"/>
            </a:ext>
          </a:extLst>
        </xdr:cNvPr>
        <xdr:cNvSpPr/>
      </xdr:nvSpPr>
      <xdr:spPr>
        <a:xfrm>
          <a:off x="1157478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302</xdr:row>
      <xdr:rowOff>0</xdr:rowOff>
    </xdr:from>
    <xdr:to>
      <xdr:col>39</xdr:col>
      <xdr:colOff>83820</xdr:colOff>
      <xdr:row>302</xdr:row>
      <xdr:rowOff>114300</xdr:rowOff>
    </xdr:to>
    <xdr:sp macro="" textlink="">
      <xdr:nvSpPr>
        <xdr:cNvPr id="2319" name="Arrow: Down 2318">
          <a:extLst>
            <a:ext uri="{FF2B5EF4-FFF2-40B4-BE49-F238E27FC236}">
              <a16:creationId xmlns:a16="http://schemas.microsoft.com/office/drawing/2014/main" id="{18C0FAE6-9AAF-4D15-8E0F-CF1C823E8FC5}"/>
            </a:ext>
          </a:extLst>
        </xdr:cNvPr>
        <xdr:cNvSpPr/>
      </xdr:nvSpPr>
      <xdr:spPr>
        <a:xfrm rot="10800000">
          <a:off x="9715500" y="5532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302</xdr:row>
      <xdr:rowOff>0</xdr:rowOff>
    </xdr:from>
    <xdr:to>
      <xdr:col>60</xdr:col>
      <xdr:colOff>83820</xdr:colOff>
      <xdr:row>302</xdr:row>
      <xdr:rowOff>114300</xdr:rowOff>
    </xdr:to>
    <xdr:sp macro="" textlink="">
      <xdr:nvSpPr>
        <xdr:cNvPr id="2320" name="Arrow: Down 2319">
          <a:extLst>
            <a:ext uri="{FF2B5EF4-FFF2-40B4-BE49-F238E27FC236}">
              <a16:creationId xmlns:a16="http://schemas.microsoft.com/office/drawing/2014/main" id="{892BEC3E-C8DA-4FB4-93D0-72CF29E3CEED}"/>
            </a:ext>
          </a:extLst>
        </xdr:cNvPr>
        <xdr:cNvSpPr/>
      </xdr:nvSpPr>
      <xdr:spPr>
        <a:xfrm>
          <a:off x="17129760" y="5532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303</xdr:row>
      <xdr:rowOff>0</xdr:rowOff>
    </xdr:from>
    <xdr:to>
      <xdr:col>71</xdr:col>
      <xdr:colOff>83820</xdr:colOff>
      <xdr:row>303</xdr:row>
      <xdr:rowOff>114300</xdr:rowOff>
    </xdr:to>
    <xdr:sp macro="" textlink="">
      <xdr:nvSpPr>
        <xdr:cNvPr id="2321" name="Arrow: Down 2320">
          <a:extLst>
            <a:ext uri="{FF2B5EF4-FFF2-40B4-BE49-F238E27FC236}">
              <a16:creationId xmlns:a16="http://schemas.microsoft.com/office/drawing/2014/main" id="{BA5AA172-003A-4889-960B-7F4C40313060}"/>
            </a:ext>
          </a:extLst>
        </xdr:cNvPr>
        <xdr:cNvSpPr/>
      </xdr:nvSpPr>
      <xdr:spPr>
        <a:xfrm rot="10800000">
          <a:off x="1956054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303</xdr:row>
      <xdr:rowOff>0</xdr:rowOff>
    </xdr:from>
    <xdr:to>
      <xdr:col>5</xdr:col>
      <xdr:colOff>83820</xdr:colOff>
      <xdr:row>303</xdr:row>
      <xdr:rowOff>114300</xdr:rowOff>
    </xdr:to>
    <xdr:sp macro="" textlink="">
      <xdr:nvSpPr>
        <xdr:cNvPr id="2323" name="Arrow: Down 2322">
          <a:extLst>
            <a:ext uri="{FF2B5EF4-FFF2-40B4-BE49-F238E27FC236}">
              <a16:creationId xmlns:a16="http://schemas.microsoft.com/office/drawing/2014/main" id="{7EABDA8A-97A4-44F4-85AB-3BFC22BF7BFD}"/>
            </a:ext>
          </a:extLst>
        </xdr:cNvPr>
        <xdr:cNvSpPr/>
      </xdr:nvSpPr>
      <xdr:spPr>
        <a:xfrm rot="10800000">
          <a:off x="192786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303</xdr:row>
      <xdr:rowOff>0</xdr:rowOff>
    </xdr:from>
    <xdr:to>
      <xdr:col>11</xdr:col>
      <xdr:colOff>83820</xdr:colOff>
      <xdr:row>303</xdr:row>
      <xdr:rowOff>114300</xdr:rowOff>
    </xdr:to>
    <xdr:sp macro="" textlink="">
      <xdr:nvSpPr>
        <xdr:cNvPr id="2324" name="Arrow: Down 2323">
          <a:extLst>
            <a:ext uri="{FF2B5EF4-FFF2-40B4-BE49-F238E27FC236}">
              <a16:creationId xmlns:a16="http://schemas.microsoft.com/office/drawing/2014/main" id="{2F0FE234-C89E-420E-8EB4-4A994FCFA9B1}"/>
            </a:ext>
          </a:extLst>
        </xdr:cNvPr>
        <xdr:cNvSpPr/>
      </xdr:nvSpPr>
      <xdr:spPr>
        <a:xfrm rot="10800000">
          <a:off x="369570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303</xdr:row>
      <xdr:rowOff>0</xdr:rowOff>
    </xdr:from>
    <xdr:to>
      <xdr:col>45</xdr:col>
      <xdr:colOff>83820</xdr:colOff>
      <xdr:row>303</xdr:row>
      <xdr:rowOff>114300</xdr:rowOff>
    </xdr:to>
    <xdr:sp macro="" textlink="">
      <xdr:nvSpPr>
        <xdr:cNvPr id="2325" name="Arrow: Down 2324">
          <a:extLst>
            <a:ext uri="{FF2B5EF4-FFF2-40B4-BE49-F238E27FC236}">
              <a16:creationId xmlns:a16="http://schemas.microsoft.com/office/drawing/2014/main" id="{403DEC76-B031-4047-A1D8-8ECC7F5A717E}"/>
            </a:ext>
          </a:extLst>
        </xdr:cNvPr>
        <xdr:cNvSpPr/>
      </xdr:nvSpPr>
      <xdr:spPr>
        <a:xfrm>
          <a:off x="1157478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303</xdr:row>
      <xdr:rowOff>0</xdr:rowOff>
    </xdr:from>
    <xdr:to>
      <xdr:col>24</xdr:col>
      <xdr:colOff>83820</xdr:colOff>
      <xdr:row>303</xdr:row>
      <xdr:rowOff>114300</xdr:rowOff>
    </xdr:to>
    <xdr:sp macro="" textlink="">
      <xdr:nvSpPr>
        <xdr:cNvPr id="2329" name="Arrow: Down 2328">
          <a:extLst>
            <a:ext uri="{FF2B5EF4-FFF2-40B4-BE49-F238E27FC236}">
              <a16:creationId xmlns:a16="http://schemas.microsoft.com/office/drawing/2014/main" id="{4F0D1385-1BB3-4652-B4B7-7629F1355FDC}"/>
            </a:ext>
          </a:extLst>
        </xdr:cNvPr>
        <xdr:cNvSpPr/>
      </xdr:nvSpPr>
      <xdr:spPr>
        <a:xfrm>
          <a:off x="6553200" y="5551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303</xdr:row>
      <xdr:rowOff>0</xdr:rowOff>
    </xdr:from>
    <xdr:to>
      <xdr:col>60</xdr:col>
      <xdr:colOff>83820</xdr:colOff>
      <xdr:row>303</xdr:row>
      <xdr:rowOff>114300</xdr:rowOff>
    </xdr:to>
    <xdr:sp macro="" textlink="">
      <xdr:nvSpPr>
        <xdr:cNvPr id="2330" name="Arrow: Down 2329">
          <a:extLst>
            <a:ext uri="{FF2B5EF4-FFF2-40B4-BE49-F238E27FC236}">
              <a16:creationId xmlns:a16="http://schemas.microsoft.com/office/drawing/2014/main" id="{F469BC86-694A-416A-9F7D-68ED7F1C4404}"/>
            </a:ext>
          </a:extLst>
        </xdr:cNvPr>
        <xdr:cNvSpPr/>
      </xdr:nvSpPr>
      <xdr:spPr>
        <a:xfrm rot="10800000">
          <a:off x="1712976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303</xdr:row>
      <xdr:rowOff>0</xdr:rowOff>
    </xdr:from>
    <xdr:to>
      <xdr:col>39</xdr:col>
      <xdr:colOff>83820</xdr:colOff>
      <xdr:row>303</xdr:row>
      <xdr:rowOff>114300</xdr:rowOff>
    </xdr:to>
    <xdr:sp macro="" textlink="">
      <xdr:nvSpPr>
        <xdr:cNvPr id="2331" name="Arrow: Down 2330">
          <a:extLst>
            <a:ext uri="{FF2B5EF4-FFF2-40B4-BE49-F238E27FC236}">
              <a16:creationId xmlns:a16="http://schemas.microsoft.com/office/drawing/2014/main" id="{4F23D423-FED1-47D6-9BEE-DD3063FD804E}"/>
            </a:ext>
          </a:extLst>
        </xdr:cNvPr>
        <xdr:cNvSpPr/>
      </xdr:nvSpPr>
      <xdr:spPr>
        <a:xfrm>
          <a:off x="971550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304</xdr:row>
      <xdr:rowOff>0</xdr:rowOff>
    </xdr:from>
    <xdr:to>
      <xdr:col>71</xdr:col>
      <xdr:colOff>83820</xdr:colOff>
      <xdr:row>304</xdr:row>
      <xdr:rowOff>114300</xdr:rowOff>
    </xdr:to>
    <xdr:sp macro="" textlink="">
      <xdr:nvSpPr>
        <xdr:cNvPr id="2147" name="Arrow: Down 2146">
          <a:extLst>
            <a:ext uri="{FF2B5EF4-FFF2-40B4-BE49-F238E27FC236}">
              <a16:creationId xmlns:a16="http://schemas.microsoft.com/office/drawing/2014/main" id="{BF0DC6DB-A979-491F-821F-C77818E4AB0E}"/>
            </a:ext>
          </a:extLst>
        </xdr:cNvPr>
        <xdr:cNvSpPr/>
      </xdr:nvSpPr>
      <xdr:spPr>
        <a:xfrm rot="10800000">
          <a:off x="1956054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304</xdr:row>
      <xdr:rowOff>0</xdr:rowOff>
    </xdr:from>
    <xdr:to>
      <xdr:col>45</xdr:col>
      <xdr:colOff>83820</xdr:colOff>
      <xdr:row>304</xdr:row>
      <xdr:rowOff>114300</xdr:rowOff>
    </xdr:to>
    <xdr:sp macro="" textlink="">
      <xdr:nvSpPr>
        <xdr:cNvPr id="2150" name="Arrow: Down 2149">
          <a:extLst>
            <a:ext uri="{FF2B5EF4-FFF2-40B4-BE49-F238E27FC236}">
              <a16:creationId xmlns:a16="http://schemas.microsoft.com/office/drawing/2014/main" id="{1BCB692F-81B8-4DCF-93A8-96A2FE6FEE5C}"/>
            </a:ext>
          </a:extLst>
        </xdr:cNvPr>
        <xdr:cNvSpPr/>
      </xdr:nvSpPr>
      <xdr:spPr>
        <a:xfrm>
          <a:off x="1157478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304</xdr:row>
      <xdr:rowOff>0</xdr:rowOff>
    </xdr:from>
    <xdr:to>
      <xdr:col>24</xdr:col>
      <xdr:colOff>83820</xdr:colOff>
      <xdr:row>304</xdr:row>
      <xdr:rowOff>114300</xdr:rowOff>
    </xdr:to>
    <xdr:sp macro="" textlink="">
      <xdr:nvSpPr>
        <xdr:cNvPr id="2151" name="Arrow: Down 2150">
          <a:extLst>
            <a:ext uri="{FF2B5EF4-FFF2-40B4-BE49-F238E27FC236}">
              <a16:creationId xmlns:a16="http://schemas.microsoft.com/office/drawing/2014/main" id="{5AA020F4-EE20-42E1-8E3D-547221D75564}"/>
            </a:ext>
          </a:extLst>
        </xdr:cNvPr>
        <xdr:cNvSpPr/>
      </xdr:nvSpPr>
      <xdr:spPr>
        <a:xfrm>
          <a:off x="6553200" y="5551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304</xdr:row>
      <xdr:rowOff>0</xdr:rowOff>
    </xdr:from>
    <xdr:to>
      <xdr:col>5</xdr:col>
      <xdr:colOff>83820</xdr:colOff>
      <xdr:row>304</xdr:row>
      <xdr:rowOff>114300</xdr:rowOff>
    </xdr:to>
    <xdr:sp macro="" textlink="">
      <xdr:nvSpPr>
        <xdr:cNvPr id="2173" name="Arrow: Down 2172">
          <a:extLst>
            <a:ext uri="{FF2B5EF4-FFF2-40B4-BE49-F238E27FC236}">
              <a16:creationId xmlns:a16="http://schemas.microsoft.com/office/drawing/2014/main" id="{DC392BA4-040D-4831-A9D6-D091E6A6CE44}"/>
            </a:ext>
          </a:extLst>
        </xdr:cNvPr>
        <xdr:cNvSpPr/>
      </xdr:nvSpPr>
      <xdr:spPr>
        <a:xfrm>
          <a:off x="19278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304</xdr:row>
      <xdr:rowOff>0</xdr:rowOff>
    </xdr:from>
    <xdr:to>
      <xdr:col>11</xdr:col>
      <xdr:colOff>83820</xdr:colOff>
      <xdr:row>304</xdr:row>
      <xdr:rowOff>114300</xdr:rowOff>
    </xdr:to>
    <xdr:sp macro="" textlink="">
      <xdr:nvSpPr>
        <xdr:cNvPr id="2200" name="Arrow: Down 2199">
          <a:extLst>
            <a:ext uri="{FF2B5EF4-FFF2-40B4-BE49-F238E27FC236}">
              <a16:creationId xmlns:a16="http://schemas.microsoft.com/office/drawing/2014/main" id="{955B1449-DAD8-4BD9-BCC2-077974247714}"/>
            </a:ext>
          </a:extLst>
        </xdr:cNvPr>
        <xdr:cNvSpPr/>
      </xdr:nvSpPr>
      <xdr:spPr>
        <a:xfrm>
          <a:off x="36957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304</xdr:row>
      <xdr:rowOff>0</xdr:rowOff>
    </xdr:from>
    <xdr:to>
      <xdr:col>60</xdr:col>
      <xdr:colOff>83820</xdr:colOff>
      <xdr:row>304</xdr:row>
      <xdr:rowOff>114300</xdr:rowOff>
    </xdr:to>
    <xdr:sp macro="" textlink="">
      <xdr:nvSpPr>
        <xdr:cNvPr id="2233" name="Arrow: Down 2232">
          <a:extLst>
            <a:ext uri="{FF2B5EF4-FFF2-40B4-BE49-F238E27FC236}">
              <a16:creationId xmlns:a16="http://schemas.microsoft.com/office/drawing/2014/main" id="{57C05359-A222-4962-8B45-0A234E72E6B2}"/>
            </a:ext>
          </a:extLst>
        </xdr:cNvPr>
        <xdr:cNvSpPr/>
      </xdr:nvSpPr>
      <xdr:spPr>
        <a:xfrm>
          <a:off x="171297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304</xdr:row>
      <xdr:rowOff>0</xdr:rowOff>
    </xdr:from>
    <xdr:to>
      <xdr:col>39</xdr:col>
      <xdr:colOff>83820</xdr:colOff>
      <xdr:row>304</xdr:row>
      <xdr:rowOff>114300</xdr:rowOff>
    </xdr:to>
    <xdr:sp macro="" textlink="">
      <xdr:nvSpPr>
        <xdr:cNvPr id="2237" name="Arrow: Down 2236">
          <a:extLst>
            <a:ext uri="{FF2B5EF4-FFF2-40B4-BE49-F238E27FC236}">
              <a16:creationId xmlns:a16="http://schemas.microsoft.com/office/drawing/2014/main" id="{07F729BB-0D4D-47F6-8DBB-1ED2D8F294BA}"/>
            </a:ext>
          </a:extLst>
        </xdr:cNvPr>
        <xdr:cNvSpPr/>
      </xdr:nvSpPr>
      <xdr:spPr>
        <a:xfrm rot="10800000">
          <a:off x="97155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305</xdr:row>
      <xdr:rowOff>0</xdr:rowOff>
    </xdr:from>
    <xdr:to>
      <xdr:col>71</xdr:col>
      <xdr:colOff>83820</xdr:colOff>
      <xdr:row>305</xdr:row>
      <xdr:rowOff>114300</xdr:rowOff>
    </xdr:to>
    <xdr:sp macro="" textlink="">
      <xdr:nvSpPr>
        <xdr:cNvPr id="2241" name="Arrow: Down 2240">
          <a:extLst>
            <a:ext uri="{FF2B5EF4-FFF2-40B4-BE49-F238E27FC236}">
              <a16:creationId xmlns:a16="http://schemas.microsoft.com/office/drawing/2014/main" id="{2837AB23-E463-4065-A8DD-EB81C88EE1EA}"/>
            </a:ext>
          </a:extLst>
        </xdr:cNvPr>
        <xdr:cNvSpPr/>
      </xdr:nvSpPr>
      <xdr:spPr>
        <a:xfrm rot="10800000">
          <a:off x="19560540" y="5569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305</xdr:row>
      <xdr:rowOff>0</xdr:rowOff>
    </xdr:from>
    <xdr:to>
      <xdr:col>45</xdr:col>
      <xdr:colOff>83820</xdr:colOff>
      <xdr:row>305</xdr:row>
      <xdr:rowOff>114300</xdr:rowOff>
    </xdr:to>
    <xdr:sp macro="" textlink="">
      <xdr:nvSpPr>
        <xdr:cNvPr id="2242" name="Arrow: Down 2241">
          <a:extLst>
            <a:ext uri="{FF2B5EF4-FFF2-40B4-BE49-F238E27FC236}">
              <a16:creationId xmlns:a16="http://schemas.microsoft.com/office/drawing/2014/main" id="{4FE9D784-BB63-4895-BC71-B696BB818BF2}"/>
            </a:ext>
          </a:extLst>
        </xdr:cNvPr>
        <xdr:cNvSpPr/>
      </xdr:nvSpPr>
      <xdr:spPr>
        <a:xfrm>
          <a:off x="11574780" y="5569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305</xdr:row>
      <xdr:rowOff>0</xdr:rowOff>
    </xdr:from>
    <xdr:to>
      <xdr:col>24</xdr:col>
      <xdr:colOff>83820</xdr:colOff>
      <xdr:row>305</xdr:row>
      <xdr:rowOff>114300</xdr:rowOff>
    </xdr:to>
    <xdr:sp macro="" textlink="">
      <xdr:nvSpPr>
        <xdr:cNvPr id="2244" name="Arrow: Down 2243">
          <a:extLst>
            <a:ext uri="{FF2B5EF4-FFF2-40B4-BE49-F238E27FC236}">
              <a16:creationId xmlns:a16="http://schemas.microsoft.com/office/drawing/2014/main" id="{567FA830-5617-4E7D-A2DD-84177C21FCB8}"/>
            </a:ext>
          </a:extLst>
        </xdr:cNvPr>
        <xdr:cNvSpPr/>
      </xdr:nvSpPr>
      <xdr:spPr>
        <a:xfrm>
          <a:off x="65532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83820</xdr:colOff>
      <xdr:row>305</xdr:row>
      <xdr:rowOff>114300</xdr:rowOff>
    </xdr:to>
    <xdr:sp macro="" textlink="">
      <xdr:nvSpPr>
        <xdr:cNvPr id="2246" name="Arrow: Down 2245">
          <a:extLst>
            <a:ext uri="{FF2B5EF4-FFF2-40B4-BE49-F238E27FC236}">
              <a16:creationId xmlns:a16="http://schemas.microsoft.com/office/drawing/2014/main" id="{03EB291E-78A5-4FA2-BF21-AC4A38E2706B}"/>
            </a:ext>
          </a:extLst>
        </xdr:cNvPr>
        <xdr:cNvSpPr/>
      </xdr:nvSpPr>
      <xdr:spPr>
        <a:xfrm>
          <a:off x="19278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305</xdr:row>
      <xdr:rowOff>0</xdr:rowOff>
    </xdr:from>
    <xdr:to>
      <xdr:col>11</xdr:col>
      <xdr:colOff>83820</xdr:colOff>
      <xdr:row>305</xdr:row>
      <xdr:rowOff>114300</xdr:rowOff>
    </xdr:to>
    <xdr:sp macro="" textlink="">
      <xdr:nvSpPr>
        <xdr:cNvPr id="2250" name="Arrow: Down 2249">
          <a:extLst>
            <a:ext uri="{FF2B5EF4-FFF2-40B4-BE49-F238E27FC236}">
              <a16:creationId xmlns:a16="http://schemas.microsoft.com/office/drawing/2014/main" id="{5B49C7AB-3F0E-4942-A84F-D872AF38CA73}"/>
            </a:ext>
          </a:extLst>
        </xdr:cNvPr>
        <xdr:cNvSpPr/>
      </xdr:nvSpPr>
      <xdr:spPr>
        <a:xfrm>
          <a:off x="36957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305</xdr:row>
      <xdr:rowOff>0</xdr:rowOff>
    </xdr:from>
    <xdr:to>
      <xdr:col>60</xdr:col>
      <xdr:colOff>83820</xdr:colOff>
      <xdr:row>305</xdr:row>
      <xdr:rowOff>114300</xdr:rowOff>
    </xdr:to>
    <xdr:sp macro="" textlink="">
      <xdr:nvSpPr>
        <xdr:cNvPr id="2260" name="Arrow: Down 2259">
          <a:extLst>
            <a:ext uri="{FF2B5EF4-FFF2-40B4-BE49-F238E27FC236}">
              <a16:creationId xmlns:a16="http://schemas.microsoft.com/office/drawing/2014/main" id="{06D2A05A-E726-4ADD-8E83-E2F48019A9F6}"/>
            </a:ext>
          </a:extLst>
        </xdr:cNvPr>
        <xdr:cNvSpPr/>
      </xdr:nvSpPr>
      <xdr:spPr>
        <a:xfrm>
          <a:off x="171297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305</xdr:row>
      <xdr:rowOff>0</xdr:rowOff>
    </xdr:from>
    <xdr:to>
      <xdr:col>39</xdr:col>
      <xdr:colOff>83820</xdr:colOff>
      <xdr:row>305</xdr:row>
      <xdr:rowOff>114300</xdr:rowOff>
    </xdr:to>
    <xdr:sp macro="" textlink="">
      <xdr:nvSpPr>
        <xdr:cNvPr id="2261" name="Arrow: Down 2260">
          <a:extLst>
            <a:ext uri="{FF2B5EF4-FFF2-40B4-BE49-F238E27FC236}">
              <a16:creationId xmlns:a16="http://schemas.microsoft.com/office/drawing/2014/main" id="{694753DF-198C-45C8-8CBD-58928EE75A6A}"/>
            </a:ext>
          </a:extLst>
        </xdr:cNvPr>
        <xdr:cNvSpPr/>
      </xdr:nvSpPr>
      <xdr:spPr>
        <a:xfrm rot="10800000">
          <a:off x="97155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306</xdr:row>
      <xdr:rowOff>0</xdr:rowOff>
    </xdr:from>
    <xdr:to>
      <xdr:col>71</xdr:col>
      <xdr:colOff>83820</xdr:colOff>
      <xdr:row>306</xdr:row>
      <xdr:rowOff>114300</xdr:rowOff>
    </xdr:to>
    <xdr:sp macro="" textlink="">
      <xdr:nvSpPr>
        <xdr:cNvPr id="2282" name="Arrow: Down 2281">
          <a:extLst>
            <a:ext uri="{FF2B5EF4-FFF2-40B4-BE49-F238E27FC236}">
              <a16:creationId xmlns:a16="http://schemas.microsoft.com/office/drawing/2014/main" id="{68A83C30-FC9D-42DB-B904-9B4F0F3A28E8}"/>
            </a:ext>
          </a:extLst>
        </xdr:cNvPr>
        <xdr:cNvSpPr/>
      </xdr:nvSpPr>
      <xdr:spPr>
        <a:xfrm rot="10800000">
          <a:off x="19560540" y="5587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306</xdr:row>
      <xdr:rowOff>0</xdr:rowOff>
    </xdr:from>
    <xdr:to>
      <xdr:col>5</xdr:col>
      <xdr:colOff>83820</xdr:colOff>
      <xdr:row>306</xdr:row>
      <xdr:rowOff>114300</xdr:rowOff>
    </xdr:to>
    <xdr:sp macro="" textlink="">
      <xdr:nvSpPr>
        <xdr:cNvPr id="2291" name="Arrow: Down 2290">
          <a:extLst>
            <a:ext uri="{FF2B5EF4-FFF2-40B4-BE49-F238E27FC236}">
              <a16:creationId xmlns:a16="http://schemas.microsoft.com/office/drawing/2014/main" id="{A5A06F89-03B8-400B-A7E1-03178BE912A2}"/>
            </a:ext>
          </a:extLst>
        </xdr:cNvPr>
        <xdr:cNvSpPr/>
      </xdr:nvSpPr>
      <xdr:spPr>
        <a:xfrm>
          <a:off x="192786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306</xdr:row>
      <xdr:rowOff>0</xdr:rowOff>
    </xdr:from>
    <xdr:to>
      <xdr:col>11</xdr:col>
      <xdr:colOff>83820</xdr:colOff>
      <xdr:row>306</xdr:row>
      <xdr:rowOff>114300</xdr:rowOff>
    </xdr:to>
    <xdr:sp macro="" textlink="">
      <xdr:nvSpPr>
        <xdr:cNvPr id="2292" name="Arrow: Down 2291">
          <a:extLst>
            <a:ext uri="{FF2B5EF4-FFF2-40B4-BE49-F238E27FC236}">
              <a16:creationId xmlns:a16="http://schemas.microsoft.com/office/drawing/2014/main" id="{0A106331-8BC2-48CE-ACB7-3BDF260C9335}"/>
            </a:ext>
          </a:extLst>
        </xdr:cNvPr>
        <xdr:cNvSpPr/>
      </xdr:nvSpPr>
      <xdr:spPr>
        <a:xfrm>
          <a:off x="369570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306</xdr:row>
      <xdr:rowOff>0</xdr:rowOff>
    </xdr:from>
    <xdr:to>
      <xdr:col>60</xdr:col>
      <xdr:colOff>83820</xdr:colOff>
      <xdr:row>306</xdr:row>
      <xdr:rowOff>114300</xdr:rowOff>
    </xdr:to>
    <xdr:sp macro="" textlink="">
      <xdr:nvSpPr>
        <xdr:cNvPr id="2293" name="Arrow: Down 2292">
          <a:extLst>
            <a:ext uri="{FF2B5EF4-FFF2-40B4-BE49-F238E27FC236}">
              <a16:creationId xmlns:a16="http://schemas.microsoft.com/office/drawing/2014/main" id="{32BC9A50-3772-42C3-8E37-90599DA696C5}"/>
            </a:ext>
          </a:extLst>
        </xdr:cNvPr>
        <xdr:cNvSpPr/>
      </xdr:nvSpPr>
      <xdr:spPr>
        <a:xfrm>
          <a:off x="1712976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306</xdr:row>
      <xdr:rowOff>0</xdr:rowOff>
    </xdr:from>
    <xdr:to>
      <xdr:col>39</xdr:col>
      <xdr:colOff>83820</xdr:colOff>
      <xdr:row>306</xdr:row>
      <xdr:rowOff>114300</xdr:rowOff>
    </xdr:to>
    <xdr:sp macro="" textlink="">
      <xdr:nvSpPr>
        <xdr:cNvPr id="2294" name="Arrow: Down 2293">
          <a:extLst>
            <a:ext uri="{FF2B5EF4-FFF2-40B4-BE49-F238E27FC236}">
              <a16:creationId xmlns:a16="http://schemas.microsoft.com/office/drawing/2014/main" id="{9C3069E1-DC90-4D75-BDE4-99B670070311}"/>
            </a:ext>
          </a:extLst>
        </xdr:cNvPr>
        <xdr:cNvSpPr/>
      </xdr:nvSpPr>
      <xdr:spPr>
        <a:xfrm rot="10800000">
          <a:off x="971550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306</xdr:row>
      <xdr:rowOff>0</xdr:rowOff>
    </xdr:from>
    <xdr:to>
      <xdr:col>45</xdr:col>
      <xdr:colOff>83820</xdr:colOff>
      <xdr:row>306</xdr:row>
      <xdr:rowOff>114300</xdr:rowOff>
    </xdr:to>
    <xdr:sp macro="" textlink="">
      <xdr:nvSpPr>
        <xdr:cNvPr id="2301" name="Arrow: Down 2300">
          <a:extLst>
            <a:ext uri="{FF2B5EF4-FFF2-40B4-BE49-F238E27FC236}">
              <a16:creationId xmlns:a16="http://schemas.microsoft.com/office/drawing/2014/main" id="{9BFF26E4-F4B1-46C9-B651-B06BC9EFD177}"/>
            </a:ext>
          </a:extLst>
        </xdr:cNvPr>
        <xdr:cNvSpPr/>
      </xdr:nvSpPr>
      <xdr:spPr>
        <a:xfrm rot="10800000">
          <a:off x="11574780" y="5606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306</xdr:row>
      <xdr:rowOff>0</xdr:rowOff>
    </xdr:from>
    <xdr:to>
      <xdr:col>24</xdr:col>
      <xdr:colOff>83820</xdr:colOff>
      <xdr:row>306</xdr:row>
      <xdr:rowOff>114300</xdr:rowOff>
    </xdr:to>
    <xdr:sp macro="" textlink="">
      <xdr:nvSpPr>
        <xdr:cNvPr id="2303" name="Arrow: Down 2302">
          <a:extLst>
            <a:ext uri="{FF2B5EF4-FFF2-40B4-BE49-F238E27FC236}">
              <a16:creationId xmlns:a16="http://schemas.microsoft.com/office/drawing/2014/main" id="{1ECB0542-112D-499C-8276-84B30853764E}"/>
            </a:ext>
          </a:extLst>
        </xdr:cNvPr>
        <xdr:cNvSpPr/>
      </xdr:nvSpPr>
      <xdr:spPr>
        <a:xfrm rot="10800000">
          <a:off x="6553200" y="5606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307</xdr:row>
      <xdr:rowOff>0</xdr:rowOff>
    </xdr:from>
    <xdr:to>
      <xdr:col>71</xdr:col>
      <xdr:colOff>83820</xdr:colOff>
      <xdr:row>307</xdr:row>
      <xdr:rowOff>114300</xdr:rowOff>
    </xdr:to>
    <xdr:sp macro="" textlink="">
      <xdr:nvSpPr>
        <xdr:cNvPr id="2305" name="Arrow: Down 2304">
          <a:extLst>
            <a:ext uri="{FF2B5EF4-FFF2-40B4-BE49-F238E27FC236}">
              <a16:creationId xmlns:a16="http://schemas.microsoft.com/office/drawing/2014/main" id="{1F6F4391-C061-4B6F-8CBD-B6E1E288A108}"/>
            </a:ext>
          </a:extLst>
        </xdr:cNvPr>
        <xdr:cNvSpPr/>
      </xdr:nvSpPr>
      <xdr:spPr>
        <a:xfrm rot="10800000">
          <a:off x="19560540" y="5606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307</xdr:row>
      <xdr:rowOff>0</xdr:rowOff>
    </xdr:from>
    <xdr:to>
      <xdr:col>45</xdr:col>
      <xdr:colOff>83820</xdr:colOff>
      <xdr:row>307</xdr:row>
      <xdr:rowOff>114300</xdr:rowOff>
    </xdr:to>
    <xdr:sp macro="" textlink="">
      <xdr:nvSpPr>
        <xdr:cNvPr id="2310" name="Arrow: Down 2309">
          <a:extLst>
            <a:ext uri="{FF2B5EF4-FFF2-40B4-BE49-F238E27FC236}">
              <a16:creationId xmlns:a16="http://schemas.microsoft.com/office/drawing/2014/main" id="{0DB6747D-0B33-4A20-9DC8-A0F1E3D7D72B}"/>
            </a:ext>
          </a:extLst>
        </xdr:cNvPr>
        <xdr:cNvSpPr/>
      </xdr:nvSpPr>
      <xdr:spPr>
        <a:xfrm rot="10800000">
          <a:off x="11574780" y="5606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307</xdr:row>
      <xdr:rowOff>0</xdr:rowOff>
    </xdr:from>
    <xdr:to>
      <xdr:col>24</xdr:col>
      <xdr:colOff>83820</xdr:colOff>
      <xdr:row>307</xdr:row>
      <xdr:rowOff>114300</xdr:rowOff>
    </xdr:to>
    <xdr:sp macro="" textlink="">
      <xdr:nvSpPr>
        <xdr:cNvPr id="2311" name="Arrow: Down 2310">
          <a:extLst>
            <a:ext uri="{FF2B5EF4-FFF2-40B4-BE49-F238E27FC236}">
              <a16:creationId xmlns:a16="http://schemas.microsoft.com/office/drawing/2014/main" id="{5F32BC61-BD07-421B-AC24-71FB06064D28}"/>
            </a:ext>
          </a:extLst>
        </xdr:cNvPr>
        <xdr:cNvSpPr/>
      </xdr:nvSpPr>
      <xdr:spPr>
        <a:xfrm rot="10800000">
          <a:off x="6553200" y="5606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307</xdr:row>
      <xdr:rowOff>0</xdr:rowOff>
    </xdr:from>
    <xdr:to>
      <xdr:col>5</xdr:col>
      <xdr:colOff>83820</xdr:colOff>
      <xdr:row>307</xdr:row>
      <xdr:rowOff>114300</xdr:rowOff>
    </xdr:to>
    <xdr:sp macro="" textlink="">
      <xdr:nvSpPr>
        <xdr:cNvPr id="2318" name="Arrow: Down 2317">
          <a:extLst>
            <a:ext uri="{FF2B5EF4-FFF2-40B4-BE49-F238E27FC236}">
              <a16:creationId xmlns:a16="http://schemas.microsoft.com/office/drawing/2014/main" id="{4B5F3572-FD56-4038-A68A-4B11EC437F0D}"/>
            </a:ext>
          </a:extLst>
        </xdr:cNvPr>
        <xdr:cNvSpPr/>
      </xdr:nvSpPr>
      <xdr:spPr>
        <a:xfrm rot="10800000">
          <a:off x="19278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307</xdr:row>
      <xdr:rowOff>0</xdr:rowOff>
    </xdr:from>
    <xdr:to>
      <xdr:col>11</xdr:col>
      <xdr:colOff>83820</xdr:colOff>
      <xdr:row>307</xdr:row>
      <xdr:rowOff>114300</xdr:rowOff>
    </xdr:to>
    <xdr:sp macro="" textlink="">
      <xdr:nvSpPr>
        <xdr:cNvPr id="2322" name="Arrow: Down 2321">
          <a:extLst>
            <a:ext uri="{FF2B5EF4-FFF2-40B4-BE49-F238E27FC236}">
              <a16:creationId xmlns:a16="http://schemas.microsoft.com/office/drawing/2014/main" id="{BDF75062-3DE9-4097-AEF8-A1CFC87CDAC9}"/>
            </a:ext>
          </a:extLst>
        </xdr:cNvPr>
        <xdr:cNvSpPr/>
      </xdr:nvSpPr>
      <xdr:spPr>
        <a:xfrm rot="10800000">
          <a:off x="369570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307</xdr:row>
      <xdr:rowOff>0</xdr:rowOff>
    </xdr:from>
    <xdr:to>
      <xdr:col>60</xdr:col>
      <xdr:colOff>83820</xdr:colOff>
      <xdr:row>307</xdr:row>
      <xdr:rowOff>114300</xdr:rowOff>
    </xdr:to>
    <xdr:sp macro="" textlink="">
      <xdr:nvSpPr>
        <xdr:cNvPr id="2327" name="Arrow: Down 2326">
          <a:extLst>
            <a:ext uri="{FF2B5EF4-FFF2-40B4-BE49-F238E27FC236}">
              <a16:creationId xmlns:a16="http://schemas.microsoft.com/office/drawing/2014/main" id="{ACFB70BD-3796-4C4A-A8F9-E0AC6D883B59}"/>
            </a:ext>
          </a:extLst>
        </xdr:cNvPr>
        <xdr:cNvSpPr/>
      </xdr:nvSpPr>
      <xdr:spPr>
        <a:xfrm rot="10800000">
          <a:off x="171297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308</xdr:row>
      <xdr:rowOff>0</xdr:rowOff>
    </xdr:from>
    <xdr:to>
      <xdr:col>71</xdr:col>
      <xdr:colOff>83820</xdr:colOff>
      <xdr:row>308</xdr:row>
      <xdr:rowOff>114300</xdr:rowOff>
    </xdr:to>
    <xdr:sp macro="" textlink="">
      <xdr:nvSpPr>
        <xdr:cNvPr id="2328" name="Arrow: Down 2327">
          <a:extLst>
            <a:ext uri="{FF2B5EF4-FFF2-40B4-BE49-F238E27FC236}">
              <a16:creationId xmlns:a16="http://schemas.microsoft.com/office/drawing/2014/main" id="{BF2249C1-7E26-43DC-BE26-8F0DAD562EAB}"/>
            </a:ext>
          </a:extLst>
        </xdr:cNvPr>
        <xdr:cNvSpPr/>
      </xdr:nvSpPr>
      <xdr:spPr>
        <a:xfrm rot="10800000">
          <a:off x="1956054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308</xdr:row>
      <xdr:rowOff>0</xdr:rowOff>
    </xdr:from>
    <xdr:to>
      <xdr:col>39</xdr:col>
      <xdr:colOff>83820</xdr:colOff>
      <xdr:row>308</xdr:row>
      <xdr:rowOff>114300</xdr:rowOff>
    </xdr:to>
    <xdr:sp macro="" textlink="">
      <xdr:nvSpPr>
        <xdr:cNvPr id="2332" name="Arrow: Down 2331">
          <a:extLst>
            <a:ext uri="{FF2B5EF4-FFF2-40B4-BE49-F238E27FC236}">
              <a16:creationId xmlns:a16="http://schemas.microsoft.com/office/drawing/2014/main" id="{65107AF4-E62F-4B93-8273-42C19B4D3FD1}"/>
            </a:ext>
          </a:extLst>
        </xdr:cNvPr>
        <xdr:cNvSpPr/>
      </xdr:nvSpPr>
      <xdr:spPr>
        <a:xfrm rot="10800000">
          <a:off x="9715500" y="5624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308</xdr:row>
      <xdr:rowOff>0</xdr:rowOff>
    </xdr:from>
    <xdr:to>
      <xdr:col>45</xdr:col>
      <xdr:colOff>83820</xdr:colOff>
      <xdr:row>308</xdr:row>
      <xdr:rowOff>114300</xdr:rowOff>
    </xdr:to>
    <xdr:sp macro="" textlink="">
      <xdr:nvSpPr>
        <xdr:cNvPr id="2333" name="Arrow: Down 2332">
          <a:extLst>
            <a:ext uri="{FF2B5EF4-FFF2-40B4-BE49-F238E27FC236}">
              <a16:creationId xmlns:a16="http://schemas.microsoft.com/office/drawing/2014/main" id="{30EDD800-E085-4039-909A-22BD576A96E2}"/>
            </a:ext>
          </a:extLst>
        </xdr:cNvPr>
        <xdr:cNvSpPr/>
      </xdr:nvSpPr>
      <xdr:spPr>
        <a:xfrm rot="10800000">
          <a:off x="11574780" y="5624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308</xdr:row>
      <xdr:rowOff>0</xdr:rowOff>
    </xdr:from>
    <xdr:to>
      <xdr:col>5</xdr:col>
      <xdr:colOff>83820</xdr:colOff>
      <xdr:row>308</xdr:row>
      <xdr:rowOff>114300</xdr:rowOff>
    </xdr:to>
    <xdr:sp macro="" textlink="">
      <xdr:nvSpPr>
        <xdr:cNvPr id="2335" name="Arrow: Down 2334">
          <a:extLst>
            <a:ext uri="{FF2B5EF4-FFF2-40B4-BE49-F238E27FC236}">
              <a16:creationId xmlns:a16="http://schemas.microsoft.com/office/drawing/2014/main" id="{661C7D12-5391-4375-BE12-A833C57C1287}"/>
            </a:ext>
          </a:extLst>
        </xdr:cNvPr>
        <xdr:cNvSpPr/>
      </xdr:nvSpPr>
      <xdr:spPr>
        <a:xfrm rot="10800000">
          <a:off x="19278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308</xdr:row>
      <xdr:rowOff>0</xdr:rowOff>
    </xdr:from>
    <xdr:to>
      <xdr:col>11</xdr:col>
      <xdr:colOff>83820</xdr:colOff>
      <xdr:row>308</xdr:row>
      <xdr:rowOff>114300</xdr:rowOff>
    </xdr:to>
    <xdr:sp macro="" textlink="">
      <xdr:nvSpPr>
        <xdr:cNvPr id="2336" name="Arrow: Down 2335">
          <a:extLst>
            <a:ext uri="{FF2B5EF4-FFF2-40B4-BE49-F238E27FC236}">
              <a16:creationId xmlns:a16="http://schemas.microsoft.com/office/drawing/2014/main" id="{856CCE93-5037-4A82-9ECA-E0773026E6E1}"/>
            </a:ext>
          </a:extLst>
        </xdr:cNvPr>
        <xdr:cNvSpPr/>
      </xdr:nvSpPr>
      <xdr:spPr>
        <a:xfrm rot="10800000">
          <a:off x="369570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308</xdr:row>
      <xdr:rowOff>0</xdr:rowOff>
    </xdr:from>
    <xdr:to>
      <xdr:col>60</xdr:col>
      <xdr:colOff>83820</xdr:colOff>
      <xdr:row>308</xdr:row>
      <xdr:rowOff>114300</xdr:rowOff>
    </xdr:to>
    <xdr:sp macro="" textlink="">
      <xdr:nvSpPr>
        <xdr:cNvPr id="2337" name="Arrow: Down 2336">
          <a:extLst>
            <a:ext uri="{FF2B5EF4-FFF2-40B4-BE49-F238E27FC236}">
              <a16:creationId xmlns:a16="http://schemas.microsoft.com/office/drawing/2014/main" id="{67408DDA-EBED-45C4-9F26-CA52161052DE}"/>
            </a:ext>
          </a:extLst>
        </xdr:cNvPr>
        <xdr:cNvSpPr/>
      </xdr:nvSpPr>
      <xdr:spPr>
        <a:xfrm rot="10800000">
          <a:off x="171297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308</xdr:row>
      <xdr:rowOff>0</xdr:rowOff>
    </xdr:from>
    <xdr:to>
      <xdr:col>24</xdr:col>
      <xdr:colOff>83820</xdr:colOff>
      <xdr:row>308</xdr:row>
      <xdr:rowOff>114300</xdr:rowOff>
    </xdr:to>
    <xdr:sp macro="" textlink="">
      <xdr:nvSpPr>
        <xdr:cNvPr id="2339" name="Arrow: Down 2338">
          <a:extLst>
            <a:ext uri="{FF2B5EF4-FFF2-40B4-BE49-F238E27FC236}">
              <a16:creationId xmlns:a16="http://schemas.microsoft.com/office/drawing/2014/main" id="{2B6DFC30-9CF6-4B05-8371-A1E7B476B86D}"/>
            </a:ext>
          </a:extLst>
        </xdr:cNvPr>
        <xdr:cNvSpPr/>
      </xdr:nvSpPr>
      <xdr:spPr>
        <a:xfrm>
          <a:off x="6553200" y="5642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307</xdr:row>
      <xdr:rowOff>0</xdr:rowOff>
    </xdr:from>
    <xdr:to>
      <xdr:col>39</xdr:col>
      <xdr:colOff>83820</xdr:colOff>
      <xdr:row>307</xdr:row>
      <xdr:rowOff>114300</xdr:rowOff>
    </xdr:to>
    <xdr:sp macro="" textlink="">
      <xdr:nvSpPr>
        <xdr:cNvPr id="2340" name="Arrow: Down 2339">
          <a:extLst>
            <a:ext uri="{FF2B5EF4-FFF2-40B4-BE49-F238E27FC236}">
              <a16:creationId xmlns:a16="http://schemas.microsoft.com/office/drawing/2014/main" id="{CD718468-8F0D-4313-8154-11B02D8733EB}"/>
            </a:ext>
          </a:extLst>
        </xdr:cNvPr>
        <xdr:cNvSpPr/>
      </xdr:nvSpPr>
      <xdr:spPr>
        <a:xfrm>
          <a:off x="971550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309</xdr:row>
      <xdr:rowOff>0</xdr:rowOff>
    </xdr:from>
    <xdr:to>
      <xdr:col>71</xdr:col>
      <xdr:colOff>83820</xdr:colOff>
      <xdr:row>309</xdr:row>
      <xdr:rowOff>114300</xdr:rowOff>
    </xdr:to>
    <xdr:sp macro="" textlink="">
      <xdr:nvSpPr>
        <xdr:cNvPr id="2348" name="Arrow: Down 2347">
          <a:extLst>
            <a:ext uri="{FF2B5EF4-FFF2-40B4-BE49-F238E27FC236}">
              <a16:creationId xmlns:a16="http://schemas.microsoft.com/office/drawing/2014/main" id="{1106566B-E92B-4519-8A97-29F4C3834B6A}"/>
            </a:ext>
          </a:extLst>
        </xdr:cNvPr>
        <xdr:cNvSpPr/>
      </xdr:nvSpPr>
      <xdr:spPr>
        <a:xfrm rot="10800000">
          <a:off x="19560540" y="5642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309</xdr:row>
      <xdr:rowOff>0</xdr:rowOff>
    </xdr:from>
    <xdr:to>
      <xdr:col>11</xdr:col>
      <xdr:colOff>83820</xdr:colOff>
      <xdr:row>309</xdr:row>
      <xdr:rowOff>114300</xdr:rowOff>
    </xdr:to>
    <xdr:sp macro="" textlink="">
      <xdr:nvSpPr>
        <xdr:cNvPr id="2356" name="Arrow: Down 2355">
          <a:extLst>
            <a:ext uri="{FF2B5EF4-FFF2-40B4-BE49-F238E27FC236}">
              <a16:creationId xmlns:a16="http://schemas.microsoft.com/office/drawing/2014/main" id="{85D3F24E-8E00-4959-8181-87D7DFBAFFE0}"/>
            </a:ext>
          </a:extLst>
        </xdr:cNvPr>
        <xdr:cNvSpPr/>
      </xdr:nvSpPr>
      <xdr:spPr>
        <a:xfrm>
          <a:off x="369570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309</xdr:row>
      <xdr:rowOff>0</xdr:rowOff>
    </xdr:from>
    <xdr:to>
      <xdr:col>5</xdr:col>
      <xdr:colOff>83820</xdr:colOff>
      <xdr:row>309</xdr:row>
      <xdr:rowOff>114300</xdr:rowOff>
    </xdr:to>
    <xdr:sp macro="" textlink="">
      <xdr:nvSpPr>
        <xdr:cNvPr id="2357" name="Arrow: Down 2356">
          <a:extLst>
            <a:ext uri="{FF2B5EF4-FFF2-40B4-BE49-F238E27FC236}">
              <a16:creationId xmlns:a16="http://schemas.microsoft.com/office/drawing/2014/main" id="{05C916A3-3177-4255-8605-8658C4120979}"/>
            </a:ext>
          </a:extLst>
        </xdr:cNvPr>
        <xdr:cNvSpPr/>
      </xdr:nvSpPr>
      <xdr:spPr>
        <a:xfrm>
          <a:off x="192786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309</xdr:row>
      <xdr:rowOff>0</xdr:rowOff>
    </xdr:from>
    <xdr:to>
      <xdr:col>24</xdr:col>
      <xdr:colOff>83820</xdr:colOff>
      <xdr:row>309</xdr:row>
      <xdr:rowOff>114300</xdr:rowOff>
    </xdr:to>
    <xdr:sp macro="" textlink="">
      <xdr:nvSpPr>
        <xdr:cNvPr id="2359" name="Arrow: Down 2358">
          <a:extLst>
            <a:ext uri="{FF2B5EF4-FFF2-40B4-BE49-F238E27FC236}">
              <a16:creationId xmlns:a16="http://schemas.microsoft.com/office/drawing/2014/main" id="{82FEC3BC-631F-4C45-8BBD-9BC8392881FC}"/>
            </a:ext>
          </a:extLst>
        </xdr:cNvPr>
        <xdr:cNvSpPr/>
      </xdr:nvSpPr>
      <xdr:spPr>
        <a:xfrm rot="10800000">
          <a:off x="655320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309</xdr:row>
      <xdr:rowOff>0</xdr:rowOff>
    </xdr:from>
    <xdr:to>
      <xdr:col>39</xdr:col>
      <xdr:colOff>83820</xdr:colOff>
      <xdr:row>309</xdr:row>
      <xdr:rowOff>114300</xdr:rowOff>
    </xdr:to>
    <xdr:sp macro="" textlink="">
      <xdr:nvSpPr>
        <xdr:cNvPr id="2360" name="Arrow: Down 2359">
          <a:extLst>
            <a:ext uri="{FF2B5EF4-FFF2-40B4-BE49-F238E27FC236}">
              <a16:creationId xmlns:a16="http://schemas.microsoft.com/office/drawing/2014/main" id="{86A388D7-DD2E-491A-A8AF-F12F1170163A}"/>
            </a:ext>
          </a:extLst>
        </xdr:cNvPr>
        <xdr:cNvSpPr/>
      </xdr:nvSpPr>
      <xdr:spPr>
        <a:xfrm>
          <a:off x="971550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309</xdr:row>
      <xdr:rowOff>0</xdr:rowOff>
    </xdr:from>
    <xdr:to>
      <xdr:col>45</xdr:col>
      <xdr:colOff>83820</xdr:colOff>
      <xdr:row>309</xdr:row>
      <xdr:rowOff>114300</xdr:rowOff>
    </xdr:to>
    <xdr:sp macro="" textlink="">
      <xdr:nvSpPr>
        <xdr:cNvPr id="2362" name="Arrow: Down 2361">
          <a:extLst>
            <a:ext uri="{FF2B5EF4-FFF2-40B4-BE49-F238E27FC236}">
              <a16:creationId xmlns:a16="http://schemas.microsoft.com/office/drawing/2014/main" id="{D12A5DD8-E893-41B9-BF5C-DB22AFB222E7}"/>
            </a:ext>
          </a:extLst>
        </xdr:cNvPr>
        <xdr:cNvSpPr/>
      </xdr:nvSpPr>
      <xdr:spPr>
        <a:xfrm>
          <a:off x="1157478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309</xdr:row>
      <xdr:rowOff>0</xdr:rowOff>
    </xdr:from>
    <xdr:to>
      <xdr:col>60</xdr:col>
      <xdr:colOff>83820</xdr:colOff>
      <xdr:row>309</xdr:row>
      <xdr:rowOff>114300</xdr:rowOff>
    </xdr:to>
    <xdr:sp macro="" textlink="">
      <xdr:nvSpPr>
        <xdr:cNvPr id="2364" name="Arrow: Down 2363">
          <a:extLst>
            <a:ext uri="{FF2B5EF4-FFF2-40B4-BE49-F238E27FC236}">
              <a16:creationId xmlns:a16="http://schemas.microsoft.com/office/drawing/2014/main" id="{70AAD52F-F187-4C01-A565-0B3079FA3E6D}"/>
            </a:ext>
          </a:extLst>
        </xdr:cNvPr>
        <xdr:cNvSpPr/>
      </xdr:nvSpPr>
      <xdr:spPr>
        <a:xfrm>
          <a:off x="1712976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310</xdr:row>
      <xdr:rowOff>0</xdr:rowOff>
    </xdr:from>
    <xdr:to>
      <xdr:col>71</xdr:col>
      <xdr:colOff>83820</xdr:colOff>
      <xdr:row>310</xdr:row>
      <xdr:rowOff>114300</xdr:rowOff>
    </xdr:to>
    <xdr:sp macro="" textlink="">
      <xdr:nvSpPr>
        <xdr:cNvPr id="2372" name="Arrow: Down 2371">
          <a:extLst>
            <a:ext uri="{FF2B5EF4-FFF2-40B4-BE49-F238E27FC236}">
              <a16:creationId xmlns:a16="http://schemas.microsoft.com/office/drawing/2014/main" id="{DF29FFE0-A973-4F13-AA15-08784FD442CA}"/>
            </a:ext>
          </a:extLst>
        </xdr:cNvPr>
        <xdr:cNvSpPr/>
      </xdr:nvSpPr>
      <xdr:spPr>
        <a:xfrm rot="10800000">
          <a:off x="1956054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310</xdr:row>
      <xdr:rowOff>0</xdr:rowOff>
    </xdr:from>
    <xdr:to>
      <xdr:col>39</xdr:col>
      <xdr:colOff>83820</xdr:colOff>
      <xdr:row>310</xdr:row>
      <xdr:rowOff>114300</xdr:rowOff>
    </xdr:to>
    <xdr:sp macro="" textlink="">
      <xdr:nvSpPr>
        <xdr:cNvPr id="2376" name="Arrow: Down 2375">
          <a:extLst>
            <a:ext uri="{FF2B5EF4-FFF2-40B4-BE49-F238E27FC236}">
              <a16:creationId xmlns:a16="http://schemas.microsoft.com/office/drawing/2014/main" id="{29C7A250-5FD5-4DC5-A383-CB023AF37F77}"/>
            </a:ext>
          </a:extLst>
        </xdr:cNvPr>
        <xdr:cNvSpPr/>
      </xdr:nvSpPr>
      <xdr:spPr>
        <a:xfrm>
          <a:off x="971550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310</xdr:row>
      <xdr:rowOff>0</xdr:rowOff>
    </xdr:from>
    <xdr:to>
      <xdr:col>45</xdr:col>
      <xdr:colOff>83820</xdr:colOff>
      <xdr:row>310</xdr:row>
      <xdr:rowOff>114300</xdr:rowOff>
    </xdr:to>
    <xdr:sp macro="" textlink="">
      <xdr:nvSpPr>
        <xdr:cNvPr id="2377" name="Arrow: Down 2376">
          <a:extLst>
            <a:ext uri="{FF2B5EF4-FFF2-40B4-BE49-F238E27FC236}">
              <a16:creationId xmlns:a16="http://schemas.microsoft.com/office/drawing/2014/main" id="{E815D53B-8BD9-4CBC-A534-050E093EC466}"/>
            </a:ext>
          </a:extLst>
        </xdr:cNvPr>
        <xdr:cNvSpPr/>
      </xdr:nvSpPr>
      <xdr:spPr>
        <a:xfrm>
          <a:off x="1157478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310</xdr:row>
      <xdr:rowOff>0</xdr:rowOff>
    </xdr:from>
    <xdr:to>
      <xdr:col>60</xdr:col>
      <xdr:colOff>83820</xdr:colOff>
      <xdr:row>310</xdr:row>
      <xdr:rowOff>114300</xdr:rowOff>
    </xdr:to>
    <xdr:sp macro="" textlink="">
      <xdr:nvSpPr>
        <xdr:cNvPr id="2378" name="Arrow: Down 2377">
          <a:extLst>
            <a:ext uri="{FF2B5EF4-FFF2-40B4-BE49-F238E27FC236}">
              <a16:creationId xmlns:a16="http://schemas.microsoft.com/office/drawing/2014/main" id="{12F18EEF-1D2A-406B-9652-ED31FD5E3A10}"/>
            </a:ext>
          </a:extLst>
        </xdr:cNvPr>
        <xdr:cNvSpPr/>
      </xdr:nvSpPr>
      <xdr:spPr>
        <a:xfrm>
          <a:off x="1712976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310</xdr:row>
      <xdr:rowOff>0</xdr:rowOff>
    </xdr:from>
    <xdr:to>
      <xdr:col>24</xdr:col>
      <xdr:colOff>83820</xdr:colOff>
      <xdr:row>310</xdr:row>
      <xdr:rowOff>114300</xdr:rowOff>
    </xdr:to>
    <xdr:sp macro="" textlink="">
      <xdr:nvSpPr>
        <xdr:cNvPr id="2379" name="Arrow: Down 2378">
          <a:extLst>
            <a:ext uri="{FF2B5EF4-FFF2-40B4-BE49-F238E27FC236}">
              <a16:creationId xmlns:a16="http://schemas.microsoft.com/office/drawing/2014/main" id="{AABF676A-965D-4F8D-A3D9-7E1356F7E066}"/>
            </a:ext>
          </a:extLst>
        </xdr:cNvPr>
        <xdr:cNvSpPr/>
      </xdr:nvSpPr>
      <xdr:spPr>
        <a:xfrm>
          <a:off x="6553200" y="5679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310</xdr:row>
      <xdr:rowOff>0</xdr:rowOff>
    </xdr:from>
    <xdr:to>
      <xdr:col>5</xdr:col>
      <xdr:colOff>83820</xdr:colOff>
      <xdr:row>310</xdr:row>
      <xdr:rowOff>114300</xdr:rowOff>
    </xdr:to>
    <xdr:sp macro="" textlink="">
      <xdr:nvSpPr>
        <xdr:cNvPr id="2380" name="Arrow: Down 2379">
          <a:extLst>
            <a:ext uri="{FF2B5EF4-FFF2-40B4-BE49-F238E27FC236}">
              <a16:creationId xmlns:a16="http://schemas.microsoft.com/office/drawing/2014/main" id="{D1C21798-E42E-457E-8FF0-1F7D4C144679}"/>
            </a:ext>
          </a:extLst>
        </xdr:cNvPr>
        <xdr:cNvSpPr/>
      </xdr:nvSpPr>
      <xdr:spPr>
        <a:xfrm rot="10800000">
          <a:off x="192786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310</xdr:row>
      <xdr:rowOff>0</xdr:rowOff>
    </xdr:from>
    <xdr:to>
      <xdr:col>11</xdr:col>
      <xdr:colOff>83820</xdr:colOff>
      <xdr:row>310</xdr:row>
      <xdr:rowOff>114300</xdr:rowOff>
    </xdr:to>
    <xdr:sp macro="" textlink="">
      <xdr:nvSpPr>
        <xdr:cNvPr id="2381" name="Arrow: Down 2380">
          <a:extLst>
            <a:ext uri="{FF2B5EF4-FFF2-40B4-BE49-F238E27FC236}">
              <a16:creationId xmlns:a16="http://schemas.microsoft.com/office/drawing/2014/main" id="{80795F0D-3F82-4D2F-B19E-5FD7CCB581E4}"/>
            </a:ext>
          </a:extLst>
        </xdr:cNvPr>
        <xdr:cNvSpPr/>
      </xdr:nvSpPr>
      <xdr:spPr>
        <a:xfrm rot="10800000">
          <a:off x="369570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311</xdr:row>
      <xdr:rowOff>0</xdr:rowOff>
    </xdr:from>
    <xdr:to>
      <xdr:col>71</xdr:col>
      <xdr:colOff>83820</xdr:colOff>
      <xdr:row>311</xdr:row>
      <xdr:rowOff>114300</xdr:rowOff>
    </xdr:to>
    <xdr:sp macro="" textlink="">
      <xdr:nvSpPr>
        <xdr:cNvPr id="2341" name="Arrow: Down 2340">
          <a:extLst>
            <a:ext uri="{FF2B5EF4-FFF2-40B4-BE49-F238E27FC236}">
              <a16:creationId xmlns:a16="http://schemas.microsoft.com/office/drawing/2014/main" id="{FF292C21-1357-4B5F-B012-61CA7DE102D5}"/>
            </a:ext>
          </a:extLst>
        </xdr:cNvPr>
        <xdr:cNvSpPr/>
      </xdr:nvSpPr>
      <xdr:spPr>
        <a:xfrm rot="10800000">
          <a:off x="1956054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311</xdr:row>
      <xdr:rowOff>0</xdr:rowOff>
    </xdr:from>
    <xdr:to>
      <xdr:col>39</xdr:col>
      <xdr:colOff>83820</xdr:colOff>
      <xdr:row>311</xdr:row>
      <xdr:rowOff>114300</xdr:rowOff>
    </xdr:to>
    <xdr:sp macro="" textlink="">
      <xdr:nvSpPr>
        <xdr:cNvPr id="2342" name="Arrow: Down 2341">
          <a:extLst>
            <a:ext uri="{FF2B5EF4-FFF2-40B4-BE49-F238E27FC236}">
              <a16:creationId xmlns:a16="http://schemas.microsoft.com/office/drawing/2014/main" id="{3820289B-97C9-455E-8937-38C0CD30C8DB}"/>
            </a:ext>
          </a:extLst>
        </xdr:cNvPr>
        <xdr:cNvSpPr/>
      </xdr:nvSpPr>
      <xdr:spPr>
        <a:xfrm>
          <a:off x="971550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311</xdr:row>
      <xdr:rowOff>0</xdr:rowOff>
    </xdr:from>
    <xdr:to>
      <xdr:col>45</xdr:col>
      <xdr:colOff>83820</xdr:colOff>
      <xdr:row>311</xdr:row>
      <xdr:rowOff>114300</xdr:rowOff>
    </xdr:to>
    <xdr:sp macro="" textlink="">
      <xdr:nvSpPr>
        <xdr:cNvPr id="2343" name="Arrow: Down 2342">
          <a:extLst>
            <a:ext uri="{FF2B5EF4-FFF2-40B4-BE49-F238E27FC236}">
              <a16:creationId xmlns:a16="http://schemas.microsoft.com/office/drawing/2014/main" id="{BEB30E72-F3F9-43F3-935C-A5C6E5077FDC}"/>
            </a:ext>
          </a:extLst>
        </xdr:cNvPr>
        <xdr:cNvSpPr/>
      </xdr:nvSpPr>
      <xdr:spPr>
        <a:xfrm>
          <a:off x="1157478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311</xdr:row>
      <xdr:rowOff>0</xdr:rowOff>
    </xdr:from>
    <xdr:to>
      <xdr:col>60</xdr:col>
      <xdr:colOff>83820</xdr:colOff>
      <xdr:row>311</xdr:row>
      <xdr:rowOff>114300</xdr:rowOff>
    </xdr:to>
    <xdr:sp macro="" textlink="">
      <xdr:nvSpPr>
        <xdr:cNvPr id="2344" name="Arrow: Down 2343">
          <a:extLst>
            <a:ext uri="{FF2B5EF4-FFF2-40B4-BE49-F238E27FC236}">
              <a16:creationId xmlns:a16="http://schemas.microsoft.com/office/drawing/2014/main" id="{0AEBE8DE-1016-420E-A370-0521FF36BCA2}"/>
            </a:ext>
          </a:extLst>
        </xdr:cNvPr>
        <xdr:cNvSpPr/>
      </xdr:nvSpPr>
      <xdr:spPr>
        <a:xfrm>
          <a:off x="17129760" y="5679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311</xdr:row>
      <xdr:rowOff>0</xdr:rowOff>
    </xdr:from>
    <xdr:to>
      <xdr:col>24</xdr:col>
      <xdr:colOff>83820</xdr:colOff>
      <xdr:row>311</xdr:row>
      <xdr:rowOff>114300</xdr:rowOff>
    </xdr:to>
    <xdr:sp macro="" textlink="">
      <xdr:nvSpPr>
        <xdr:cNvPr id="2345" name="Arrow: Down 2344">
          <a:extLst>
            <a:ext uri="{FF2B5EF4-FFF2-40B4-BE49-F238E27FC236}">
              <a16:creationId xmlns:a16="http://schemas.microsoft.com/office/drawing/2014/main" id="{515F391E-6A57-40FA-81D5-7BC05E0D0E2D}"/>
            </a:ext>
          </a:extLst>
        </xdr:cNvPr>
        <xdr:cNvSpPr/>
      </xdr:nvSpPr>
      <xdr:spPr>
        <a:xfrm>
          <a:off x="6553200" y="5679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311</xdr:row>
      <xdr:rowOff>0</xdr:rowOff>
    </xdr:from>
    <xdr:to>
      <xdr:col>11</xdr:col>
      <xdr:colOff>83820</xdr:colOff>
      <xdr:row>311</xdr:row>
      <xdr:rowOff>114300</xdr:rowOff>
    </xdr:to>
    <xdr:sp macro="" textlink="">
      <xdr:nvSpPr>
        <xdr:cNvPr id="2349" name="Arrow: Down 2348">
          <a:extLst>
            <a:ext uri="{FF2B5EF4-FFF2-40B4-BE49-F238E27FC236}">
              <a16:creationId xmlns:a16="http://schemas.microsoft.com/office/drawing/2014/main" id="{3DFCF777-A6C5-43F0-B6A3-23B6A25E517F}"/>
            </a:ext>
          </a:extLst>
        </xdr:cNvPr>
        <xdr:cNvSpPr/>
      </xdr:nvSpPr>
      <xdr:spPr>
        <a:xfrm>
          <a:off x="369570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311</xdr:row>
      <xdr:rowOff>0</xdr:rowOff>
    </xdr:from>
    <xdr:to>
      <xdr:col>5</xdr:col>
      <xdr:colOff>83820</xdr:colOff>
      <xdr:row>311</xdr:row>
      <xdr:rowOff>114300</xdr:rowOff>
    </xdr:to>
    <xdr:sp macro="" textlink="">
      <xdr:nvSpPr>
        <xdr:cNvPr id="2351" name="Arrow: Down 2350">
          <a:extLst>
            <a:ext uri="{FF2B5EF4-FFF2-40B4-BE49-F238E27FC236}">
              <a16:creationId xmlns:a16="http://schemas.microsoft.com/office/drawing/2014/main" id="{6D09CC4F-3CD5-4454-B229-C1E3390E9DAD}"/>
            </a:ext>
          </a:extLst>
        </xdr:cNvPr>
        <xdr:cNvSpPr/>
      </xdr:nvSpPr>
      <xdr:spPr>
        <a:xfrm>
          <a:off x="192786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312</xdr:row>
      <xdr:rowOff>0</xdr:rowOff>
    </xdr:from>
    <xdr:to>
      <xdr:col>71</xdr:col>
      <xdr:colOff>83820</xdr:colOff>
      <xdr:row>312</xdr:row>
      <xdr:rowOff>114300</xdr:rowOff>
    </xdr:to>
    <xdr:sp macro="" textlink="">
      <xdr:nvSpPr>
        <xdr:cNvPr id="2279" name="Arrow: Down 2278">
          <a:extLst>
            <a:ext uri="{FF2B5EF4-FFF2-40B4-BE49-F238E27FC236}">
              <a16:creationId xmlns:a16="http://schemas.microsoft.com/office/drawing/2014/main" id="{4EB4B5B2-1E3B-4A2E-A8BB-32BFC75472B3}"/>
            </a:ext>
          </a:extLst>
        </xdr:cNvPr>
        <xdr:cNvSpPr/>
      </xdr:nvSpPr>
      <xdr:spPr>
        <a:xfrm rot="10800000">
          <a:off x="19560540" y="5697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312</xdr:row>
      <xdr:rowOff>0</xdr:rowOff>
    </xdr:from>
    <xdr:to>
      <xdr:col>39</xdr:col>
      <xdr:colOff>83820</xdr:colOff>
      <xdr:row>312</xdr:row>
      <xdr:rowOff>114300</xdr:rowOff>
    </xdr:to>
    <xdr:sp macro="" textlink="">
      <xdr:nvSpPr>
        <xdr:cNvPr id="2280" name="Arrow: Down 2279">
          <a:extLst>
            <a:ext uri="{FF2B5EF4-FFF2-40B4-BE49-F238E27FC236}">
              <a16:creationId xmlns:a16="http://schemas.microsoft.com/office/drawing/2014/main" id="{81ADB436-BF18-4FE7-A471-2E6F4A47F2CD}"/>
            </a:ext>
          </a:extLst>
        </xdr:cNvPr>
        <xdr:cNvSpPr/>
      </xdr:nvSpPr>
      <xdr:spPr>
        <a:xfrm>
          <a:off x="9715500" y="5697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312</xdr:row>
      <xdr:rowOff>0</xdr:rowOff>
    </xdr:from>
    <xdr:to>
      <xdr:col>45</xdr:col>
      <xdr:colOff>83820</xdr:colOff>
      <xdr:row>312</xdr:row>
      <xdr:rowOff>114300</xdr:rowOff>
    </xdr:to>
    <xdr:sp macro="" textlink="">
      <xdr:nvSpPr>
        <xdr:cNvPr id="2281" name="Arrow: Down 2280">
          <a:extLst>
            <a:ext uri="{FF2B5EF4-FFF2-40B4-BE49-F238E27FC236}">
              <a16:creationId xmlns:a16="http://schemas.microsoft.com/office/drawing/2014/main" id="{ADA8D00C-2C25-4889-8804-86498CD49003}"/>
            </a:ext>
          </a:extLst>
        </xdr:cNvPr>
        <xdr:cNvSpPr/>
      </xdr:nvSpPr>
      <xdr:spPr>
        <a:xfrm>
          <a:off x="11574780" y="5697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312</xdr:row>
      <xdr:rowOff>0</xdr:rowOff>
    </xdr:from>
    <xdr:to>
      <xdr:col>60</xdr:col>
      <xdr:colOff>83820</xdr:colOff>
      <xdr:row>312</xdr:row>
      <xdr:rowOff>114300</xdr:rowOff>
    </xdr:to>
    <xdr:sp macro="" textlink="">
      <xdr:nvSpPr>
        <xdr:cNvPr id="2289" name="Arrow: Down 2288">
          <a:extLst>
            <a:ext uri="{FF2B5EF4-FFF2-40B4-BE49-F238E27FC236}">
              <a16:creationId xmlns:a16="http://schemas.microsoft.com/office/drawing/2014/main" id="{3DE3A92E-583D-4456-92BE-60F94B0CA770}"/>
            </a:ext>
          </a:extLst>
        </xdr:cNvPr>
        <xdr:cNvSpPr/>
      </xdr:nvSpPr>
      <xdr:spPr>
        <a:xfrm>
          <a:off x="1712976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312</xdr:row>
      <xdr:rowOff>0</xdr:rowOff>
    </xdr:from>
    <xdr:to>
      <xdr:col>24</xdr:col>
      <xdr:colOff>83820</xdr:colOff>
      <xdr:row>312</xdr:row>
      <xdr:rowOff>114300</xdr:rowOff>
    </xdr:to>
    <xdr:sp macro="" textlink="">
      <xdr:nvSpPr>
        <xdr:cNvPr id="2290" name="Arrow: Down 2289">
          <a:extLst>
            <a:ext uri="{FF2B5EF4-FFF2-40B4-BE49-F238E27FC236}">
              <a16:creationId xmlns:a16="http://schemas.microsoft.com/office/drawing/2014/main" id="{076706C7-F63F-4747-A903-F3DAD0E0FB23}"/>
            </a:ext>
          </a:extLst>
        </xdr:cNvPr>
        <xdr:cNvSpPr/>
      </xdr:nvSpPr>
      <xdr:spPr>
        <a:xfrm>
          <a:off x="655320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312</xdr:row>
      <xdr:rowOff>0</xdr:rowOff>
    </xdr:from>
    <xdr:to>
      <xdr:col>11</xdr:col>
      <xdr:colOff>83820</xdr:colOff>
      <xdr:row>312</xdr:row>
      <xdr:rowOff>114300</xdr:rowOff>
    </xdr:to>
    <xdr:sp macro="" textlink="">
      <xdr:nvSpPr>
        <xdr:cNvPr id="2295" name="Arrow: Down 2294">
          <a:extLst>
            <a:ext uri="{FF2B5EF4-FFF2-40B4-BE49-F238E27FC236}">
              <a16:creationId xmlns:a16="http://schemas.microsoft.com/office/drawing/2014/main" id="{5BD31A41-77AE-45DC-99F8-3A95737B48D3}"/>
            </a:ext>
          </a:extLst>
        </xdr:cNvPr>
        <xdr:cNvSpPr/>
      </xdr:nvSpPr>
      <xdr:spPr>
        <a:xfrm>
          <a:off x="369570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312</xdr:row>
      <xdr:rowOff>0</xdr:rowOff>
    </xdr:from>
    <xdr:to>
      <xdr:col>5</xdr:col>
      <xdr:colOff>83820</xdr:colOff>
      <xdr:row>312</xdr:row>
      <xdr:rowOff>114300</xdr:rowOff>
    </xdr:to>
    <xdr:sp macro="" textlink="">
      <xdr:nvSpPr>
        <xdr:cNvPr id="2306" name="Arrow: Down 2305">
          <a:extLst>
            <a:ext uri="{FF2B5EF4-FFF2-40B4-BE49-F238E27FC236}">
              <a16:creationId xmlns:a16="http://schemas.microsoft.com/office/drawing/2014/main" id="{02FD9C76-E3B3-4B3F-99C6-97CF30EE748A}"/>
            </a:ext>
          </a:extLst>
        </xdr:cNvPr>
        <xdr:cNvSpPr/>
      </xdr:nvSpPr>
      <xdr:spPr>
        <a:xfrm>
          <a:off x="192786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313</xdr:row>
      <xdr:rowOff>0</xdr:rowOff>
    </xdr:from>
    <xdr:to>
      <xdr:col>60</xdr:col>
      <xdr:colOff>83820</xdr:colOff>
      <xdr:row>313</xdr:row>
      <xdr:rowOff>114300</xdr:rowOff>
    </xdr:to>
    <xdr:sp macro="" textlink="">
      <xdr:nvSpPr>
        <xdr:cNvPr id="2262" name="Arrow: Down 2261">
          <a:extLst>
            <a:ext uri="{FF2B5EF4-FFF2-40B4-BE49-F238E27FC236}">
              <a16:creationId xmlns:a16="http://schemas.microsoft.com/office/drawing/2014/main" id="{43F49BB8-C83D-4805-9C0B-2777481BA9DD}"/>
            </a:ext>
          </a:extLst>
        </xdr:cNvPr>
        <xdr:cNvSpPr/>
      </xdr:nvSpPr>
      <xdr:spPr>
        <a:xfrm>
          <a:off x="1712976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313</xdr:row>
      <xdr:rowOff>0</xdr:rowOff>
    </xdr:from>
    <xdr:to>
      <xdr:col>24</xdr:col>
      <xdr:colOff>83820</xdr:colOff>
      <xdr:row>313</xdr:row>
      <xdr:rowOff>114300</xdr:rowOff>
    </xdr:to>
    <xdr:sp macro="" textlink="">
      <xdr:nvSpPr>
        <xdr:cNvPr id="2263" name="Arrow: Down 2262">
          <a:extLst>
            <a:ext uri="{FF2B5EF4-FFF2-40B4-BE49-F238E27FC236}">
              <a16:creationId xmlns:a16="http://schemas.microsoft.com/office/drawing/2014/main" id="{52D02C78-010A-425D-BA84-676356621616}"/>
            </a:ext>
          </a:extLst>
        </xdr:cNvPr>
        <xdr:cNvSpPr/>
      </xdr:nvSpPr>
      <xdr:spPr>
        <a:xfrm>
          <a:off x="655320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313</xdr:row>
      <xdr:rowOff>0</xdr:rowOff>
    </xdr:from>
    <xdr:to>
      <xdr:col>11</xdr:col>
      <xdr:colOff>83820</xdr:colOff>
      <xdr:row>313</xdr:row>
      <xdr:rowOff>114300</xdr:rowOff>
    </xdr:to>
    <xdr:sp macro="" textlink="">
      <xdr:nvSpPr>
        <xdr:cNvPr id="2267" name="Arrow: Down 2266">
          <a:extLst>
            <a:ext uri="{FF2B5EF4-FFF2-40B4-BE49-F238E27FC236}">
              <a16:creationId xmlns:a16="http://schemas.microsoft.com/office/drawing/2014/main" id="{9125D689-4105-4850-ABF5-B93FD9DDCA22}"/>
            </a:ext>
          </a:extLst>
        </xdr:cNvPr>
        <xdr:cNvSpPr/>
      </xdr:nvSpPr>
      <xdr:spPr>
        <a:xfrm>
          <a:off x="369570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313</xdr:row>
      <xdr:rowOff>0</xdr:rowOff>
    </xdr:from>
    <xdr:to>
      <xdr:col>5</xdr:col>
      <xdr:colOff>83820</xdr:colOff>
      <xdr:row>313</xdr:row>
      <xdr:rowOff>114300</xdr:rowOff>
    </xdr:to>
    <xdr:sp macro="" textlink="">
      <xdr:nvSpPr>
        <xdr:cNvPr id="2278" name="Arrow: Down 2277">
          <a:extLst>
            <a:ext uri="{FF2B5EF4-FFF2-40B4-BE49-F238E27FC236}">
              <a16:creationId xmlns:a16="http://schemas.microsoft.com/office/drawing/2014/main" id="{6C37E810-EA0F-4FBC-83F0-B161CF32E9F1}"/>
            </a:ext>
          </a:extLst>
        </xdr:cNvPr>
        <xdr:cNvSpPr/>
      </xdr:nvSpPr>
      <xdr:spPr>
        <a:xfrm>
          <a:off x="192786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313</xdr:row>
      <xdr:rowOff>0</xdr:rowOff>
    </xdr:from>
    <xdr:to>
      <xdr:col>39</xdr:col>
      <xdr:colOff>83820</xdr:colOff>
      <xdr:row>313</xdr:row>
      <xdr:rowOff>114300</xdr:rowOff>
    </xdr:to>
    <xdr:sp macro="" textlink="">
      <xdr:nvSpPr>
        <xdr:cNvPr id="2307" name="Arrow: Down 2306">
          <a:extLst>
            <a:ext uri="{FF2B5EF4-FFF2-40B4-BE49-F238E27FC236}">
              <a16:creationId xmlns:a16="http://schemas.microsoft.com/office/drawing/2014/main" id="{58D3CD28-CD41-43ED-A522-9DAF31FCBD16}"/>
            </a:ext>
          </a:extLst>
        </xdr:cNvPr>
        <xdr:cNvSpPr/>
      </xdr:nvSpPr>
      <xdr:spPr>
        <a:xfrm rot="10800000">
          <a:off x="971550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313</xdr:row>
      <xdr:rowOff>0</xdr:rowOff>
    </xdr:from>
    <xdr:to>
      <xdr:col>45</xdr:col>
      <xdr:colOff>83820</xdr:colOff>
      <xdr:row>313</xdr:row>
      <xdr:rowOff>114300</xdr:rowOff>
    </xdr:to>
    <xdr:sp macro="" textlink="">
      <xdr:nvSpPr>
        <xdr:cNvPr id="2309" name="Arrow: Down 2308">
          <a:extLst>
            <a:ext uri="{FF2B5EF4-FFF2-40B4-BE49-F238E27FC236}">
              <a16:creationId xmlns:a16="http://schemas.microsoft.com/office/drawing/2014/main" id="{AA13CFC6-8E5F-47C5-8211-EF09A62F779E}"/>
            </a:ext>
          </a:extLst>
        </xdr:cNvPr>
        <xdr:cNvSpPr/>
      </xdr:nvSpPr>
      <xdr:spPr>
        <a:xfrm rot="10800000">
          <a:off x="1157478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313</xdr:row>
      <xdr:rowOff>0</xdr:rowOff>
    </xdr:from>
    <xdr:to>
      <xdr:col>71</xdr:col>
      <xdr:colOff>83820</xdr:colOff>
      <xdr:row>313</xdr:row>
      <xdr:rowOff>114300</xdr:rowOff>
    </xdr:to>
    <xdr:sp macro="" textlink="">
      <xdr:nvSpPr>
        <xdr:cNvPr id="2326" name="Arrow: Down 2325">
          <a:extLst>
            <a:ext uri="{FF2B5EF4-FFF2-40B4-BE49-F238E27FC236}">
              <a16:creationId xmlns:a16="http://schemas.microsoft.com/office/drawing/2014/main" id="{D5F28EF7-57DE-4CDD-B508-AFA933A8B860}"/>
            </a:ext>
          </a:extLst>
        </xdr:cNvPr>
        <xdr:cNvSpPr/>
      </xdr:nvSpPr>
      <xdr:spPr>
        <a:xfrm>
          <a:off x="1956054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314</xdr:row>
      <xdr:rowOff>0</xdr:rowOff>
    </xdr:from>
    <xdr:to>
      <xdr:col>39</xdr:col>
      <xdr:colOff>83820</xdr:colOff>
      <xdr:row>314</xdr:row>
      <xdr:rowOff>114300</xdr:rowOff>
    </xdr:to>
    <xdr:sp macro="" textlink="">
      <xdr:nvSpPr>
        <xdr:cNvPr id="2363" name="Arrow: Down 2362">
          <a:extLst>
            <a:ext uri="{FF2B5EF4-FFF2-40B4-BE49-F238E27FC236}">
              <a16:creationId xmlns:a16="http://schemas.microsoft.com/office/drawing/2014/main" id="{3FCB992A-23DE-4037-B0EA-96FE0536D216}"/>
            </a:ext>
          </a:extLst>
        </xdr:cNvPr>
        <xdr:cNvSpPr/>
      </xdr:nvSpPr>
      <xdr:spPr>
        <a:xfrm rot="10800000">
          <a:off x="971550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314</xdr:row>
      <xdr:rowOff>0</xdr:rowOff>
    </xdr:from>
    <xdr:to>
      <xdr:col>45</xdr:col>
      <xdr:colOff>83820</xdr:colOff>
      <xdr:row>314</xdr:row>
      <xdr:rowOff>114300</xdr:rowOff>
    </xdr:to>
    <xdr:sp macro="" textlink="">
      <xdr:nvSpPr>
        <xdr:cNvPr id="2365" name="Arrow: Down 2364">
          <a:extLst>
            <a:ext uri="{FF2B5EF4-FFF2-40B4-BE49-F238E27FC236}">
              <a16:creationId xmlns:a16="http://schemas.microsoft.com/office/drawing/2014/main" id="{9FDBF6A1-A765-4247-AF08-D87EBBDE1B6A}"/>
            </a:ext>
          </a:extLst>
        </xdr:cNvPr>
        <xdr:cNvSpPr/>
      </xdr:nvSpPr>
      <xdr:spPr>
        <a:xfrm rot="10800000">
          <a:off x="1157478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314</xdr:row>
      <xdr:rowOff>0</xdr:rowOff>
    </xdr:from>
    <xdr:to>
      <xdr:col>5</xdr:col>
      <xdr:colOff>83820</xdr:colOff>
      <xdr:row>314</xdr:row>
      <xdr:rowOff>114300</xdr:rowOff>
    </xdr:to>
    <xdr:sp macro="" textlink="">
      <xdr:nvSpPr>
        <xdr:cNvPr id="2368" name="Arrow: Down 2367">
          <a:extLst>
            <a:ext uri="{FF2B5EF4-FFF2-40B4-BE49-F238E27FC236}">
              <a16:creationId xmlns:a16="http://schemas.microsoft.com/office/drawing/2014/main" id="{6E470A87-00FC-4894-9DCD-7F0FAC2D83FA}"/>
            </a:ext>
          </a:extLst>
        </xdr:cNvPr>
        <xdr:cNvSpPr/>
      </xdr:nvSpPr>
      <xdr:spPr>
        <a:xfrm rot="10800000">
          <a:off x="19278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314</xdr:row>
      <xdr:rowOff>0</xdr:rowOff>
    </xdr:from>
    <xdr:to>
      <xdr:col>11</xdr:col>
      <xdr:colOff>83820</xdr:colOff>
      <xdr:row>314</xdr:row>
      <xdr:rowOff>114300</xdr:rowOff>
    </xdr:to>
    <xdr:sp macro="" textlink="">
      <xdr:nvSpPr>
        <xdr:cNvPr id="2370" name="Arrow: Down 2369">
          <a:extLst>
            <a:ext uri="{FF2B5EF4-FFF2-40B4-BE49-F238E27FC236}">
              <a16:creationId xmlns:a16="http://schemas.microsoft.com/office/drawing/2014/main" id="{CBB81889-C958-4860-AF66-7D320E3D2B78}"/>
            </a:ext>
          </a:extLst>
        </xdr:cNvPr>
        <xdr:cNvSpPr/>
      </xdr:nvSpPr>
      <xdr:spPr>
        <a:xfrm rot="10800000">
          <a:off x="36957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314</xdr:row>
      <xdr:rowOff>0</xdr:rowOff>
    </xdr:from>
    <xdr:to>
      <xdr:col>24</xdr:col>
      <xdr:colOff>83820</xdr:colOff>
      <xdr:row>314</xdr:row>
      <xdr:rowOff>114300</xdr:rowOff>
    </xdr:to>
    <xdr:sp macro="" textlink="">
      <xdr:nvSpPr>
        <xdr:cNvPr id="2373" name="Arrow: Down 2372">
          <a:extLst>
            <a:ext uri="{FF2B5EF4-FFF2-40B4-BE49-F238E27FC236}">
              <a16:creationId xmlns:a16="http://schemas.microsoft.com/office/drawing/2014/main" id="{8E91F651-AD3B-470E-A943-447D6019B415}"/>
            </a:ext>
          </a:extLst>
        </xdr:cNvPr>
        <xdr:cNvSpPr/>
      </xdr:nvSpPr>
      <xdr:spPr>
        <a:xfrm rot="10800000">
          <a:off x="65532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314</xdr:row>
      <xdr:rowOff>0</xdr:rowOff>
    </xdr:from>
    <xdr:to>
      <xdr:col>60</xdr:col>
      <xdr:colOff>83820</xdr:colOff>
      <xdr:row>314</xdr:row>
      <xdr:rowOff>114300</xdr:rowOff>
    </xdr:to>
    <xdr:sp macro="" textlink="">
      <xdr:nvSpPr>
        <xdr:cNvPr id="2374" name="Arrow: Down 2373">
          <a:extLst>
            <a:ext uri="{FF2B5EF4-FFF2-40B4-BE49-F238E27FC236}">
              <a16:creationId xmlns:a16="http://schemas.microsoft.com/office/drawing/2014/main" id="{9E981259-1E5F-49DE-BB6C-7930EDF91521}"/>
            </a:ext>
          </a:extLst>
        </xdr:cNvPr>
        <xdr:cNvSpPr/>
      </xdr:nvSpPr>
      <xdr:spPr>
        <a:xfrm rot="10800000">
          <a:off x="171297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314</xdr:row>
      <xdr:rowOff>0</xdr:rowOff>
    </xdr:from>
    <xdr:to>
      <xdr:col>71</xdr:col>
      <xdr:colOff>83820</xdr:colOff>
      <xdr:row>314</xdr:row>
      <xdr:rowOff>114300</xdr:rowOff>
    </xdr:to>
    <xdr:sp macro="" textlink="">
      <xdr:nvSpPr>
        <xdr:cNvPr id="2382" name="Arrow: Down 2381">
          <a:extLst>
            <a:ext uri="{FF2B5EF4-FFF2-40B4-BE49-F238E27FC236}">
              <a16:creationId xmlns:a16="http://schemas.microsoft.com/office/drawing/2014/main" id="{FF3ABAD5-2B43-42B4-9A0D-0B08103BF600}"/>
            </a:ext>
          </a:extLst>
        </xdr:cNvPr>
        <xdr:cNvSpPr/>
      </xdr:nvSpPr>
      <xdr:spPr>
        <a:xfrm rot="10800000">
          <a:off x="1956054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315</xdr:row>
      <xdr:rowOff>0</xdr:rowOff>
    </xdr:from>
    <xdr:to>
      <xdr:col>45</xdr:col>
      <xdr:colOff>83820</xdr:colOff>
      <xdr:row>315</xdr:row>
      <xdr:rowOff>114300</xdr:rowOff>
    </xdr:to>
    <xdr:sp macro="" textlink="">
      <xdr:nvSpPr>
        <xdr:cNvPr id="2384" name="Arrow: Down 2383">
          <a:extLst>
            <a:ext uri="{FF2B5EF4-FFF2-40B4-BE49-F238E27FC236}">
              <a16:creationId xmlns:a16="http://schemas.microsoft.com/office/drawing/2014/main" id="{3CE56ED7-2A10-4C31-8E9B-670E846244DD}"/>
            </a:ext>
          </a:extLst>
        </xdr:cNvPr>
        <xdr:cNvSpPr/>
      </xdr:nvSpPr>
      <xdr:spPr>
        <a:xfrm rot="10800000">
          <a:off x="11574780" y="5752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315</xdr:row>
      <xdr:rowOff>0</xdr:rowOff>
    </xdr:from>
    <xdr:to>
      <xdr:col>5</xdr:col>
      <xdr:colOff>83820</xdr:colOff>
      <xdr:row>315</xdr:row>
      <xdr:rowOff>114300</xdr:rowOff>
    </xdr:to>
    <xdr:sp macro="" textlink="">
      <xdr:nvSpPr>
        <xdr:cNvPr id="2385" name="Arrow: Down 2384">
          <a:extLst>
            <a:ext uri="{FF2B5EF4-FFF2-40B4-BE49-F238E27FC236}">
              <a16:creationId xmlns:a16="http://schemas.microsoft.com/office/drawing/2014/main" id="{D30BB457-B992-4E42-8808-CFA1685EBF29}"/>
            </a:ext>
          </a:extLst>
        </xdr:cNvPr>
        <xdr:cNvSpPr/>
      </xdr:nvSpPr>
      <xdr:spPr>
        <a:xfrm rot="10800000">
          <a:off x="19278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315</xdr:row>
      <xdr:rowOff>0</xdr:rowOff>
    </xdr:from>
    <xdr:to>
      <xdr:col>11</xdr:col>
      <xdr:colOff>83820</xdr:colOff>
      <xdr:row>315</xdr:row>
      <xdr:rowOff>114300</xdr:rowOff>
    </xdr:to>
    <xdr:sp macro="" textlink="">
      <xdr:nvSpPr>
        <xdr:cNvPr id="2386" name="Arrow: Down 2385">
          <a:extLst>
            <a:ext uri="{FF2B5EF4-FFF2-40B4-BE49-F238E27FC236}">
              <a16:creationId xmlns:a16="http://schemas.microsoft.com/office/drawing/2014/main" id="{1E0BA2CB-865B-4163-A670-221F66B6AAE1}"/>
            </a:ext>
          </a:extLst>
        </xdr:cNvPr>
        <xdr:cNvSpPr/>
      </xdr:nvSpPr>
      <xdr:spPr>
        <a:xfrm rot="10800000">
          <a:off x="36957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315</xdr:row>
      <xdr:rowOff>0</xdr:rowOff>
    </xdr:from>
    <xdr:to>
      <xdr:col>24</xdr:col>
      <xdr:colOff>83820</xdr:colOff>
      <xdr:row>315</xdr:row>
      <xdr:rowOff>114300</xdr:rowOff>
    </xdr:to>
    <xdr:sp macro="" textlink="">
      <xdr:nvSpPr>
        <xdr:cNvPr id="2387" name="Arrow: Down 2386">
          <a:extLst>
            <a:ext uri="{FF2B5EF4-FFF2-40B4-BE49-F238E27FC236}">
              <a16:creationId xmlns:a16="http://schemas.microsoft.com/office/drawing/2014/main" id="{60F7F30D-4FA1-4C43-B8AA-F601D0DF4F88}"/>
            </a:ext>
          </a:extLst>
        </xdr:cNvPr>
        <xdr:cNvSpPr/>
      </xdr:nvSpPr>
      <xdr:spPr>
        <a:xfrm rot="10800000">
          <a:off x="65532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315</xdr:row>
      <xdr:rowOff>0</xdr:rowOff>
    </xdr:from>
    <xdr:to>
      <xdr:col>60</xdr:col>
      <xdr:colOff>83820</xdr:colOff>
      <xdr:row>315</xdr:row>
      <xdr:rowOff>114300</xdr:rowOff>
    </xdr:to>
    <xdr:sp macro="" textlink="">
      <xdr:nvSpPr>
        <xdr:cNvPr id="2388" name="Arrow: Down 2387">
          <a:extLst>
            <a:ext uri="{FF2B5EF4-FFF2-40B4-BE49-F238E27FC236}">
              <a16:creationId xmlns:a16="http://schemas.microsoft.com/office/drawing/2014/main" id="{4D4D7975-9881-4BC1-90C4-7955E5BB817B}"/>
            </a:ext>
          </a:extLst>
        </xdr:cNvPr>
        <xdr:cNvSpPr/>
      </xdr:nvSpPr>
      <xdr:spPr>
        <a:xfrm rot="10800000">
          <a:off x="171297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315</xdr:row>
      <xdr:rowOff>0</xdr:rowOff>
    </xdr:from>
    <xdr:to>
      <xdr:col>71</xdr:col>
      <xdr:colOff>83820</xdr:colOff>
      <xdr:row>315</xdr:row>
      <xdr:rowOff>114300</xdr:rowOff>
    </xdr:to>
    <xdr:sp macro="" textlink="">
      <xdr:nvSpPr>
        <xdr:cNvPr id="2389" name="Arrow: Down 2388">
          <a:extLst>
            <a:ext uri="{FF2B5EF4-FFF2-40B4-BE49-F238E27FC236}">
              <a16:creationId xmlns:a16="http://schemas.microsoft.com/office/drawing/2014/main" id="{EC9B9B61-F067-4AD1-B912-9CF62A924CBB}"/>
            </a:ext>
          </a:extLst>
        </xdr:cNvPr>
        <xdr:cNvSpPr/>
      </xdr:nvSpPr>
      <xdr:spPr>
        <a:xfrm rot="10800000">
          <a:off x="1956054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315</xdr:row>
      <xdr:rowOff>0</xdr:rowOff>
    </xdr:from>
    <xdr:to>
      <xdr:col>39</xdr:col>
      <xdr:colOff>83820</xdr:colOff>
      <xdr:row>315</xdr:row>
      <xdr:rowOff>114300</xdr:rowOff>
    </xdr:to>
    <xdr:sp macro="" textlink="">
      <xdr:nvSpPr>
        <xdr:cNvPr id="2390" name="Arrow: Down 2389">
          <a:extLst>
            <a:ext uri="{FF2B5EF4-FFF2-40B4-BE49-F238E27FC236}">
              <a16:creationId xmlns:a16="http://schemas.microsoft.com/office/drawing/2014/main" id="{029A1F74-C56D-4157-80D9-E4286616F2BB}"/>
            </a:ext>
          </a:extLst>
        </xdr:cNvPr>
        <xdr:cNvSpPr/>
      </xdr:nvSpPr>
      <xdr:spPr>
        <a:xfrm>
          <a:off x="971550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316</xdr:row>
      <xdr:rowOff>0</xdr:rowOff>
    </xdr:from>
    <xdr:to>
      <xdr:col>45</xdr:col>
      <xdr:colOff>83820</xdr:colOff>
      <xdr:row>316</xdr:row>
      <xdr:rowOff>114300</xdr:rowOff>
    </xdr:to>
    <xdr:sp macro="" textlink="">
      <xdr:nvSpPr>
        <xdr:cNvPr id="2398" name="Arrow: Down 2397">
          <a:extLst>
            <a:ext uri="{FF2B5EF4-FFF2-40B4-BE49-F238E27FC236}">
              <a16:creationId xmlns:a16="http://schemas.microsoft.com/office/drawing/2014/main" id="{23012981-9C88-4379-970D-5FE437DD6261}"/>
            </a:ext>
          </a:extLst>
        </xdr:cNvPr>
        <xdr:cNvSpPr/>
      </xdr:nvSpPr>
      <xdr:spPr>
        <a:xfrm rot="10800000">
          <a:off x="11574780" y="5770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316</xdr:row>
      <xdr:rowOff>0</xdr:rowOff>
    </xdr:from>
    <xdr:to>
      <xdr:col>5</xdr:col>
      <xdr:colOff>83820</xdr:colOff>
      <xdr:row>316</xdr:row>
      <xdr:rowOff>114300</xdr:rowOff>
    </xdr:to>
    <xdr:sp macro="" textlink="">
      <xdr:nvSpPr>
        <xdr:cNvPr id="2399" name="Arrow: Down 2398">
          <a:extLst>
            <a:ext uri="{FF2B5EF4-FFF2-40B4-BE49-F238E27FC236}">
              <a16:creationId xmlns:a16="http://schemas.microsoft.com/office/drawing/2014/main" id="{E7AB6673-76C3-4751-97FD-E0C5F614E29A}"/>
            </a:ext>
          </a:extLst>
        </xdr:cNvPr>
        <xdr:cNvSpPr/>
      </xdr:nvSpPr>
      <xdr:spPr>
        <a:xfrm rot="10800000">
          <a:off x="192786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316</xdr:row>
      <xdr:rowOff>0</xdr:rowOff>
    </xdr:from>
    <xdr:to>
      <xdr:col>11</xdr:col>
      <xdr:colOff>83820</xdr:colOff>
      <xdr:row>316</xdr:row>
      <xdr:rowOff>114300</xdr:rowOff>
    </xdr:to>
    <xdr:sp macro="" textlink="">
      <xdr:nvSpPr>
        <xdr:cNvPr id="2400" name="Arrow: Down 2399">
          <a:extLst>
            <a:ext uri="{FF2B5EF4-FFF2-40B4-BE49-F238E27FC236}">
              <a16:creationId xmlns:a16="http://schemas.microsoft.com/office/drawing/2014/main" id="{54ABE85A-9D73-4088-8418-1EB53368892B}"/>
            </a:ext>
          </a:extLst>
        </xdr:cNvPr>
        <xdr:cNvSpPr/>
      </xdr:nvSpPr>
      <xdr:spPr>
        <a:xfrm rot="10800000">
          <a:off x="369570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316</xdr:row>
      <xdr:rowOff>0</xdr:rowOff>
    </xdr:from>
    <xdr:to>
      <xdr:col>71</xdr:col>
      <xdr:colOff>83820</xdr:colOff>
      <xdr:row>316</xdr:row>
      <xdr:rowOff>114300</xdr:rowOff>
    </xdr:to>
    <xdr:sp macro="" textlink="">
      <xdr:nvSpPr>
        <xdr:cNvPr id="2403" name="Arrow: Down 2402">
          <a:extLst>
            <a:ext uri="{FF2B5EF4-FFF2-40B4-BE49-F238E27FC236}">
              <a16:creationId xmlns:a16="http://schemas.microsoft.com/office/drawing/2014/main" id="{1C08B90E-1AB6-4E43-8BD7-F781FD208CE5}"/>
            </a:ext>
          </a:extLst>
        </xdr:cNvPr>
        <xdr:cNvSpPr/>
      </xdr:nvSpPr>
      <xdr:spPr>
        <a:xfrm rot="10800000">
          <a:off x="1956054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316</xdr:row>
      <xdr:rowOff>0</xdr:rowOff>
    </xdr:from>
    <xdr:to>
      <xdr:col>39</xdr:col>
      <xdr:colOff>83820</xdr:colOff>
      <xdr:row>316</xdr:row>
      <xdr:rowOff>114300</xdr:rowOff>
    </xdr:to>
    <xdr:sp macro="" textlink="">
      <xdr:nvSpPr>
        <xdr:cNvPr id="2404" name="Arrow: Down 2403">
          <a:extLst>
            <a:ext uri="{FF2B5EF4-FFF2-40B4-BE49-F238E27FC236}">
              <a16:creationId xmlns:a16="http://schemas.microsoft.com/office/drawing/2014/main" id="{5BD6814C-02B4-42A3-9941-331F1B90F776}"/>
            </a:ext>
          </a:extLst>
        </xdr:cNvPr>
        <xdr:cNvSpPr/>
      </xdr:nvSpPr>
      <xdr:spPr>
        <a:xfrm>
          <a:off x="971550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316</xdr:row>
      <xdr:rowOff>0</xdr:rowOff>
    </xdr:from>
    <xdr:to>
      <xdr:col>60</xdr:col>
      <xdr:colOff>83820</xdr:colOff>
      <xdr:row>316</xdr:row>
      <xdr:rowOff>114300</xdr:rowOff>
    </xdr:to>
    <xdr:sp macro="" textlink="">
      <xdr:nvSpPr>
        <xdr:cNvPr id="2405" name="Arrow: Down 2404">
          <a:extLst>
            <a:ext uri="{FF2B5EF4-FFF2-40B4-BE49-F238E27FC236}">
              <a16:creationId xmlns:a16="http://schemas.microsoft.com/office/drawing/2014/main" id="{2ED17452-FB8F-454A-8CDE-7E2024D4406D}"/>
            </a:ext>
          </a:extLst>
        </xdr:cNvPr>
        <xdr:cNvSpPr/>
      </xdr:nvSpPr>
      <xdr:spPr>
        <a:xfrm>
          <a:off x="1712976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316</xdr:row>
      <xdr:rowOff>0</xdr:rowOff>
    </xdr:from>
    <xdr:to>
      <xdr:col>24</xdr:col>
      <xdr:colOff>83820</xdr:colOff>
      <xdr:row>316</xdr:row>
      <xdr:rowOff>114300</xdr:rowOff>
    </xdr:to>
    <xdr:sp macro="" textlink="">
      <xdr:nvSpPr>
        <xdr:cNvPr id="2406" name="Arrow: Down 2405">
          <a:extLst>
            <a:ext uri="{FF2B5EF4-FFF2-40B4-BE49-F238E27FC236}">
              <a16:creationId xmlns:a16="http://schemas.microsoft.com/office/drawing/2014/main" id="{92790481-9ADD-448A-AA25-6942D16BC3CA}"/>
            </a:ext>
          </a:extLst>
        </xdr:cNvPr>
        <xdr:cNvSpPr/>
      </xdr:nvSpPr>
      <xdr:spPr>
        <a:xfrm>
          <a:off x="655320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317</xdr:row>
      <xdr:rowOff>0</xdr:rowOff>
    </xdr:from>
    <xdr:to>
      <xdr:col>45</xdr:col>
      <xdr:colOff>83820</xdr:colOff>
      <xdr:row>317</xdr:row>
      <xdr:rowOff>114300</xdr:rowOff>
    </xdr:to>
    <xdr:sp macro="" textlink="">
      <xdr:nvSpPr>
        <xdr:cNvPr id="2407" name="Arrow: Down 2406">
          <a:extLst>
            <a:ext uri="{FF2B5EF4-FFF2-40B4-BE49-F238E27FC236}">
              <a16:creationId xmlns:a16="http://schemas.microsoft.com/office/drawing/2014/main" id="{19365EE2-AC9F-482D-B998-29E8A93E4374}"/>
            </a:ext>
          </a:extLst>
        </xdr:cNvPr>
        <xdr:cNvSpPr/>
      </xdr:nvSpPr>
      <xdr:spPr>
        <a:xfrm rot="10800000">
          <a:off x="1157478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317</xdr:row>
      <xdr:rowOff>0</xdr:rowOff>
    </xdr:from>
    <xdr:to>
      <xdr:col>71</xdr:col>
      <xdr:colOff>83820</xdr:colOff>
      <xdr:row>317</xdr:row>
      <xdr:rowOff>114300</xdr:rowOff>
    </xdr:to>
    <xdr:sp macro="" textlink="">
      <xdr:nvSpPr>
        <xdr:cNvPr id="2410" name="Arrow: Down 2409">
          <a:extLst>
            <a:ext uri="{FF2B5EF4-FFF2-40B4-BE49-F238E27FC236}">
              <a16:creationId xmlns:a16="http://schemas.microsoft.com/office/drawing/2014/main" id="{09C2E6AC-FAB7-4F2B-ACD8-A9916EBFCF11}"/>
            </a:ext>
          </a:extLst>
        </xdr:cNvPr>
        <xdr:cNvSpPr/>
      </xdr:nvSpPr>
      <xdr:spPr>
        <a:xfrm rot="10800000">
          <a:off x="19560540" y="5788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317</xdr:row>
      <xdr:rowOff>0</xdr:rowOff>
    </xdr:from>
    <xdr:to>
      <xdr:col>39</xdr:col>
      <xdr:colOff>83820</xdr:colOff>
      <xdr:row>317</xdr:row>
      <xdr:rowOff>114300</xdr:rowOff>
    </xdr:to>
    <xdr:sp macro="" textlink="">
      <xdr:nvSpPr>
        <xdr:cNvPr id="2411" name="Arrow: Down 2410">
          <a:extLst>
            <a:ext uri="{FF2B5EF4-FFF2-40B4-BE49-F238E27FC236}">
              <a16:creationId xmlns:a16="http://schemas.microsoft.com/office/drawing/2014/main" id="{16B0E92A-BB3D-4BB3-A9E7-269C165814CE}"/>
            </a:ext>
          </a:extLst>
        </xdr:cNvPr>
        <xdr:cNvSpPr/>
      </xdr:nvSpPr>
      <xdr:spPr>
        <a:xfrm>
          <a:off x="9715500" y="5788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317</xdr:row>
      <xdr:rowOff>0</xdr:rowOff>
    </xdr:from>
    <xdr:to>
      <xdr:col>60</xdr:col>
      <xdr:colOff>83820</xdr:colOff>
      <xdr:row>317</xdr:row>
      <xdr:rowOff>114300</xdr:rowOff>
    </xdr:to>
    <xdr:sp macro="" textlink="">
      <xdr:nvSpPr>
        <xdr:cNvPr id="2412" name="Arrow: Down 2411">
          <a:extLst>
            <a:ext uri="{FF2B5EF4-FFF2-40B4-BE49-F238E27FC236}">
              <a16:creationId xmlns:a16="http://schemas.microsoft.com/office/drawing/2014/main" id="{FC1B10B4-5871-4805-A1BA-995536384449}"/>
            </a:ext>
          </a:extLst>
        </xdr:cNvPr>
        <xdr:cNvSpPr/>
      </xdr:nvSpPr>
      <xdr:spPr>
        <a:xfrm>
          <a:off x="1712976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317</xdr:row>
      <xdr:rowOff>0</xdr:rowOff>
    </xdr:from>
    <xdr:to>
      <xdr:col>24</xdr:col>
      <xdr:colOff>83820</xdr:colOff>
      <xdr:row>317</xdr:row>
      <xdr:rowOff>114300</xdr:rowOff>
    </xdr:to>
    <xdr:sp macro="" textlink="">
      <xdr:nvSpPr>
        <xdr:cNvPr id="2413" name="Arrow: Down 2412">
          <a:extLst>
            <a:ext uri="{FF2B5EF4-FFF2-40B4-BE49-F238E27FC236}">
              <a16:creationId xmlns:a16="http://schemas.microsoft.com/office/drawing/2014/main" id="{74F60DF3-78F4-4C7E-9B04-CA1873DEE656}"/>
            </a:ext>
          </a:extLst>
        </xdr:cNvPr>
        <xdr:cNvSpPr/>
      </xdr:nvSpPr>
      <xdr:spPr>
        <a:xfrm>
          <a:off x="655320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317</xdr:row>
      <xdr:rowOff>0</xdr:rowOff>
    </xdr:from>
    <xdr:to>
      <xdr:col>5</xdr:col>
      <xdr:colOff>83820</xdr:colOff>
      <xdr:row>317</xdr:row>
      <xdr:rowOff>114300</xdr:rowOff>
    </xdr:to>
    <xdr:sp macro="" textlink="">
      <xdr:nvSpPr>
        <xdr:cNvPr id="2415" name="Arrow: Down 2414">
          <a:extLst>
            <a:ext uri="{FF2B5EF4-FFF2-40B4-BE49-F238E27FC236}">
              <a16:creationId xmlns:a16="http://schemas.microsoft.com/office/drawing/2014/main" id="{E22A94E0-6395-449C-B6C2-89810E1C418A}"/>
            </a:ext>
          </a:extLst>
        </xdr:cNvPr>
        <xdr:cNvSpPr/>
      </xdr:nvSpPr>
      <xdr:spPr>
        <a:xfrm>
          <a:off x="192786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317</xdr:row>
      <xdr:rowOff>0</xdr:rowOff>
    </xdr:from>
    <xdr:to>
      <xdr:col>11</xdr:col>
      <xdr:colOff>83820</xdr:colOff>
      <xdr:row>317</xdr:row>
      <xdr:rowOff>114300</xdr:rowOff>
    </xdr:to>
    <xdr:sp macro="" textlink="">
      <xdr:nvSpPr>
        <xdr:cNvPr id="2417" name="Arrow: Down 2416">
          <a:extLst>
            <a:ext uri="{FF2B5EF4-FFF2-40B4-BE49-F238E27FC236}">
              <a16:creationId xmlns:a16="http://schemas.microsoft.com/office/drawing/2014/main" id="{E9463EE7-92C8-423A-B328-52BD2799F416}"/>
            </a:ext>
          </a:extLst>
        </xdr:cNvPr>
        <xdr:cNvSpPr/>
      </xdr:nvSpPr>
      <xdr:spPr>
        <a:xfrm>
          <a:off x="369570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318</xdr:row>
      <xdr:rowOff>0</xdr:rowOff>
    </xdr:from>
    <xdr:to>
      <xdr:col>45</xdr:col>
      <xdr:colOff>83820</xdr:colOff>
      <xdr:row>318</xdr:row>
      <xdr:rowOff>114300</xdr:rowOff>
    </xdr:to>
    <xdr:sp macro="" textlink="">
      <xdr:nvSpPr>
        <xdr:cNvPr id="2432" name="Arrow: Down 2431">
          <a:extLst>
            <a:ext uri="{FF2B5EF4-FFF2-40B4-BE49-F238E27FC236}">
              <a16:creationId xmlns:a16="http://schemas.microsoft.com/office/drawing/2014/main" id="{3A022669-F7AA-4272-B760-8C8575E79F8B}"/>
            </a:ext>
          </a:extLst>
        </xdr:cNvPr>
        <xdr:cNvSpPr/>
      </xdr:nvSpPr>
      <xdr:spPr>
        <a:xfrm rot="10800000">
          <a:off x="1157478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318</xdr:row>
      <xdr:rowOff>0</xdr:rowOff>
    </xdr:from>
    <xdr:to>
      <xdr:col>71</xdr:col>
      <xdr:colOff>83820</xdr:colOff>
      <xdr:row>318</xdr:row>
      <xdr:rowOff>114300</xdr:rowOff>
    </xdr:to>
    <xdr:sp macro="" textlink="">
      <xdr:nvSpPr>
        <xdr:cNvPr id="2433" name="Arrow: Down 2432">
          <a:extLst>
            <a:ext uri="{FF2B5EF4-FFF2-40B4-BE49-F238E27FC236}">
              <a16:creationId xmlns:a16="http://schemas.microsoft.com/office/drawing/2014/main" id="{98E00973-37EF-4299-ABEB-92ADE0E9109E}"/>
            </a:ext>
          </a:extLst>
        </xdr:cNvPr>
        <xdr:cNvSpPr/>
      </xdr:nvSpPr>
      <xdr:spPr>
        <a:xfrm rot="10800000">
          <a:off x="19560540" y="5807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318</xdr:row>
      <xdr:rowOff>0</xdr:rowOff>
    </xdr:from>
    <xdr:to>
      <xdr:col>39</xdr:col>
      <xdr:colOff>83820</xdr:colOff>
      <xdr:row>318</xdr:row>
      <xdr:rowOff>114300</xdr:rowOff>
    </xdr:to>
    <xdr:sp macro="" textlink="">
      <xdr:nvSpPr>
        <xdr:cNvPr id="2434" name="Arrow: Down 2433">
          <a:extLst>
            <a:ext uri="{FF2B5EF4-FFF2-40B4-BE49-F238E27FC236}">
              <a16:creationId xmlns:a16="http://schemas.microsoft.com/office/drawing/2014/main" id="{67EDD189-D4DF-42C2-9544-27EB40A9919D}"/>
            </a:ext>
          </a:extLst>
        </xdr:cNvPr>
        <xdr:cNvSpPr/>
      </xdr:nvSpPr>
      <xdr:spPr>
        <a:xfrm>
          <a:off x="9715500" y="5807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318</xdr:row>
      <xdr:rowOff>0</xdr:rowOff>
    </xdr:from>
    <xdr:to>
      <xdr:col>60</xdr:col>
      <xdr:colOff>83820</xdr:colOff>
      <xdr:row>318</xdr:row>
      <xdr:rowOff>114300</xdr:rowOff>
    </xdr:to>
    <xdr:sp macro="" textlink="">
      <xdr:nvSpPr>
        <xdr:cNvPr id="2435" name="Arrow: Down 2434">
          <a:extLst>
            <a:ext uri="{FF2B5EF4-FFF2-40B4-BE49-F238E27FC236}">
              <a16:creationId xmlns:a16="http://schemas.microsoft.com/office/drawing/2014/main" id="{DB166286-35B9-491F-B29F-674B8CED11D6}"/>
            </a:ext>
          </a:extLst>
        </xdr:cNvPr>
        <xdr:cNvSpPr/>
      </xdr:nvSpPr>
      <xdr:spPr>
        <a:xfrm>
          <a:off x="1712976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318</xdr:row>
      <xdr:rowOff>0</xdr:rowOff>
    </xdr:from>
    <xdr:to>
      <xdr:col>24</xdr:col>
      <xdr:colOff>83820</xdr:colOff>
      <xdr:row>318</xdr:row>
      <xdr:rowOff>114300</xdr:rowOff>
    </xdr:to>
    <xdr:sp macro="" textlink="">
      <xdr:nvSpPr>
        <xdr:cNvPr id="2436" name="Arrow: Down 2435">
          <a:extLst>
            <a:ext uri="{FF2B5EF4-FFF2-40B4-BE49-F238E27FC236}">
              <a16:creationId xmlns:a16="http://schemas.microsoft.com/office/drawing/2014/main" id="{79775D8F-4522-471E-B849-D64E0EE43BD0}"/>
            </a:ext>
          </a:extLst>
        </xdr:cNvPr>
        <xdr:cNvSpPr/>
      </xdr:nvSpPr>
      <xdr:spPr>
        <a:xfrm>
          <a:off x="655320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318</xdr:row>
      <xdr:rowOff>0</xdr:rowOff>
    </xdr:from>
    <xdr:to>
      <xdr:col>5</xdr:col>
      <xdr:colOff>83820</xdr:colOff>
      <xdr:row>318</xdr:row>
      <xdr:rowOff>114300</xdr:rowOff>
    </xdr:to>
    <xdr:sp macro="" textlink="">
      <xdr:nvSpPr>
        <xdr:cNvPr id="2437" name="Arrow: Down 2436">
          <a:extLst>
            <a:ext uri="{FF2B5EF4-FFF2-40B4-BE49-F238E27FC236}">
              <a16:creationId xmlns:a16="http://schemas.microsoft.com/office/drawing/2014/main" id="{B3E9A74C-D7BD-461A-A0BE-B5B8E7FDA711}"/>
            </a:ext>
          </a:extLst>
        </xdr:cNvPr>
        <xdr:cNvSpPr/>
      </xdr:nvSpPr>
      <xdr:spPr>
        <a:xfrm>
          <a:off x="192786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318</xdr:row>
      <xdr:rowOff>0</xdr:rowOff>
    </xdr:from>
    <xdr:to>
      <xdr:col>11</xdr:col>
      <xdr:colOff>83820</xdr:colOff>
      <xdr:row>318</xdr:row>
      <xdr:rowOff>114300</xdr:rowOff>
    </xdr:to>
    <xdr:sp macro="" textlink="">
      <xdr:nvSpPr>
        <xdr:cNvPr id="2438" name="Arrow: Down 2437">
          <a:extLst>
            <a:ext uri="{FF2B5EF4-FFF2-40B4-BE49-F238E27FC236}">
              <a16:creationId xmlns:a16="http://schemas.microsoft.com/office/drawing/2014/main" id="{338FF495-7C3F-4F98-B4BE-FC4BD1F5073B}"/>
            </a:ext>
          </a:extLst>
        </xdr:cNvPr>
        <xdr:cNvSpPr/>
      </xdr:nvSpPr>
      <xdr:spPr>
        <a:xfrm>
          <a:off x="369570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319</xdr:row>
      <xdr:rowOff>0</xdr:rowOff>
    </xdr:from>
    <xdr:to>
      <xdr:col>45</xdr:col>
      <xdr:colOff>83820</xdr:colOff>
      <xdr:row>319</xdr:row>
      <xdr:rowOff>114300</xdr:rowOff>
    </xdr:to>
    <xdr:sp macro="" textlink="">
      <xdr:nvSpPr>
        <xdr:cNvPr id="2453" name="Arrow: Down 2452">
          <a:extLst>
            <a:ext uri="{FF2B5EF4-FFF2-40B4-BE49-F238E27FC236}">
              <a16:creationId xmlns:a16="http://schemas.microsoft.com/office/drawing/2014/main" id="{6DA1E124-5798-4720-ACFA-BA970C8BCD1F}"/>
            </a:ext>
          </a:extLst>
        </xdr:cNvPr>
        <xdr:cNvSpPr/>
      </xdr:nvSpPr>
      <xdr:spPr>
        <a:xfrm rot="10800000">
          <a:off x="1157478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319</xdr:row>
      <xdr:rowOff>0</xdr:rowOff>
    </xdr:from>
    <xdr:to>
      <xdr:col>39</xdr:col>
      <xdr:colOff>83820</xdr:colOff>
      <xdr:row>319</xdr:row>
      <xdr:rowOff>114300</xdr:rowOff>
    </xdr:to>
    <xdr:sp macro="" textlink="">
      <xdr:nvSpPr>
        <xdr:cNvPr id="2455" name="Arrow: Down 2454">
          <a:extLst>
            <a:ext uri="{FF2B5EF4-FFF2-40B4-BE49-F238E27FC236}">
              <a16:creationId xmlns:a16="http://schemas.microsoft.com/office/drawing/2014/main" id="{A1CB1EAD-8C16-4C5B-B502-A9C50959D3DF}"/>
            </a:ext>
          </a:extLst>
        </xdr:cNvPr>
        <xdr:cNvSpPr/>
      </xdr:nvSpPr>
      <xdr:spPr>
        <a:xfrm>
          <a:off x="9715500" y="5825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319</xdr:row>
      <xdr:rowOff>0</xdr:rowOff>
    </xdr:from>
    <xdr:to>
      <xdr:col>60</xdr:col>
      <xdr:colOff>83820</xdr:colOff>
      <xdr:row>319</xdr:row>
      <xdr:rowOff>114300</xdr:rowOff>
    </xdr:to>
    <xdr:sp macro="" textlink="">
      <xdr:nvSpPr>
        <xdr:cNvPr id="2456" name="Arrow: Down 2455">
          <a:extLst>
            <a:ext uri="{FF2B5EF4-FFF2-40B4-BE49-F238E27FC236}">
              <a16:creationId xmlns:a16="http://schemas.microsoft.com/office/drawing/2014/main" id="{FDE6CD82-FA4D-4A4E-8FEE-6F7937008AD8}"/>
            </a:ext>
          </a:extLst>
        </xdr:cNvPr>
        <xdr:cNvSpPr/>
      </xdr:nvSpPr>
      <xdr:spPr>
        <a:xfrm>
          <a:off x="1712976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319</xdr:row>
      <xdr:rowOff>0</xdr:rowOff>
    </xdr:from>
    <xdr:to>
      <xdr:col>24</xdr:col>
      <xdr:colOff>83820</xdr:colOff>
      <xdr:row>319</xdr:row>
      <xdr:rowOff>114300</xdr:rowOff>
    </xdr:to>
    <xdr:sp macro="" textlink="">
      <xdr:nvSpPr>
        <xdr:cNvPr id="2457" name="Arrow: Down 2456">
          <a:extLst>
            <a:ext uri="{FF2B5EF4-FFF2-40B4-BE49-F238E27FC236}">
              <a16:creationId xmlns:a16="http://schemas.microsoft.com/office/drawing/2014/main" id="{6AFE5B0C-45ED-4E4D-9B35-9C1C1342BAE8}"/>
            </a:ext>
          </a:extLst>
        </xdr:cNvPr>
        <xdr:cNvSpPr/>
      </xdr:nvSpPr>
      <xdr:spPr>
        <a:xfrm>
          <a:off x="655320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319</xdr:row>
      <xdr:rowOff>0</xdr:rowOff>
    </xdr:from>
    <xdr:to>
      <xdr:col>5</xdr:col>
      <xdr:colOff>83820</xdr:colOff>
      <xdr:row>319</xdr:row>
      <xdr:rowOff>114300</xdr:rowOff>
    </xdr:to>
    <xdr:sp macro="" textlink="">
      <xdr:nvSpPr>
        <xdr:cNvPr id="2458" name="Arrow: Down 2457">
          <a:extLst>
            <a:ext uri="{FF2B5EF4-FFF2-40B4-BE49-F238E27FC236}">
              <a16:creationId xmlns:a16="http://schemas.microsoft.com/office/drawing/2014/main" id="{20CEE9E4-3181-47B8-B23E-3FD66125F9B9}"/>
            </a:ext>
          </a:extLst>
        </xdr:cNvPr>
        <xdr:cNvSpPr/>
      </xdr:nvSpPr>
      <xdr:spPr>
        <a:xfrm>
          <a:off x="192786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319</xdr:row>
      <xdr:rowOff>0</xdr:rowOff>
    </xdr:from>
    <xdr:to>
      <xdr:col>11</xdr:col>
      <xdr:colOff>83820</xdr:colOff>
      <xdr:row>319</xdr:row>
      <xdr:rowOff>114300</xdr:rowOff>
    </xdr:to>
    <xdr:sp macro="" textlink="">
      <xdr:nvSpPr>
        <xdr:cNvPr id="2459" name="Arrow: Down 2458">
          <a:extLst>
            <a:ext uri="{FF2B5EF4-FFF2-40B4-BE49-F238E27FC236}">
              <a16:creationId xmlns:a16="http://schemas.microsoft.com/office/drawing/2014/main" id="{027A1ED8-02EA-4FBB-90D3-FCC569F2BE9C}"/>
            </a:ext>
          </a:extLst>
        </xdr:cNvPr>
        <xdr:cNvSpPr/>
      </xdr:nvSpPr>
      <xdr:spPr>
        <a:xfrm>
          <a:off x="369570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319</xdr:row>
      <xdr:rowOff>0</xdr:rowOff>
    </xdr:from>
    <xdr:to>
      <xdr:col>71</xdr:col>
      <xdr:colOff>83820</xdr:colOff>
      <xdr:row>319</xdr:row>
      <xdr:rowOff>114300</xdr:rowOff>
    </xdr:to>
    <xdr:sp macro="" textlink="">
      <xdr:nvSpPr>
        <xdr:cNvPr id="2460" name="Arrow: Down 2459">
          <a:extLst>
            <a:ext uri="{FF2B5EF4-FFF2-40B4-BE49-F238E27FC236}">
              <a16:creationId xmlns:a16="http://schemas.microsoft.com/office/drawing/2014/main" id="{B5AF2729-A3DF-467A-BA66-B18BB6889E69}"/>
            </a:ext>
          </a:extLst>
        </xdr:cNvPr>
        <xdr:cNvSpPr/>
      </xdr:nvSpPr>
      <xdr:spPr>
        <a:xfrm>
          <a:off x="1956054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320</xdr:row>
      <xdr:rowOff>0</xdr:rowOff>
    </xdr:from>
    <xdr:to>
      <xdr:col>45</xdr:col>
      <xdr:colOff>83820</xdr:colOff>
      <xdr:row>320</xdr:row>
      <xdr:rowOff>114300</xdr:rowOff>
    </xdr:to>
    <xdr:sp macro="" textlink="">
      <xdr:nvSpPr>
        <xdr:cNvPr id="2352" name="Arrow: Down 2351">
          <a:extLst>
            <a:ext uri="{FF2B5EF4-FFF2-40B4-BE49-F238E27FC236}">
              <a16:creationId xmlns:a16="http://schemas.microsoft.com/office/drawing/2014/main" id="{2304F1A1-4223-49F1-8CC4-4509BCA7E062}"/>
            </a:ext>
          </a:extLst>
        </xdr:cNvPr>
        <xdr:cNvSpPr/>
      </xdr:nvSpPr>
      <xdr:spPr>
        <a:xfrm rot="10800000">
          <a:off x="1157478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320</xdr:row>
      <xdr:rowOff>0</xdr:rowOff>
    </xdr:from>
    <xdr:to>
      <xdr:col>60</xdr:col>
      <xdr:colOff>83820</xdr:colOff>
      <xdr:row>320</xdr:row>
      <xdr:rowOff>114300</xdr:rowOff>
    </xdr:to>
    <xdr:sp macro="" textlink="">
      <xdr:nvSpPr>
        <xdr:cNvPr id="2354" name="Arrow: Down 2353">
          <a:extLst>
            <a:ext uri="{FF2B5EF4-FFF2-40B4-BE49-F238E27FC236}">
              <a16:creationId xmlns:a16="http://schemas.microsoft.com/office/drawing/2014/main" id="{29D4FF6A-C861-4C41-98BD-C9C39566AEE1}"/>
            </a:ext>
          </a:extLst>
        </xdr:cNvPr>
        <xdr:cNvSpPr/>
      </xdr:nvSpPr>
      <xdr:spPr>
        <a:xfrm>
          <a:off x="1712976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320</xdr:row>
      <xdr:rowOff>0</xdr:rowOff>
    </xdr:from>
    <xdr:to>
      <xdr:col>71</xdr:col>
      <xdr:colOff>83820</xdr:colOff>
      <xdr:row>320</xdr:row>
      <xdr:rowOff>114300</xdr:rowOff>
    </xdr:to>
    <xdr:sp macro="" textlink="">
      <xdr:nvSpPr>
        <xdr:cNvPr id="2366" name="Arrow: Down 2365">
          <a:extLst>
            <a:ext uri="{FF2B5EF4-FFF2-40B4-BE49-F238E27FC236}">
              <a16:creationId xmlns:a16="http://schemas.microsoft.com/office/drawing/2014/main" id="{FCEC4334-62E0-45CD-8018-2597CFDD498F}"/>
            </a:ext>
          </a:extLst>
        </xdr:cNvPr>
        <xdr:cNvSpPr/>
      </xdr:nvSpPr>
      <xdr:spPr>
        <a:xfrm>
          <a:off x="1956054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320</xdr:row>
      <xdr:rowOff>0</xdr:rowOff>
    </xdr:from>
    <xdr:to>
      <xdr:col>39</xdr:col>
      <xdr:colOff>83820</xdr:colOff>
      <xdr:row>320</xdr:row>
      <xdr:rowOff>114300</xdr:rowOff>
    </xdr:to>
    <xdr:sp macro="" textlink="">
      <xdr:nvSpPr>
        <xdr:cNvPr id="2369" name="Arrow: Down 2368">
          <a:extLst>
            <a:ext uri="{FF2B5EF4-FFF2-40B4-BE49-F238E27FC236}">
              <a16:creationId xmlns:a16="http://schemas.microsoft.com/office/drawing/2014/main" id="{ED4629DB-8F43-4BF3-BB5E-86D4621C761F}"/>
            </a:ext>
          </a:extLst>
        </xdr:cNvPr>
        <xdr:cNvSpPr/>
      </xdr:nvSpPr>
      <xdr:spPr>
        <a:xfrm rot="10800000">
          <a:off x="9715500" y="5862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320</xdr:row>
      <xdr:rowOff>0</xdr:rowOff>
    </xdr:from>
    <xdr:to>
      <xdr:col>11</xdr:col>
      <xdr:colOff>83820</xdr:colOff>
      <xdr:row>320</xdr:row>
      <xdr:rowOff>114300</xdr:rowOff>
    </xdr:to>
    <xdr:sp macro="" textlink="">
      <xdr:nvSpPr>
        <xdr:cNvPr id="2371" name="Arrow: Down 2370">
          <a:extLst>
            <a:ext uri="{FF2B5EF4-FFF2-40B4-BE49-F238E27FC236}">
              <a16:creationId xmlns:a16="http://schemas.microsoft.com/office/drawing/2014/main" id="{FD4A225F-B238-450A-8940-03B705A18F9C}"/>
            </a:ext>
          </a:extLst>
        </xdr:cNvPr>
        <xdr:cNvSpPr/>
      </xdr:nvSpPr>
      <xdr:spPr>
        <a:xfrm rot="10800000">
          <a:off x="369570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320</xdr:row>
      <xdr:rowOff>0</xdr:rowOff>
    </xdr:from>
    <xdr:to>
      <xdr:col>5</xdr:col>
      <xdr:colOff>83820</xdr:colOff>
      <xdr:row>320</xdr:row>
      <xdr:rowOff>114300</xdr:rowOff>
    </xdr:to>
    <xdr:sp macro="" textlink="">
      <xdr:nvSpPr>
        <xdr:cNvPr id="2383" name="Arrow: Down 2382">
          <a:extLst>
            <a:ext uri="{FF2B5EF4-FFF2-40B4-BE49-F238E27FC236}">
              <a16:creationId xmlns:a16="http://schemas.microsoft.com/office/drawing/2014/main" id="{978FF465-7481-401F-83B1-CFE46FDCCEF5}"/>
            </a:ext>
          </a:extLst>
        </xdr:cNvPr>
        <xdr:cNvSpPr/>
      </xdr:nvSpPr>
      <xdr:spPr>
        <a:xfrm rot="10800000">
          <a:off x="192786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320</xdr:row>
      <xdr:rowOff>0</xdr:rowOff>
    </xdr:from>
    <xdr:to>
      <xdr:col>24</xdr:col>
      <xdr:colOff>83820</xdr:colOff>
      <xdr:row>320</xdr:row>
      <xdr:rowOff>114300</xdr:rowOff>
    </xdr:to>
    <xdr:sp macro="" textlink="">
      <xdr:nvSpPr>
        <xdr:cNvPr id="2392" name="Arrow: Down 2391">
          <a:extLst>
            <a:ext uri="{FF2B5EF4-FFF2-40B4-BE49-F238E27FC236}">
              <a16:creationId xmlns:a16="http://schemas.microsoft.com/office/drawing/2014/main" id="{4769F6CD-73D0-49C7-9848-8106572AF910}"/>
            </a:ext>
          </a:extLst>
        </xdr:cNvPr>
        <xdr:cNvSpPr/>
      </xdr:nvSpPr>
      <xdr:spPr>
        <a:xfrm rot="10800000">
          <a:off x="655320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321</xdr:row>
      <xdr:rowOff>0</xdr:rowOff>
    </xdr:from>
    <xdr:to>
      <xdr:col>45</xdr:col>
      <xdr:colOff>83820</xdr:colOff>
      <xdr:row>321</xdr:row>
      <xdr:rowOff>114300</xdr:rowOff>
    </xdr:to>
    <xdr:sp macro="" textlink="">
      <xdr:nvSpPr>
        <xdr:cNvPr id="2408" name="Arrow: Down 2407">
          <a:extLst>
            <a:ext uri="{FF2B5EF4-FFF2-40B4-BE49-F238E27FC236}">
              <a16:creationId xmlns:a16="http://schemas.microsoft.com/office/drawing/2014/main" id="{1E2CD24E-59C7-450D-8350-EE94E8EBD65F}"/>
            </a:ext>
          </a:extLst>
        </xdr:cNvPr>
        <xdr:cNvSpPr/>
      </xdr:nvSpPr>
      <xdr:spPr>
        <a:xfrm rot="10800000">
          <a:off x="11574780" y="5862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321</xdr:row>
      <xdr:rowOff>0</xdr:rowOff>
    </xdr:from>
    <xdr:to>
      <xdr:col>24</xdr:col>
      <xdr:colOff>83820</xdr:colOff>
      <xdr:row>321</xdr:row>
      <xdr:rowOff>114300</xdr:rowOff>
    </xdr:to>
    <xdr:sp macro="" textlink="">
      <xdr:nvSpPr>
        <xdr:cNvPr id="2420" name="Arrow: Down 2419">
          <a:extLst>
            <a:ext uri="{FF2B5EF4-FFF2-40B4-BE49-F238E27FC236}">
              <a16:creationId xmlns:a16="http://schemas.microsoft.com/office/drawing/2014/main" id="{2D4C3EE1-522C-4CDD-94C0-6FFEE49EF661}"/>
            </a:ext>
          </a:extLst>
        </xdr:cNvPr>
        <xdr:cNvSpPr/>
      </xdr:nvSpPr>
      <xdr:spPr>
        <a:xfrm rot="10800000">
          <a:off x="655320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321</xdr:row>
      <xdr:rowOff>0</xdr:rowOff>
    </xdr:from>
    <xdr:to>
      <xdr:col>5</xdr:col>
      <xdr:colOff>83820</xdr:colOff>
      <xdr:row>321</xdr:row>
      <xdr:rowOff>114300</xdr:rowOff>
    </xdr:to>
    <xdr:sp macro="" textlink="">
      <xdr:nvSpPr>
        <xdr:cNvPr id="2421" name="Arrow: Down 2420">
          <a:extLst>
            <a:ext uri="{FF2B5EF4-FFF2-40B4-BE49-F238E27FC236}">
              <a16:creationId xmlns:a16="http://schemas.microsoft.com/office/drawing/2014/main" id="{AFF7DA1C-72C4-4C53-A076-25D6A21E479D}"/>
            </a:ext>
          </a:extLst>
        </xdr:cNvPr>
        <xdr:cNvSpPr/>
      </xdr:nvSpPr>
      <xdr:spPr>
        <a:xfrm>
          <a:off x="192786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321</xdr:row>
      <xdr:rowOff>0</xdr:rowOff>
    </xdr:from>
    <xdr:to>
      <xdr:col>11</xdr:col>
      <xdr:colOff>83820</xdr:colOff>
      <xdr:row>321</xdr:row>
      <xdr:rowOff>114300</xdr:rowOff>
    </xdr:to>
    <xdr:sp macro="" textlink="">
      <xdr:nvSpPr>
        <xdr:cNvPr id="2422" name="Arrow: Down 2421">
          <a:extLst>
            <a:ext uri="{FF2B5EF4-FFF2-40B4-BE49-F238E27FC236}">
              <a16:creationId xmlns:a16="http://schemas.microsoft.com/office/drawing/2014/main" id="{4B883A29-D658-479F-9D49-268D8F87E289}"/>
            </a:ext>
          </a:extLst>
        </xdr:cNvPr>
        <xdr:cNvSpPr/>
      </xdr:nvSpPr>
      <xdr:spPr>
        <a:xfrm>
          <a:off x="369570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322</xdr:row>
      <xdr:rowOff>0</xdr:rowOff>
    </xdr:from>
    <xdr:to>
      <xdr:col>45</xdr:col>
      <xdr:colOff>83820</xdr:colOff>
      <xdr:row>322</xdr:row>
      <xdr:rowOff>114300</xdr:rowOff>
    </xdr:to>
    <xdr:sp macro="" textlink="">
      <xdr:nvSpPr>
        <xdr:cNvPr id="2430" name="Arrow: Down 2429">
          <a:extLst>
            <a:ext uri="{FF2B5EF4-FFF2-40B4-BE49-F238E27FC236}">
              <a16:creationId xmlns:a16="http://schemas.microsoft.com/office/drawing/2014/main" id="{31E5EA86-D213-416F-A154-A2D09DFD336C}"/>
            </a:ext>
          </a:extLst>
        </xdr:cNvPr>
        <xdr:cNvSpPr/>
      </xdr:nvSpPr>
      <xdr:spPr>
        <a:xfrm rot="10800000">
          <a:off x="1157478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322</xdr:row>
      <xdr:rowOff>0</xdr:rowOff>
    </xdr:from>
    <xdr:to>
      <xdr:col>60</xdr:col>
      <xdr:colOff>83820</xdr:colOff>
      <xdr:row>322</xdr:row>
      <xdr:rowOff>114300</xdr:rowOff>
    </xdr:to>
    <xdr:sp macro="" textlink="">
      <xdr:nvSpPr>
        <xdr:cNvPr id="2431" name="Arrow: Down 2430">
          <a:extLst>
            <a:ext uri="{FF2B5EF4-FFF2-40B4-BE49-F238E27FC236}">
              <a16:creationId xmlns:a16="http://schemas.microsoft.com/office/drawing/2014/main" id="{B8A14FF6-3DF4-456D-BA47-24FDD2031B64}"/>
            </a:ext>
          </a:extLst>
        </xdr:cNvPr>
        <xdr:cNvSpPr/>
      </xdr:nvSpPr>
      <xdr:spPr>
        <a:xfrm>
          <a:off x="1712976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322</xdr:row>
      <xdr:rowOff>0</xdr:rowOff>
    </xdr:from>
    <xdr:to>
      <xdr:col>71</xdr:col>
      <xdr:colOff>83820</xdr:colOff>
      <xdr:row>322</xdr:row>
      <xdr:rowOff>114300</xdr:rowOff>
    </xdr:to>
    <xdr:sp macro="" textlink="">
      <xdr:nvSpPr>
        <xdr:cNvPr id="2439" name="Arrow: Down 2438">
          <a:extLst>
            <a:ext uri="{FF2B5EF4-FFF2-40B4-BE49-F238E27FC236}">
              <a16:creationId xmlns:a16="http://schemas.microsoft.com/office/drawing/2014/main" id="{C945FDF7-5126-4DB0-82C4-13474816EF16}"/>
            </a:ext>
          </a:extLst>
        </xdr:cNvPr>
        <xdr:cNvSpPr/>
      </xdr:nvSpPr>
      <xdr:spPr>
        <a:xfrm>
          <a:off x="1956054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322</xdr:row>
      <xdr:rowOff>0</xdr:rowOff>
    </xdr:from>
    <xdr:to>
      <xdr:col>39</xdr:col>
      <xdr:colOff>83820</xdr:colOff>
      <xdr:row>322</xdr:row>
      <xdr:rowOff>114300</xdr:rowOff>
    </xdr:to>
    <xdr:sp macro="" textlink="">
      <xdr:nvSpPr>
        <xdr:cNvPr id="2440" name="Arrow: Down 2439">
          <a:extLst>
            <a:ext uri="{FF2B5EF4-FFF2-40B4-BE49-F238E27FC236}">
              <a16:creationId xmlns:a16="http://schemas.microsoft.com/office/drawing/2014/main" id="{A63EF4E9-5258-49AA-B369-6DA7874FC007}"/>
            </a:ext>
          </a:extLst>
        </xdr:cNvPr>
        <xdr:cNvSpPr/>
      </xdr:nvSpPr>
      <xdr:spPr>
        <a:xfrm rot="10800000">
          <a:off x="971550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322</xdr:row>
      <xdr:rowOff>0</xdr:rowOff>
    </xdr:from>
    <xdr:to>
      <xdr:col>24</xdr:col>
      <xdr:colOff>83820</xdr:colOff>
      <xdr:row>322</xdr:row>
      <xdr:rowOff>114300</xdr:rowOff>
    </xdr:to>
    <xdr:sp macro="" textlink="">
      <xdr:nvSpPr>
        <xdr:cNvPr id="2441" name="Arrow: Down 2440">
          <a:extLst>
            <a:ext uri="{FF2B5EF4-FFF2-40B4-BE49-F238E27FC236}">
              <a16:creationId xmlns:a16="http://schemas.microsoft.com/office/drawing/2014/main" id="{38CF91F9-1F1E-450C-B76E-F5969F70783D}"/>
            </a:ext>
          </a:extLst>
        </xdr:cNvPr>
        <xdr:cNvSpPr/>
      </xdr:nvSpPr>
      <xdr:spPr>
        <a:xfrm rot="10800000">
          <a:off x="655320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321</xdr:row>
      <xdr:rowOff>0</xdr:rowOff>
    </xdr:from>
    <xdr:to>
      <xdr:col>60</xdr:col>
      <xdr:colOff>83820</xdr:colOff>
      <xdr:row>321</xdr:row>
      <xdr:rowOff>114300</xdr:rowOff>
    </xdr:to>
    <xdr:sp macro="" textlink="">
      <xdr:nvSpPr>
        <xdr:cNvPr id="2444" name="Arrow: Down 2443">
          <a:extLst>
            <a:ext uri="{FF2B5EF4-FFF2-40B4-BE49-F238E27FC236}">
              <a16:creationId xmlns:a16="http://schemas.microsoft.com/office/drawing/2014/main" id="{2A575C30-571A-4C7B-A2C9-8BDEF216E063}"/>
            </a:ext>
          </a:extLst>
        </xdr:cNvPr>
        <xdr:cNvSpPr/>
      </xdr:nvSpPr>
      <xdr:spPr>
        <a:xfrm rot="10800000">
          <a:off x="1712976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321</xdr:row>
      <xdr:rowOff>0</xdr:rowOff>
    </xdr:from>
    <xdr:to>
      <xdr:col>39</xdr:col>
      <xdr:colOff>83820</xdr:colOff>
      <xdr:row>321</xdr:row>
      <xdr:rowOff>114300</xdr:rowOff>
    </xdr:to>
    <xdr:sp macro="" textlink="">
      <xdr:nvSpPr>
        <xdr:cNvPr id="2445" name="Arrow: Down 2444">
          <a:extLst>
            <a:ext uri="{FF2B5EF4-FFF2-40B4-BE49-F238E27FC236}">
              <a16:creationId xmlns:a16="http://schemas.microsoft.com/office/drawing/2014/main" id="{E2A11765-384D-4B50-9F16-8EBB8EFE86C6}"/>
            </a:ext>
          </a:extLst>
        </xdr:cNvPr>
        <xdr:cNvSpPr/>
      </xdr:nvSpPr>
      <xdr:spPr>
        <a:xfrm>
          <a:off x="971550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322</xdr:row>
      <xdr:rowOff>0</xdr:rowOff>
    </xdr:from>
    <xdr:to>
      <xdr:col>11</xdr:col>
      <xdr:colOff>83820</xdr:colOff>
      <xdr:row>322</xdr:row>
      <xdr:rowOff>114300</xdr:rowOff>
    </xdr:to>
    <xdr:sp macro="" textlink="">
      <xdr:nvSpPr>
        <xdr:cNvPr id="2447" name="Arrow: Down 2446">
          <a:extLst>
            <a:ext uri="{FF2B5EF4-FFF2-40B4-BE49-F238E27FC236}">
              <a16:creationId xmlns:a16="http://schemas.microsoft.com/office/drawing/2014/main" id="{5F52FEBD-C2A3-4B92-B9EA-1B2667BA9537}"/>
            </a:ext>
          </a:extLst>
        </xdr:cNvPr>
        <xdr:cNvSpPr/>
      </xdr:nvSpPr>
      <xdr:spPr>
        <a:xfrm rot="10800000">
          <a:off x="3695700" y="5898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322</xdr:row>
      <xdr:rowOff>0</xdr:rowOff>
    </xdr:from>
    <xdr:to>
      <xdr:col>5</xdr:col>
      <xdr:colOff>83820</xdr:colOff>
      <xdr:row>322</xdr:row>
      <xdr:rowOff>114300</xdr:rowOff>
    </xdr:to>
    <xdr:sp macro="" textlink="">
      <xdr:nvSpPr>
        <xdr:cNvPr id="2449" name="Arrow: Down 2448">
          <a:extLst>
            <a:ext uri="{FF2B5EF4-FFF2-40B4-BE49-F238E27FC236}">
              <a16:creationId xmlns:a16="http://schemas.microsoft.com/office/drawing/2014/main" id="{ECC27BEC-59AE-40BB-9259-2A493969B082}"/>
            </a:ext>
          </a:extLst>
        </xdr:cNvPr>
        <xdr:cNvSpPr/>
      </xdr:nvSpPr>
      <xdr:spPr>
        <a:xfrm rot="10800000">
          <a:off x="1927860" y="5898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321</xdr:row>
      <xdr:rowOff>0</xdr:rowOff>
    </xdr:from>
    <xdr:to>
      <xdr:col>71</xdr:col>
      <xdr:colOff>83820</xdr:colOff>
      <xdr:row>321</xdr:row>
      <xdr:rowOff>114300</xdr:rowOff>
    </xdr:to>
    <xdr:sp macro="" textlink="">
      <xdr:nvSpPr>
        <xdr:cNvPr id="2450" name="Arrow: Down 2449">
          <a:extLst>
            <a:ext uri="{FF2B5EF4-FFF2-40B4-BE49-F238E27FC236}">
              <a16:creationId xmlns:a16="http://schemas.microsoft.com/office/drawing/2014/main" id="{FA45E592-F9ED-4B4F-A9F8-B40C6D5D4197}"/>
            </a:ext>
          </a:extLst>
        </xdr:cNvPr>
        <xdr:cNvSpPr/>
      </xdr:nvSpPr>
      <xdr:spPr>
        <a:xfrm rot="10800000">
          <a:off x="1956054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323</xdr:row>
      <xdr:rowOff>0</xdr:rowOff>
    </xdr:from>
    <xdr:to>
      <xdr:col>45</xdr:col>
      <xdr:colOff>83820</xdr:colOff>
      <xdr:row>323</xdr:row>
      <xdr:rowOff>114300</xdr:rowOff>
    </xdr:to>
    <xdr:sp macro="" textlink="">
      <xdr:nvSpPr>
        <xdr:cNvPr id="2451" name="Arrow: Down 2450">
          <a:extLst>
            <a:ext uri="{FF2B5EF4-FFF2-40B4-BE49-F238E27FC236}">
              <a16:creationId xmlns:a16="http://schemas.microsoft.com/office/drawing/2014/main" id="{68C793B9-657A-43DF-8253-6B26B0AB8D3B}"/>
            </a:ext>
          </a:extLst>
        </xdr:cNvPr>
        <xdr:cNvSpPr/>
      </xdr:nvSpPr>
      <xdr:spPr>
        <a:xfrm rot="10800000">
          <a:off x="11574780" y="5898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323</xdr:row>
      <xdr:rowOff>0</xdr:rowOff>
    </xdr:from>
    <xdr:to>
      <xdr:col>60</xdr:col>
      <xdr:colOff>83820</xdr:colOff>
      <xdr:row>323</xdr:row>
      <xdr:rowOff>114300</xdr:rowOff>
    </xdr:to>
    <xdr:sp macro="" textlink="">
      <xdr:nvSpPr>
        <xdr:cNvPr id="2452" name="Arrow: Down 2451">
          <a:extLst>
            <a:ext uri="{FF2B5EF4-FFF2-40B4-BE49-F238E27FC236}">
              <a16:creationId xmlns:a16="http://schemas.microsoft.com/office/drawing/2014/main" id="{BDB50FF7-F95E-4402-85F2-74387D0495DC}"/>
            </a:ext>
          </a:extLst>
        </xdr:cNvPr>
        <xdr:cNvSpPr/>
      </xdr:nvSpPr>
      <xdr:spPr>
        <a:xfrm>
          <a:off x="17129760" y="5898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323</xdr:row>
      <xdr:rowOff>0</xdr:rowOff>
    </xdr:from>
    <xdr:to>
      <xdr:col>71</xdr:col>
      <xdr:colOff>83820</xdr:colOff>
      <xdr:row>323</xdr:row>
      <xdr:rowOff>114300</xdr:rowOff>
    </xdr:to>
    <xdr:sp macro="" textlink="">
      <xdr:nvSpPr>
        <xdr:cNvPr id="2454" name="Arrow: Down 2453">
          <a:extLst>
            <a:ext uri="{FF2B5EF4-FFF2-40B4-BE49-F238E27FC236}">
              <a16:creationId xmlns:a16="http://schemas.microsoft.com/office/drawing/2014/main" id="{B455ED46-9298-4797-9B95-3667F732ED57}"/>
            </a:ext>
          </a:extLst>
        </xdr:cNvPr>
        <xdr:cNvSpPr/>
      </xdr:nvSpPr>
      <xdr:spPr>
        <a:xfrm>
          <a:off x="19560540" y="5898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323</xdr:row>
      <xdr:rowOff>0</xdr:rowOff>
    </xdr:from>
    <xdr:to>
      <xdr:col>11</xdr:col>
      <xdr:colOff>83820</xdr:colOff>
      <xdr:row>323</xdr:row>
      <xdr:rowOff>114300</xdr:rowOff>
    </xdr:to>
    <xdr:sp macro="" textlink="">
      <xdr:nvSpPr>
        <xdr:cNvPr id="2463" name="Arrow: Down 2462">
          <a:extLst>
            <a:ext uri="{FF2B5EF4-FFF2-40B4-BE49-F238E27FC236}">
              <a16:creationId xmlns:a16="http://schemas.microsoft.com/office/drawing/2014/main" id="{81BBF4D7-FF8F-4F03-BC5C-FB88F25B5880}"/>
            </a:ext>
          </a:extLst>
        </xdr:cNvPr>
        <xdr:cNvSpPr/>
      </xdr:nvSpPr>
      <xdr:spPr>
        <a:xfrm rot="10800000">
          <a:off x="3695700" y="5898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83820</xdr:colOff>
      <xdr:row>323</xdr:row>
      <xdr:rowOff>114300</xdr:rowOff>
    </xdr:to>
    <xdr:sp macro="" textlink="">
      <xdr:nvSpPr>
        <xdr:cNvPr id="2465" name="Arrow: Down 2464">
          <a:extLst>
            <a:ext uri="{FF2B5EF4-FFF2-40B4-BE49-F238E27FC236}">
              <a16:creationId xmlns:a16="http://schemas.microsoft.com/office/drawing/2014/main" id="{09C84B35-B0BD-477F-B241-C3FC037812D1}"/>
            </a:ext>
          </a:extLst>
        </xdr:cNvPr>
        <xdr:cNvSpPr/>
      </xdr:nvSpPr>
      <xdr:spPr>
        <a:xfrm rot="10800000">
          <a:off x="192786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323</xdr:row>
      <xdr:rowOff>0</xdr:rowOff>
    </xdr:from>
    <xdr:to>
      <xdr:col>24</xdr:col>
      <xdr:colOff>83820</xdr:colOff>
      <xdr:row>323</xdr:row>
      <xdr:rowOff>114300</xdr:rowOff>
    </xdr:to>
    <xdr:sp macro="" textlink="">
      <xdr:nvSpPr>
        <xdr:cNvPr id="2466" name="Arrow: Down 2465">
          <a:extLst>
            <a:ext uri="{FF2B5EF4-FFF2-40B4-BE49-F238E27FC236}">
              <a16:creationId xmlns:a16="http://schemas.microsoft.com/office/drawing/2014/main" id="{A49C0924-1571-48CA-B9AF-7430C780C446}"/>
            </a:ext>
          </a:extLst>
        </xdr:cNvPr>
        <xdr:cNvSpPr/>
      </xdr:nvSpPr>
      <xdr:spPr>
        <a:xfrm>
          <a:off x="6553200" y="5916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323</xdr:row>
      <xdr:rowOff>0</xdr:rowOff>
    </xdr:from>
    <xdr:to>
      <xdr:col>39</xdr:col>
      <xdr:colOff>83820</xdr:colOff>
      <xdr:row>323</xdr:row>
      <xdr:rowOff>114300</xdr:rowOff>
    </xdr:to>
    <xdr:sp macro="" textlink="">
      <xdr:nvSpPr>
        <xdr:cNvPr id="2467" name="Arrow: Down 2466">
          <a:extLst>
            <a:ext uri="{FF2B5EF4-FFF2-40B4-BE49-F238E27FC236}">
              <a16:creationId xmlns:a16="http://schemas.microsoft.com/office/drawing/2014/main" id="{375D60CA-C568-43E9-B954-2C2672F85EDC}"/>
            </a:ext>
          </a:extLst>
        </xdr:cNvPr>
        <xdr:cNvSpPr/>
      </xdr:nvSpPr>
      <xdr:spPr>
        <a:xfrm>
          <a:off x="971550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324</xdr:row>
      <xdr:rowOff>0</xdr:rowOff>
    </xdr:from>
    <xdr:to>
      <xdr:col>45</xdr:col>
      <xdr:colOff>83820</xdr:colOff>
      <xdr:row>324</xdr:row>
      <xdr:rowOff>114300</xdr:rowOff>
    </xdr:to>
    <xdr:sp macro="" textlink="">
      <xdr:nvSpPr>
        <xdr:cNvPr id="2475" name="Arrow: Down 2474">
          <a:extLst>
            <a:ext uri="{FF2B5EF4-FFF2-40B4-BE49-F238E27FC236}">
              <a16:creationId xmlns:a16="http://schemas.microsoft.com/office/drawing/2014/main" id="{998D4C46-2F36-44A1-8D2C-C84746C25DA7}"/>
            </a:ext>
          </a:extLst>
        </xdr:cNvPr>
        <xdr:cNvSpPr/>
      </xdr:nvSpPr>
      <xdr:spPr>
        <a:xfrm rot="10800000">
          <a:off x="11574780" y="5916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324</xdr:row>
      <xdr:rowOff>0</xdr:rowOff>
    </xdr:from>
    <xdr:to>
      <xdr:col>11</xdr:col>
      <xdr:colOff>83820</xdr:colOff>
      <xdr:row>324</xdr:row>
      <xdr:rowOff>114300</xdr:rowOff>
    </xdr:to>
    <xdr:sp macro="" textlink="">
      <xdr:nvSpPr>
        <xdr:cNvPr id="2478" name="Arrow: Down 2477">
          <a:extLst>
            <a:ext uri="{FF2B5EF4-FFF2-40B4-BE49-F238E27FC236}">
              <a16:creationId xmlns:a16="http://schemas.microsoft.com/office/drawing/2014/main" id="{98AE1904-70A3-4977-A5FB-E6F43D393584}"/>
            </a:ext>
          </a:extLst>
        </xdr:cNvPr>
        <xdr:cNvSpPr/>
      </xdr:nvSpPr>
      <xdr:spPr>
        <a:xfrm rot="10800000">
          <a:off x="369570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324</xdr:row>
      <xdr:rowOff>0</xdr:rowOff>
    </xdr:from>
    <xdr:to>
      <xdr:col>5</xdr:col>
      <xdr:colOff>83820</xdr:colOff>
      <xdr:row>324</xdr:row>
      <xdr:rowOff>114300</xdr:rowOff>
    </xdr:to>
    <xdr:sp macro="" textlink="">
      <xdr:nvSpPr>
        <xdr:cNvPr id="2479" name="Arrow: Down 2478">
          <a:extLst>
            <a:ext uri="{FF2B5EF4-FFF2-40B4-BE49-F238E27FC236}">
              <a16:creationId xmlns:a16="http://schemas.microsoft.com/office/drawing/2014/main" id="{D30A0BC4-1A89-41CF-BE19-840C337C1F6E}"/>
            </a:ext>
          </a:extLst>
        </xdr:cNvPr>
        <xdr:cNvSpPr/>
      </xdr:nvSpPr>
      <xdr:spPr>
        <a:xfrm rot="10800000">
          <a:off x="192786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324</xdr:row>
      <xdr:rowOff>0</xdr:rowOff>
    </xdr:from>
    <xdr:to>
      <xdr:col>24</xdr:col>
      <xdr:colOff>83820</xdr:colOff>
      <xdr:row>324</xdr:row>
      <xdr:rowOff>114300</xdr:rowOff>
    </xdr:to>
    <xdr:sp macro="" textlink="">
      <xdr:nvSpPr>
        <xdr:cNvPr id="2480" name="Arrow: Down 2479">
          <a:extLst>
            <a:ext uri="{FF2B5EF4-FFF2-40B4-BE49-F238E27FC236}">
              <a16:creationId xmlns:a16="http://schemas.microsoft.com/office/drawing/2014/main" id="{BEB43B7C-87F8-4BBF-9181-DBE2C1191DFB}"/>
            </a:ext>
          </a:extLst>
        </xdr:cNvPr>
        <xdr:cNvSpPr/>
      </xdr:nvSpPr>
      <xdr:spPr>
        <a:xfrm>
          <a:off x="6553200" y="5916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324</xdr:row>
      <xdr:rowOff>0</xdr:rowOff>
    </xdr:from>
    <xdr:to>
      <xdr:col>39</xdr:col>
      <xdr:colOff>83820</xdr:colOff>
      <xdr:row>324</xdr:row>
      <xdr:rowOff>114300</xdr:rowOff>
    </xdr:to>
    <xdr:sp macro="" textlink="">
      <xdr:nvSpPr>
        <xdr:cNvPr id="2483" name="Arrow: Down 2482">
          <a:extLst>
            <a:ext uri="{FF2B5EF4-FFF2-40B4-BE49-F238E27FC236}">
              <a16:creationId xmlns:a16="http://schemas.microsoft.com/office/drawing/2014/main" id="{E6530604-02E3-48AE-A152-D02A4991CD5D}"/>
            </a:ext>
          </a:extLst>
        </xdr:cNvPr>
        <xdr:cNvSpPr/>
      </xdr:nvSpPr>
      <xdr:spPr>
        <a:xfrm rot="10800000">
          <a:off x="9715500" y="5935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324</xdr:row>
      <xdr:rowOff>0</xdr:rowOff>
    </xdr:from>
    <xdr:to>
      <xdr:col>60</xdr:col>
      <xdr:colOff>83820</xdr:colOff>
      <xdr:row>324</xdr:row>
      <xdr:rowOff>114300</xdr:rowOff>
    </xdr:to>
    <xdr:sp macro="" textlink="">
      <xdr:nvSpPr>
        <xdr:cNvPr id="2484" name="Arrow: Down 2483">
          <a:extLst>
            <a:ext uri="{FF2B5EF4-FFF2-40B4-BE49-F238E27FC236}">
              <a16:creationId xmlns:a16="http://schemas.microsoft.com/office/drawing/2014/main" id="{E9F5784D-2161-48A8-AEA6-DA6DAF1E146A}"/>
            </a:ext>
          </a:extLst>
        </xdr:cNvPr>
        <xdr:cNvSpPr/>
      </xdr:nvSpPr>
      <xdr:spPr>
        <a:xfrm rot="10800000">
          <a:off x="17129760" y="5935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324</xdr:row>
      <xdr:rowOff>0</xdr:rowOff>
    </xdr:from>
    <xdr:to>
      <xdr:col>71</xdr:col>
      <xdr:colOff>83820</xdr:colOff>
      <xdr:row>324</xdr:row>
      <xdr:rowOff>114300</xdr:rowOff>
    </xdr:to>
    <xdr:sp macro="" textlink="">
      <xdr:nvSpPr>
        <xdr:cNvPr id="2486" name="Arrow: Down 2485">
          <a:extLst>
            <a:ext uri="{FF2B5EF4-FFF2-40B4-BE49-F238E27FC236}">
              <a16:creationId xmlns:a16="http://schemas.microsoft.com/office/drawing/2014/main" id="{DDB16A95-A1B5-445A-896E-50186777F9A2}"/>
            </a:ext>
          </a:extLst>
        </xdr:cNvPr>
        <xdr:cNvSpPr/>
      </xdr:nvSpPr>
      <xdr:spPr>
        <a:xfrm rot="10800000">
          <a:off x="19560540" y="5935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325</xdr:row>
      <xdr:rowOff>0</xdr:rowOff>
    </xdr:from>
    <xdr:to>
      <xdr:col>45</xdr:col>
      <xdr:colOff>83820</xdr:colOff>
      <xdr:row>325</xdr:row>
      <xdr:rowOff>114300</xdr:rowOff>
    </xdr:to>
    <xdr:sp macro="" textlink="">
      <xdr:nvSpPr>
        <xdr:cNvPr id="2487" name="Arrow: Down 2486">
          <a:extLst>
            <a:ext uri="{FF2B5EF4-FFF2-40B4-BE49-F238E27FC236}">
              <a16:creationId xmlns:a16="http://schemas.microsoft.com/office/drawing/2014/main" id="{B868F4AB-C924-47D7-9496-47C90FF177FF}"/>
            </a:ext>
          </a:extLst>
        </xdr:cNvPr>
        <xdr:cNvSpPr/>
      </xdr:nvSpPr>
      <xdr:spPr>
        <a:xfrm rot="10800000">
          <a:off x="11574780" y="5935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325</xdr:row>
      <xdr:rowOff>0</xdr:rowOff>
    </xdr:from>
    <xdr:to>
      <xdr:col>24</xdr:col>
      <xdr:colOff>83820</xdr:colOff>
      <xdr:row>325</xdr:row>
      <xdr:rowOff>114300</xdr:rowOff>
    </xdr:to>
    <xdr:sp macro="" textlink="">
      <xdr:nvSpPr>
        <xdr:cNvPr id="2490" name="Arrow: Down 2489">
          <a:extLst>
            <a:ext uri="{FF2B5EF4-FFF2-40B4-BE49-F238E27FC236}">
              <a16:creationId xmlns:a16="http://schemas.microsoft.com/office/drawing/2014/main" id="{A5F24631-3DF5-41C5-A4F3-58263399B1EA}"/>
            </a:ext>
          </a:extLst>
        </xdr:cNvPr>
        <xdr:cNvSpPr/>
      </xdr:nvSpPr>
      <xdr:spPr>
        <a:xfrm>
          <a:off x="6553200" y="5935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325</xdr:row>
      <xdr:rowOff>0</xdr:rowOff>
    </xdr:from>
    <xdr:to>
      <xdr:col>11</xdr:col>
      <xdr:colOff>83820</xdr:colOff>
      <xdr:row>325</xdr:row>
      <xdr:rowOff>114300</xdr:rowOff>
    </xdr:to>
    <xdr:sp macro="" textlink="">
      <xdr:nvSpPr>
        <xdr:cNvPr id="2494" name="Arrow: Down 2493">
          <a:extLst>
            <a:ext uri="{FF2B5EF4-FFF2-40B4-BE49-F238E27FC236}">
              <a16:creationId xmlns:a16="http://schemas.microsoft.com/office/drawing/2014/main" id="{27E7A1FF-EE99-4C96-9600-F310565253FC}"/>
            </a:ext>
          </a:extLst>
        </xdr:cNvPr>
        <xdr:cNvSpPr/>
      </xdr:nvSpPr>
      <xdr:spPr>
        <a:xfrm>
          <a:off x="369570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325</xdr:row>
      <xdr:rowOff>0</xdr:rowOff>
    </xdr:from>
    <xdr:to>
      <xdr:col>5</xdr:col>
      <xdr:colOff>83820</xdr:colOff>
      <xdr:row>325</xdr:row>
      <xdr:rowOff>114300</xdr:rowOff>
    </xdr:to>
    <xdr:sp macro="" textlink="">
      <xdr:nvSpPr>
        <xdr:cNvPr id="2496" name="Arrow: Down 2495">
          <a:extLst>
            <a:ext uri="{FF2B5EF4-FFF2-40B4-BE49-F238E27FC236}">
              <a16:creationId xmlns:a16="http://schemas.microsoft.com/office/drawing/2014/main" id="{1C657BAF-BC9B-465F-9CBB-796690534A29}"/>
            </a:ext>
          </a:extLst>
        </xdr:cNvPr>
        <xdr:cNvSpPr/>
      </xdr:nvSpPr>
      <xdr:spPr>
        <a:xfrm>
          <a:off x="192786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325</xdr:row>
      <xdr:rowOff>0</xdr:rowOff>
    </xdr:from>
    <xdr:to>
      <xdr:col>39</xdr:col>
      <xdr:colOff>83820</xdr:colOff>
      <xdr:row>325</xdr:row>
      <xdr:rowOff>114300</xdr:rowOff>
    </xdr:to>
    <xdr:sp macro="" textlink="">
      <xdr:nvSpPr>
        <xdr:cNvPr id="2498" name="Arrow: Down 2497">
          <a:extLst>
            <a:ext uri="{FF2B5EF4-FFF2-40B4-BE49-F238E27FC236}">
              <a16:creationId xmlns:a16="http://schemas.microsoft.com/office/drawing/2014/main" id="{594C9774-C90F-485F-AA55-B85CBF4DF723}"/>
            </a:ext>
          </a:extLst>
        </xdr:cNvPr>
        <xdr:cNvSpPr/>
      </xdr:nvSpPr>
      <xdr:spPr>
        <a:xfrm>
          <a:off x="9715500" y="5953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325</xdr:row>
      <xdr:rowOff>0</xdr:rowOff>
    </xdr:from>
    <xdr:to>
      <xdr:col>60</xdr:col>
      <xdr:colOff>83820</xdr:colOff>
      <xdr:row>325</xdr:row>
      <xdr:rowOff>114300</xdr:rowOff>
    </xdr:to>
    <xdr:sp macro="" textlink="">
      <xdr:nvSpPr>
        <xdr:cNvPr id="2499" name="Arrow: Down 2498">
          <a:extLst>
            <a:ext uri="{FF2B5EF4-FFF2-40B4-BE49-F238E27FC236}">
              <a16:creationId xmlns:a16="http://schemas.microsoft.com/office/drawing/2014/main" id="{92E104C3-B762-4E75-A8B6-D1F306E55CD6}"/>
            </a:ext>
          </a:extLst>
        </xdr:cNvPr>
        <xdr:cNvSpPr/>
      </xdr:nvSpPr>
      <xdr:spPr>
        <a:xfrm>
          <a:off x="1712976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325</xdr:row>
      <xdr:rowOff>0</xdr:rowOff>
    </xdr:from>
    <xdr:to>
      <xdr:col>71</xdr:col>
      <xdr:colOff>83820</xdr:colOff>
      <xdr:row>325</xdr:row>
      <xdr:rowOff>114300</xdr:rowOff>
    </xdr:to>
    <xdr:sp macro="" textlink="">
      <xdr:nvSpPr>
        <xdr:cNvPr id="2501" name="Arrow: Down 2500">
          <a:extLst>
            <a:ext uri="{FF2B5EF4-FFF2-40B4-BE49-F238E27FC236}">
              <a16:creationId xmlns:a16="http://schemas.microsoft.com/office/drawing/2014/main" id="{2B684B44-BBDB-4DED-AF2A-5DF375F22978}"/>
            </a:ext>
          </a:extLst>
        </xdr:cNvPr>
        <xdr:cNvSpPr/>
      </xdr:nvSpPr>
      <xdr:spPr>
        <a:xfrm>
          <a:off x="1956054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326</xdr:row>
      <xdr:rowOff>0</xdr:rowOff>
    </xdr:from>
    <xdr:to>
      <xdr:col>45</xdr:col>
      <xdr:colOff>83820</xdr:colOff>
      <xdr:row>326</xdr:row>
      <xdr:rowOff>114300</xdr:rowOff>
    </xdr:to>
    <xdr:sp macro="" textlink="">
      <xdr:nvSpPr>
        <xdr:cNvPr id="2502" name="Arrow: Down 2501">
          <a:extLst>
            <a:ext uri="{FF2B5EF4-FFF2-40B4-BE49-F238E27FC236}">
              <a16:creationId xmlns:a16="http://schemas.microsoft.com/office/drawing/2014/main" id="{7DBC0EDC-4DE8-417D-91E9-F3C80678D31F}"/>
            </a:ext>
          </a:extLst>
        </xdr:cNvPr>
        <xdr:cNvSpPr/>
      </xdr:nvSpPr>
      <xdr:spPr>
        <a:xfrm rot="10800000">
          <a:off x="1157478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326</xdr:row>
      <xdr:rowOff>0</xdr:rowOff>
    </xdr:from>
    <xdr:to>
      <xdr:col>24</xdr:col>
      <xdr:colOff>83820</xdr:colOff>
      <xdr:row>326</xdr:row>
      <xdr:rowOff>114300</xdr:rowOff>
    </xdr:to>
    <xdr:sp macro="" textlink="">
      <xdr:nvSpPr>
        <xdr:cNvPr id="2503" name="Arrow: Down 2502">
          <a:extLst>
            <a:ext uri="{FF2B5EF4-FFF2-40B4-BE49-F238E27FC236}">
              <a16:creationId xmlns:a16="http://schemas.microsoft.com/office/drawing/2014/main" id="{9EAD96AC-78B1-4984-97EE-64FF58E65E9E}"/>
            </a:ext>
          </a:extLst>
        </xdr:cNvPr>
        <xdr:cNvSpPr/>
      </xdr:nvSpPr>
      <xdr:spPr>
        <a:xfrm>
          <a:off x="655320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326</xdr:row>
      <xdr:rowOff>0</xdr:rowOff>
    </xdr:from>
    <xdr:to>
      <xdr:col>11</xdr:col>
      <xdr:colOff>83820</xdr:colOff>
      <xdr:row>326</xdr:row>
      <xdr:rowOff>114300</xdr:rowOff>
    </xdr:to>
    <xdr:sp macro="" textlink="">
      <xdr:nvSpPr>
        <xdr:cNvPr id="2504" name="Arrow: Down 2503">
          <a:extLst>
            <a:ext uri="{FF2B5EF4-FFF2-40B4-BE49-F238E27FC236}">
              <a16:creationId xmlns:a16="http://schemas.microsoft.com/office/drawing/2014/main" id="{95FF835A-4A6F-4275-9B2F-D2041785CB49}"/>
            </a:ext>
          </a:extLst>
        </xdr:cNvPr>
        <xdr:cNvSpPr/>
      </xdr:nvSpPr>
      <xdr:spPr>
        <a:xfrm>
          <a:off x="369570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326</xdr:row>
      <xdr:rowOff>0</xdr:rowOff>
    </xdr:from>
    <xdr:to>
      <xdr:col>5</xdr:col>
      <xdr:colOff>83820</xdr:colOff>
      <xdr:row>326</xdr:row>
      <xdr:rowOff>114300</xdr:rowOff>
    </xdr:to>
    <xdr:sp macro="" textlink="">
      <xdr:nvSpPr>
        <xdr:cNvPr id="2505" name="Arrow: Down 2504">
          <a:extLst>
            <a:ext uri="{FF2B5EF4-FFF2-40B4-BE49-F238E27FC236}">
              <a16:creationId xmlns:a16="http://schemas.microsoft.com/office/drawing/2014/main" id="{E981EDB3-0BFE-4D45-9D48-C530EE8B20CA}"/>
            </a:ext>
          </a:extLst>
        </xdr:cNvPr>
        <xdr:cNvSpPr/>
      </xdr:nvSpPr>
      <xdr:spPr>
        <a:xfrm>
          <a:off x="192786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326</xdr:row>
      <xdr:rowOff>0</xdr:rowOff>
    </xdr:from>
    <xdr:to>
      <xdr:col>39</xdr:col>
      <xdr:colOff>83820</xdr:colOff>
      <xdr:row>326</xdr:row>
      <xdr:rowOff>114300</xdr:rowOff>
    </xdr:to>
    <xdr:sp macro="" textlink="">
      <xdr:nvSpPr>
        <xdr:cNvPr id="2506" name="Arrow: Down 2505">
          <a:extLst>
            <a:ext uri="{FF2B5EF4-FFF2-40B4-BE49-F238E27FC236}">
              <a16:creationId xmlns:a16="http://schemas.microsoft.com/office/drawing/2014/main" id="{DC5F8050-2AAF-47B0-8FA3-038B3B482F62}"/>
            </a:ext>
          </a:extLst>
        </xdr:cNvPr>
        <xdr:cNvSpPr/>
      </xdr:nvSpPr>
      <xdr:spPr>
        <a:xfrm>
          <a:off x="9715500" y="5953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326</xdr:row>
      <xdr:rowOff>0</xdr:rowOff>
    </xdr:from>
    <xdr:to>
      <xdr:col>71</xdr:col>
      <xdr:colOff>83820</xdr:colOff>
      <xdr:row>326</xdr:row>
      <xdr:rowOff>114300</xdr:rowOff>
    </xdr:to>
    <xdr:sp macro="" textlink="">
      <xdr:nvSpPr>
        <xdr:cNvPr id="2509" name="Arrow: Down 2508">
          <a:extLst>
            <a:ext uri="{FF2B5EF4-FFF2-40B4-BE49-F238E27FC236}">
              <a16:creationId xmlns:a16="http://schemas.microsoft.com/office/drawing/2014/main" id="{EF90EBC6-8D71-4576-B297-CF747B20EA1C}"/>
            </a:ext>
          </a:extLst>
        </xdr:cNvPr>
        <xdr:cNvSpPr/>
      </xdr:nvSpPr>
      <xdr:spPr>
        <a:xfrm rot="10800000">
          <a:off x="19560540" y="5971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326</xdr:row>
      <xdr:rowOff>0</xdr:rowOff>
    </xdr:from>
    <xdr:to>
      <xdr:col>60</xdr:col>
      <xdr:colOff>83820</xdr:colOff>
      <xdr:row>326</xdr:row>
      <xdr:rowOff>114300</xdr:rowOff>
    </xdr:to>
    <xdr:sp macro="" textlink="">
      <xdr:nvSpPr>
        <xdr:cNvPr id="2511" name="Arrow: Down 2510">
          <a:extLst>
            <a:ext uri="{FF2B5EF4-FFF2-40B4-BE49-F238E27FC236}">
              <a16:creationId xmlns:a16="http://schemas.microsoft.com/office/drawing/2014/main" id="{E4126238-A5D8-4CEA-8C24-32A33B24CE32}"/>
            </a:ext>
          </a:extLst>
        </xdr:cNvPr>
        <xdr:cNvSpPr/>
      </xdr:nvSpPr>
      <xdr:spPr>
        <a:xfrm rot="10800000">
          <a:off x="17129760" y="5971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327</xdr:row>
      <xdr:rowOff>0</xdr:rowOff>
    </xdr:from>
    <xdr:to>
      <xdr:col>45</xdr:col>
      <xdr:colOff>83820</xdr:colOff>
      <xdr:row>327</xdr:row>
      <xdr:rowOff>114300</xdr:rowOff>
    </xdr:to>
    <xdr:sp macro="" textlink="">
      <xdr:nvSpPr>
        <xdr:cNvPr id="2308" name="Arrow: Down 2307">
          <a:extLst>
            <a:ext uri="{FF2B5EF4-FFF2-40B4-BE49-F238E27FC236}">
              <a16:creationId xmlns:a16="http://schemas.microsoft.com/office/drawing/2014/main" id="{D7B55B7C-5CDA-4637-AC33-1751B7C33CB1}"/>
            </a:ext>
          </a:extLst>
        </xdr:cNvPr>
        <xdr:cNvSpPr/>
      </xdr:nvSpPr>
      <xdr:spPr>
        <a:xfrm rot="10800000">
          <a:off x="11696700" y="5971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327</xdr:row>
      <xdr:rowOff>0</xdr:rowOff>
    </xdr:from>
    <xdr:to>
      <xdr:col>60</xdr:col>
      <xdr:colOff>83820</xdr:colOff>
      <xdr:row>327</xdr:row>
      <xdr:rowOff>114300</xdr:rowOff>
    </xdr:to>
    <xdr:sp macro="" textlink="">
      <xdr:nvSpPr>
        <xdr:cNvPr id="2353" name="Arrow: Down 2352">
          <a:extLst>
            <a:ext uri="{FF2B5EF4-FFF2-40B4-BE49-F238E27FC236}">
              <a16:creationId xmlns:a16="http://schemas.microsoft.com/office/drawing/2014/main" id="{4C645E1E-F2EE-43D1-8435-1EE99993FD8F}"/>
            </a:ext>
          </a:extLst>
        </xdr:cNvPr>
        <xdr:cNvSpPr/>
      </xdr:nvSpPr>
      <xdr:spPr>
        <a:xfrm>
          <a:off x="1725168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327</xdr:row>
      <xdr:rowOff>0</xdr:rowOff>
    </xdr:from>
    <xdr:to>
      <xdr:col>71</xdr:col>
      <xdr:colOff>83820</xdr:colOff>
      <xdr:row>327</xdr:row>
      <xdr:rowOff>114300</xdr:rowOff>
    </xdr:to>
    <xdr:sp macro="" textlink="">
      <xdr:nvSpPr>
        <xdr:cNvPr id="2358" name="Arrow: Down 2357">
          <a:extLst>
            <a:ext uri="{FF2B5EF4-FFF2-40B4-BE49-F238E27FC236}">
              <a16:creationId xmlns:a16="http://schemas.microsoft.com/office/drawing/2014/main" id="{7BF6CB4D-12F9-4ADA-AD08-8E64E013B408}"/>
            </a:ext>
          </a:extLst>
        </xdr:cNvPr>
        <xdr:cNvSpPr/>
      </xdr:nvSpPr>
      <xdr:spPr>
        <a:xfrm>
          <a:off x="1968246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327</xdr:row>
      <xdr:rowOff>0</xdr:rowOff>
    </xdr:from>
    <xdr:to>
      <xdr:col>5</xdr:col>
      <xdr:colOff>83820</xdr:colOff>
      <xdr:row>327</xdr:row>
      <xdr:rowOff>114300</xdr:rowOff>
    </xdr:to>
    <xdr:sp macro="" textlink="">
      <xdr:nvSpPr>
        <xdr:cNvPr id="2367" name="Arrow: Down 2366">
          <a:extLst>
            <a:ext uri="{FF2B5EF4-FFF2-40B4-BE49-F238E27FC236}">
              <a16:creationId xmlns:a16="http://schemas.microsoft.com/office/drawing/2014/main" id="{ECDB9381-0CC7-4F7B-8B23-BE2AE6F0E882}"/>
            </a:ext>
          </a:extLst>
        </xdr:cNvPr>
        <xdr:cNvSpPr/>
      </xdr:nvSpPr>
      <xdr:spPr>
        <a:xfrm rot="10800000">
          <a:off x="1927860" y="5990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327</xdr:row>
      <xdr:rowOff>0</xdr:rowOff>
    </xdr:from>
    <xdr:to>
      <xdr:col>11</xdr:col>
      <xdr:colOff>83820</xdr:colOff>
      <xdr:row>327</xdr:row>
      <xdr:rowOff>114300</xdr:rowOff>
    </xdr:to>
    <xdr:sp macro="" textlink="">
      <xdr:nvSpPr>
        <xdr:cNvPr id="2391" name="Arrow: Down 2390">
          <a:extLst>
            <a:ext uri="{FF2B5EF4-FFF2-40B4-BE49-F238E27FC236}">
              <a16:creationId xmlns:a16="http://schemas.microsoft.com/office/drawing/2014/main" id="{75B489A4-330C-4200-BC96-FE6D3D75E3A9}"/>
            </a:ext>
          </a:extLst>
        </xdr:cNvPr>
        <xdr:cNvSpPr/>
      </xdr:nvSpPr>
      <xdr:spPr>
        <a:xfrm rot="10800000">
          <a:off x="3695700" y="5990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327</xdr:row>
      <xdr:rowOff>0</xdr:rowOff>
    </xdr:from>
    <xdr:to>
      <xdr:col>24</xdr:col>
      <xdr:colOff>83820</xdr:colOff>
      <xdr:row>327</xdr:row>
      <xdr:rowOff>114300</xdr:rowOff>
    </xdr:to>
    <xdr:sp macro="" textlink="">
      <xdr:nvSpPr>
        <xdr:cNvPr id="2394" name="Arrow: Down 2393">
          <a:extLst>
            <a:ext uri="{FF2B5EF4-FFF2-40B4-BE49-F238E27FC236}">
              <a16:creationId xmlns:a16="http://schemas.microsoft.com/office/drawing/2014/main" id="{7128E791-D081-4AA0-82BB-00350554092C}"/>
            </a:ext>
          </a:extLst>
        </xdr:cNvPr>
        <xdr:cNvSpPr/>
      </xdr:nvSpPr>
      <xdr:spPr>
        <a:xfrm rot="10800000">
          <a:off x="6675120" y="5990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327</xdr:row>
      <xdr:rowOff>0</xdr:rowOff>
    </xdr:from>
    <xdr:to>
      <xdr:col>39</xdr:col>
      <xdr:colOff>83820</xdr:colOff>
      <xdr:row>327</xdr:row>
      <xdr:rowOff>114300</xdr:rowOff>
    </xdr:to>
    <xdr:sp macro="" textlink="">
      <xdr:nvSpPr>
        <xdr:cNvPr id="2395" name="Arrow: Down 2394">
          <a:extLst>
            <a:ext uri="{FF2B5EF4-FFF2-40B4-BE49-F238E27FC236}">
              <a16:creationId xmlns:a16="http://schemas.microsoft.com/office/drawing/2014/main" id="{13794D73-A30A-48E3-8F82-A7401B6C0E7F}"/>
            </a:ext>
          </a:extLst>
        </xdr:cNvPr>
        <xdr:cNvSpPr/>
      </xdr:nvSpPr>
      <xdr:spPr>
        <a:xfrm rot="10800000">
          <a:off x="983742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328</xdr:row>
      <xdr:rowOff>0</xdr:rowOff>
    </xdr:from>
    <xdr:to>
      <xdr:col>45</xdr:col>
      <xdr:colOff>83820</xdr:colOff>
      <xdr:row>328</xdr:row>
      <xdr:rowOff>114300</xdr:rowOff>
    </xdr:to>
    <xdr:sp macro="" textlink="">
      <xdr:nvSpPr>
        <xdr:cNvPr id="2396" name="Arrow: Down 2395">
          <a:extLst>
            <a:ext uri="{FF2B5EF4-FFF2-40B4-BE49-F238E27FC236}">
              <a16:creationId xmlns:a16="http://schemas.microsoft.com/office/drawing/2014/main" id="{CEF82E51-CDFA-4F21-8AAA-87CB8686ED5D}"/>
            </a:ext>
          </a:extLst>
        </xdr:cNvPr>
        <xdr:cNvSpPr/>
      </xdr:nvSpPr>
      <xdr:spPr>
        <a:xfrm rot="10800000">
          <a:off x="1169670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328</xdr:row>
      <xdr:rowOff>0</xdr:rowOff>
    </xdr:from>
    <xdr:to>
      <xdr:col>5</xdr:col>
      <xdr:colOff>83820</xdr:colOff>
      <xdr:row>328</xdr:row>
      <xdr:rowOff>114300</xdr:rowOff>
    </xdr:to>
    <xdr:sp macro="" textlink="">
      <xdr:nvSpPr>
        <xdr:cNvPr id="2419" name="Arrow: Down 2418">
          <a:extLst>
            <a:ext uri="{FF2B5EF4-FFF2-40B4-BE49-F238E27FC236}">
              <a16:creationId xmlns:a16="http://schemas.microsoft.com/office/drawing/2014/main" id="{1704AC3D-EDF4-446A-9ABA-2DE3A018357E}"/>
            </a:ext>
          </a:extLst>
        </xdr:cNvPr>
        <xdr:cNvSpPr/>
      </xdr:nvSpPr>
      <xdr:spPr>
        <a:xfrm>
          <a:off x="192786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328</xdr:row>
      <xdr:rowOff>0</xdr:rowOff>
    </xdr:from>
    <xdr:to>
      <xdr:col>11</xdr:col>
      <xdr:colOff>83820</xdr:colOff>
      <xdr:row>328</xdr:row>
      <xdr:rowOff>114300</xdr:rowOff>
    </xdr:to>
    <xdr:sp macro="" textlink="">
      <xdr:nvSpPr>
        <xdr:cNvPr id="2423" name="Arrow: Down 2422">
          <a:extLst>
            <a:ext uri="{FF2B5EF4-FFF2-40B4-BE49-F238E27FC236}">
              <a16:creationId xmlns:a16="http://schemas.microsoft.com/office/drawing/2014/main" id="{1172A3EE-ACD0-48B2-B4FC-A7296A484F96}"/>
            </a:ext>
          </a:extLst>
        </xdr:cNvPr>
        <xdr:cNvSpPr/>
      </xdr:nvSpPr>
      <xdr:spPr>
        <a:xfrm>
          <a:off x="369570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328</xdr:row>
      <xdr:rowOff>0</xdr:rowOff>
    </xdr:from>
    <xdr:to>
      <xdr:col>24</xdr:col>
      <xdr:colOff>83820</xdr:colOff>
      <xdr:row>328</xdr:row>
      <xdr:rowOff>114300</xdr:rowOff>
    </xdr:to>
    <xdr:sp macro="" textlink="">
      <xdr:nvSpPr>
        <xdr:cNvPr id="2425" name="Arrow: Down 2424">
          <a:extLst>
            <a:ext uri="{FF2B5EF4-FFF2-40B4-BE49-F238E27FC236}">
              <a16:creationId xmlns:a16="http://schemas.microsoft.com/office/drawing/2014/main" id="{0AD45578-5C56-4E4A-A3C4-C3D6FD8423C2}"/>
            </a:ext>
          </a:extLst>
        </xdr:cNvPr>
        <xdr:cNvSpPr/>
      </xdr:nvSpPr>
      <xdr:spPr>
        <a:xfrm rot="10800000">
          <a:off x="667512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328</xdr:row>
      <xdr:rowOff>0</xdr:rowOff>
    </xdr:from>
    <xdr:to>
      <xdr:col>39</xdr:col>
      <xdr:colOff>83820</xdr:colOff>
      <xdr:row>328</xdr:row>
      <xdr:rowOff>114300</xdr:rowOff>
    </xdr:to>
    <xdr:sp macro="" textlink="">
      <xdr:nvSpPr>
        <xdr:cNvPr id="2426" name="Arrow: Down 2425">
          <a:extLst>
            <a:ext uri="{FF2B5EF4-FFF2-40B4-BE49-F238E27FC236}">
              <a16:creationId xmlns:a16="http://schemas.microsoft.com/office/drawing/2014/main" id="{A25D8B2F-A496-40D7-8C93-3990D9001F1C}"/>
            </a:ext>
          </a:extLst>
        </xdr:cNvPr>
        <xdr:cNvSpPr/>
      </xdr:nvSpPr>
      <xdr:spPr>
        <a:xfrm rot="10800000">
          <a:off x="983742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328</xdr:row>
      <xdr:rowOff>0</xdr:rowOff>
    </xdr:from>
    <xdr:to>
      <xdr:col>60</xdr:col>
      <xdr:colOff>83820</xdr:colOff>
      <xdr:row>328</xdr:row>
      <xdr:rowOff>114300</xdr:rowOff>
    </xdr:to>
    <xdr:sp macro="" textlink="">
      <xdr:nvSpPr>
        <xdr:cNvPr id="2428" name="Arrow: Down 2427">
          <a:extLst>
            <a:ext uri="{FF2B5EF4-FFF2-40B4-BE49-F238E27FC236}">
              <a16:creationId xmlns:a16="http://schemas.microsoft.com/office/drawing/2014/main" id="{5D0701C3-CBD1-4CAE-85BE-85BB8E2E535F}"/>
            </a:ext>
          </a:extLst>
        </xdr:cNvPr>
        <xdr:cNvSpPr/>
      </xdr:nvSpPr>
      <xdr:spPr>
        <a:xfrm rot="10800000">
          <a:off x="1725168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328</xdr:row>
      <xdr:rowOff>0</xdr:rowOff>
    </xdr:from>
    <xdr:to>
      <xdr:col>71</xdr:col>
      <xdr:colOff>83820</xdr:colOff>
      <xdr:row>328</xdr:row>
      <xdr:rowOff>114300</xdr:rowOff>
    </xdr:to>
    <xdr:sp macro="" textlink="">
      <xdr:nvSpPr>
        <xdr:cNvPr id="2442" name="Arrow: Down 2441">
          <a:extLst>
            <a:ext uri="{FF2B5EF4-FFF2-40B4-BE49-F238E27FC236}">
              <a16:creationId xmlns:a16="http://schemas.microsoft.com/office/drawing/2014/main" id="{2B59BF11-90E2-4E38-A634-B11B66DE86F7}"/>
            </a:ext>
          </a:extLst>
        </xdr:cNvPr>
        <xdr:cNvSpPr/>
      </xdr:nvSpPr>
      <xdr:spPr>
        <a:xfrm rot="10800000">
          <a:off x="1968246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329</xdr:row>
      <xdr:rowOff>0</xdr:rowOff>
    </xdr:from>
    <xdr:to>
      <xdr:col>45</xdr:col>
      <xdr:colOff>83820</xdr:colOff>
      <xdr:row>329</xdr:row>
      <xdr:rowOff>114300</xdr:rowOff>
    </xdr:to>
    <xdr:sp macro="" textlink="">
      <xdr:nvSpPr>
        <xdr:cNvPr id="2443" name="Arrow: Down 2442">
          <a:extLst>
            <a:ext uri="{FF2B5EF4-FFF2-40B4-BE49-F238E27FC236}">
              <a16:creationId xmlns:a16="http://schemas.microsoft.com/office/drawing/2014/main" id="{9DC2CB9F-0943-4D35-8461-45E8C9D26C54}"/>
            </a:ext>
          </a:extLst>
        </xdr:cNvPr>
        <xdr:cNvSpPr/>
      </xdr:nvSpPr>
      <xdr:spPr>
        <a:xfrm rot="10800000">
          <a:off x="1169670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329</xdr:row>
      <xdr:rowOff>0</xdr:rowOff>
    </xdr:from>
    <xdr:to>
      <xdr:col>5</xdr:col>
      <xdr:colOff>83820</xdr:colOff>
      <xdr:row>329</xdr:row>
      <xdr:rowOff>114300</xdr:rowOff>
    </xdr:to>
    <xdr:sp macro="" textlink="">
      <xdr:nvSpPr>
        <xdr:cNvPr id="2446" name="Arrow: Down 2445">
          <a:extLst>
            <a:ext uri="{FF2B5EF4-FFF2-40B4-BE49-F238E27FC236}">
              <a16:creationId xmlns:a16="http://schemas.microsoft.com/office/drawing/2014/main" id="{C5E70C01-D008-44E4-9E29-6BF658B918ED}"/>
            </a:ext>
          </a:extLst>
        </xdr:cNvPr>
        <xdr:cNvSpPr/>
      </xdr:nvSpPr>
      <xdr:spPr>
        <a:xfrm>
          <a:off x="192786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329</xdr:row>
      <xdr:rowOff>0</xdr:rowOff>
    </xdr:from>
    <xdr:to>
      <xdr:col>11</xdr:col>
      <xdr:colOff>83820</xdr:colOff>
      <xdr:row>329</xdr:row>
      <xdr:rowOff>114300</xdr:rowOff>
    </xdr:to>
    <xdr:sp macro="" textlink="">
      <xdr:nvSpPr>
        <xdr:cNvPr id="2448" name="Arrow: Down 2447">
          <a:extLst>
            <a:ext uri="{FF2B5EF4-FFF2-40B4-BE49-F238E27FC236}">
              <a16:creationId xmlns:a16="http://schemas.microsoft.com/office/drawing/2014/main" id="{6B2B20C6-DDC5-428D-A282-B63A913785AD}"/>
            </a:ext>
          </a:extLst>
        </xdr:cNvPr>
        <xdr:cNvSpPr/>
      </xdr:nvSpPr>
      <xdr:spPr>
        <a:xfrm>
          <a:off x="369570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329</xdr:row>
      <xdr:rowOff>0</xdr:rowOff>
    </xdr:from>
    <xdr:to>
      <xdr:col>24</xdr:col>
      <xdr:colOff>83820</xdr:colOff>
      <xdr:row>329</xdr:row>
      <xdr:rowOff>114300</xdr:rowOff>
    </xdr:to>
    <xdr:sp macro="" textlink="">
      <xdr:nvSpPr>
        <xdr:cNvPr id="2461" name="Arrow: Down 2460">
          <a:extLst>
            <a:ext uri="{FF2B5EF4-FFF2-40B4-BE49-F238E27FC236}">
              <a16:creationId xmlns:a16="http://schemas.microsoft.com/office/drawing/2014/main" id="{176279C8-87F2-49C1-A5E3-91C84B11EDFE}"/>
            </a:ext>
          </a:extLst>
        </xdr:cNvPr>
        <xdr:cNvSpPr/>
      </xdr:nvSpPr>
      <xdr:spPr>
        <a:xfrm rot="10800000">
          <a:off x="667512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329</xdr:row>
      <xdr:rowOff>0</xdr:rowOff>
    </xdr:from>
    <xdr:to>
      <xdr:col>39</xdr:col>
      <xdr:colOff>83820</xdr:colOff>
      <xdr:row>329</xdr:row>
      <xdr:rowOff>114300</xdr:rowOff>
    </xdr:to>
    <xdr:sp macro="" textlink="">
      <xdr:nvSpPr>
        <xdr:cNvPr id="2462" name="Arrow: Down 2461">
          <a:extLst>
            <a:ext uri="{FF2B5EF4-FFF2-40B4-BE49-F238E27FC236}">
              <a16:creationId xmlns:a16="http://schemas.microsoft.com/office/drawing/2014/main" id="{8D35825E-3F11-4D10-BF73-161C9E6ABA3F}"/>
            </a:ext>
          </a:extLst>
        </xdr:cNvPr>
        <xdr:cNvSpPr/>
      </xdr:nvSpPr>
      <xdr:spPr>
        <a:xfrm rot="10800000">
          <a:off x="983742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329</xdr:row>
      <xdr:rowOff>0</xdr:rowOff>
    </xdr:from>
    <xdr:to>
      <xdr:col>60</xdr:col>
      <xdr:colOff>83820</xdr:colOff>
      <xdr:row>329</xdr:row>
      <xdr:rowOff>114300</xdr:rowOff>
    </xdr:to>
    <xdr:sp macro="" textlink="">
      <xdr:nvSpPr>
        <xdr:cNvPr id="2470" name="Arrow: Down 2469">
          <a:extLst>
            <a:ext uri="{FF2B5EF4-FFF2-40B4-BE49-F238E27FC236}">
              <a16:creationId xmlns:a16="http://schemas.microsoft.com/office/drawing/2014/main" id="{CBE21D11-3F60-4131-B29B-66DFE25FB5DD}"/>
            </a:ext>
          </a:extLst>
        </xdr:cNvPr>
        <xdr:cNvSpPr/>
      </xdr:nvSpPr>
      <xdr:spPr>
        <a:xfrm>
          <a:off x="1725168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329</xdr:row>
      <xdr:rowOff>0</xdr:rowOff>
    </xdr:from>
    <xdr:to>
      <xdr:col>71</xdr:col>
      <xdr:colOff>83820</xdr:colOff>
      <xdr:row>329</xdr:row>
      <xdr:rowOff>114300</xdr:rowOff>
    </xdr:to>
    <xdr:sp macro="" textlink="">
      <xdr:nvSpPr>
        <xdr:cNvPr id="2471" name="Arrow: Down 2470">
          <a:extLst>
            <a:ext uri="{FF2B5EF4-FFF2-40B4-BE49-F238E27FC236}">
              <a16:creationId xmlns:a16="http://schemas.microsoft.com/office/drawing/2014/main" id="{30D1BE25-C8ED-49BF-A80B-63C6BB2C94FA}"/>
            </a:ext>
          </a:extLst>
        </xdr:cNvPr>
        <xdr:cNvSpPr/>
      </xdr:nvSpPr>
      <xdr:spPr>
        <a:xfrm>
          <a:off x="1968246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330</xdr:row>
      <xdr:rowOff>0</xdr:rowOff>
    </xdr:from>
    <xdr:to>
      <xdr:col>45</xdr:col>
      <xdr:colOff>83820</xdr:colOff>
      <xdr:row>330</xdr:row>
      <xdr:rowOff>114300</xdr:rowOff>
    </xdr:to>
    <xdr:sp macro="" textlink="">
      <xdr:nvSpPr>
        <xdr:cNvPr id="2472" name="Arrow: Down 2471">
          <a:extLst>
            <a:ext uri="{FF2B5EF4-FFF2-40B4-BE49-F238E27FC236}">
              <a16:creationId xmlns:a16="http://schemas.microsoft.com/office/drawing/2014/main" id="{323A5180-A449-4E2C-A57F-683D9FCAD0A9}"/>
            </a:ext>
          </a:extLst>
        </xdr:cNvPr>
        <xdr:cNvSpPr/>
      </xdr:nvSpPr>
      <xdr:spPr>
        <a:xfrm rot="10800000">
          <a:off x="1169670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330</xdr:row>
      <xdr:rowOff>0</xdr:rowOff>
    </xdr:from>
    <xdr:to>
      <xdr:col>60</xdr:col>
      <xdr:colOff>83820</xdr:colOff>
      <xdr:row>330</xdr:row>
      <xdr:rowOff>114300</xdr:rowOff>
    </xdr:to>
    <xdr:sp macro="" textlink="">
      <xdr:nvSpPr>
        <xdr:cNvPr id="2481" name="Arrow: Down 2480">
          <a:extLst>
            <a:ext uri="{FF2B5EF4-FFF2-40B4-BE49-F238E27FC236}">
              <a16:creationId xmlns:a16="http://schemas.microsoft.com/office/drawing/2014/main" id="{617ECCAC-03B8-4ED7-B08C-CAEB50CF3686}"/>
            </a:ext>
          </a:extLst>
        </xdr:cNvPr>
        <xdr:cNvSpPr/>
      </xdr:nvSpPr>
      <xdr:spPr>
        <a:xfrm>
          <a:off x="1725168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330</xdr:row>
      <xdr:rowOff>0</xdr:rowOff>
    </xdr:from>
    <xdr:to>
      <xdr:col>71</xdr:col>
      <xdr:colOff>83820</xdr:colOff>
      <xdr:row>330</xdr:row>
      <xdr:rowOff>114300</xdr:rowOff>
    </xdr:to>
    <xdr:sp macro="" textlink="">
      <xdr:nvSpPr>
        <xdr:cNvPr id="2482" name="Arrow: Down 2481">
          <a:extLst>
            <a:ext uri="{FF2B5EF4-FFF2-40B4-BE49-F238E27FC236}">
              <a16:creationId xmlns:a16="http://schemas.microsoft.com/office/drawing/2014/main" id="{9E513238-584E-4B99-94E3-403C60BA24FA}"/>
            </a:ext>
          </a:extLst>
        </xdr:cNvPr>
        <xdr:cNvSpPr/>
      </xdr:nvSpPr>
      <xdr:spPr>
        <a:xfrm>
          <a:off x="1968246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330</xdr:row>
      <xdr:rowOff>0</xdr:rowOff>
    </xdr:from>
    <xdr:to>
      <xdr:col>5</xdr:col>
      <xdr:colOff>83820</xdr:colOff>
      <xdr:row>330</xdr:row>
      <xdr:rowOff>114300</xdr:rowOff>
    </xdr:to>
    <xdr:sp macro="" textlink="">
      <xdr:nvSpPr>
        <xdr:cNvPr id="2488" name="Arrow: Down 2487">
          <a:extLst>
            <a:ext uri="{FF2B5EF4-FFF2-40B4-BE49-F238E27FC236}">
              <a16:creationId xmlns:a16="http://schemas.microsoft.com/office/drawing/2014/main" id="{E069D8FA-669B-437E-B858-B12C8E5CDDC0}"/>
            </a:ext>
          </a:extLst>
        </xdr:cNvPr>
        <xdr:cNvSpPr/>
      </xdr:nvSpPr>
      <xdr:spPr>
        <a:xfrm rot="10800000">
          <a:off x="192786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330</xdr:row>
      <xdr:rowOff>0</xdr:rowOff>
    </xdr:from>
    <xdr:to>
      <xdr:col>11</xdr:col>
      <xdr:colOff>83820</xdr:colOff>
      <xdr:row>330</xdr:row>
      <xdr:rowOff>114300</xdr:rowOff>
    </xdr:to>
    <xdr:sp macro="" textlink="">
      <xdr:nvSpPr>
        <xdr:cNvPr id="2489" name="Arrow: Down 2488">
          <a:extLst>
            <a:ext uri="{FF2B5EF4-FFF2-40B4-BE49-F238E27FC236}">
              <a16:creationId xmlns:a16="http://schemas.microsoft.com/office/drawing/2014/main" id="{866D76FA-4C08-4354-931C-788D391E0A24}"/>
            </a:ext>
          </a:extLst>
        </xdr:cNvPr>
        <xdr:cNvSpPr/>
      </xdr:nvSpPr>
      <xdr:spPr>
        <a:xfrm rot="10800000">
          <a:off x="369570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330</xdr:row>
      <xdr:rowOff>0</xdr:rowOff>
    </xdr:from>
    <xdr:to>
      <xdr:col>39</xdr:col>
      <xdr:colOff>83820</xdr:colOff>
      <xdr:row>330</xdr:row>
      <xdr:rowOff>114300</xdr:rowOff>
    </xdr:to>
    <xdr:sp macro="" textlink="">
      <xdr:nvSpPr>
        <xdr:cNvPr id="2492" name="Arrow: Down 2491">
          <a:extLst>
            <a:ext uri="{FF2B5EF4-FFF2-40B4-BE49-F238E27FC236}">
              <a16:creationId xmlns:a16="http://schemas.microsoft.com/office/drawing/2014/main" id="{244470BE-0A8D-4C4C-AFD2-B6ABD38AFF26}"/>
            </a:ext>
          </a:extLst>
        </xdr:cNvPr>
        <xdr:cNvSpPr/>
      </xdr:nvSpPr>
      <xdr:spPr>
        <a:xfrm>
          <a:off x="983742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330</xdr:row>
      <xdr:rowOff>0</xdr:rowOff>
    </xdr:from>
    <xdr:to>
      <xdr:col>24</xdr:col>
      <xdr:colOff>83820</xdr:colOff>
      <xdr:row>330</xdr:row>
      <xdr:rowOff>114300</xdr:rowOff>
    </xdr:to>
    <xdr:sp macro="" textlink="">
      <xdr:nvSpPr>
        <xdr:cNvPr id="2493" name="Arrow: Down 2492">
          <a:extLst>
            <a:ext uri="{FF2B5EF4-FFF2-40B4-BE49-F238E27FC236}">
              <a16:creationId xmlns:a16="http://schemas.microsoft.com/office/drawing/2014/main" id="{51827841-BC01-4ABE-821F-AE5E4C54F103}"/>
            </a:ext>
          </a:extLst>
        </xdr:cNvPr>
        <xdr:cNvSpPr/>
      </xdr:nvSpPr>
      <xdr:spPr>
        <a:xfrm>
          <a:off x="667512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331</xdr:row>
      <xdr:rowOff>0</xdr:rowOff>
    </xdr:from>
    <xdr:to>
      <xdr:col>45</xdr:col>
      <xdr:colOff>83820</xdr:colOff>
      <xdr:row>331</xdr:row>
      <xdr:rowOff>114300</xdr:rowOff>
    </xdr:to>
    <xdr:sp macro="" textlink="">
      <xdr:nvSpPr>
        <xdr:cNvPr id="2495" name="Arrow: Down 2494">
          <a:extLst>
            <a:ext uri="{FF2B5EF4-FFF2-40B4-BE49-F238E27FC236}">
              <a16:creationId xmlns:a16="http://schemas.microsoft.com/office/drawing/2014/main" id="{A1AAB943-8373-41A9-BCBD-9E8B731396C4}"/>
            </a:ext>
          </a:extLst>
        </xdr:cNvPr>
        <xdr:cNvSpPr/>
      </xdr:nvSpPr>
      <xdr:spPr>
        <a:xfrm rot="10800000">
          <a:off x="1169670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331</xdr:row>
      <xdr:rowOff>0</xdr:rowOff>
    </xdr:from>
    <xdr:to>
      <xdr:col>60</xdr:col>
      <xdr:colOff>83820</xdr:colOff>
      <xdr:row>331</xdr:row>
      <xdr:rowOff>114300</xdr:rowOff>
    </xdr:to>
    <xdr:sp macro="" textlink="">
      <xdr:nvSpPr>
        <xdr:cNvPr id="2497" name="Arrow: Down 2496">
          <a:extLst>
            <a:ext uri="{FF2B5EF4-FFF2-40B4-BE49-F238E27FC236}">
              <a16:creationId xmlns:a16="http://schemas.microsoft.com/office/drawing/2014/main" id="{00741C4F-61DD-4FDC-8187-2098DD670271}"/>
            </a:ext>
          </a:extLst>
        </xdr:cNvPr>
        <xdr:cNvSpPr/>
      </xdr:nvSpPr>
      <xdr:spPr>
        <a:xfrm>
          <a:off x="1725168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331</xdr:row>
      <xdr:rowOff>0</xdr:rowOff>
    </xdr:from>
    <xdr:to>
      <xdr:col>71</xdr:col>
      <xdr:colOff>83820</xdr:colOff>
      <xdr:row>331</xdr:row>
      <xdr:rowOff>114300</xdr:rowOff>
    </xdr:to>
    <xdr:sp macro="" textlink="">
      <xdr:nvSpPr>
        <xdr:cNvPr id="2500" name="Arrow: Down 2499">
          <a:extLst>
            <a:ext uri="{FF2B5EF4-FFF2-40B4-BE49-F238E27FC236}">
              <a16:creationId xmlns:a16="http://schemas.microsoft.com/office/drawing/2014/main" id="{981E6FB2-8A01-409D-AB02-BE14E2641ECF}"/>
            </a:ext>
          </a:extLst>
        </xdr:cNvPr>
        <xdr:cNvSpPr/>
      </xdr:nvSpPr>
      <xdr:spPr>
        <a:xfrm>
          <a:off x="1968246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331</xdr:row>
      <xdr:rowOff>0</xdr:rowOff>
    </xdr:from>
    <xdr:to>
      <xdr:col>5</xdr:col>
      <xdr:colOff>83820</xdr:colOff>
      <xdr:row>331</xdr:row>
      <xdr:rowOff>114300</xdr:rowOff>
    </xdr:to>
    <xdr:sp macro="" textlink="">
      <xdr:nvSpPr>
        <xdr:cNvPr id="2507" name="Arrow: Down 2506">
          <a:extLst>
            <a:ext uri="{FF2B5EF4-FFF2-40B4-BE49-F238E27FC236}">
              <a16:creationId xmlns:a16="http://schemas.microsoft.com/office/drawing/2014/main" id="{BF9DE6D1-B713-4C0E-95D5-FC58B65423C1}"/>
            </a:ext>
          </a:extLst>
        </xdr:cNvPr>
        <xdr:cNvSpPr/>
      </xdr:nvSpPr>
      <xdr:spPr>
        <a:xfrm rot="10800000">
          <a:off x="192786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331</xdr:row>
      <xdr:rowOff>0</xdr:rowOff>
    </xdr:from>
    <xdr:to>
      <xdr:col>11</xdr:col>
      <xdr:colOff>83820</xdr:colOff>
      <xdr:row>331</xdr:row>
      <xdr:rowOff>114300</xdr:rowOff>
    </xdr:to>
    <xdr:sp macro="" textlink="">
      <xdr:nvSpPr>
        <xdr:cNvPr id="2508" name="Arrow: Down 2507">
          <a:extLst>
            <a:ext uri="{FF2B5EF4-FFF2-40B4-BE49-F238E27FC236}">
              <a16:creationId xmlns:a16="http://schemas.microsoft.com/office/drawing/2014/main" id="{7DD5B849-2770-4D1F-AA7D-6E4C8947EA3F}"/>
            </a:ext>
          </a:extLst>
        </xdr:cNvPr>
        <xdr:cNvSpPr/>
      </xdr:nvSpPr>
      <xdr:spPr>
        <a:xfrm rot="10800000">
          <a:off x="369570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331</xdr:row>
      <xdr:rowOff>0</xdr:rowOff>
    </xdr:from>
    <xdr:to>
      <xdr:col>39</xdr:col>
      <xdr:colOff>83820</xdr:colOff>
      <xdr:row>331</xdr:row>
      <xdr:rowOff>114300</xdr:rowOff>
    </xdr:to>
    <xdr:sp macro="" textlink="">
      <xdr:nvSpPr>
        <xdr:cNvPr id="2510" name="Arrow: Down 2509">
          <a:extLst>
            <a:ext uri="{FF2B5EF4-FFF2-40B4-BE49-F238E27FC236}">
              <a16:creationId xmlns:a16="http://schemas.microsoft.com/office/drawing/2014/main" id="{276A9DAD-1B08-4E28-8C38-62C84208B291}"/>
            </a:ext>
          </a:extLst>
        </xdr:cNvPr>
        <xdr:cNvSpPr/>
      </xdr:nvSpPr>
      <xdr:spPr>
        <a:xfrm>
          <a:off x="983742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331</xdr:row>
      <xdr:rowOff>0</xdr:rowOff>
    </xdr:from>
    <xdr:to>
      <xdr:col>24</xdr:col>
      <xdr:colOff>83820</xdr:colOff>
      <xdr:row>331</xdr:row>
      <xdr:rowOff>114300</xdr:rowOff>
    </xdr:to>
    <xdr:sp macro="" textlink="">
      <xdr:nvSpPr>
        <xdr:cNvPr id="2514" name="Arrow: Down 2513">
          <a:extLst>
            <a:ext uri="{FF2B5EF4-FFF2-40B4-BE49-F238E27FC236}">
              <a16:creationId xmlns:a16="http://schemas.microsoft.com/office/drawing/2014/main" id="{7F0B440C-827D-4210-8360-2B61AA38D3CF}"/>
            </a:ext>
          </a:extLst>
        </xdr:cNvPr>
        <xdr:cNvSpPr/>
      </xdr:nvSpPr>
      <xdr:spPr>
        <a:xfrm rot="10800000">
          <a:off x="6675120" y="6063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332</xdr:row>
      <xdr:rowOff>0</xdr:rowOff>
    </xdr:from>
    <xdr:to>
      <xdr:col>45</xdr:col>
      <xdr:colOff>83820</xdr:colOff>
      <xdr:row>332</xdr:row>
      <xdr:rowOff>114300</xdr:rowOff>
    </xdr:to>
    <xdr:sp macro="" textlink="">
      <xdr:nvSpPr>
        <xdr:cNvPr id="2515" name="Arrow: Down 2514">
          <a:extLst>
            <a:ext uri="{FF2B5EF4-FFF2-40B4-BE49-F238E27FC236}">
              <a16:creationId xmlns:a16="http://schemas.microsoft.com/office/drawing/2014/main" id="{808DDF2D-811B-432B-A2F9-621579C960CC}"/>
            </a:ext>
          </a:extLst>
        </xdr:cNvPr>
        <xdr:cNvSpPr/>
      </xdr:nvSpPr>
      <xdr:spPr>
        <a:xfrm rot="10800000">
          <a:off x="11696700" y="6063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332</xdr:row>
      <xdr:rowOff>0</xdr:rowOff>
    </xdr:from>
    <xdr:to>
      <xdr:col>60</xdr:col>
      <xdr:colOff>83820</xdr:colOff>
      <xdr:row>332</xdr:row>
      <xdr:rowOff>114300</xdr:rowOff>
    </xdr:to>
    <xdr:sp macro="" textlink="">
      <xdr:nvSpPr>
        <xdr:cNvPr id="2516" name="Arrow: Down 2515">
          <a:extLst>
            <a:ext uri="{FF2B5EF4-FFF2-40B4-BE49-F238E27FC236}">
              <a16:creationId xmlns:a16="http://schemas.microsoft.com/office/drawing/2014/main" id="{05D88109-FF42-4609-B70B-A28C1DEB6BBC}"/>
            </a:ext>
          </a:extLst>
        </xdr:cNvPr>
        <xdr:cNvSpPr/>
      </xdr:nvSpPr>
      <xdr:spPr>
        <a:xfrm>
          <a:off x="17251680" y="6063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332</xdr:row>
      <xdr:rowOff>0</xdr:rowOff>
    </xdr:from>
    <xdr:to>
      <xdr:col>71</xdr:col>
      <xdr:colOff>83820</xdr:colOff>
      <xdr:row>332</xdr:row>
      <xdr:rowOff>114300</xdr:rowOff>
    </xdr:to>
    <xdr:sp macro="" textlink="">
      <xdr:nvSpPr>
        <xdr:cNvPr id="2517" name="Arrow: Down 2516">
          <a:extLst>
            <a:ext uri="{FF2B5EF4-FFF2-40B4-BE49-F238E27FC236}">
              <a16:creationId xmlns:a16="http://schemas.microsoft.com/office/drawing/2014/main" id="{7019C6BF-BCA6-49C8-9864-2579E70B6AAB}"/>
            </a:ext>
          </a:extLst>
        </xdr:cNvPr>
        <xdr:cNvSpPr/>
      </xdr:nvSpPr>
      <xdr:spPr>
        <a:xfrm>
          <a:off x="19682460" y="6063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332</xdr:row>
      <xdr:rowOff>0</xdr:rowOff>
    </xdr:from>
    <xdr:to>
      <xdr:col>5</xdr:col>
      <xdr:colOff>83820</xdr:colOff>
      <xdr:row>332</xdr:row>
      <xdr:rowOff>114300</xdr:rowOff>
    </xdr:to>
    <xdr:sp macro="" textlink="">
      <xdr:nvSpPr>
        <xdr:cNvPr id="2524" name="Arrow: Down 2523">
          <a:extLst>
            <a:ext uri="{FF2B5EF4-FFF2-40B4-BE49-F238E27FC236}">
              <a16:creationId xmlns:a16="http://schemas.microsoft.com/office/drawing/2014/main" id="{5D4A6A93-6BB4-4876-9400-284C7969CFFE}"/>
            </a:ext>
          </a:extLst>
        </xdr:cNvPr>
        <xdr:cNvSpPr/>
      </xdr:nvSpPr>
      <xdr:spPr>
        <a:xfrm>
          <a:off x="192786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332</xdr:row>
      <xdr:rowOff>0</xdr:rowOff>
    </xdr:from>
    <xdr:to>
      <xdr:col>11</xdr:col>
      <xdr:colOff>83820</xdr:colOff>
      <xdr:row>332</xdr:row>
      <xdr:rowOff>114300</xdr:rowOff>
    </xdr:to>
    <xdr:sp macro="" textlink="">
      <xdr:nvSpPr>
        <xdr:cNvPr id="2525" name="Arrow: Down 2524">
          <a:extLst>
            <a:ext uri="{FF2B5EF4-FFF2-40B4-BE49-F238E27FC236}">
              <a16:creationId xmlns:a16="http://schemas.microsoft.com/office/drawing/2014/main" id="{B86333CD-FCB9-4055-89D9-3F3AC8568B1C}"/>
            </a:ext>
          </a:extLst>
        </xdr:cNvPr>
        <xdr:cNvSpPr/>
      </xdr:nvSpPr>
      <xdr:spPr>
        <a:xfrm>
          <a:off x="369570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332</xdr:row>
      <xdr:rowOff>0</xdr:rowOff>
    </xdr:from>
    <xdr:to>
      <xdr:col>24</xdr:col>
      <xdr:colOff>83820</xdr:colOff>
      <xdr:row>332</xdr:row>
      <xdr:rowOff>114300</xdr:rowOff>
    </xdr:to>
    <xdr:sp macro="" textlink="">
      <xdr:nvSpPr>
        <xdr:cNvPr id="2526" name="Arrow: Down 2525">
          <a:extLst>
            <a:ext uri="{FF2B5EF4-FFF2-40B4-BE49-F238E27FC236}">
              <a16:creationId xmlns:a16="http://schemas.microsoft.com/office/drawing/2014/main" id="{8E6D2B64-077B-4960-AF25-C8261952F748}"/>
            </a:ext>
          </a:extLst>
        </xdr:cNvPr>
        <xdr:cNvSpPr/>
      </xdr:nvSpPr>
      <xdr:spPr>
        <a:xfrm>
          <a:off x="667512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333</xdr:row>
      <xdr:rowOff>0</xdr:rowOff>
    </xdr:from>
    <xdr:to>
      <xdr:col>45</xdr:col>
      <xdr:colOff>83820</xdr:colOff>
      <xdr:row>333</xdr:row>
      <xdr:rowOff>114300</xdr:rowOff>
    </xdr:to>
    <xdr:sp macro="" textlink="">
      <xdr:nvSpPr>
        <xdr:cNvPr id="2533" name="Arrow: Down 2532">
          <a:extLst>
            <a:ext uri="{FF2B5EF4-FFF2-40B4-BE49-F238E27FC236}">
              <a16:creationId xmlns:a16="http://schemas.microsoft.com/office/drawing/2014/main" id="{787C507D-8ED5-4517-80F3-F24923C680E6}"/>
            </a:ext>
          </a:extLst>
        </xdr:cNvPr>
        <xdr:cNvSpPr/>
      </xdr:nvSpPr>
      <xdr:spPr>
        <a:xfrm rot="10800000">
          <a:off x="1169670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333</xdr:row>
      <xdr:rowOff>0</xdr:rowOff>
    </xdr:from>
    <xdr:to>
      <xdr:col>71</xdr:col>
      <xdr:colOff>83820</xdr:colOff>
      <xdr:row>333</xdr:row>
      <xdr:rowOff>114300</xdr:rowOff>
    </xdr:to>
    <xdr:sp macro="" textlink="">
      <xdr:nvSpPr>
        <xdr:cNvPr id="2535" name="Arrow: Down 2534">
          <a:extLst>
            <a:ext uri="{FF2B5EF4-FFF2-40B4-BE49-F238E27FC236}">
              <a16:creationId xmlns:a16="http://schemas.microsoft.com/office/drawing/2014/main" id="{C693288F-043F-4ADA-91FA-CDF50DC6AD9B}"/>
            </a:ext>
          </a:extLst>
        </xdr:cNvPr>
        <xdr:cNvSpPr/>
      </xdr:nvSpPr>
      <xdr:spPr>
        <a:xfrm>
          <a:off x="1968246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333</xdr:row>
      <xdr:rowOff>0</xdr:rowOff>
    </xdr:from>
    <xdr:to>
      <xdr:col>5</xdr:col>
      <xdr:colOff>83820</xdr:colOff>
      <xdr:row>333</xdr:row>
      <xdr:rowOff>114300</xdr:rowOff>
    </xdr:to>
    <xdr:sp macro="" textlink="">
      <xdr:nvSpPr>
        <xdr:cNvPr id="2536" name="Arrow: Down 2535">
          <a:extLst>
            <a:ext uri="{FF2B5EF4-FFF2-40B4-BE49-F238E27FC236}">
              <a16:creationId xmlns:a16="http://schemas.microsoft.com/office/drawing/2014/main" id="{D1D8C2EE-5351-4C91-8C32-B4BF57CB6E00}"/>
            </a:ext>
          </a:extLst>
        </xdr:cNvPr>
        <xdr:cNvSpPr/>
      </xdr:nvSpPr>
      <xdr:spPr>
        <a:xfrm>
          <a:off x="192786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333</xdr:row>
      <xdr:rowOff>0</xdr:rowOff>
    </xdr:from>
    <xdr:to>
      <xdr:col>11</xdr:col>
      <xdr:colOff>83820</xdr:colOff>
      <xdr:row>333</xdr:row>
      <xdr:rowOff>114300</xdr:rowOff>
    </xdr:to>
    <xdr:sp macro="" textlink="">
      <xdr:nvSpPr>
        <xdr:cNvPr id="2537" name="Arrow: Down 2536">
          <a:extLst>
            <a:ext uri="{FF2B5EF4-FFF2-40B4-BE49-F238E27FC236}">
              <a16:creationId xmlns:a16="http://schemas.microsoft.com/office/drawing/2014/main" id="{18193043-042A-4918-87C0-97AB72094321}"/>
            </a:ext>
          </a:extLst>
        </xdr:cNvPr>
        <xdr:cNvSpPr/>
      </xdr:nvSpPr>
      <xdr:spPr>
        <a:xfrm>
          <a:off x="369570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333</xdr:row>
      <xdr:rowOff>0</xdr:rowOff>
    </xdr:from>
    <xdr:to>
      <xdr:col>24</xdr:col>
      <xdr:colOff>83820</xdr:colOff>
      <xdr:row>333</xdr:row>
      <xdr:rowOff>114300</xdr:rowOff>
    </xdr:to>
    <xdr:sp macro="" textlink="">
      <xdr:nvSpPr>
        <xdr:cNvPr id="2538" name="Arrow: Down 2537">
          <a:extLst>
            <a:ext uri="{FF2B5EF4-FFF2-40B4-BE49-F238E27FC236}">
              <a16:creationId xmlns:a16="http://schemas.microsoft.com/office/drawing/2014/main" id="{718F4A2C-6E23-4684-B210-F56D2355B909}"/>
            </a:ext>
          </a:extLst>
        </xdr:cNvPr>
        <xdr:cNvSpPr/>
      </xdr:nvSpPr>
      <xdr:spPr>
        <a:xfrm>
          <a:off x="667512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332</xdr:row>
      <xdr:rowOff>0</xdr:rowOff>
    </xdr:from>
    <xdr:to>
      <xdr:col>39</xdr:col>
      <xdr:colOff>83820</xdr:colOff>
      <xdr:row>332</xdr:row>
      <xdr:rowOff>114300</xdr:rowOff>
    </xdr:to>
    <xdr:sp macro="" textlink="">
      <xdr:nvSpPr>
        <xdr:cNvPr id="2539" name="Arrow: Down 2538">
          <a:extLst>
            <a:ext uri="{FF2B5EF4-FFF2-40B4-BE49-F238E27FC236}">
              <a16:creationId xmlns:a16="http://schemas.microsoft.com/office/drawing/2014/main" id="{A67EDE68-48A1-40B0-A8F6-677B8F85B8CF}"/>
            </a:ext>
          </a:extLst>
        </xdr:cNvPr>
        <xdr:cNvSpPr/>
      </xdr:nvSpPr>
      <xdr:spPr>
        <a:xfrm rot="10800000">
          <a:off x="983742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333</xdr:row>
      <xdr:rowOff>0</xdr:rowOff>
    </xdr:from>
    <xdr:to>
      <xdr:col>39</xdr:col>
      <xdr:colOff>83820</xdr:colOff>
      <xdr:row>333</xdr:row>
      <xdr:rowOff>114300</xdr:rowOff>
    </xdr:to>
    <xdr:sp macro="" textlink="">
      <xdr:nvSpPr>
        <xdr:cNvPr id="2540" name="Arrow: Down 2539">
          <a:extLst>
            <a:ext uri="{FF2B5EF4-FFF2-40B4-BE49-F238E27FC236}">
              <a16:creationId xmlns:a16="http://schemas.microsoft.com/office/drawing/2014/main" id="{556988FF-62D2-44C1-A509-381C0438C2AB}"/>
            </a:ext>
          </a:extLst>
        </xdr:cNvPr>
        <xdr:cNvSpPr/>
      </xdr:nvSpPr>
      <xdr:spPr>
        <a:xfrm>
          <a:off x="9837420" y="6099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333</xdr:row>
      <xdr:rowOff>0</xdr:rowOff>
    </xdr:from>
    <xdr:to>
      <xdr:col>60</xdr:col>
      <xdr:colOff>83820</xdr:colOff>
      <xdr:row>333</xdr:row>
      <xdr:rowOff>114300</xdr:rowOff>
    </xdr:to>
    <xdr:sp macro="" textlink="">
      <xdr:nvSpPr>
        <xdr:cNvPr id="2541" name="Arrow: Down 2540">
          <a:extLst>
            <a:ext uri="{FF2B5EF4-FFF2-40B4-BE49-F238E27FC236}">
              <a16:creationId xmlns:a16="http://schemas.microsoft.com/office/drawing/2014/main" id="{CA5A50DC-A4EC-4ACE-BD42-AB9C19A8D1A9}"/>
            </a:ext>
          </a:extLst>
        </xdr:cNvPr>
        <xdr:cNvSpPr/>
      </xdr:nvSpPr>
      <xdr:spPr>
        <a:xfrm rot="10800000">
          <a:off x="17251680" y="6099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334</xdr:row>
      <xdr:rowOff>0</xdr:rowOff>
    </xdr:from>
    <xdr:to>
      <xdr:col>45</xdr:col>
      <xdr:colOff>83820</xdr:colOff>
      <xdr:row>334</xdr:row>
      <xdr:rowOff>114300</xdr:rowOff>
    </xdr:to>
    <xdr:sp macro="" textlink="">
      <xdr:nvSpPr>
        <xdr:cNvPr id="2409" name="Arrow: Down 2408">
          <a:extLst>
            <a:ext uri="{FF2B5EF4-FFF2-40B4-BE49-F238E27FC236}">
              <a16:creationId xmlns:a16="http://schemas.microsoft.com/office/drawing/2014/main" id="{1E5DA916-5F20-4C40-BE63-E3D8FD77525B}"/>
            </a:ext>
          </a:extLst>
        </xdr:cNvPr>
        <xdr:cNvSpPr/>
      </xdr:nvSpPr>
      <xdr:spPr>
        <a:xfrm rot="10800000">
          <a:off x="1335786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334</xdr:row>
      <xdr:rowOff>0</xdr:rowOff>
    </xdr:from>
    <xdr:to>
      <xdr:col>71</xdr:col>
      <xdr:colOff>83820</xdr:colOff>
      <xdr:row>334</xdr:row>
      <xdr:rowOff>114300</xdr:rowOff>
    </xdr:to>
    <xdr:sp macro="" textlink="">
      <xdr:nvSpPr>
        <xdr:cNvPr id="2414" name="Arrow: Down 2413">
          <a:extLst>
            <a:ext uri="{FF2B5EF4-FFF2-40B4-BE49-F238E27FC236}">
              <a16:creationId xmlns:a16="http://schemas.microsoft.com/office/drawing/2014/main" id="{AE3ABEE7-FC77-426F-A0D9-B0316F5B5A9E}"/>
            </a:ext>
          </a:extLst>
        </xdr:cNvPr>
        <xdr:cNvSpPr/>
      </xdr:nvSpPr>
      <xdr:spPr>
        <a:xfrm>
          <a:off x="2134362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334</xdr:row>
      <xdr:rowOff>0</xdr:rowOff>
    </xdr:from>
    <xdr:to>
      <xdr:col>5</xdr:col>
      <xdr:colOff>83820</xdr:colOff>
      <xdr:row>334</xdr:row>
      <xdr:rowOff>114300</xdr:rowOff>
    </xdr:to>
    <xdr:sp macro="" textlink="">
      <xdr:nvSpPr>
        <xdr:cNvPr id="2416" name="Arrow: Down 2415">
          <a:extLst>
            <a:ext uri="{FF2B5EF4-FFF2-40B4-BE49-F238E27FC236}">
              <a16:creationId xmlns:a16="http://schemas.microsoft.com/office/drawing/2014/main" id="{5E629C27-993F-4207-9FA1-3FA45E8A871C}"/>
            </a:ext>
          </a:extLst>
        </xdr:cNvPr>
        <xdr:cNvSpPr/>
      </xdr:nvSpPr>
      <xdr:spPr>
        <a:xfrm>
          <a:off x="192786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334</xdr:row>
      <xdr:rowOff>0</xdr:rowOff>
    </xdr:from>
    <xdr:to>
      <xdr:col>11</xdr:col>
      <xdr:colOff>83820</xdr:colOff>
      <xdr:row>334</xdr:row>
      <xdr:rowOff>114300</xdr:rowOff>
    </xdr:to>
    <xdr:sp macro="" textlink="">
      <xdr:nvSpPr>
        <xdr:cNvPr id="2418" name="Arrow: Down 2417">
          <a:extLst>
            <a:ext uri="{FF2B5EF4-FFF2-40B4-BE49-F238E27FC236}">
              <a16:creationId xmlns:a16="http://schemas.microsoft.com/office/drawing/2014/main" id="{BF1A731A-607D-4D40-A1FD-9C6EFFEE34C0}"/>
            </a:ext>
          </a:extLst>
        </xdr:cNvPr>
        <xdr:cNvSpPr/>
      </xdr:nvSpPr>
      <xdr:spPr>
        <a:xfrm>
          <a:off x="369570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334</xdr:row>
      <xdr:rowOff>0</xdr:rowOff>
    </xdr:from>
    <xdr:to>
      <xdr:col>24</xdr:col>
      <xdr:colOff>83820</xdr:colOff>
      <xdr:row>334</xdr:row>
      <xdr:rowOff>114300</xdr:rowOff>
    </xdr:to>
    <xdr:sp macro="" textlink="">
      <xdr:nvSpPr>
        <xdr:cNvPr id="2464" name="Arrow: Down 2463">
          <a:extLst>
            <a:ext uri="{FF2B5EF4-FFF2-40B4-BE49-F238E27FC236}">
              <a16:creationId xmlns:a16="http://schemas.microsoft.com/office/drawing/2014/main" id="{51D9A79A-2E7A-4AF3-8220-07125B297E7D}"/>
            </a:ext>
          </a:extLst>
        </xdr:cNvPr>
        <xdr:cNvSpPr/>
      </xdr:nvSpPr>
      <xdr:spPr>
        <a:xfrm rot="10800000">
          <a:off x="8336280" y="6118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334</xdr:row>
      <xdr:rowOff>0</xdr:rowOff>
    </xdr:from>
    <xdr:to>
      <xdr:col>39</xdr:col>
      <xdr:colOff>83820</xdr:colOff>
      <xdr:row>334</xdr:row>
      <xdr:rowOff>114300</xdr:rowOff>
    </xdr:to>
    <xdr:sp macro="" textlink="">
      <xdr:nvSpPr>
        <xdr:cNvPr id="2468" name="Arrow: Down 2467">
          <a:extLst>
            <a:ext uri="{FF2B5EF4-FFF2-40B4-BE49-F238E27FC236}">
              <a16:creationId xmlns:a16="http://schemas.microsoft.com/office/drawing/2014/main" id="{6E6A8B87-E80A-49B9-8789-2BFB25F4E652}"/>
            </a:ext>
          </a:extLst>
        </xdr:cNvPr>
        <xdr:cNvSpPr/>
      </xdr:nvSpPr>
      <xdr:spPr>
        <a:xfrm rot="10800000">
          <a:off x="1149858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334</xdr:row>
      <xdr:rowOff>0</xdr:rowOff>
    </xdr:from>
    <xdr:to>
      <xdr:col>60</xdr:col>
      <xdr:colOff>83820</xdr:colOff>
      <xdr:row>334</xdr:row>
      <xdr:rowOff>114300</xdr:rowOff>
    </xdr:to>
    <xdr:sp macro="" textlink="">
      <xdr:nvSpPr>
        <xdr:cNvPr id="2469" name="Arrow: Down 2468">
          <a:extLst>
            <a:ext uri="{FF2B5EF4-FFF2-40B4-BE49-F238E27FC236}">
              <a16:creationId xmlns:a16="http://schemas.microsoft.com/office/drawing/2014/main" id="{AFC1FF45-CB41-4924-865E-11630E62246F}"/>
            </a:ext>
          </a:extLst>
        </xdr:cNvPr>
        <xdr:cNvSpPr/>
      </xdr:nvSpPr>
      <xdr:spPr>
        <a:xfrm>
          <a:off x="1891284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335</xdr:row>
      <xdr:rowOff>0</xdr:rowOff>
    </xdr:from>
    <xdr:to>
      <xdr:col>45</xdr:col>
      <xdr:colOff>83820</xdr:colOff>
      <xdr:row>335</xdr:row>
      <xdr:rowOff>114300</xdr:rowOff>
    </xdr:to>
    <xdr:sp macro="" textlink="">
      <xdr:nvSpPr>
        <xdr:cNvPr id="2513" name="Arrow: Down 2512">
          <a:extLst>
            <a:ext uri="{FF2B5EF4-FFF2-40B4-BE49-F238E27FC236}">
              <a16:creationId xmlns:a16="http://schemas.microsoft.com/office/drawing/2014/main" id="{C4E6480F-75C6-46E7-B793-422FEC073D93}"/>
            </a:ext>
          </a:extLst>
        </xdr:cNvPr>
        <xdr:cNvSpPr/>
      </xdr:nvSpPr>
      <xdr:spPr>
        <a:xfrm rot="10800000">
          <a:off x="1335786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335</xdr:row>
      <xdr:rowOff>0</xdr:rowOff>
    </xdr:from>
    <xdr:to>
      <xdr:col>71</xdr:col>
      <xdr:colOff>83820</xdr:colOff>
      <xdr:row>335</xdr:row>
      <xdr:rowOff>114300</xdr:rowOff>
    </xdr:to>
    <xdr:sp macro="" textlink="">
      <xdr:nvSpPr>
        <xdr:cNvPr id="2518" name="Arrow: Down 2517">
          <a:extLst>
            <a:ext uri="{FF2B5EF4-FFF2-40B4-BE49-F238E27FC236}">
              <a16:creationId xmlns:a16="http://schemas.microsoft.com/office/drawing/2014/main" id="{EBF89E4E-71A9-40BB-949F-FC384010ACF1}"/>
            </a:ext>
          </a:extLst>
        </xdr:cNvPr>
        <xdr:cNvSpPr/>
      </xdr:nvSpPr>
      <xdr:spPr>
        <a:xfrm>
          <a:off x="2134362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83820</xdr:colOff>
      <xdr:row>335</xdr:row>
      <xdr:rowOff>114300</xdr:rowOff>
    </xdr:to>
    <xdr:sp macro="" textlink="">
      <xdr:nvSpPr>
        <xdr:cNvPr id="2521" name="Arrow: Down 2520">
          <a:extLst>
            <a:ext uri="{FF2B5EF4-FFF2-40B4-BE49-F238E27FC236}">
              <a16:creationId xmlns:a16="http://schemas.microsoft.com/office/drawing/2014/main" id="{DE85B4EF-4BDD-4B2B-BAC8-8423A1FE5739}"/>
            </a:ext>
          </a:extLst>
        </xdr:cNvPr>
        <xdr:cNvSpPr/>
      </xdr:nvSpPr>
      <xdr:spPr>
        <a:xfrm rot="10800000">
          <a:off x="8336280" y="6118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335</xdr:row>
      <xdr:rowOff>0</xdr:rowOff>
    </xdr:from>
    <xdr:to>
      <xdr:col>60</xdr:col>
      <xdr:colOff>83820</xdr:colOff>
      <xdr:row>335</xdr:row>
      <xdr:rowOff>114300</xdr:rowOff>
    </xdr:to>
    <xdr:sp macro="" textlink="">
      <xdr:nvSpPr>
        <xdr:cNvPr id="2527" name="Arrow: Down 2526">
          <a:extLst>
            <a:ext uri="{FF2B5EF4-FFF2-40B4-BE49-F238E27FC236}">
              <a16:creationId xmlns:a16="http://schemas.microsoft.com/office/drawing/2014/main" id="{9BDA34F0-6011-4A24-9763-38C9267D5693}"/>
            </a:ext>
          </a:extLst>
        </xdr:cNvPr>
        <xdr:cNvSpPr/>
      </xdr:nvSpPr>
      <xdr:spPr>
        <a:xfrm rot="10800000">
          <a:off x="1891284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335</xdr:row>
      <xdr:rowOff>0</xdr:rowOff>
    </xdr:from>
    <xdr:to>
      <xdr:col>39</xdr:col>
      <xdr:colOff>83820</xdr:colOff>
      <xdr:row>335</xdr:row>
      <xdr:rowOff>114300</xdr:rowOff>
    </xdr:to>
    <xdr:sp macro="" textlink="">
      <xdr:nvSpPr>
        <xdr:cNvPr id="2529" name="Arrow: Down 2528">
          <a:extLst>
            <a:ext uri="{FF2B5EF4-FFF2-40B4-BE49-F238E27FC236}">
              <a16:creationId xmlns:a16="http://schemas.microsoft.com/office/drawing/2014/main" id="{0DD9F894-C338-4BF9-9CAE-0F8F3ABAB6EB}"/>
            </a:ext>
          </a:extLst>
        </xdr:cNvPr>
        <xdr:cNvSpPr/>
      </xdr:nvSpPr>
      <xdr:spPr>
        <a:xfrm>
          <a:off x="1149858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335</xdr:row>
      <xdr:rowOff>0</xdr:rowOff>
    </xdr:from>
    <xdr:to>
      <xdr:col>5</xdr:col>
      <xdr:colOff>83820</xdr:colOff>
      <xdr:row>335</xdr:row>
      <xdr:rowOff>114300</xdr:rowOff>
    </xdr:to>
    <xdr:sp macro="" textlink="">
      <xdr:nvSpPr>
        <xdr:cNvPr id="2531" name="Arrow: Down 2530">
          <a:extLst>
            <a:ext uri="{FF2B5EF4-FFF2-40B4-BE49-F238E27FC236}">
              <a16:creationId xmlns:a16="http://schemas.microsoft.com/office/drawing/2014/main" id="{A5C0800B-830E-40DC-A87D-D8485BCA4D73}"/>
            </a:ext>
          </a:extLst>
        </xdr:cNvPr>
        <xdr:cNvSpPr/>
      </xdr:nvSpPr>
      <xdr:spPr>
        <a:xfrm rot="10800000">
          <a:off x="192786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335</xdr:row>
      <xdr:rowOff>0</xdr:rowOff>
    </xdr:from>
    <xdr:to>
      <xdr:col>11</xdr:col>
      <xdr:colOff>83820</xdr:colOff>
      <xdr:row>335</xdr:row>
      <xdr:rowOff>114300</xdr:rowOff>
    </xdr:to>
    <xdr:sp macro="" textlink="">
      <xdr:nvSpPr>
        <xdr:cNvPr id="2534" name="Arrow: Down 2533">
          <a:extLst>
            <a:ext uri="{FF2B5EF4-FFF2-40B4-BE49-F238E27FC236}">
              <a16:creationId xmlns:a16="http://schemas.microsoft.com/office/drawing/2014/main" id="{4F5FCA44-151F-4490-859F-A2A4C019382C}"/>
            </a:ext>
          </a:extLst>
        </xdr:cNvPr>
        <xdr:cNvSpPr/>
      </xdr:nvSpPr>
      <xdr:spPr>
        <a:xfrm rot="10800000">
          <a:off x="369570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336</xdr:row>
      <xdr:rowOff>0</xdr:rowOff>
    </xdr:from>
    <xdr:to>
      <xdr:col>45</xdr:col>
      <xdr:colOff>83820</xdr:colOff>
      <xdr:row>336</xdr:row>
      <xdr:rowOff>114300</xdr:rowOff>
    </xdr:to>
    <xdr:sp macro="" textlink="">
      <xdr:nvSpPr>
        <xdr:cNvPr id="2549" name="Arrow: Down 2548">
          <a:extLst>
            <a:ext uri="{FF2B5EF4-FFF2-40B4-BE49-F238E27FC236}">
              <a16:creationId xmlns:a16="http://schemas.microsoft.com/office/drawing/2014/main" id="{EE5F895E-45FB-47B6-99E1-6B6443161B36}"/>
            </a:ext>
          </a:extLst>
        </xdr:cNvPr>
        <xdr:cNvSpPr/>
      </xdr:nvSpPr>
      <xdr:spPr>
        <a:xfrm rot="10800000">
          <a:off x="13357860" y="6136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336</xdr:row>
      <xdr:rowOff>0</xdr:rowOff>
    </xdr:from>
    <xdr:to>
      <xdr:col>71</xdr:col>
      <xdr:colOff>83820</xdr:colOff>
      <xdr:row>336</xdr:row>
      <xdr:rowOff>114300</xdr:rowOff>
    </xdr:to>
    <xdr:sp macro="" textlink="">
      <xdr:nvSpPr>
        <xdr:cNvPr id="2550" name="Arrow: Down 2549">
          <a:extLst>
            <a:ext uri="{FF2B5EF4-FFF2-40B4-BE49-F238E27FC236}">
              <a16:creationId xmlns:a16="http://schemas.microsoft.com/office/drawing/2014/main" id="{D67D0BDE-56AE-4113-BDEC-0E2A79B69F8B}"/>
            </a:ext>
          </a:extLst>
        </xdr:cNvPr>
        <xdr:cNvSpPr/>
      </xdr:nvSpPr>
      <xdr:spPr>
        <a:xfrm>
          <a:off x="21343620" y="6136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336</xdr:row>
      <xdr:rowOff>0</xdr:rowOff>
    </xdr:from>
    <xdr:to>
      <xdr:col>24</xdr:col>
      <xdr:colOff>83820</xdr:colOff>
      <xdr:row>336</xdr:row>
      <xdr:rowOff>114300</xdr:rowOff>
    </xdr:to>
    <xdr:sp macro="" textlink="">
      <xdr:nvSpPr>
        <xdr:cNvPr id="2551" name="Arrow: Down 2550">
          <a:extLst>
            <a:ext uri="{FF2B5EF4-FFF2-40B4-BE49-F238E27FC236}">
              <a16:creationId xmlns:a16="http://schemas.microsoft.com/office/drawing/2014/main" id="{01B963F4-9E71-4375-9694-9601B0B64F69}"/>
            </a:ext>
          </a:extLst>
        </xdr:cNvPr>
        <xdr:cNvSpPr/>
      </xdr:nvSpPr>
      <xdr:spPr>
        <a:xfrm rot="10800000">
          <a:off x="833628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336</xdr:row>
      <xdr:rowOff>0</xdr:rowOff>
    </xdr:from>
    <xdr:to>
      <xdr:col>60</xdr:col>
      <xdr:colOff>83820</xdr:colOff>
      <xdr:row>336</xdr:row>
      <xdr:rowOff>114300</xdr:rowOff>
    </xdr:to>
    <xdr:sp macro="" textlink="">
      <xdr:nvSpPr>
        <xdr:cNvPr id="2552" name="Arrow: Down 2551">
          <a:extLst>
            <a:ext uri="{FF2B5EF4-FFF2-40B4-BE49-F238E27FC236}">
              <a16:creationId xmlns:a16="http://schemas.microsoft.com/office/drawing/2014/main" id="{B9EDD19E-83B7-42D9-B617-C985FFEAFFC4}"/>
            </a:ext>
          </a:extLst>
        </xdr:cNvPr>
        <xdr:cNvSpPr/>
      </xdr:nvSpPr>
      <xdr:spPr>
        <a:xfrm rot="10800000">
          <a:off x="1891284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336</xdr:row>
      <xdr:rowOff>0</xdr:rowOff>
    </xdr:from>
    <xdr:to>
      <xdr:col>5</xdr:col>
      <xdr:colOff>83820</xdr:colOff>
      <xdr:row>336</xdr:row>
      <xdr:rowOff>114300</xdr:rowOff>
    </xdr:to>
    <xdr:sp macro="" textlink="">
      <xdr:nvSpPr>
        <xdr:cNvPr id="2554" name="Arrow: Down 2553">
          <a:extLst>
            <a:ext uri="{FF2B5EF4-FFF2-40B4-BE49-F238E27FC236}">
              <a16:creationId xmlns:a16="http://schemas.microsoft.com/office/drawing/2014/main" id="{246D2020-EC2E-41D1-ABEB-2CD5E21BB433}"/>
            </a:ext>
          </a:extLst>
        </xdr:cNvPr>
        <xdr:cNvSpPr/>
      </xdr:nvSpPr>
      <xdr:spPr>
        <a:xfrm rot="10800000">
          <a:off x="192786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336</xdr:row>
      <xdr:rowOff>0</xdr:rowOff>
    </xdr:from>
    <xdr:to>
      <xdr:col>11</xdr:col>
      <xdr:colOff>83820</xdr:colOff>
      <xdr:row>336</xdr:row>
      <xdr:rowOff>114300</xdr:rowOff>
    </xdr:to>
    <xdr:sp macro="" textlink="">
      <xdr:nvSpPr>
        <xdr:cNvPr id="2555" name="Arrow: Down 2554">
          <a:extLst>
            <a:ext uri="{FF2B5EF4-FFF2-40B4-BE49-F238E27FC236}">
              <a16:creationId xmlns:a16="http://schemas.microsoft.com/office/drawing/2014/main" id="{BEFD5FD7-676E-42A9-A581-A5D3B81EF24A}"/>
            </a:ext>
          </a:extLst>
        </xdr:cNvPr>
        <xdr:cNvSpPr/>
      </xdr:nvSpPr>
      <xdr:spPr>
        <a:xfrm rot="10800000">
          <a:off x="369570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336</xdr:row>
      <xdr:rowOff>0</xdr:rowOff>
    </xdr:from>
    <xdr:to>
      <xdr:col>39</xdr:col>
      <xdr:colOff>83820</xdr:colOff>
      <xdr:row>336</xdr:row>
      <xdr:rowOff>114300</xdr:rowOff>
    </xdr:to>
    <xdr:sp macro="" textlink="">
      <xdr:nvSpPr>
        <xdr:cNvPr id="2557" name="Arrow: Down 2556">
          <a:extLst>
            <a:ext uri="{FF2B5EF4-FFF2-40B4-BE49-F238E27FC236}">
              <a16:creationId xmlns:a16="http://schemas.microsoft.com/office/drawing/2014/main" id="{29F2F461-FCBC-49E8-A0CD-76966FEF95E8}"/>
            </a:ext>
          </a:extLst>
        </xdr:cNvPr>
        <xdr:cNvSpPr/>
      </xdr:nvSpPr>
      <xdr:spPr>
        <a:xfrm rot="10800000">
          <a:off x="11498580" y="6154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337</xdr:row>
      <xdr:rowOff>0</xdr:rowOff>
    </xdr:from>
    <xdr:to>
      <xdr:col>45</xdr:col>
      <xdr:colOff>83820</xdr:colOff>
      <xdr:row>337</xdr:row>
      <xdr:rowOff>114300</xdr:rowOff>
    </xdr:to>
    <xdr:sp macro="" textlink="">
      <xdr:nvSpPr>
        <xdr:cNvPr id="2565" name="Arrow: Down 2564">
          <a:extLst>
            <a:ext uri="{FF2B5EF4-FFF2-40B4-BE49-F238E27FC236}">
              <a16:creationId xmlns:a16="http://schemas.microsoft.com/office/drawing/2014/main" id="{EBC676BA-A4D1-49DE-B460-823238490ADC}"/>
            </a:ext>
          </a:extLst>
        </xdr:cNvPr>
        <xdr:cNvSpPr/>
      </xdr:nvSpPr>
      <xdr:spPr>
        <a:xfrm rot="10800000">
          <a:off x="13357860" y="6154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337</xdr:row>
      <xdr:rowOff>0</xdr:rowOff>
    </xdr:from>
    <xdr:to>
      <xdr:col>71</xdr:col>
      <xdr:colOff>83820</xdr:colOff>
      <xdr:row>337</xdr:row>
      <xdr:rowOff>114300</xdr:rowOff>
    </xdr:to>
    <xdr:sp macro="" textlink="">
      <xdr:nvSpPr>
        <xdr:cNvPr id="2566" name="Arrow: Down 2565">
          <a:extLst>
            <a:ext uri="{FF2B5EF4-FFF2-40B4-BE49-F238E27FC236}">
              <a16:creationId xmlns:a16="http://schemas.microsoft.com/office/drawing/2014/main" id="{C011C1E2-4EA3-4A7C-82B6-DFD6B7E6E8C5}"/>
            </a:ext>
          </a:extLst>
        </xdr:cNvPr>
        <xdr:cNvSpPr/>
      </xdr:nvSpPr>
      <xdr:spPr>
        <a:xfrm>
          <a:off x="21343620" y="6154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337</xdr:row>
      <xdr:rowOff>0</xdr:rowOff>
    </xdr:from>
    <xdr:to>
      <xdr:col>5</xdr:col>
      <xdr:colOff>83820</xdr:colOff>
      <xdr:row>337</xdr:row>
      <xdr:rowOff>114300</xdr:rowOff>
    </xdr:to>
    <xdr:sp macro="" textlink="">
      <xdr:nvSpPr>
        <xdr:cNvPr id="2569" name="Arrow: Down 2568">
          <a:extLst>
            <a:ext uri="{FF2B5EF4-FFF2-40B4-BE49-F238E27FC236}">
              <a16:creationId xmlns:a16="http://schemas.microsoft.com/office/drawing/2014/main" id="{F5E537DB-1028-4615-B3D7-DFBE294C2DE1}"/>
            </a:ext>
          </a:extLst>
        </xdr:cNvPr>
        <xdr:cNvSpPr/>
      </xdr:nvSpPr>
      <xdr:spPr>
        <a:xfrm rot="10800000">
          <a:off x="1927860" y="6154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337</xdr:row>
      <xdr:rowOff>0</xdr:rowOff>
    </xdr:from>
    <xdr:to>
      <xdr:col>11</xdr:col>
      <xdr:colOff>83820</xdr:colOff>
      <xdr:row>337</xdr:row>
      <xdr:rowOff>114300</xdr:rowOff>
    </xdr:to>
    <xdr:sp macro="" textlink="">
      <xdr:nvSpPr>
        <xdr:cNvPr id="2570" name="Arrow: Down 2569">
          <a:extLst>
            <a:ext uri="{FF2B5EF4-FFF2-40B4-BE49-F238E27FC236}">
              <a16:creationId xmlns:a16="http://schemas.microsoft.com/office/drawing/2014/main" id="{CBD9AB5D-FC2F-4309-B62B-24F964F1ED5E}"/>
            </a:ext>
          </a:extLst>
        </xdr:cNvPr>
        <xdr:cNvSpPr/>
      </xdr:nvSpPr>
      <xdr:spPr>
        <a:xfrm rot="10800000">
          <a:off x="3695700" y="6154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337</xdr:row>
      <xdr:rowOff>0</xdr:rowOff>
    </xdr:from>
    <xdr:to>
      <xdr:col>60</xdr:col>
      <xdr:colOff>83820</xdr:colOff>
      <xdr:row>337</xdr:row>
      <xdr:rowOff>114300</xdr:rowOff>
    </xdr:to>
    <xdr:sp macro="" textlink="">
      <xdr:nvSpPr>
        <xdr:cNvPr id="2572" name="Arrow: Down 2571">
          <a:extLst>
            <a:ext uri="{FF2B5EF4-FFF2-40B4-BE49-F238E27FC236}">
              <a16:creationId xmlns:a16="http://schemas.microsoft.com/office/drawing/2014/main" id="{AE025579-1FC1-47AB-A229-B74FA7074ADC}"/>
            </a:ext>
          </a:extLst>
        </xdr:cNvPr>
        <xdr:cNvSpPr/>
      </xdr:nvSpPr>
      <xdr:spPr>
        <a:xfrm>
          <a:off x="1891284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337</xdr:row>
      <xdr:rowOff>0</xdr:rowOff>
    </xdr:from>
    <xdr:to>
      <xdr:col>39</xdr:col>
      <xdr:colOff>83820</xdr:colOff>
      <xdr:row>337</xdr:row>
      <xdr:rowOff>114300</xdr:rowOff>
    </xdr:to>
    <xdr:sp macro="" textlink="">
      <xdr:nvSpPr>
        <xdr:cNvPr id="2573" name="Arrow: Down 2572">
          <a:extLst>
            <a:ext uri="{FF2B5EF4-FFF2-40B4-BE49-F238E27FC236}">
              <a16:creationId xmlns:a16="http://schemas.microsoft.com/office/drawing/2014/main" id="{5D84051C-FD02-4B6E-86FB-D57B5275A46C}"/>
            </a:ext>
          </a:extLst>
        </xdr:cNvPr>
        <xdr:cNvSpPr/>
      </xdr:nvSpPr>
      <xdr:spPr>
        <a:xfrm>
          <a:off x="11498580" y="6172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337</xdr:row>
      <xdr:rowOff>0</xdr:rowOff>
    </xdr:from>
    <xdr:to>
      <xdr:col>24</xdr:col>
      <xdr:colOff>83820</xdr:colOff>
      <xdr:row>337</xdr:row>
      <xdr:rowOff>114300</xdr:rowOff>
    </xdr:to>
    <xdr:sp macro="" textlink="">
      <xdr:nvSpPr>
        <xdr:cNvPr id="2574" name="Arrow: Down 2573">
          <a:extLst>
            <a:ext uri="{FF2B5EF4-FFF2-40B4-BE49-F238E27FC236}">
              <a16:creationId xmlns:a16="http://schemas.microsoft.com/office/drawing/2014/main" id="{978648EA-36F8-45B7-BA7B-7E7B1B2A58C1}"/>
            </a:ext>
          </a:extLst>
        </xdr:cNvPr>
        <xdr:cNvSpPr/>
      </xdr:nvSpPr>
      <xdr:spPr>
        <a:xfrm>
          <a:off x="833628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338</xdr:row>
      <xdr:rowOff>0</xdr:rowOff>
    </xdr:from>
    <xdr:to>
      <xdr:col>45</xdr:col>
      <xdr:colOff>83820</xdr:colOff>
      <xdr:row>338</xdr:row>
      <xdr:rowOff>114300</xdr:rowOff>
    </xdr:to>
    <xdr:sp macro="" textlink="">
      <xdr:nvSpPr>
        <xdr:cNvPr id="2582" name="Arrow: Down 2581">
          <a:extLst>
            <a:ext uri="{FF2B5EF4-FFF2-40B4-BE49-F238E27FC236}">
              <a16:creationId xmlns:a16="http://schemas.microsoft.com/office/drawing/2014/main" id="{8F0D18C8-8167-41A5-9E5A-8F8D36CCB52E}"/>
            </a:ext>
          </a:extLst>
        </xdr:cNvPr>
        <xdr:cNvSpPr/>
      </xdr:nvSpPr>
      <xdr:spPr>
        <a:xfrm rot="10800000">
          <a:off x="1335786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338</xdr:row>
      <xdr:rowOff>0</xdr:rowOff>
    </xdr:from>
    <xdr:to>
      <xdr:col>71</xdr:col>
      <xdr:colOff>83820</xdr:colOff>
      <xdr:row>338</xdr:row>
      <xdr:rowOff>114300</xdr:rowOff>
    </xdr:to>
    <xdr:sp macro="" textlink="">
      <xdr:nvSpPr>
        <xdr:cNvPr id="2583" name="Arrow: Down 2582">
          <a:extLst>
            <a:ext uri="{FF2B5EF4-FFF2-40B4-BE49-F238E27FC236}">
              <a16:creationId xmlns:a16="http://schemas.microsoft.com/office/drawing/2014/main" id="{00D0FC4C-929A-4CE3-9F8E-F41A6EB9B660}"/>
            </a:ext>
          </a:extLst>
        </xdr:cNvPr>
        <xdr:cNvSpPr/>
      </xdr:nvSpPr>
      <xdr:spPr>
        <a:xfrm>
          <a:off x="2134362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338</xdr:row>
      <xdr:rowOff>0</xdr:rowOff>
    </xdr:from>
    <xdr:to>
      <xdr:col>60</xdr:col>
      <xdr:colOff>83820</xdr:colOff>
      <xdr:row>338</xdr:row>
      <xdr:rowOff>114300</xdr:rowOff>
    </xdr:to>
    <xdr:sp macro="" textlink="">
      <xdr:nvSpPr>
        <xdr:cNvPr id="2586" name="Arrow: Down 2585">
          <a:extLst>
            <a:ext uri="{FF2B5EF4-FFF2-40B4-BE49-F238E27FC236}">
              <a16:creationId xmlns:a16="http://schemas.microsoft.com/office/drawing/2014/main" id="{6A4945EF-DBA0-46E1-AC48-437F0D5DFEDF}"/>
            </a:ext>
          </a:extLst>
        </xdr:cNvPr>
        <xdr:cNvSpPr/>
      </xdr:nvSpPr>
      <xdr:spPr>
        <a:xfrm>
          <a:off x="1891284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338</xdr:row>
      <xdr:rowOff>0</xdr:rowOff>
    </xdr:from>
    <xdr:to>
      <xdr:col>39</xdr:col>
      <xdr:colOff>83820</xdr:colOff>
      <xdr:row>338</xdr:row>
      <xdr:rowOff>114300</xdr:rowOff>
    </xdr:to>
    <xdr:sp macro="" textlink="">
      <xdr:nvSpPr>
        <xdr:cNvPr id="2587" name="Arrow: Down 2586">
          <a:extLst>
            <a:ext uri="{FF2B5EF4-FFF2-40B4-BE49-F238E27FC236}">
              <a16:creationId xmlns:a16="http://schemas.microsoft.com/office/drawing/2014/main" id="{FEE9713A-054A-43DA-8099-963031CF07AD}"/>
            </a:ext>
          </a:extLst>
        </xdr:cNvPr>
        <xdr:cNvSpPr/>
      </xdr:nvSpPr>
      <xdr:spPr>
        <a:xfrm>
          <a:off x="11498580" y="6172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338</xdr:row>
      <xdr:rowOff>0</xdr:rowOff>
    </xdr:from>
    <xdr:to>
      <xdr:col>24</xdr:col>
      <xdr:colOff>83820</xdr:colOff>
      <xdr:row>338</xdr:row>
      <xdr:rowOff>114300</xdr:rowOff>
    </xdr:to>
    <xdr:sp macro="" textlink="">
      <xdr:nvSpPr>
        <xdr:cNvPr id="2588" name="Arrow: Down 2587">
          <a:extLst>
            <a:ext uri="{FF2B5EF4-FFF2-40B4-BE49-F238E27FC236}">
              <a16:creationId xmlns:a16="http://schemas.microsoft.com/office/drawing/2014/main" id="{FF3F9990-C3E2-4103-81B9-9A944EC9BF98}"/>
            </a:ext>
          </a:extLst>
        </xdr:cNvPr>
        <xdr:cNvSpPr/>
      </xdr:nvSpPr>
      <xdr:spPr>
        <a:xfrm>
          <a:off x="833628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338</xdr:row>
      <xdr:rowOff>0</xdr:rowOff>
    </xdr:from>
    <xdr:to>
      <xdr:col>5</xdr:col>
      <xdr:colOff>83820</xdr:colOff>
      <xdr:row>338</xdr:row>
      <xdr:rowOff>114300</xdr:rowOff>
    </xdr:to>
    <xdr:sp macro="" textlink="">
      <xdr:nvSpPr>
        <xdr:cNvPr id="2589" name="Arrow: Down 2588">
          <a:extLst>
            <a:ext uri="{FF2B5EF4-FFF2-40B4-BE49-F238E27FC236}">
              <a16:creationId xmlns:a16="http://schemas.microsoft.com/office/drawing/2014/main" id="{156AA07C-1B31-4C2B-8D8D-65E9345A777B}"/>
            </a:ext>
          </a:extLst>
        </xdr:cNvPr>
        <xdr:cNvSpPr/>
      </xdr:nvSpPr>
      <xdr:spPr>
        <a:xfrm>
          <a:off x="192786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338</xdr:row>
      <xdr:rowOff>0</xdr:rowOff>
    </xdr:from>
    <xdr:to>
      <xdr:col>11</xdr:col>
      <xdr:colOff>83820</xdr:colOff>
      <xdr:row>338</xdr:row>
      <xdr:rowOff>114300</xdr:rowOff>
    </xdr:to>
    <xdr:sp macro="" textlink="">
      <xdr:nvSpPr>
        <xdr:cNvPr id="2590" name="Arrow: Down 2589">
          <a:extLst>
            <a:ext uri="{FF2B5EF4-FFF2-40B4-BE49-F238E27FC236}">
              <a16:creationId xmlns:a16="http://schemas.microsoft.com/office/drawing/2014/main" id="{11C1AB82-91BF-48AC-AEA1-0DC15E9843C6}"/>
            </a:ext>
          </a:extLst>
        </xdr:cNvPr>
        <xdr:cNvSpPr/>
      </xdr:nvSpPr>
      <xdr:spPr>
        <a:xfrm>
          <a:off x="369570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339</xdr:row>
      <xdr:rowOff>0</xdr:rowOff>
    </xdr:from>
    <xdr:to>
      <xdr:col>45</xdr:col>
      <xdr:colOff>83820</xdr:colOff>
      <xdr:row>339</xdr:row>
      <xdr:rowOff>114300</xdr:rowOff>
    </xdr:to>
    <xdr:sp macro="" textlink="">
      <xdr:nvSpPr>
        <xdr:cNvPr id="2598" name="Arrow: Down 2597">
          <a:extLst>
            <a:ext uri="{FF2B5EF4-FFF2-40B4-BE49-F238E27FC236}">
              <a16:creationId xmlns:a16="http://schemas.microsoft.com/office/drawing/2014/main" id="{6DA12071-2854-4832-9EB5-FA2B12542711}"/>
            </a:ext>
          </a:extLst>
        </xdr:cNvPr>
        <xdr:cNvSpPr/>
      </xdr:nvSpPr>
      <xdr:spPr>
        <a:xfrm rot="10800000">
          <a:off x="1335786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339</xdr:row>
      <xdr:rowOff>0</xdr:rowOff>
    </xdr:from>
    <xdr:to>
      <xdr:col>71</xdr:col>
      <xdr:colOff>83820</xdr:colOff>
      <xdr:row>339</xdr:row>
      <xdr:rowOff>114300</xdr:rowOff>
    </xdr:to>
    <xdr:sp macro="" textlink="">
      <xdr:nvSpPr>
        <xdr:cNvPr id="2599" name="Arrow: Down 2598">
          <a:extLst>
            <a:ext uri="{FF2B5EF4-FFF2-40B4-BE49-F238E27FC236}">
              <a16:creationId xmlns:a16="http://schemas.microsoft.com/office/drawing/2014/main" id="{F1AFD668-427C-441A-A7A6-46525F7DEAD4}"/>
            </a:ext>
          </a:extLst>
        </xdr:cNvPr>
        <xdr:cNvSpPr/>
      </xdr:nvSpPr>
      <xdr:spPr>
        <a:xfrm>
          <a:off x="2134362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339</xdr:row>
      <xdr:rowOff>0</xdr:rowOff>
    </xdr:from>
    <xdr:to>
      <xdr:col>60</xdr:col>
      <xdr:colOff>83820</xdr:colOff>
      <xdr:row>339</xdr:row>
      <xdr:rowOff>114300</xdr:rowOff>
    </xdr:to>
    <xdr:sp macro="" textlink="">
      <xdr:nvSpPr>
        <xdr:cNvPr id="2600" name="Arrow: Down 2599">
          <a:extLst>
            <a:ext uri="{FF2B5EF4-FFF2-40B4-BE49-F238E27FC236}">
              <a16:creationId xmlns:a16="http://schemas.microsoft.com/office/drawing/2014/main" id="{F9261513-A588-4985-8182-C1F4F70D3920}"/>
            </a:ext>
          </a:extLst>
        </xdr:cNvPr>
        <xdr:cNvSpPr/>
      </xdr:nvSpPr>
      <xdr:spPr>
        <a:xfrm>
          <a:off x="1891284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339</xdr:row>
      <xdr:rowOff>0</xdr:rowOff>
    </xdr:from>
    <xdr:to>
      <xdr:col>24</xdr:col>
      <xdr:colOff>83820</xdr:colOff>
      <xdr:row>339</xdr:row>
      <xdr:rowOff>114300</xdr:rowOff>
    </xdr:to>
    <xdr:sp macro="" textlink="">
      <xdr:nvSpPr>
        <xdr:cNvPr id="2602" name="Arrow: Down 2601">
          <a:extLst>
            <a:ext uri="{FF2B5EF4-FFF2-40B4-BE49-F238E27FC236}">
              <a16:creationId xmlns:a16="http://schemas.microsoft.com/office/drawing/2014/main" id="{973E3513-3C44-44E7-B8BD-EC5FCD17827B}"/>
            </a:ext>
          </a:extLst>
        </xdr:cNvPr>
        <xdr:cNvSpPr/>
      </xdr:nvSpPr>
      <xdr:spPr>
        <a:xfrm>
          <a:off x="833628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339</xdr:row>
      <xdr:rowOff>0</xdr:rowOff>
    </xdr:from>
    <xdr:to>
      <xdr:col>5</xdr:col>
      <xdr:colOff>83820</xdr:colOff>
      <xdr:row>339</xdr:row>
      <xdr:rowOff>114300</xdr:rowOff>
    </xdr:to>
    <xdr:sp macro="" textlink="">
      <xdr:nvSpPr>
        <xdr:cNvPr id="2603" name="Arrow: Down 2602">
          <a:extLst>
            <a:ext uri="{FF2B5EF4-FFF2-40B4-BE49-F238E27FC236}">
              <a16:creationId xmlns:a16="http://schemas.microsoft.com/office/drawing/2014/main" id="{E49E9ABF-EC64-40F5-A1FC-89F063354C8E}"/>
            </a:ext>
          </a:extLst>
        </xdr:cNvPr>
        <xdr:cNvSpPr/>
      </xdr:nvSpPr>
      <xdr:spPr>
        <a:xfrm>
          <a:off x="192786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339</xdr:row>
      <xdr:rowOff>0</xdr:rowOff>
    </xdr:from>
    <xdr:to>
      <xdr:col>11</xdr:col>
      <xdr:colOff>83820</xdr:colOff>
      <xdr:row>339</xdr:row>
      <xdr:rowOff>114300</xdr:rowOff>
    </xdr:to>
    <xdr:sp macro="" textlink="">
      <xdr:nvSpPr>
        <xdr:cNvPr id="2604" name="Arrow: Down 2603">
          <a:extLst>
            <a:ext uri="{FF2B5EF4-FFF2-40B4-BE49-F238E27FC236}">
              <a16:creationId xmlns:a16="http://schemas.microsoft.com/office/drawing/2014/main" id="{AB0132FE-D7E5-491C-BC53-DACA55AEEA0E}"/>
            </a:ext>
          </a:extLst>
        </xdr:cNvPr>
        <xdr:cNvSpPr/>
      </xdr:nvSpPr>
      <xdr:spPr>
        <a:xfrm>
          <a:off x="369570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339</xdr:row>
      <xdr:rowOff>0</xdr:rowOff>
    </xdr:from>
    <xdr:to>
      <xdr:col>39</xdr:col>
      <xdr:colOff>83820</xdr:colOff>
      <xdr:row>339</xdr:row>
      <xdr:rowOff>114300</xdr:rowOff>
    </xdr:to>
    <xdr:sp macro="" textlink="">
      <xdr:nvSpPr>
        <xdr:cNvPr id="2605" name="Arrow: Down 2604">
          <a:extLst>
            <a:ext uri="{FF2B5EF4-FFF2-40B4-BE49-F238E27FC236}">
              <a16:creationId xmlns:a16="http://schemas.microsoft.com/office/drawing/2014/main" id="{8014757C-E1D6-4928-8DC3-FC70A8AA6A46}"/>
            </a:ext>
          </a:extLst>
        </xdr:cNvPr>
        <xdr:cNvSpPr/>
      </xdr:nvSpPr>
      <xdr:spPr>
        <a:xfrm rot="10800000">
          <a:off x="1149858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340</xdr:row>
      <xdr:rowOff>0</xdr:rowOff>
    </xdr:from>
    <xdr:to>
      <xdr:col>45</xdr:col>
      <xdr:colOff>83820</xdr:colOff>
      <xdr:row>340</xdr:row>
      <xdr:rowOff>114300</xdr:rowOff>
    </xdr:to>
    <xdr:sp macro="" textlink="">
      <xdr:nvSpPr>
        <xdr:cNvPr id="2606" name="Arrow: Down 2605">
          <a:extLst>
            <a:ext uri="{FF2B5EF4-FFF2-40B4-BE49-F238E27FC236}">
              <a16:creationId xmlns:a16="http://schemas.microsoft.com/office/drawing/2014/main" id="{D305C064-2D3E-4CDF-A437-CE467C3A8937}"/>
            </a:ext>
          </a:extLst>
        </xdr:cNvPr>
        <xdr:cNvSpPr/>
      </xdr:nvSpPr>
      <xdr:spPr>
        <a:xfrm rot="10800000">
          <a:off x="1335786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340</xdr:row>
      <xdr:rowOff>0</xdr:rowOff>
    </xdr:from>
    <xdr:to>
      <xdr:col>71</xdr:col>
      <xdr:colOff>83820</xdr:colOff>
      <xdr:row>340</xdr:row>
      <xdr:rowOff>114300</xdr:rowOff>
    </xdr:to>
    <xdr:sp macro="" textlink="">
      <xdr:nvSpPr>
        <xdr:cNvPr id="2607" name="Arrow: Down 2606">
          <a:extLst>
            <a:ext uri="{FF2B5EF4-FFF2-40B4-BE49-F238E27FC236}">
              <a16:creationId xmlns:a16="http://schemas.microsoft.com/office/drawing/2014/main" id="{24845354-A94D-4FB5-8B59-6B842BB0D88B}"/>
            </a:ext>
          </a:extLst>
        </xdr:cNvPr>
        <xdr:cNvSpPr/>
      </xdr:nvSpPr>
      <xdr:spPr>
        <a:xfrm>
          <a:off x="2134362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340</xdr:row>
      <xdr:rowOff>0</xdr:rowOff>
    </xdr:from>
    <xdr:to>
      <xdr:col>60</xdr:col>
      <xdr:colOff>83820</xdr:colOff>
      <xdr:row>340</xdr:row>
      <xdr:rowOff>114300</xdr:rowOff>
    </xdr:to>
    <xdr:sp macro="" textlink="">
      <xdr:nvSpPr>
        <xdr:cNvPr id="2608" name="Arrow: Down 2607">
          <a:extLst>
            <a:ext uri="{FF2B5EF4-FFF2-40B4-BE49-F238E27FC236}">
              <a16:creationId xmlns:a16="http://schemas.microsoft.com/office/drawing/2014/main" id="{02E159AA-461F-4617-83EC-0969B72DABDB}"/>
            </a:ext>
          </a:extLst>
        </xdr:cNvPr>
        <xdr:cNvSpPr/>
      </xdr:nvSpPr>
      <xdr:spPr>
        <a:xfrm>
          <a:off x="1891284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340</xdr:row>
      <xdr:rowOff>0</xdr:rowOff>
    </xdr:from>
    <xdr:to>
      <xdr:col>24</xdr:col>
      <xdr:colOff>83820</xdr:colOff>
      <xdr:row>340</xdr:row>
      <xdr:rowOff>114300</xdr:rowOff>
    </xdr:to>
    <xdr:sp macro="" textlink="">
      <xdr:nvSpPr>
        <xdr:cNvPr id="2609" name="Arrow: Down 2608">
          <a:extLst>
            <a:ext uri="{FF2B5EF4-FFF2-40B4-BE49-F238E27FC236}">
              <a16:creationId xmlns:a16="http://schemas.microsoft.com/office/drawing/2014/main" id="{8B2CBDDC-3C1C-4E53-AD54-211A1A4B7CAF}"/>
            </a:ext>
          </a:extLst>
        </xdr:cNvPr>
        <xdr:cNvSpPr/>
      </xdr:nvSpPr>
      <xdr:spPr>
        <a:xfrm>
          <a:off x="833628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340</xdr:row>
      <xdr:rowOff>0</xdr:rowOff>
    </xdr:from>
    <xdr:to>
      <xdr:col>5</xdr:col>
      <xdr:colOff>83820</xdr:colOff>
      <xdr:row>340</xdr:row>
      <xdr:rowOff>114300</xdr:rowOff>
    </xdr:to>
    <xdr:sp macro="" textlink="">
      <xdr:nvSpPr>
        <xdr:cNvPr id="2610" name="Arrow: Down 2609">
          <a:extLst>
            <a:ext uri="{FF2B5EF4-FFF2-40B4-BE49-F238E27FC236}">
              <a16:creationId xmlns:a16="http://schemas.microsoft.com/office/drawing/2014/main" id="{8AE9FA12-DA4F-47D3-B907-D83E19542306}"/>
            </a:ext>
          </a:extLst>
        </xdr:cNvPr>
        <xdr:cNvSpPr/>
      </xdr:nvSpPr>
      <xdr:spPr>
        <a:xfrm>
          <a:off x="192786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340</xdr:row>
      <xdr:rowOff>0</xdr:rowOff>
    </xdr:from>
    <xdr:to>
      <xdr:col>11</xdr:col>
      <xdr:colOff>83820</xdr:colOff>
      <xdr:row>340</xdr:row>
      <xdr:rowOff>114300</xdr:rowOff>
    </xdr:to>
    <xdr:sp macro="" textlink="">
      <xdr:nvSpPr>
        <xdr:cNvPr id="2611" name="Arrow: Down 2610">
          <a:extLst>
            <a:ext uri="{FF2B5EF4-FFF2-40B4-BE49-F238E27FC236}">
              <a16:creationId xmlns:a16="http://schemas.microsoft.com/office/drawing/2014/main" id="{E2F80251-AD0A-46B3-B568-81236EB6EAE0}"/>
            </a:ext>
          </a:extLst>
        </xdr:cNvPr>
        <xdr:cNvSpPr/>
      </xdr:nvSpPr>
      <xdr:spPr>
        <a:xfrm>
          <a:off x="369570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340</xdr:row>
      <xdr:rowOff>0</xdr:rowOff>
    </xdr:from>
    <xdr:to>
      <xdr:col>39</xdr:col>
      <xdr:colOff>83820</xdr:colOff>
      <xdr:row>340</xdr:row>
      <xdr:rowOff>114300</xdr:rowOff>
    </xdr:to>
    <xdr:sp macro="" textlink="">
      <xdr:nvSpPr>
        <xdr:cNvPr id="2613" name="Arrow: Down 2612">
          <a:extLst>
            <a:ext uri="{FF2B5EF4-FFF2-40B4-BE49-F238E27FC236}">
              <a16:creationId xmlns:a16="http://schemas.microsoft.com/office/drawing/2014/main" id="{3B32F9CE-9961-4C1A-975B-4D9312A408A2}"/>
            </a:ext>
          </a:extLst>
        </xdr:cNvPr>
        <xdr:cNvSpPr/>
      </xdr:nvSpPr>
      <xdr:spPr>
        <a:xfrm>
          <a:off x="11498580" y="6227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341</xdr:row>
      <xdr:rowOff>0</xdr:rowOff>
    </xdr:from>
    <xdr:to>
      <xdr:col>45</xdr:col>
      <xdr:colOff>83820</xdr:colOff>
      <xdr:row>341</xdr:row>
      <xdr:rowOff>114300</xdr:rowOff>
    </xdr:to>
    <xdr:sp macro="" textlink="">
      <xdr:nvSpPr>
        <xdr:cNvPr id="2424" name="Arrow: Down 2423">
          <a:extLst>
            <a:ext uri="{FF2B5EF4-FFF2-40B4-BE49-F238E27FC236}">
              <a16:creationId xmlns:a16="http://schemas.microsoft.com/office/drawing/2014/main" id="{26C6FA4E-BEE3-4639-886D-9253C35650EC}"/>
            </a:ext>
          </a:extLst>
        </xdr:cNvPr>
        <xdr:cNvSpPr/>
      </xdr:nvSpPr>
      <xdr:spPr>
        <a:xfrm rot="10800000">
          <a:off x="1335786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341</xdr:row>
      <xdr:rowOff>0</xdr:rowOff>
    </xdr:from>
    <xdr:to>
      <xdr:col>71</xdr:col>
      <xdr:colOff>83820</xdr:colOff>
      <xdr:row>341</xdr:row>
      <xdr:rowOff>114300</xdr:rowOff>
    </xdr:to>
    <xdr:sp macro="" textlink="">
      <xdr:nvSpPr>
        <xdr:cNvPr id="2427" name="Arrow: Down 2426">
          <a:extLst>
            <a:ext uri="{FF2B5EF4-FFF2-40B4-BE49-F238E27FC236}">
              <a16:creationId xmlns:a16="http://schemas.microsoft.com/office/drawing/2014/main" id="{4C715A68-03D5-4DF4-92BC-1F12DF470E49}"/>
            </a:ext>
          </a:extLst>
        </xdr:cNvPr>
        <xdr:cNvSpPr/>
      </xdr:nvSpPr>
      <xdr:spPr>
        <a:xfrm>
          <a:off x="2134362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341</xdr:row>
      <xdr:rowOff>0</xdr:rowOff>
    </xdr:from>
    <xdr:to>
      <xdr:col>60</xdr:col>
      <xdr:colOff>83820</xdr:colOff>
      <xdr:row>341</xdr:row>
      <xdr:rowOff>114300</xdr:rowOff>
    </xdr:to>
    <xdr:sp macro="" textlink="">
      <xdr:nvSpPr>
        <xdr:cNvPr id="2429" name="Arrow: Down 2428">
          <a:extLst>
            <a:ext uri="{FF2B5EF4-FFF2-40B4-BE49-F238E27FC236}">
              <a16:creationId xmlns:a16="http://schemas.microsoft.com/office/drawing/2014/main" id="{C1660F9D-A611-4919-BB6D-AD1C24BC5EAE}"/>
            </a:ext>
          </a:extLst>
        </xdr:cNvPr>
        <xdr:cNvSpPr/>
      </xdr:nvSpPr>
      <xdr:spPr>
        <a:xfrm>
          <a:off x="1891284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341</xdr:row>
      <xdr:rowOff>0</xdr:rowOff>
    </xdr:from>
    <xdr:to>
      <xdr:col>24</xdr:col>
      <xdr:colOff>83820</xdr:colOff>
      <xdr:row>341</xdr:row>
      <xdr:rowOff>114300</xdr:rowOff>
    </xdr:to>
    <xdr:sp macro="" textlink="">
      <xdr:nvSpPr>
        <xdr:cNvPr id="2473" name="Arrow: Down 2472">
          <a:extLst>
            <a:ext uri="{FF2B5EF4-FFF2-40B4-BE49-F238E27FC236}">
              <a16:creationId xmlns:a16="http://schemas.microsoft.com/office/drawing/2014/main" id="{1822BA41-8DE0-4580-9FDA-CA788A2D60A7}"/>
            </a:ext>
          </a:extLst>
        </xdr:cNvPr>
        <xdr:cNvSpPr/>
      </xdr:nvSpPr>
      <xdr:spPr>
        <a:xfrm>
          <a:off x="833628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341</xdr:row>
      <xdr:rowOff>0</xdr:rowOff>
    </xdr:from>
    <xdr:to>
      <xdr:col>5</xdr:col>
      <xdr:colOff>83820</xdr:colOff>
      <xdr:row>341</xdr:row>
      <xdr:rowOff>114300</xdr:rowOff>
    </xdr:to>
    <xdr:sp macro="" textlink="">
      <xdr:nvSpPr>
        <xdr:cNvPr id="2474" name="Arrow: Down 2473">
          <a:extLst>
            <a:ext uri="{FF2B5EF4-FFF2-40B4-BE49-F238E27FC236}">
              <a16:creationId xmlns:a16="http://schemas.microsoft.com/office/drawing/2014/main" id="{2DA13C49-637C-47D8-A289-B6AB70523ABB}"/>
            </a:ext>
          </a:extLst>
        </xdr:cNvPr>
        <xdr:cNvSpPr/>
      </xdr:nvSpPr>
      <xdr:spPr>
        <a:xfrm>
          <a:off x="192786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341</xdr:row>
      <xdr:rowOff>0</xdr:rowOff>
    </xdr:from>
    <xdr:to>
      <xdr:col>11</xdr:col>
      <xdr:colOff>83820</xdr:colOff>
      <xdr:row>341</xdr:row>
      <xdr:rowOff>114300</xdr:rowOff>
    </xdr:to>
    <xdr:sp macro="" textlink="">
      <xdr:nvSpPr>
        <xdr:cNvPr id="2476" name="Arrow: Down 2475">
          <a:extLst>
            <a:ext uri="{FF2B5EF4-FFF2-40B4-BE49-F238E27FC236}">
              <a16:creationId xmlns:a16="http://schemas.microsoft.com/office/drawing/2014/main" id="{2872C88B-1240-428F-9BDE-C499A90EE8CB}"/>
            </a:ext>
          </a:extLst>
        </xdr:cNvPr>
        <xdr:cNvSpPr/>
      </xdr:nvSpPr>
      <xdr:spPr>
        <a:xfrm>
          <a:off x="369570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341</xdr:row>
      <xdr:rowOff>0</xdr:rowOff>
    </xdr:from>
    <xdr:to>
      <xdr:col>39</xdr:col>
      <xdr:colOff>83820</xdr:colOff>
      <xdr:row>341</xdr:row>
      <xdr:rowOff>114300</xdr:rowOff>
    </xdr:to>
    <xdr:sp macro="" textlink="">
      <xdr:nvSpPr>
        <xdr:cNvPr id="2485" name="Arrow: Down 2484">
          <a:extLst>
            <a:ext uri="{FF2B5EF4-FFF2-40B4-BE49-F238E27FC236}">
              <a16:creationId xmlns:a16="http://schemas.microsoft.com/office/drawing/2014/main" id="{9A9677D7-008F-4229-A92D-89EED68018C5}"/>
            </a:ext>
          </a:extLst>
        </xdr:cNvPr>
        <xdr:cNvSpPr/>
      </xdr:nvSpPr>
      <xdr:spPr>
        <a:xfrm rot="10800000">
          <a:off x="11498580" y="6246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342</xdr:row>
      <xdr:rowOff>0</xdr:rowOff>
    </xdr:from>
    <xdr:to>
      <xdr:col>45</xdr:col>
      <xdr:colOff>83820</xdr:colOff>
      <xdr:row>342</xdr:row>
      <xdr:rowOff>114300</xdr:rowOff>
    </xdr:to>
    <xdr:sp macro="" textlink="">
      <xdr:nvSpPr>
        <xdr:cNvPr id="2491" name="Arrow: Down 2490">
          <a:extLst>
            <a:ext uri="{FF2B5EF4-FFF2-40B4-BE49-F238E27FC236}">
              <a16:creationId xmlns:a16="http://schemas.microsoft.com/office/drawing/2014/main" id="{771E9543-BD7F-406B-B77D-A03B35F6674C}"/>
            </a:ext>
          </a:extLst>
        </xdr:cNvPr>
        <xdr:cNvSpPr/>
      </xdr:nvSpPr>
      <xdr:spPr>
        <a:xfrm rot="10800000">
          <a:off x="13357860" y="6246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342</xdr:row>
      <xdr:rowOff>0</xdr:rowOff>
    </xdr:from>
    <xdr:to>
      <xdr:col>71</xdr:col>
      <xdr:colOff>83820</xdr:colOff>
      <xdr:row>342</xdr:row>
      <xdr:rowOff>114300</xdr:rowOff>
    </xdr:to>
    <xdr:sp macro="" textlink="">
      <xdr:nvSpPr>
        <xdr:cNvPr id="2512" name="Arrow: Down 2511">
          <a:extLst>
            <a:ext uri="{FF2B5EF4-FFF2-40B4-BE49-F238E27FC236}">
              <a16:creationId xmlns:a16="http://schemas.microsoft.com/office/drawing/2014/main" id="{C03D67D4-CF79-4512-A4D9-8E7E65523752}"/>
            </a:ext>
          </a:extLst>
        </xdr:cNvPr>
        <xdr:cNvSpPr/>
      </xdr:nvSpPr>
      <xdr:spPr>
        <a:xfrm>
          <a:off x="21343620" y="6246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83820</xdr:colOff>
      <xdr:row>342</xdr:row>
      <xdr:rowOff>114300</xdr:rowOff>
    </xdr:to>
    <xdr:sp macro="" textlink="">
      <xdr:nvSpPr>
        <xdr:cNvPr id="2530" name="Arrow: Down 2529">
          <a:extLst>
            <a:ext uri="{FF2B5EF4-FFF2-40B4-BE49-F238E27FC236}">
              <a16:creationId xmlns:a16="http://schemas.microsoft.com/office/drawing/2014/main" id="{6090A6D5-4C68-42D2-8E22-D18CFEE2454F}"/>
            </a:ext>
          </a:extLst>
        </xdr:cNvPr>
        <xdr:cNvSpPr/>
      </xdr:nvSpPr>
      <xdr:spPr>
        <a:xfrm rot="10800000">
          <a:off x="192786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342</xdr:row>
      <xdr:rowOff>0</xdr:rowOff>
    </xdr:from>
    <xdr:to>
      <xdr:col>11</xdr:col>
      <xdr:colOff>83820</xdr:colOff>
      <xdr:row>342</xdr:row>
      <xdr:rowOff>114300</xdr:rowOff>
    </xdr:to>
    <xdr:sp macro="" textlink="">
      <xdr:nvSpPr>
        <xdr:cNvPr id="2532" name="Arrow: Down 2531">
          <a:extLst>
            <a:ext uri="{FF2B5EF4-FFF2-40B4-BE49-F238E27FC236}">
              <a16:creationId xmlns:a16="http://schemas.microsoft.com/office/drawing/2014/main" id="{0809853A-3488-42CB-BB42-9F67B4BE519B}"/>
            </a:ext>
          </a:extLst>
        </xdr:cNvPr>
        <xdr:cNvSpPr/>
      </xdr:nvSpPr>
      <xdr:spPr>
        <a:xfrm rot="10800000">
          <a:off x="369570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342</xdr:row>
      <xdr:rowOff>0</xdr:rowOff>
    </xdr:from>
    <xdr:to>
      <xdr:col>24</xdr:col>
      <xdr:colOff>83820</xdr:colOff>
      <xdr:row>342</xdr:row>
      <xdr:rowOff>114300</xdr:rowOff>
    </xdr:to>
    <xdr:sp macro="" textlink="">
      <xdr:nvSpPr>
        <xdr:cNvPr id="2542" name="Arrow: Down 2541">
          <a:extLst>
            <a:ext uri="{FF2B5EF4-FFF2-40B4-BE49-F238E27FC236}">
              <a16:creationId xmlns:a16="http://schemas.microsoft.com/office/drawing/2014/main" id="{BED64C74-398F-4CD7-90F2-988BE5660D35}"/>
            </a:ext>
          </a:extLst>
        </xdr:cNvPr>
        <xdr:cNvSpPr/>
      </xdr:nvSpPr>
      <xdr:spPr>
        <a:xfrm rot="10800000">
          <a:off x="83362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342</xdr:row>
      <xdr:rowOff>0</xdr:rowOff>
    </xdr:from>
    <xdr:to>
      <xdr:col>60</xdr:col>
      <xdr:colOff>83820</xdr:colOff>
      <xdr:row>342</xdr:row>
      <xdr:rowOff>114300</xdr:rowOff>
    </xdr:to>
    <xdr:sp macro="" textlink="">
      <xdr:nvSpPr>
        <xdr:cNvPr id="2544" name="Arrow: Down 2543">
          <a:extLst>
            <a:ext uri="{FF2B5EF4-FFF2-40B4-BE49-F238E27FC236}">
              <a16:creationId xmlns:a16="http://schemas.microsoft.com/office/drawing/2014/main" id="{E9FBE0E4-F54D-419C-A50E-355A0B55020C}"/>
            </a:ext>
          </a:extLst>
        </xdr:cNvPr>
        <xdr:cNvSpPr/>
      </xdr:nvSpPr>
      <xdr:spPr>
        <a:xfrm rot="10800000">
          <a:off x="1891284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342</xdr:row>
      <xdr:rowOff>0</xdr:rowOff>
    </xdr:from>
    <xdr:to>
      <xdr:col>39</xdr:col>
      <xdr:colOff>83820</xdr:colOff>
      <xdr:row>342</xdr:row>
      <xdr:rowOff>114300</xdr:rowOff>
    </xdr:to>
    <xdr:sp macro="" textlink="">
      <xdr:nvSpPr>
        <xdr:cNvPr id="2546" name="Arrow: Down 2545">
          <a:extLst>
            <a:ext uri="{FF2B5EF4-FFF2-40B4-BE49-F238E27FC236}">
              <a16:creationId xmlns:a16="http://schemas.microsoft.com/office/drawing/2014/main" id="{EC79F5BE-D9BE-4586-AEC0-55D7529386DC}"/>
            </a:ext>
          </a:extLst>
        </xdr:cNvPr>
        <xdr:cNvSpPr/>
      </xdr:nvSpPr>
      <xdr:spPr>
        <a:xfrm>
          <a:off x="114985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343</xdr:row>
      <xdr:rowOff>0</xdr:rowOff>
    </xdr:from>
    <xdr:to>
      <xdr:col>45</xdr:col>
      <xdr:colOff>83820</xdr:colOff>
      <xdr:row>343</xdr:row>
      <xdr:rowOff>114300</xdr:rowOff>
    </xdr:to>
    <xdr:sp macro="" textlink="">
      <xdr:nvSpPr>
        <xdr:cNvPr id="2561" name="Arrow: Down 2560">
          <a:extLst>
            <a:ext uri="{FF2B5EF4-FFF2-40B4-BE49-F238E27FC236}">
              <a16:creationId xmlns:a16="http://schemas.microsoft.com/office/drawing/2014/main" id="{FF36B132-5C1D-4707-B740-592D45D6F0BF}"/>
            </a:ext>
          </a:extLst>
        </xdr:cNvPr>
        <xdr:cNvSpPr/>
      </xdr:nvSpPr>
      <xdr:spPr>
        <a:xfrm rot="10800000">
          <a:off x="13357860" y="6264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343</xdr:row>
      <xdr:rowOff>0</xdr:rowOff>
    </xdr:from>
    <xdr:to>
      <xdr:col>71</xdr:col>
      <xdr:colOff>83820</xdr:colOff>
      <xdr:row>343</xdr:row>
      <xdr:rowOff>114300</xdr:rowOff>
    </xdr:to>
    <xdr:sp macro="" textlink="">
      <xdr:nvSpPr>
        <xdr:cNvPr id="2562" name="Arrow: Down 2561">
          <a:extLst>
            <a:ext uri="{FF2B5EF4-FFF2-40B4-BE49-F238E27FC236}">
              <a16:creationId xmlns:a16="http://schemas.microsoft.com/office/drawing/2014/main" id="{26455D2D-C3AB-440C-A206-B92695061011}"/>
            </a:ext>
          </a:extLst>
        </xdr:cNvPr>
        <xdr:cNvSpPr/>
      </xdr:nvSpPr>
      <xdr:spPr>
        <a:xfrm>
          <a:off x="21343620" y="6264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343</xdr:row>
      <xdr:rowOff>0</xdr:rowOff>
    </xdr:from>
    <xdr:to>
      <xdr:col>5</xdr:col>
      <xdr:colOff>83820</xdr:colOff>
      <xdr:row>343</xdr:row>
      <xdr:rowOff>114300</xdr:rowOff>
    </xdr:to>
    <xdr:sp macro="" textlink="">
      <xdr:nvSpPr>
        <xdr:cNvPr id="2563" name="Arrow: Down 2562">
          <a:extLst>
            <a:ext uri="{FF2B5EF4-FFF2-40B4-BE49-F238E27FC236}">
              <a16:creationId xmlns:a16="http://schemas.microsoft.com/office/drawing/2014/main" id="{8F00AE1E-FC63-4C9A-9DA1-67E084CF6305}"/>
            </a:ext>
          </a:extLst>
        </xdr:cNvPr>
        <xdr:cNvSpPr/>
      </xdr:nvSpPr>
      <xdr:spPr>
        <a:xfrm rot="10800000">
          <a:off x="192786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343</xdr:row>
      <xdr:rowOff>0</xdr:rowOff>
    </xdr:from>
    <xdr:to>
      <xdr:col>11</xdr:col>
      <xdr:colOff>83820</xdr:colOff>
      <xdr:row>343</xdr:row>
      <xdr:rowOff>114300</xdr:rowOff>
    </xdr:to>
    <xdr:sp macro="" textlink="">
      <xdr:nvSpPr>
        <xdr:cNvPr id="2564" name="Arrow: Down 2563">
          <a:extLst>
            <a:ext uri="{FF2B5EF4-FFF2-40B4-BE49-F238E27FC236}">
              <a16:creationId xmlns:a16="http://schemas.microsoft.com/office/drawing/2014/main" id="{7A20AB22-4FC0-4041-ABFA-069616FA01DB}"/>
            </a:ext>
          </a:extLst>
        </xdr:cNvPr>
        <xdr:cNvSpPr/>
      </xdr:nvSpPr>
      <xdr:spPr>
        <a:xfrm rot="10800000">
          <a:off x="369570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343</xdr:row>
      <xdr:rowOff>0</xdr:rowOff>
    </xdr:from>
    <xdr:to>
      <xdr:col>24</xdr:col>
      <xdr:colOff>83820</xdr:colOff>
      <xdr:row>343</xdr:row>
      <xdr:rowOff>114300</xdr:rowOff>
    </xdr:to>
    <xdr:sp macro="" textlink="">
      <xdr:nvSpPr>
        <xdr:cNvPr id="2567" name="Arrow: Down 2566">
          <a:extLst>
            <a:ext uri="{FF2B5EF4-FFF2-40B4-BE49-F238E27FC236}">
              <a16:creationId xmlns:a16="http://schemas.microsoft.com/office/drawing/2014/main" id="{1C965A3B-5477-49B1-B5F9-A90BCAC58702}"/>
            </a:ext>
          </a:extLst>
        </xdr:cNvPr>
        <xdr:cNvSpPr/>
      </xdr:nvSpPr>
      <xdr:spPr>
        <a:xfrm rot="10800000">
          <a:off x="83362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343</xdr:row>
      <xdr:rowOff>0</xdr:rowOff>
    </xdr:from>
    <xdr:to>
      <xdr:col>39</xdr:col>
      <xdr:colOff>83820</xdr:colOff>
      <xdr:row>343</xdr:row>
      <xdr:rowOff>114300</xdr:rowOff>
    </xdr:to>
    <xdr:sp macro="" textlink="">
      <xdr:nvSpPr>
        <xdr:cNvPr id="2571" name="Arrow: Down 2570">
          <a:extLst>
            <a:ext uri="{FF2B5EF4-FFF2-40B4-BE49-F238E27FC236}">
              <a16:creationId xmlns:a16="http://schemas.microsoft.com/office/drawing/2014/main" id="{BF7DAD29-B5DB-4BD4-82D1-B5E00E197F17}"/>
            </a:ext>
          </a:extLst>
        </xdr:cNvPr>
        <xdr:cNvSpPr/>
      </xdr:nvSpPr>
      <xdr:spPr>
        <a:xfrm>
          <a:off x="114985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343</xdr:row>
      <xdr:rowOff>0</xdr:rowOff>
    </xdr:from>
    <xdr:to>
      <xdr:col>60</xdr:col>
      <xdr:colOff>83820</xdr:colOff>
      <xdr:row>343</xdr:row>
      <xdr:rowOff>114300</xdr:rowOff>
    </xdr:to>
    <xdr:sp macro="" textlink="">
      <xdr:nvSpPr>
        <xdr:cNvPr id="2575" name="Arrow: Down 2574">
          <a:extLst>
            <a:ext uri="{FF2B5EF4-FFF2-40B4-BE49-F238E27FC236}">
              <a16:creationId xmlns:a16="http://schemas.microsoft.com/office/drawing/2014/main" id="{A25F6344-C5FD-4947-AE77-0DCE141C823B}"/>
            </a:ext>
          </a:extLst>
        </xdr:cNvPr>
        <xdr:cNvSpPr/>
      </xdr:nvSpPr>
      <xdr:spPr>
        <a:xfrm>
          <a:off x="1891284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344</xdr:row>
      <xdr:rowOff>0</xdr:rowOff>
    </xdr:from>
    <xdr:to>
      <xdr:col>45</xdr:col>
      <xdr:colOff>83820</xdr:colOff>
      <xdr:row>344</xdr:row>
      <xdr:rowOff>114300</xdr:rowOff>
    </xdr:to>
    <xdr:sp macro="" textlink="">
      <xdr:nvSpPr>
        <xdr:cNvPr id="2585" name="Arrow: Down 2584">
          <a:extLst>
            <a:ext uri="{FF2B5EF4-FFF2-40B4-BE49-F238E27FC236}">
              <a16:creationId xmlns:a16="http://schemas.microsoft.com/office/drawing/2014/main" id="{9E22FDF1-9A65-4EFF-8336-2A7B4C99758B}"/>
            </a:ext>
          </a:extLst>
        </xdr:cNvPr>
        <xdr:cNvSpPr/>
      </xdr:nvSpPr>
      <xdr:spPr>
        <a:xfrm rot="10800000">
          <a:off x="13357860" y="6282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344</xdr:row>
      <xdr:rowOff>0</xdr:rowOff>
    </xdr:from>
    <xdr:to>
      <xdr:col>71</xdr:col>
      <xdr:colOff>83820</xdr:colOff>
      <xdr:row>344</xdr:row>
      <xdr:rowOff>114300</xdr:rowOff>
    </xdr:to>
    <xdr:sp macro="" textlink="">
      <xdr:nvSpPr>
        <xdr:cNvPr id="2591" name="Arrow: Down 2590">
          <a:extLst>
            <a:ext uri="{FF2B5EF4-FFF2-40B4-BE49-F238E27FC236}">
              <a16:creationId xmlns:a16="http://schemas.microsoft.com/office/drawing/2014/main" id="{56B0F5F7-3C54-4E54-9423-E1741FCD7FCF}"/>
            </a:ext>
          </a:extLst>
        </xdr:cNvPr>
        <xdr:cNvSpPr/>
      </xdr:nvSpPr>
      <xdr:spPr>
        <a:xfrm>
          <a:off x="21343620" y="6282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344</xdr:row>
      <xdr:rowOff>0</xdr:rowOff>
    </xdr:from>
    <xdr:to>
      <xdr:col>24</xdr:col>
      <xdr:colOff>83820</xdr:colOff>
      <xdr:row>344</xdr:row>
      <xdr:rowOff>114300</xdr:rowOff>
    </xdr:to>
    <xdr:sp macro="" textlink="">
      <xdr:nvSpPr>
        <xdr:cNvPr id="2594" name="Arrow: Down 2593">
          <a:extLst>
            <a:ext uri="{FF2B5EF4-FFF2-40B4-BE49-F238E27FC236}">
              <a16:creationId xmlns:a16="http://schemas.microsoft.com/office/drawing/2014/main" id="{4C1E8320-77D7-448E-88BB-6E71988A5E8B}"/>
            </a:ext>
          </a:extLst>
        </xdr:cNvPr>
        <xdr:cNvSpPr/>
      </xdr:nvSpPr>
      <xdr:spPr>
        <a:xfrm rot="10800000">
          <a:off x="8336280" y="6282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344</xdr:row>
      <xdr:rowOff>0</xdr:rowOff>
    </xdr:from>
    <xdr:to>
      <xdr:col>39</xdr:col>
      <xdr:colOff>83820</xdr:colOff>
      <xdr:row>344</xdr:row>
      <xdr:rowOff>114300</xdr:rowOff>
    </xdr:to>
    <xdr:sp macro="" textlink="">
      <xdr:nvSpPr>
        <xdr:cNvPr id="2595" name="Arrow: Down 2594">
          <a:extLst>
            <a:ext uri="{FF2B5EF4-FFF2-40B4-BE49-F238E27FC236}">
              <a16:creationId xmlns:a16="http://schemas.microsoft.com/office/drawing/2014/main" id="{842D9FEC-B2D9-48E4-ACFD-AC64BDB90E40}"/>
            </a:ext>
          </a:extLst>
        </xdr:cNvPr>
        <xdr:cNvSpPr/>
      </xdr:nvSpPr>
      <xdr:spPr>
        <a:xfrm>
          <a:off x="11498580" y="6282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344</xdr:row>
      <xdr:rowOff>0</xdr:rowOff>
    </xdr:from>
    <xdr:to>
      <xdr:col>5</xdr:col>
      <xdr:colOff>83820</xdr:colOff>
      <xdr:row>344</xdr:row>
      <xdr:rowOff>114300</xdr:rowOff>
    </xdr:to>
    <xdr:sp macro="" textlink="">
      <xdr:nvSpPr>
        <xdr:cNvPr id="2597" name="Arrow: Down 2596">
          <a:extLst>
            <a:ext uri="{FF2B5EF4-FFF2-40B4-BE49-F238E27FC236}">
              <a16:creationId xmlns:a16="http://schemas.microsoft.com/office/drawing/2014/main" id="{C2C38B55-8B46-4A39-BC9E-EE34CE76ADE2}"/>
            </a:ext>
          </a:extLst>
        </xdr:cNvPr>
        <xdr:cNvSpPr/>
      </xdr:nvSpPr>
      <xdr:spPr>
        <a:xfrm>
          <a:off x="192786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344</xdr:row>
      <xdr:rowOff>0</xdr:rowOff>
    </xdr:from>
    <xdr:to>
      <xdr:col>11</xdr:col>
      <xdr:colOff>83820</xdr:colOff>
      <xdr:row>344</xdr:row>
      <xdr:rowOff>114300</xdr:rowOff>
    </xdr:to>
    <xdr:sp macro="" textlink="">
      <xdr:nvSpPr>
        <xdr:cNvPr id="2612" name="Arrow: Down 2611">
          <a:extLst>
            <a:ext uri="{FF2B5EF4-FFF2-40B4-BE49-F238E27FC236}">
              <a16:creationId xmlns:a16="http://schemas.microsoft.com/office/drawing/2014/main" id="{B1748514-8411-4A4C-8DD4-8DF31422D23C}"/>
            </a:ext>
          </a:extLst>
        </xdr:cNvPr>
        <xdr:cNvSpPr/>
      </xdr:nvSpPr>
      <xdr:spPr>
        <a:xfrm>
          <a:off x="369570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344</xdr:row>
      <xdr:rowOff>0</xdr:rowOff>
    </xdr:from>
    <xdr:to>
      <xdr:col>60</xdr:col>
      <xdr:colOff>83820</xdr:colOff>
      <xdr:row>344</xdr:row>
      <xdr:rowOff>114300</xdr:rowOff>
    </xdr:to>
    <xdr:sp macro="" textlink="">
      <xdr:nvSpPr>
        <xdr:cNvPr id="2614" name="Arrow: Down 2613">
          <a:extLst>
            <a:ext uri="{FF2B5EF4-FFF2-40B4-BE49-F238E27FC236}">
              <a16:creationId xmlns:a16="http://schemas.microsoft.com/office/drawing/2014/main" id="{0A917408-F7F4-45A7-9BEB-E4432A484BC4}"/>
            </a:ext>
          </a:extLst>
        </xdr:cNvPr>
        <xdr:cNvSpPr/>
      </xdr:nvSpPr>
      <xdr:spPr>
        <a:xfrm rot="10800000">
          <a:off x="18912840" y="6300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345</xdr:row>
      <xdr:rowOff>0</xdr:rowOff>
    </xdr:from>
    <xdr:to>
      <xdr:col>45</xdr:col>
      <xdr:colOff>83820</xdr:colOff>
      <xdr:row>345</xdr:row>
      <xdr:rowOff>114300</xdr:rowOff>
    </xdr:to>
    <xdr:sp macro="" textlink="">
      <xdr:nvSpPr>
        <xdr:cNvPr id="2622" name="Arrow: Down 2621">
          <a:extLst>
            <a:ext uri="{FF2B5EF4-FFF2-40B4-BE49-F238E27FC236}">
              <a16:creationId xmlns:a16="http://schemas.microsoft.com/office/drawing/2014/main" id="{7A3092FC-55B2-4A06-8CC0-A4D568773721}"/>
            </a:ext>
          </a:extLst>
        </xdr:cNvPr>
        <xdr:cNvSpPr/>
      </xdr:nvSpPr>
      <xdr:spPr>
        <a:xfrm rot="10800000">
          <a:off x="1335786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345</xdr:row>
      <xdr:rowOff>0</xdr:rowOff>
    </xdr:from>
    <xdr:to>
      <xdr:col>71</xdr:col>
      <xdr:colOff>83820</xdr:colOff>
      <xdr:row>345</xdr:row>
      <xdr:rowOff>114300</xdr:rowOff>
    </xdr:to>
    <xdr:sp macro="" textlink="">
      <xdr:nvSpPr>
        <xdr:cNvPr id="2623" name="Arrow: Down 2622">
          <a:extLst>
            <a:ext uri="{FF2B5EF4-FFF2-40B4-BE49-F238E27FC236}">
              <a16:creationId xmlns:a16="http://schemas.microsoft.com/office/drawing/2014/main" id="{CCCE8DE9-F5C1-4667-B1BB-B0AA87C63F15}"/>
            </a:ext>
          </a:extLst>
        </xdr:cNvPr>
        <xdr:cNvSpPr/>
      </xdr:nvSpPr>
      <xdr:spPr>
        <a:xfrm>
          <a:off x="2134362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345</xdr:row>
      <xdr:rowOff>0</xdr:rowOff>
    </xdr:from>
    <xdr:to>
      <xdr:col>39</xdr:col>
      <xdr:colOff>83820</xdr:colOff>
      <xdr:row>345</xdr:row>
      <xdr:rowOff>114300</xdr:rowOff>
    </xdr:to>
    <xdr:sp macro="" textlink="">
      <xdr:nvSpPr>
        <xdr:cNvPr id="2625" name="Arrow: Down 2624">
          <a:extLst>
            <a:ext uri="{FF2B5EF4-FFF2-40B4-BE49-F238E27FC236}">
              <a16:creationId xmlns:a16="http://schemas.microsoft.com/office/drawing/2014/main" id="{4BDDAEE5-4F12-43BA-9F55-1258923A8720}"/>
            </a:ext>
          </a:extLst>
        </xdr:cNvPr>
        <xdr:cNvSpPr/>
      </xdr:nvSpPr>
      <xdr:spPr>
        <a:xfrm>
          <a:off x="11498580" y="6300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345</xdr:row>
      <xdr:rowOff>0</xdr:rowOff>
    </xdr:from>
    <xdr:to>
      <xdr:col>5</xdr:col>
      <xdr:colOff>83820</xdr:colOff>
      <xdr:row>345</xdr:row>
      <xdr:rowOff>114300</xdr:rowOff>
    </xdr:to>
    <xdr:sp macro="" textlink="">
      <xdr:nvSpPr>
        <xdr:cNvPr id="2626" name="Arrow: Down 2625">
          <a:extLst>
            <a:ext uri="{FF2B5EF4-FFF2-40B4-BE49-F238E27FC236}">
              <a16:creationId xmlns:a16="http://schemas.microsoft.com/office/drawing/2014/main" id="{29699986-82CC-4F36-95BC-48B31087B4A0}"/>
            </a:ext>
          </a:extLst>
        </xdr:cNvPr>
        <xdr:cNvSpPr/>
      </xdr:nvSpPr>
      <xdr:spPr>
        <a:xfrm>
          <a:off x="192786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345</xdr:row>
      <xdr:rowOff>0</xdr:rowOff>
    </xdr:from>
    <xdr:to>
      <xdr:col>11</xdr:col>
      <xdr:colOff>83820</xdr:colOff>
      <xdr:row>345</xdr:row>
      <xdr:rowOff>114300</xdr:rowOff>
    </xdr:to>
    <xdr:sp macro="" textlink="">
      <xdr:nvSpPr>
        <xdr:cNvPr id="2627" name="Arrow: Down 2626">
          <a:extLst>
            <a:ext uri="{FF2B5EF4-FFF2-40B4-BE49-F238E27FC236}">
              <a16:creationId xmlns:a16="http://schemas.microsoft.com/office/drawing/2014/main" id="{A52A1FB7-1919-448B-951A-29020C830924}"/>
            </a:ext>
          </a:extLst>
        </xdr:cNvPr>
        <xdr:cNvSpPr/>
      </xdr:nvSpPr>
      <xdr:spPr>
        <a:xfrm>
          <a:off x="369570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346</xdr:row>
      <xdr:rowOff>0</xdr:rowOff>
    </xdr:from>
    <xdr:to>
      <xdr:col>45</xdr:col>
      <xdr:colOff>83820</xdr:colOff>
      <xdr:row>346</xdr:row>
      <xdr:rowOff>114300</xdr:rowOff>
    </xdr:to>
    <xdr:sp macro="" textlink="">
      <xdr:nvSpPr>
        <xdr:cNvPr id="2636" name="Arrow: Down 2635">
          <a:extLst>
            <a:ext uri="{FF2B5EF4-FFF2-40B4-BE49-F238E27FC236}">
              <a16:creationId xmlns:a16="http://schemas.microsoft.com/office/drawing/2014/main" id="{430475F7-D547-4914-94CF-C29D4DD8734F}"/>
            </a:ext>
          </a:extLst>
        </xdr:cNvPr>
        <xdr:cNvSpPr/>
      </xdr:nvSpPr>
      <xdr:spPr>
        <a:xfrm rot="10800000">
          <a:off x="1335786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346</xdr:row>
      <xdr:rowOff>0</xdr:rowOff>
    </xdr:from>
    <xdr:to>
      <xdr:col>71</xdr:col>
      <xdr:colOff>83820</xdr:colOff>
      <xdr:row>346</xdr:row>
      <xdr:rowOff>114300</xdr:rowOff>
    </xdr:to>
    <xdr:sp macro="" textlink="">
      <xdr:nvSpPr>
        <xdr:cNvPr id="2637" name="Arrow: Down 2636">
          <a:extLst>
            <a:ext uri="{FF2B5EF4-FFF2-40B4-BE49-F238E27FC236}">
              <a16:creationId xmlns:a16="http://schemas.microsoft.com/office/drawing/2014/main" id="{BB080B39-2B59-4037-AADA-692F3945EEF8}"/>
            </a:ext>
          </a:extLst>
        </xdr:cNvPr>
        <xdr:cNvSpPr/>
      </xdr:nvSpPr>
      <xdr:spPr>
        <a:xfrm>
          <a:off x="2134362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346</xdr:row>
      <xdr:rowOff>0</xdr:rowOff>
    </xdr:from>
    <xdr:to>
      <xdr:col>5</xdr:col>
      <xdr:colOff>83820</xdr:colOff>
      <xdr:row>346</xdr:row>
      <xdr:rowOff>114300</xdr:rowOff>
    </xdr:to>
    <xdr:sp macro="" textlink="">
      <xdr:nvSpPr>
        <xdr:cNvPr id="2640" name="Arrow: Down 2639">
          <a:extLst>
            <a:ext uri="{FF2B5EF4-FFF2-40B4-BE49-F238E27FC236}">
              <a16:creationId xmlns:a16="http://schemas.microsoft.com/office/drawing/2014/main" id="{CFD45DF8-61F3-4513-82CD-5264D35651F0}"/>
            </a:ext>
          </a:extLst>
        </xdr:cNvPr>
        <xdr:cNvSpPr/>
      </xdr:nvSpPr>
      <xdr:spPr>
        <a:xfrm>
          <a:off x="192786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346</xdr:row>
      <xdr:rowOff>0</xdr:rowOff>
    </xdr:from>
    <xdr:to>
      <xdr:col>11</xdr:col>
      <xdr:colOff>83820</xdr:colOff>
      <xdr:row>346</xdr:row>
      <xdr:rowOff>114300</xdr:rowOff>
    </xdr:to>
    <xdr:sp macro="" textlink="">
      <xdr:nvSpPr>
        <xdr:cNvPr id="2641" name="Arrow: Down 2640">
          <a:extLst>
            <a:ext uri="{FF2B5EF4-FFF2-40B4-BE49-F238E27FC236}">
              <a16:creationId xmlns:a16="http://schemas.microsoft.com/office/drawing/2014/main" id="{2F902853-DFB7-47FF-A6CC-CE5F6EAA6AB0}"/>
            </a:ext>
          </a:extLst>
        </xdr:cNvPr>
        <xdr:cNvSpPr/>
      </xdr:nvSpPr>
      <xdr:spPr>
        <a:xfrm>
          <a:off x="369570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345</xdr:row>
      <xdr:rowOff>0</xdr:rowOff>
    </xdr:from>
    <xdr:to>
      <xdr:col>24</xdr:col>
      <xdr:colOff>83820</xdr:colOff>
      <xdr:row>345</xdr:row>
      <xdr:rowOff>114300</xdr:rowOff>
    </xdr:to>
    <xdr:sp macro="" textlink="">
      <xdr:nvSpPr>
        <xdr:cNvPr id="2643" name="Arrow: Down 2642">
          <a:extLst>
            <a:ext uri="{FF2B5EF4-FFF2-40B4-BE49-F238E27FC236}">
              <a16:creationId xmlns:a16="http://schemas.microsoft.com/office/drawing/2014/main" id="{A1E91CF3-41D0-449F-A79F-999B0485DB86}"/>
            </a:ext>
          </a:extLst>
        </xdr:cNvPr>
        <xdr:cNvSpPr/>
      </xdr:nvSpPr>
      <xdr:spPr>
        <a:xfrm>
          <a:off x="833628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346</xdr:row>
      <xdr:rowOff>0</xdr:rowOff>
    </xdr:from>
    <xdr:to>
      <xdr:col>24</xdr:col>
      <xdr:colOff>83820</xdr:colOff>
      <xdr:row>346</xdr:row>
      <xdr:rowOff>114300</xdr:rowOff>
    </xdr:to>
    <xdr:sp macro="" textlink="">
      <xdr:nvSpPr>
        <xdr:cNvPr id="2644" name="Arrow: Down 2643">
          <a:extLst>
            <a:ext uri="{FF2B5EF4-FFF2-40B4-BE49-F238E27FC236}">
              <a16:creationId xmlns:a16="http://schemas.microsoft.com/office/drawing/2014/main" id="{86503D35-9B0B-4A5D-BD73-706F412B6A7D}"/>
            </a:ext>
          </a:extLst>
        </xdr:cNvPr>
        <xdr:cNvSpPr/>
      </xdr:nvSpPr>
      <xdr:spPr>
        <a:xfrm>
          <a:off x="833628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346</xdr:row>
      <xdr:rowOff>0</xdr:rowOff>
    </xdr:from>
    <xdr:to>
      <xdr:col>39</xdr:col>
      <xdr:colOff>83820</xdr:colOff>
      <xdr:row>346</xdr:row>
      <xdr:rowOff>114300</xdr:rowOff>
    </xdr:to>
    <xdr:sp macro="" textlink="">
      <xdr:nvSpPr>
        <xdr:cNvPr id="2646" name="Arrow: Down 2645">
          <a:extLst>
            <a:ext uri="{FF2B5EF4-FFF2-40B4-BE49-F238E27FC236}">
              <a16:creationId xmlns:a16="http://schemas.microsoft.com/office/drawing/2014/main" id="{7D1B2EA7-E7CB-484D-A7A1-42A02F45C9B9}"/>
            </a:ext>
          </a:extLst>
        </xdr:cNvPr>
        <xdr:cNvSpPr/>
      </xdr:nvSpPr>
      <xdr:spPr>
        <a:xfrm rot="10800000">
          <a:off x="1149858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345</xdr:row>
      <xdr:rowOff>0</xdr:rowOff>
    </xdr:from>
    <xdr:to>
      <xdr:col>60</xdr:col>
      <xdr:colOff>83820</xdr:colOff>
      <xdr:row>345</xdr:row>
      <xdr:rowOff>114300</xdr:rowOff>
    </xdr:to>
    <xdr:sp macro="" textlink="">
      <xdr:nvSpPr>
        <xdr:cNvPr id="2647" name="Arrow: Down 2646">
          <a:extLst>
            <a:ext uri="{FF2B5EF4-FFF2-40B4-BE49-F238E27FC236}">
              <a16:creationId xmlns:a16="http://schemas.microsoft.com/office/drawing/2014/main" id="{44FE1FA0-1754-4310-B8CE-8F5CC5C0A0DF}"/>
            </a:ext>
          </a:extLst>
        </xdr:cNvPr>
        <xdr:cNvSpPr/>
      </xdr:nvSpPr>
      <xdr:spPr>
        <a:xfrm>
          <a:off x="1891284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346</xdr:row>
      <xdr:rowOff>0</xdr:rowOff>
    </xdr:from>
    <xdr:to>
      <xdr:col>60</xdr:col>
      <xdr:colOff>83820</xdr:colOff>
      <xdr:row>346</xdr:row>
      <xdr:rowOff>114300</xdr:rowOff>
    </xdr:to>
    <xdr:sp macro="" textlink="">
      <xdr:nvSpPr>
        <xdr:cNvPr id="2649" name="Arrow: Down 2648">
          <a:extLst>
            <a:ext uri="{FF2B5EF4-FFF2-40B4-BE49-F238E27FC236}">
              <a16:creationId xmlns:a16="http://schemas.microsoft.com/office/drawing/2014/main" id="{6A42352B-98D9-48B5-A6A4-0D92401D517D}"/>
            </a:ext>
          </a:extLst>
        </xdr:cNvPr>
        <xdr:cNvSpPr/>
      </xdr:nvSpPr>
      <xdr:spPr>
        <a:xfrm>
          <a:off x="1891284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347</xdr:row>
      <xdr:rowOff>0</xdr:rowOff>
    </xdr:from>
    <xdr:to>
      <xdr:col>45</xdr:col>
      <xdr:colOff>83820</xdr:colOff>
      <xdr:row>347</xdr:row>
      <xdr:rowOff>114300</xdr:rowOff>
    </xdr:to>
    <xdr:sp macro="" textlink="">
      <xdr:nvSpPr>
        <xdr:cNvPr id="2657" name="Arrow: Down 2656">
          <a:extLst>
            <a:ext uri="{FF2B5EF4-FFF2-40B4-BE49-F238E27FC236}">
              <a16:creationId xmlns:a16="http://schemas.microsoft.com/office/drawing/2014/main" id="{19DA81E8-EBC5-4011-9C82-47F3E363040F}"/>
            </a:ext>
          </a:extLst>
        </xdr:cNvPr>
        <xdr:cNvSpPr/>
      </xdr:nvSpPr>
      <xdr:spPr>
        <a:xfrm rot="10800000">
          <a:off x="1335786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347</xdr:row>
      <xdr:rowOff>0</xdr:rowOff>
    </xdr:from>
    <xdr:to>
      <xdr:col>71</xdr:col>
      <xdr:colOff>83820</xdr:colOff>
      <xdr:row>347</xdr:row>
      <xdr:rowOff>114300</xdr:rowOff>
    </xdr:to>
    <xdr:sp macro="" textlink="">
      <xdr:nvSpPr>
        <xdr:cNvPr id="2658" name="Arrow: Down 2657">
          <a:extLst>
            <a:ext uri="{FF2B5EF4-FFF2-40B4-BE49-F238E27FC236}">
              <a16:creationId xmlns:a16="http://schemas.microsoft.com/office/drawing/2014/main" id="{CAB0B786-D02B-49EB-910D-B85441027932}"/>
            </a:ext>
          </a:extLst>
        </xdr:cNvPr>
        <xdr:cNvSpPr/>
      </xdr:nvSpPr>
      <xdr:spPr>
        <a:xfrm>
          <a:off x="2134362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347</xdr:row>
      <xdr:rowOff>0</xdr:rowOff>
    </xdr:from>
    <xdr:to>
      <xdr:col>5</xdr:col>
      <xdr:colOff>83820</xdr:colOff>
      <xdr:row>347</xdr:row>
      <xdr:rowOff>114300</xdr:rowOff>
    </xdr:to>
    <xdr:sp macro="" textlink="">
      <xdr:nvSpPr>
        <xdr:cNvPr id="2659" name="Arrow: Down 2658">
          <a:extLst>
            <a:ext uri="{FF2B5EF4-FFF2-40B4-BE49-F238E27FC236}">
              <a16:creationId xmlns:a16="http://schemas.microsoft.com/office/drawing/2014/main" id="{DAAEDA01-2975-4998-8F62-614CDFB17B99}"/>
            </a:ext>
          </a:extLst>
        </xdr:cNvPr>
        <xdr:cNvSpPr/>
      </xdr:nvSpPr>
      <xdr:spPr>
        <a:xfrm>
          <a:off x="192786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347</xdr:row>
      <xdr:rowOff>0</xdr:rowOff>
    </xdr:from>
    <xdr:to>
      <xdr:col>11</xdr:col>
      <xdr:colOff>83820</xdr:colOff>
      <xdr:row>347</xdr:row>
      <xdr:rowOff>114300</xdr:rowOff>
    </xdr:to>
    <xdr:sp macro="" textlink="">
      <xdr:nvSpPr>
        <xdr:cNvPr id="2660" name="Arrow: Down 2659">
          <a:extLst>
            <a:ext uri="{FF2B5EF4-FFF2-40B4-BE49-F238E27FC236}">
              <a16:creationId xmlns:a16="http://schemas.microsoft.com/office/drawing/2014/main" id="{8D884537-8CCF-4410-BE24-6C1A8F3DE889}"/>
            </a:ext>
          </a:extLst>
        </xdr:cNvPr>
        <xdr:cNvSpPr/>
      </xdr:nvSpPr>
      <xdr:spPr>
        <a:xfrm>
          <a:off x="369570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347</xdr:row>
      <xdr:rowOff>0</xdr:rowOff>
    </xdr:from>
    <xdr:to>
      <xdr:col>24</xdr:col>
      <xdr:colOff>83820</xdr:colOff>
      <xdr:row>347</xdr:row>
      <xdr:rowOff>114300</xdr:rowOff>
    </xdr:to>
    <xdr:sp macro="" textlink="">
      <xdr:nvSpPr>
        <xdr:cNvPr id="2661" name="Arrow: Down 2660">
          <a:extLst>
            <a:ext uri="{FF2B5EF4-FFF2-40B4-BE49-F238E27FC236}">
              <a16:creationId xmlns:a16="http://schemas.microsoft.com/office/drawing/2014/main" id="{90BE1932-69C5-4724-8436-26A48578A3CF}"/>
            </a:ext>
          </a:extLst>
        </xdr:cNvPr>
        <xdr:cNvSpPr/>
      </xdr:nvSpPr>
      <xdr:spPr>
        <a:xfrm>
          <a:off x="833628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347</xdr:row>
      <xdr:rowOff>0</xdr:rowOff>
    </xdr:from>
    <xdr:to>
      <xdr:col>39</xdr:col>
      <xdr:colOff>83820</xdr:colOff>
      <xdr:row>347</xdr:row>
      <xdr:rowOff>114300</xdr:rowOff>
    </xdr:to>
    <xdr:sp macro="" textlink="">
      <xdr:nvSpPr>
        <xdr:cNvPr id="2664" name="Arrow: Down 2663">
          <a:extLst>
            <a:ext uri="{FF2B5EF4-FFF2-40B4-BE49-F238E27FC236}">
              <a16:creationId xmlns:a16="http://schemas.microsoft.com/office/drawing/2014/main" id="{1ED04152-6597-4C5E-9B14-A94F4D0508C8}"/>
            </a:ext>
          </a:extLst>
        </xdr:cNvPr>
        <xdr:cNvSpPr/>
      </xdr:nvSpPr>
      <xdr:spPr>
        <a:xfrm>
          <a:off x="11498580" y="6355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347</xdr:row>
      <xdr:rowOff>0</xdr:rowOff>
    </xdr:from>
    <xdr:to>
      <xdr:col>60</xdr:col>
      <xdr:colOff>83820</xdr:colOff>
      <xdr:row>347</xdr:row>
      <xdr:rowOff>114300</xdr:rowOff>
    </xdr:to>
    <xdr:sp macro="" textlink="">
      <xdr:nvSpPr>
        <xdr:cNvPr id="2665" name="Arrow: Down 2664">
          <a:extLst>
            <a:ext uri="{FF2B5EF4-FFF2-40B4-BE49-F238E27FC236}">
              <a16:creationId xmlns:a16="http://schemas.microsoft.com/office/drawing/2014/main" id="{0C5F5EEA-0694-4A9D-A0A0-C22817813D89}"/>
            </a:ext>
          </a:extLst>
        </xdr:cNvPr>
        <xdr:cNvSpPr/>
      </xdr:nvSpPr>
      <xdr:spPr>
        <a:xfrm rot="10800000">
          <a:off x="18912840" y="6355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348</xdr:row>
      <xdr:rowOff>0</xdr:rowOff>
    </xdr:from>
    <xdr:to>
      <xdr:col>45</xdr:col>
      <xdr:colOff>83820</xdr:colOff>
      <xdr:row>348</xdr:row>
      <xdr:rowOff>114300</xdr:rowOff>
    </xdr:to>
    <xdr:sp macro="" textlink="">
      <xdr:nvSpPr>
        <xdr:cNvPr id="2666" name="Arrow: Down 2665">
          <a:extLst>
            <a:ext uri="{FF2B5EF4-FFF2-40B4-BE49-F238E27FC236}">
              <a16:creationId xmlns:a16="http://schemas.microsoft.com/office/drawing/2014/main" id="{62B0177D-7362-4CB9-B5A2-218066BD9384}"/>
            </a:ext>
          </a:extLst>
        </xdr:cNvPr>
        <xdr:cNvSpPr/>
      </xdr:nvSpPr>
      <xdr:spPr>
        <a:xfrm rot="10800000">
          <a:off x="13357860" y="6355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348</xdr:row>
      <xdr:rowOff>0</xdr:rowOff>
    </xdr:from>
    <xdr:to>
      <xdr:col>71</xdr:col>
      <xdr:colOff>83820</xdr:colOff>
      <xdr:row>348</xdr:row>
      <xdr:rowOff>114300</xdr:rowOff>
    </xdr:to>
    <xdr:sp macro="" textlink="">
      <xdr:nvSpPr>
        <xdr:cNvPr id="2667" name="Arrow: Down 2666">
          <a:extLst>
            <a:ext uri="{FF2B5EF4-FFF2-40B4-BE49-F238E27FC236}">
              <a16:creationId xmlns:a16="http://schemas.microsoft.com/office/drawing/2014/main" id="{CE9432FA-6E9D-471B-BF25-09553079AA54}"/>
            </a:ext>
          </a:extLst>
        </xdr:cNvPr>
        <xdr:cNvSpPr/>
      </xdr:nvSpPr>
      <xdr:spPr>
        <a:xfrm>
          <a:off x="21343620" y="6355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348</xdr:row>
      <xdr:rowOff>0</xdr:rowOff>
    </xdr:from>
    <xdr:to>
      <xdr:col>60</xdr:col>
      <xdr:colOff>83820</xdr:colOff>
      <xdr:row>348</xdr:row>
      <xdr:rowOff>114300</xdr:rowOff>
    </xdr:to>
    <xdr:sp macro="" textlink="">
      <xdr:nvSpPr>
        <xdr:cNvPr id="2674" name="Arrow: Down 2673">
          <a:extLst>
            <a:ext uri="{FF2B5EF4-FFF2-40B4-BE49-F238E27FC236}">
              <a16:creationId xmlns:a16="http://schemas.microsoft.com/office/drawing/2014/main" id="{4F848CB1-6C3E-40AB-B72B-0E484C56A1E7}"/>
            </a:ext>
          </a:extLst>
        </xdr:cNvPr>
        <xdr:cNvSpPr/>
      </xdr:nvSpPr>
      <xdr:spPr>
        <a:xfrm>
          <a:off x="18912840" y="6374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348</xdr:row>
      <xdr:rowOff>0</xdr:rowOff>
    </xdr:from>
    <xdr:to>
      <xdr:col>39</xdr:col>
      <xdr:colOff>83820</xdr:colOff>
      <xdr:row>348</xdr:row>
      <xdr:rowOff>114300</xdr:rowOff>
    </xdr:to>
    <xdr:sp macro="" textlink="">
      <xdr:nvSpPr>
        <xdr:cNvPr id="2677" name="Arrow: Down 2676">
          <a:extLst>
            <a:ext uri="{FF2B5EF4-FFF2-40B4-BE49-F238E27FC236}">
              <a16:creationId xmlns:a16="http://schemas.microsoft.com/office/drawing/2014/main" id="{AE0E1A94-7E2D-4AAD-9FA1-942592837035}"/>
            </a:ext>
          </a:extLst>
        </xdr:cNvPr>
        <xdr:cNvSpPr/>
      </xdr:nvSpPr>
      <xdr:spPr>
        <a:xfrm>
          <a:off x="114985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348</xdr:row>
      <xdr:rowOff>0</xdr:rowOff>
    </xdr:from>
    <xdr:to>
      <xdr:col>24</xdr:col>
      <xdr:colOff>83820</xdr:colOff>
      <xdr:row>348</xdr:row>
      <xdr:rowOff>114300</xdr:rowOff>
    </xdr:to>
    <xdr:sp macro="" textlink="">
      <xdr:nvSpPr>
        <xdr:cNvPr id="2679" name="Arrow: Down 2678">
          <a:extLst>
            <a:ext uri="{FF2B5EF4-FFF2-40B4-BE49-F238E27FC236}">
              <a16:creationId xmlns:a16="http://schemas.microsoft.com/office/drawing/2014/main" id="{E01DA714-FE83-4D37-8468-A94E80AA3FDE}"/>
            </a:ext>
          </a:extLst>
        </xdr:cNvPr>
        <xdr:cNvSpPr/>
      </xdr:nvSpPr>
      <xdr:spPr>
        <a:xfrm rot="10800000">
          <a:off x="83362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348</xdr:row>
      <xdr:rowOff>0</xdr:rowOff>
    </xdr:from>
    <xdr:to>
      <xdr:col>11</xdr:col>
      <xdr:colOff>83820</xdr:colOff>
      <xdr:row>348</xdr:row>
      <xdr:rowOff>114300</xdr:rowOff>
    </xdr:to>
    <xdr:sp macro="" textlink="">
      <xdr:nvSpPr>
        <xdr:cNvPr id="2680" name="Arrow: Down 2679">
          <a:extLst>
            <a:ext uri="{FF2B5EF4-FFF2-40B4-BE49-F238E27FC236}">
              <a16:creationId xmlns:a16="http://schemas.microsoft.com/office/drawing/2014/main" id="{0B9159CF-3845-43CC-AEF5-CACA7B684D65}"/>
            </a:ext>
          </a:extLst>
        </xdr:cNvPr>
        <xdr:cNvSpPr/>
      </xdr:nvSpPr>
      <xdr:spPr>
        <a:xfrm rot="10800000">
          <a:off x="369570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348</xdr:row>
      <xdr:rowOff>0</xdr:rowOff>
    </xdr:from>
    <xdr:to>
      <xdr:col>5</xdr:col>
      <xdr:colOff>83820</xdr:colOff>
      <xdr:row>348</xdr:row>
      <xdr:rowOff>114300</xdr:rowOff>
    </xdr:to>
    <xdr:sp macro="" textlink="">
      <xdr:nvSpPr>
        <xdr:cNvPr id="2681" name="Arrow: Down 2680">
          <a:extLst>
            <a:ext uri="{FF2B5EF4-FFF2-40B4-BE49-F238E27FC236}">
              <a16:creationId xmlns:a16="http://schemas.microsoft.com/office/drawing/2014/main" id="{B694823D-AA3B-4D4F-9AEC-552482BB3F4D}"/>
            </a:ext>
          </a:extLst>
        </xdr:cNvPr>
        <xdr:cNvSpPr/>
      </xdr:nvSpPr>
      <xdr:spPr>
        <a:xfrm rot="10800000">
          <a:off x="192786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349</xdr:row>
      <xdr:rowOff>0</xdr:rowOff>
    </xdr:from>
    <xdr:to>
      <xdr:col>45</xdr:col>
      <xdr:colOff>83820</xdr:colOff>
      <xdr:row>349</xdr:row>
      <xdr:rowOff>114300</xdr:rowOff>
    </xdr:to>
    <xdr:sp macro="" textlink="">
      <xdr:nvSpPr>
        <xdr:cNvPr id="2682" name="Arrow: Down 2681">
          <a:extLst>
            <a:ext uri="{FF2B5EF4-FFF2-40B4-BE49-F238E27FC236}">
              <a16:creationId xmlns:a16="http://schemas.microsoft.com/office/drawing/2014/main" id="{A19F81A3-0744-47EB-973D-C6076F857798}"/>
            </a:ext>
          </a:extLst>
        </xdr:cNvPr>
        <xdr:cNvSpPr/>
      </xdr:nvSpPr>
      <xdr:spPr>
        <a:xfrm rot="10800000">
          <a:off x="13357860" y="6374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349</xdr:row>
      <xdr:rowOff>0</xdr:rowOff>
    </xdr:from>
    <xdr:to>
      <xdr:col>71</xdr:col>
      <xdr:colOff>83820</xdr:colOff>
      <xdr:row>349</xdr:row>
      <xdr:rowOff>114300</xdr:rowOff>
    </xdr:to>
    <xdr:sp macro="" textlink="">
      <xdr:nvSpPr>
        <xdr:cNvPr id="2683" name="Arrow: Down 2682">
          <a:extLst>
            <a:ext uri="{FF2B5EF4-FFF2-40B4-BE49-F238E27FC236}">
              <a16:creationId xmlns:a16="http://schemas.microsoft.com/office/drawing/2014/main" id="{08A8284E-EAAB-4492-9E40-C9498B1002AB}"/>
            </a:ext>
          </a:extLst>
        </xdr:cNvPr>
        <xdr:cNvSpPr/>
      </xdr:nvSpPr>
      <xdr:spPr>
        <a:xfrm>
          <a:off x="21343620" y="6374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349</xdr:row>
      <xdr:rowOff>0</xdr:rowOff>
    </xdr:from>
    <xdr:to>
      <xdr:col>39</xdr:col>
      <xdr:colOff>83820</xdr:colOff>
      <xdr:row>349</xdr:row>
      <xdr:rowOff>114300</xdr:rowOff>
    </xdr:to>
    <xdr:sp macro="" textlink="">
      <xdr:nvSpPr>
        <xdr:cNvPr id="2685" name="Arrow: Down 2684">
          <a:extLst>
            <a:ext uri="{FF2B5EF4-FFF2-40B4-BE49-F238E27FC236}">
              <a16:creationId xmlns:a16="http://schemas.microsoft.com/office/drawing/2014/main" id="{EF71EDB0-8CC3-4A49-BAA9-681AE0D6CDD6}"/>
            </a:ext>
          </a:extLst>
        </xdr:cNvPr>
        <xdr:cNvSpPr/>
      </xdr:nvSpPr>
      <xdr:spPr>
        <a:xfrm>
          <a:off x="114985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349</xdr:row>
      <xdr:rowOff>0</xdr:rowOff>
    </xdr:from>
    <xdr:to>
      <xdr:col>24</xdr:col>
      <xdr:colOff>83820</xdr:colOff>
      <xdr:row>349</xdr:row>
      <xdr:rowOff>114300</xdr:rowOff>
    </xdr:to>
    <xdr:sp macro="" textlink="">
      <xdr:nvSpPr>
        <xdr:cNvPr id="2686" name="Arrow: Down 2685">
          <a:extLst>
            <a:ext uri="{FF2B5EF4-FFF2-40B4-BE49-F238E27FC236}">
              <a16:creationId xmlns:a16="http://schemas.microsoft.com/office/drawing/2014/main" id="{C6ADA13A-B17C-4384-B99C-AE483ECFDD27}"/>
            </a:ext>
          </a:extLst>
        </xdr:cNvPr>
        <xdr:cNvSpPr/>
      </xdr:nvSpPr>
      <xdr:spPr>
        <a:xfrm rot="10800000">
          <a:off x="83362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349</xdr:row>
      <xdr:rowOff>0</xdr:rowOff>
    </xdr:from>
    <xdr:to>
      <xdr:col>11</xdr:col>
      <xdr:colOff>83820</xdr:colOff>
      <xdr:row>349</xdr:row>
      <xdr:rowOff>114300</xdr:rowOff>
    </xdr:to>
    <xdr:sp macro="" textlink="">
      <xdr:nvSpPr>
        <xdr:cNvPr id="2687" name="Arrow: Down 2686">
          <a:extLst>
            <a:ext uri="{FF2B5EF4-FFF2-40B4-BE49-F238E27FC236}">
              <a16:creationId xmlns:a16="http://schemas.microsoft.com/office/drawing/2014/main" id="{D2F1CE58-3793-4F07-A82B-2E5B72CF11E2}"/>
            </a:ext>
          </a:extLst>
        </xdr:cNvPr>
        <xdr:cNvSpPr/>
      </xdr:nvSpPr>
      <xdr:spPr>
        <a:xfrm rot="10800000">
          <a:off x="369570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349</xdr:row>
      <xdr:rowOff>0</xdr:rowOff>
    </xdr:from>
    <xdr:to>
      <xdr:col>5</xdr:col>
      <xdr:colOff>83820</xdr:colOff>
      <xdr:row>349</xdr:row>
      <xdr:rowOff>114300</xdr:rowOff>
    </xdr:to>
    <xdr:sp macro="" textlink="">
      <xdr:nvSpPr>
        <xdr:cNvPr id="2688" name="Arrow: Down 2687">
          <a:extLst>
            <a:ext uri="{FF2B5EF4-FFF2-40B4-BE49-F238E27FC236}">
              <a16:creationId xmlns:a16="http://schemas.microsoft.com/office/drawing/2014/main" id="{0D5F5198-FB76-4FF0-8AE0-7C2D5434BE54}"/>
            </a:ext>
          </a:extLst>
        </xdr:cNvPr>
        <xdr:cNvSpPr/>
      </xdr:nvSpPr>
      <xdr:spPr>
        <a:xfrm rot="10800000">
          <a:off x="192786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349</xdr:row>
      <xdr:rowOff>0</xdr:rowOff>
    </xdr:from>
    <xdr:to>
      <xdr:col>60</xdr:col>
      <xdr:colOff>83820</xdr:colOff>
      <xdr:row>349</xdr:row>
      <xdr:rowOff>114300</xdr:rowOff>
    </xdr:to>
    <xdr:sp macro="" textlink="">
      <xdr:nvSpPr>
        <xdr:cNvPr id="2689" name="Arrow: Down 2688">
          <a:extLst>
            <a:ext uri="{FF2B5EF4-FFF2-40B4-BE49-F238E27FC236}">
              <a16:creationId xmlns:a16="http://schemas.microsoft.com/office/drawing/2014/main" id="{9DC09B18-2AB0-458E-AF04-64AD85A2FBE8}"/>
            </a:ext>
          </a:extLst>
        </xdr:cNvPr>
        <xdr:cNvSpPr/>
      </xdr:nvSpPr>
      <xdr:spPr>
        <a:xfrm rot="10800000">
          <a:off x="1891284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350</xdr:row>
      <xdr:rowOff>0</xdr:rowOff>
    </xdr:from>
    <xdr:to>
      <xdr:col>45</xdr:col>
      <xdr:colOff>83820</xdr:colOff>
      <xdr:row>350</xdr:row>
      <xdr:rowOff>114300</xdr:rowOff>
    </xdr:to>
    <xdr:sp macro="" textlink="">
      <xdr:nvSpPr>
        <xdr:cNvPr id="2690" name="Arrow: Down 2689">
          <a:extLst>
            <a:ext uri="{FF2B5EF4-FFF2-40B4-BE49-F238E27FC236}">
              <a16:creationId xmlns:a16="http://schemas.microsoft.com/office/drawing/2014/main" id="{783915B4-2360-449D-86FB-CDEE95A10838}"/>
            </a:ext>
          </a:extLst>
        </xdr:cNvPr>
        <xdr:cNvSpPr/>
      </xdr:nvSpPr>
      <xdr:spPr>
        <a:xfrm rot="10800000">
          <a:off x="13357860" y="6392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350</xdr:row>
      <xdr:rowOff>0</xdr:rowOff>
    </xdr:from>
    <xdr:to>
      <xdr:col>24</xdr:col>
      <xdr:colOff>83820</xdr:colOff>
      <xdr:row>350</xdr:row>
      <xdr:rowOff>114300</xdr:rowOff>
    </xdr:to>
    <xdr:sp macro="" textlink="">
      <xdr:nvSpPr>
        <xdr:cNvPr id="2693" name="Arrow: Down 2692">
          <a:extLst>
            <a:ext uri="{FF2B5EF4-FFF2-40B4-BE49-F238E27FC236}">
              <a16:creationId xmlns:a16="http://schemas.microsoft.com/office/drawing/2014/main" id="{D053729B-05A8-4B97-897F-9958C6A7BD4A}"/>
            </a:ext>
          </a:extLst>
        </xdr:cNvPr>
        <xdr:cNvSpPr/>
      </xdr:nvSpPr>
      <xdr:spPr>
        <a:xfrm rot="10800000">
          <a:off x="833628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350</xdr:row>
      <xdr:rowOff>0</xdr:rowOff>
    </xdr:from>
    <xdr:to>
      <xdr:col>11</xdr:col>
      <xdr:colOff>83820</xdr:colOff>
      <xdr:row>350</xdr:row>
      <xdr:rowOff>114300</xdr:rowOff>
    </xdr:to>
    <xdr:sp macro="" textlink="">
      <xdr:nvSpPr>
        <xdr:cNvPr id="2694" name="Arrow: Down 2693">
          <a:extLst>
            <a:ext uri="{FF2B5EF4-FFF2-40B4-BE49-F238E27FC236}">
              <a16:creationId xmlns:a16="http://schemas.microsoft.com/office/drawing/2014/main" id="{B214EC7A-F60D-4B55-9FD1-E71FE5739524}"/>
            </a:ext>
          </a:extLst>
        </xdr:cNvPr>
        <xdr:cNvSpPr/>
      </xdr:nvSpPr>
      <xdr:spPr>
        <a:xfrm rot="10800000">
          <a:off x="369570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350</xdr:row>
      <xdr:rowOff>0</xdr:rowOff>
    </xdr:from>
    <xdr:to>
      <xdr:col>5</xdr:col>
      <xdr:colOff>83820</xdr:colOff>
      <xdr:row>350</xdr:row>
      <xdr:rowOff>114300</xdr:rowOff>
    </xdr:to>
    <xdr:sp macro="" textlink="">
      <xdr:nvSpPr>
        <xdr:cNvPr id="2695" name="Arrow: Down 2694">
          <a:extLst>
            <a:ext uri="{FF2B5EF4-FFF2-40B4-BE49-F238E27FC236}">
              <a16:creationId xmlns:a16="http://schemas.microsoft.com/office/drawing/2014/main" id="{29B54B2F-D2C9-4C32-AA07-044EFCE4CF3D}"/>
            </a:ext>
          </a:extLst>
        </xdr:cNvPr>
        <xdr:cNvSpPr/>
      </xdr:nvSpPr>
      <xdr:spPr>
        <a:xfrm rot="10800000">
          <a:off x="192786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350</xdr:row>
      <xdr:rowOff>0</xdr:rowOff>
    </xdr:from>
    <xdr:to>
      <xdr:col>39</xdr:col>
      <xdr:colOff>83820</xdr:colOff>
      <xdr:row>350</xdr:row>
      <xdr:rowOff>114300</xdr:rowOff>
    </xdr:to>
    <xdr:sp macro="" textlink="">
      <xdr:nvSpPr>
        <xdr:cNvPr id="2697" name="Arrow: Down 2696">
          <a:extLst>
            <a:ext uri="{FF2B5EF4-FFF2-40B4-BE49-F238E27FC236}">
              <a16:creationId xmlns:a16="http://schemas.microsoft.com/office/drawing/2014/main" id="{B148B2C7-61A9-44D3-973F-6F0D0A56997F}"/>
            </a:ext>
          </a:extLst>
        </xdr:cNvPr>
        <xdr:cNvSpPr/>
      </xdr:nvSpPr>
      <xdr:spPr>
        <a:xfrm rot="10800000">
          <a:off x="1149858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350</xdr:row>
      <xdr:rowOff>0</xdr:rowOff>
    </xdr:from>
    <xdr:to>
      <xdr:col>60</xdr:col>
      <xdr:colOff>83820</xdr:colOff>
      <xdr:row>350</xdr:row>
      <xdr:rowOff>114300</xdr:rowOff>
    </xdr:to>
    <xdr:sp macro="" textlink="">
      <xdr:nvSpPr>
        <xdr:cNvPr id="2699" name="Arrow: Down 2698">
          <a:extLst>
            <a:ext uri="{FF2B5EF4-FFF2-40B4-BE49-F238E27FC236}">
              <a16:creationId xmlns:a16="http://schemas.microsoft.com/office/drawing/2014/main" id="{2D8A3748-E8BD-4D49-A217-B6B358D963D1}"/>
            </a:ext>
          </a:extLst>
        </xdr:cNvPr>
        <xdr:cNvSpPr/>
      </xdr:nvSpPr>
      <xdr:spPr>
        <a:xfrm>
          <a:off x="1891284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350</xdr:row>
      <xdr:rowOff>0</xdr:rowOff>
    </xdr:from>
    <xdr:to>
      <xdr:col>71</xdr:col>
      <xdr:colOff>83820</xdr:colOff>
      <xdr:row>350</xdr:row>
      <xdr:rowOff>114300</xdr:rowOff>
    </xdr:to>
    <xdr:sp macro="" textlink="">
      <xdr:nvSpPr>
        <xdr:cNvPr id="2700" name="Arrow: Down 2699">
          <a:extLst>
            <a:ext uri="{FF2B5EF4-FFF2-40B4-BE49-F238E27FC236}">
              <a16:creationId xmlns:a16="http://schemas.microsoft.com/office/drawing/2014/main" id="{99B10A1A-91B6-43DB-888C-F5D139967666}"/>
            </a:ext>
          </a:extLst>
        </xdr:cNvPr>
        <xdr:cNvSpPr/>
      </xdr:nvSpPr>
      <xdr:spPr>
        <a:xfrm rot="10800000">
          <a:off x="21343620" y="6410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351</xdr:row>
      <xdr:rowOff>0</xdr:rowOff>
    </xdr:from>
    <xdr:to>
      <xdr:col>45</xdr:col>
      <xdr:colOff>83820</xdr:colOff>
      <xdr:row>351</xdr:row>
      <xdr:rowOff>114300</xdr:rowOff>
    </xdr:to>
    <xdr:sp macro="" textlink="">
      <xdr:nvSpPr>
        <xdr:cNvPr id="2701" name="Arrow: Down 2700">
          <a:extLst>
            <a:ext uri="{FF2B5EF4-FFF2-40B4-BE49-F238E27FC236}">
              <a16:creationId xmlns:a16="http://schemas.microsoft.com/office/drawing/2014/main" id="{F86A7A44-7CD0-4029-BFDE-6A9F37B5BAA0}"/>
            </a:ext>
          </a:extLst>
        </xdr:cNvPr>
        <xdr:cNvSpPr/>
      </xdr:nvSpPr>
      <xdr:spPr>
        <a:xfrm rot="10800000">
          <a:off x="1335786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351</xdr:row>
      <xdr:rowOff>0</xdr:rowOff>
    </xdr:from>
    <xdr:to>
      <xdr:col>11</xdr:col>
      <xdr:colOff>83820</xdr:colOff>
      <xdr:row>351</xdr:row>
      <xdr:rowOff>114300</xdr:rowOff>
    </xdr:to>
    <xdr:sp macro="" textlink="">
      <xdr:nvSpPr>
        <xdr:cNvPr id="2703" name="Arrow: Down 2702">
          <a:extLst>
            <a:ext uri="{FF2B5EF4-FFF2-40B4-BE49-F238E27FC236}">
              <a16:creationId xmlns:a16="http://schemas.microsoft.com/office/drawing/2014/main" id="{D5500501-4222-4C24-888F-53B3F751BC38}"/>
            </a:ext>
          </a:extLst>
        </xdr:cNvPr>
        <xdr:cNvSpPr/>
      </xdr:nvSpPr>
      <xdr:spPr>
        <a:xfrm rot="10800000">
          <a:off x="3695700" y="6410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351</xdr:row>
      <xdr:rowOff>0</xdr:rowOff>
    </xdr:from>
    <xdr:to>
      <xdr:col>5</xdr:col>
      <xdr:colOff>83820</xdr:colOff>
      <xdr:row>351</xdr:row>
      <xdr:rowOff>114300</xdr:rowOff>
    </xdr:to>
    <xdr:sp macro="" textlink="">
      <xdr:nvSpPr>
        <xdr:cNvPr id="2704" name="Arrow: Down 2703">
          <a:extLst>
            <a:ext uri="{FF2B5EF4-FFF2-40B4-BE49-F238E27FC236}">
              <a16:creationId xmlns:a16="http://schemas.microsoft.com/office/drawing/2014/main" id="{F116FD69-62F5-4EFB-ACED-B1A30544FFA0}"/>
            </a:ext>
          </a:extLst>
        </xdr:cNvPr>
        <xdr:cNvSpPr/>
      </xdr:nvSpPr>
      <xdr:spPr>
        <a:xfrm rot="10800000">
          <a:off x="1927860" y="6410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351</xdr:row>
      <xdr:rowOff>0</xdr:rowOff>
    </xdr:from>
    <xdr:to>
      <xdr:col>60</xdr:col>
      <xdr:colOff>83820</xdr:colOff>
      <xdr:row>351</xdr:row>
      <xdr:rowOff>114300</xdr:rowOff>
    </xdr:to>
    <xdr:sp macro="" textlink="">
      <xdr:nvSpPr>
        <xdr:cNvPr id="2706" name="Arrow: Down 2705">
          <a:extLst>
            <a:ext uri="{FF2B5EF4-FFF2-40B4-BE49-F238E27FC236}">
              <a16:creationId xmlns:a16="http://schemas.microsoft.com/office/drawing/2014/main" id="{D632BB57-96BB-4939-A016-A219EB5425B3}"/>
            </a:ext>
          </a:extLst>
        </xdr:cNvPr>
        <xdr:cNvSpPr/>
      </xdr:nvSpPr>
      <xdr:spPr>
        <a:xfrm>
          <a:off x="1891284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351</xdr:row>
      <xdr:rowOff>0</xdr:rowOff>
    </xdr:from>
    <xdr:to>
      <xdr:col>71</xdr:col>
      <xdr:colOff>83820</xdr:colOff>
      <xdr:row>351</xdr:row>
      <xdr:rowOff>114300</xdr:rowOff>
    </xdr:to>
    <xdr:sp macro="" textlink="">
      <xdr:nvSpPr>
        <xdr:cNvPr id="2708" name="Arrow: Down 2707">
          <a:extLst>
            <a:ext uri="{FF2B5EF4-FFF2-40B4-BE49-F238E27FC236}">
              <a16:creationId xmlns:a16="http://schemas.microsoft.com/office/drawing/2014/main" id="{A277ED5A-7225-4266-B93F-CCCFA126230D}"/>
            </a:ext>
          </a:extLst>
        </xdr:cNvPr>
        <xdr:cNvSpPr/>
      </xdr:nvSpPr>
      <xdr:spPr>
        <a:xfrm>
          <a:off x="2134362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351</xdr:row>
      <xdr:rowOff>0</xdr:rowOff>
    </xdr:from>
    <xdr:to>
      <xdr:col>24</xdr:col>
      <xdr:colOff>83820</xdr:colOff>
      <xdr:row>351</xdr:row>
      <xdr:rowOff>114300</xdr:rowOff>
    </xdr:to>
    <xdr:sp macro="" textlink="">
      <xdr:nvSpPr>
        <xdr:cNvPr id="2710" name="Arrow: Down 2709">
          <a:extLst>
            <a:ext uri="{FF2B5EF4-FFF2-40B4-BE49-F238E27FC236}">
              <a16:creationId xmlns:a16="http://schemas.microsoft.com/office/drawing/2014/main" id="{3234F590-CF6C-4600-8CF0-C9A84FB08D0C}"/>
            </a:ext>
          </a:extLst>
        </xdr:cNvPr>
        <xdr:cNvSpPr/>
      </xdr:nvSpPr>
      <xdr:spPr>
        <a:xfrm>
          <a:off x="833628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351</xdr:row>
      <xdr:rowOff>0</xdr:rowOff>
    </xdr:from>
    <xdr:to>
      <xdr:col>39</xdr:col>
      <xdr:colOff>83820</xdr:colOff>
      <xdr:row>351</xdr:row>
      <xdr:rowOff>114300</xdr:rowOff>
    </xdr:to>
    <xdr:sp macro="" textlink="">
      <xdr:nvSpPr>
        <xdr:cNvPr id="2711" name="Arrow: Down 2710">
          <a:extLst>
            <a:ext uri="{FF2B5EF4-FFF2-40B4-BE49-F238E27FC236}">
              <a16:creationId xmlns:a16="http://schemas.microsoft.com/office/drawing/2014/main" id="{448C0C2C-1ADC-44AA-9699-3DD2D3CF9254}"/>
            </a:ext>
          </a:extLst>
        </xdr:cNvPr>
        <xdr:cNvSpPr/>
      </xdr:nvSpPr>
      <xdr:spPr>
        <a:xfrm>
          <a:off x="11498580" y="6428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352</xdr:row>
      <xdr:rowOff>0</xdr:rowOff>
    </xdr:from>
    <xdr:to>
      <xdr:col>45</xdr:col>
      <xdr:colOff>83820</xdr:colOff>
      <xdr:row>352</xdr:row>
      <xdr:rowOff>114300</xdr:rowOff>
    </xdr:to>
    <xdr:sp macro="" textlink="">
      <xdr:nvSpPr>
        <xdr:cNvPr id="2712" name="Arrow: Down 2711">
          <a:extLst>
            <a:ext uri="{FF2B5EF4-FFF2-40B4-BE49-F238E27FC236}">
              <a16:creationId xmlns:a16="http://schemas.microsoft.com/office/drawing/2014/main" id="{369D5A4C-09CB-43DE-99E0-590514EFD026}"/>
            </a:ext>
          </a:extLst>
        </xdr:cNvPr>
        <xdr:cNvSpPr/>
      </xdr:nvSpPr>
      <xdr:spPr>
        <a:xfrm rot="10800000">
          <a:off x="1335786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352</xdr:row>
      <xdr:rowOff>0</xdr:rowOff>
    </xdr:from>
    <xdr:to>
      <xdr:col>11</xdr:col>
      <xdr:colOff>83820</xdr:colOff>
      <xdr:row>352</xdr:row>
      <xdr:rowOff>114300</xdr:rowOff>
    </xdr:to>
    <xdr:sp macro="" textlink="">
      <xdr:nvSpPr>
        <xdr:cNvPr id="2713" name="Arrow: Down 2712">
          <a:extLst>
            <a:ext uri="{FF2B5EF4-FFF2-40B4-BE49-F238E27FC236}">
              <a16:creationId xmlns:a16="http://schemas.microsoft.com/office/drawing/2014/main" id="{39203D9F-6FE6-4E83-B7A3-F80C8B60336C}"/>
            </a:ext>
          </a:extLst>
        </xdr:cNvPr>
        <xdr:cNvSpPr/>
      </xdr:nvSpPr>
      <xdr:spPr>
        <a:xfrm rot="10800000">
          <a:off x="3695700" y="6428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352</xdr:row>
      <xdr:rowOff>0</xdr:rowOff>
    </xdr:from>
    <xdr:to>
      <xdr:col>71</xdr:col>
      <xdr:colOff>83820</xdr:colOff>
      <xdr:row>352</xdr:row>
      <xdr:rowOff>114300</xdr:rowOff>
    </xdr:to>
    <xdr:sp macro="" textlink="">
      <xdr:nvSpPr>
        <xdr:cNvPr id="2716" name="Arrow: Down 2715">
          <a:extLst>
            <a:ext uri="{FF2B5EF4-FFF2-40B4-BE49-F238E27FC236}">
              <a16:creationId xmlns:a16="http://schemas.microsoft.com/office/drawing/2014/main" id="{F9871BD8-FF22-4A6C-BD38-2E159724F0E1}"/>
            </a:ext>
          </a:extLst>
        </xdr:cNvPr>
        <xdr:cNvSpPr/>
      </xdr:nvSpPr>
      <xdr:spPr>
        <a:xfrm>
          <a:off x="2134362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352</xdr:row>
      <xdr:rowOff>0</xdr:rowOff>
    </xdr:from>
    <xdr:to>
      <xdr:col>24</xdr:col>
      <xdr:colOff>83820</xdr:colOff>
      <xdr:row>352</xdr:row>
      <xdr:rowOff>114300</xdr:rowOff>
    </xdr:to>
    <xdr:sp macro="" textlink="">
      <xdr:nvSpPr>
        <xdr:cNvPr id="2717" name="Arrow: Down 2716">
          <a:extLst>
            <a:ext uri="{FF2B5EF4-FFF2-40B4-BE49-F238E27FC236}">
              <a16:creationId xmlns:a16="http://schemas.microsoft.com/office/drawing/2014/main" id="{5291CB98-8FC1-4F72-9AB5-CC3DFB350ADF}"/>
            </a:ext>
          </a:extLst>
        </xdr:cNvPr>
        <xdr:cNvSpPr/>
      </xdr:nvSpPr>
      <xdr:spPr>
        <a:xfrm>
          <a:off x="833628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352</xdr:row>
      <xdr:rowOff>0</xdr:rowOff>
    </xdr:from>
    <xdr:to>
      <xdr:col>60</xdr:col>
      <xdr:colOff>83820</xdr:colOff>
      <xdr:row>352</xdr:row>
      <xdr:rowOff>114300</xdr:rowOff>
    </xdr:to>
    <xdr:sp macro="" textlink="">
      <xdr:nvSpPr>
        <xdr:cNvPr id="2719" name="Arrow: Down 2718">
          <a:extLst>
            <a:ext uri="{FF2B5EF4-FFF2-40B4-BE49-F238E27FC236}">
              <a16:creationId xmlns:a16="http://schemas.microsoft.com/office/drawing/2014/main" id="{C2748201-8214-40C2-A215-211DC14D0895}"/>
            </a:ext>
          </a:extLst>
        </xdr:cNvPr>
        <xdr:cNvSpPr/>
      </xdr:nvSpPr>
      <xdr:spPr>
        <a:xfrm rot="10800000">
          <a:off x="18912840" y="6447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352</xdr:row>
      <xdr:rowOff>0</xdr:rowOff>
    </xdr:from>
    <xdr:to>
      <xdr:col>39</xdr:col>
      <xdr:colOff>83820</xdr:colOff>
      <xdr:row>352</xdr:row>
      <xdr:rowOff>114300</xdr:rowOff>
    </xdr:to>
    <xdr:sp macro="" textlink="">
      <xdr:nvSpPr>
        <xdr:cNvPr id="2720" name="Arrow: Down 2719">
          <a:extLst>
            <a:ext uri="{FF2B5EF4-FFF2-40B4-BE49-F238E27FC236}">
              <a16:creationId xmlns:a16="http://schemas.microsoft.com/office/drawing/2014/main" id="{E20EE683-179E-4FFE-9D94-B01B8390DF9B}"/>
            </a:ext>
          </a:extLst>
        </xdr:cNvPr>
        <xdr:cNvSpPr/>
      </xdr:nvSpPr>
      <xdr:spPr>
        <a:xfrm rot="10800000">
          <a:off x="1149858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353</xdr:row>
      <xdr:rowOff>0</xdr:rowOff>
    </xdr:from>
    <xdr:to>
      <xdr:col>45</xdr:col>
      <xdr:colOff>83820</xdr:colOff>
      <xdr:row>353</xdr:row>
      <xdr:rowOff>114300</xdr:rowOff>
    </xdr:to>
    <xdr:sp macro="" textlink="">
      <xdr:nvSpPr>
        <xdr:cNvPr id="2729" name="Arrow: Down 2728">
          <a:extLst>
            <a:ext uri="{FF2B5EF4-FFF2-40B4-BE49-F238E27FC236}">
              <a16:creationId xmlns:a16="http://schemas.microsoft.com/office/drawing/2014/main" id="{61E0DCEB-1672-45C7-A86C-1C4A5501EA28}"/>
            </a:ext>
          </a:extLst>
        </xdr:cNvPr>
        <xdr:cNvSpPr/>
      </xdr:nvSpPr>
      <xdr:spPr>
        <a:xfrm rot="10800000">
          <a:off x="1335786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353</xdr:row>
      <xdr:rowOff>0</xdr:rowOff>
    </xdr:from>
    <xdr:to>
      <xdr:col>71</xdr:col>
      <xdr:colOff>83820</xdr:colOff>
      <xdr:row>353</xdr:row>
      <xdr:rowOff>114300</xdr:rowOff>
    </xdr:to>
    <xdr:sp macro="" textlink="">
      <xdr:nvSpPr>
        <xdr:cNvPr id="2731" name="Arrow: Down 2730">
          <a:extLst>
            <a:ext uri="{FF2B5EF4-FFF2-40B4-BE49-F238E27FC236}">
              <a16:creationId xmlns:a16="http://schemas.microsoft.com/office/drawing/2014/main" id="{59F2074D-F206-40CE-9BDD-9DDC5CECA1D7}"/>
            </a:ext>
          </a:extLst>
        </xdr:cNvPr>
        <xdr:cNvSpPr/>
      </xdr:nvSpPr>
      <xdr:spPr>
        <a:xfrm>
          <a:off x="2134362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353</xdr:row>
      <xdr:rowOff>0</xdr:rowOff>
    </xdr:from>
    <xdr:to>
      <xdr:col>24</xdr:col>
      <xdr:colOff>83820</xdr:colOff>
      <xdr:row>353</xdr:row>
      <xdr:rowOff>114300</xdr:rowOff>
    </xdr:to>
    <xdr:sp macro="" textlink="">
      <xdr:nvSpPr>
        <xdr:cNvPr id="2732" name="Arrow: Down 2731">
          <a:extLst>
            <a:ext uri="{FF2B5EF4-FFF2-40B4-BE49-F238E27FC236}">
              <a16:creationId xmlns:a16="http://schemas.microsoft.com/office/drawing/2014/main" id="{31A049E5-8943-478F-A69A-F15E45E3DB9A}"/>
            </a:ext>
          </a:extLst>
        </xdr:cNvPr>
        <xdr:cNvSpPr/>
      </xdr:nvSpPr>
      <xdr:spPr>
        <a:xfrm>
          <a:off x="833628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353</xdr:row>
      <xdr:rowOff>0</xdr:rowOff>
    </xdr:from>
    <xdr:to>
      <xdr:col>39</xdr:col>
      <xdr:colOff>83820</xdr:colOff>
      <xdr:row>353</xdr:row>
      <xdr:rowOff>114300</xdr:rowOff>
    </xdr:to>
    <xdr:sp macro="" textlink="">
      <xdr:nvSpPr>
        <xdr:cNvPr id="2734" name="Arrow: Down 2733">
          <a:extLst>
            <a:ext uri="{FF2B5EF4-FFF2-40B4-BE49-F238E27FC236}">
              <a16:creationId xmlns:a16="http://schemas.microsoft.com/office/drawing/2014/main" id="{2695370B-C236-4DCA-86DD-D59B4FF7F4EB}"/>
            </a:ext>
          </a:extLst>
        </xdr:cNvPr>
        <xdr:cNvSpPr/>
      </xdr:nvSpPr>
      <xdr:spPr>
        <a:xfrm rot="10800000">
          <a:off x="1149858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353</xdr:row>
      <xdr:rowOff>0</xdr:rowOff>
    </xdr:from>
    <xdr:to>
      <xdr:col>5</xdr:col>
      <xdr:colOff>83820</xdr:colOff>
      <xdr:row>353</xdr:row>
      <xdr:rowOff>114300</xdr:rowOff>
    </xdr:to>
    <xdr:sp macro="" textlink="">
      <xdr:nvSpPr>
        <xdr:cNvPr id="2735" name="Arrow: Down 2734">
          <a:extLst>
            <a:ext uri="{FF2B5EF4-FFF2-40B4-BE49-F238E27FC236}">
              <a16:creationId xmlns:a16="http://schemas.microsoft.com/office/drawing/2014/main" id="{DA134E04-2B74-4821-A9EE-B556A700130C}"/>
            </a:ext>
          </a:extLst>
        </xdr:cNvPr>
        <xdr:cNvSpPr/>
      </xdr:nvSpPr>
      <xdr:spPr>
        <a:xfrm>
          <a:off x="192786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352</xdr:row>
      <xdr:rowOff>0</xdr:rowOff>
    </xdr:from>
    <xdr:to>
      <xdr:col>5</xdr:col>
      <xdr:colOff>83820</xdr:colOff>
      <xdr:row>352</xdr:row>
      <xdr:rowOff>114300</xdr:rowOff>
    </xdr:to>
    <xdr:sp macro="" textlink="">
      <xdr:nvSpPr>
        <xdr:cNvPr id="2736" name="Arrow: Down 2735">
          <a:extLst>
            <a:ext uri="{FF2B5EF4-FFF2-40B4-BE49-F238E27FC236}">
              <a16:creationId xmlns:a16="http://schemas.microsoft.com/office/drawing/2014/main" id="{BE77505D-0332-4B3B-8747-EF9FA15DFB06}"/>
            </a:ext>
          </a:extLst>
        </xdr:cNvPr>
        <xdr:cNvSpPr/>
      </xdr:nvSpPr>
      <xdr:spPr>
        <a:xfrm rot="10800000">
          <a:off x="1927860" y="6447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353</xdr:row>
      <xdr:rowOff>0</xdr:rowOff>
    </xdr:from>
    <xdr:to>
      <xdr:col>60</xdr:col>
      <xdr:colOff>83820</xdr:colOff>
      <xdr:row>353</xdr:row>
      <xdr:rowOff>114300</xdr:rowOff>
    </xdr:to>
    <xdr:sp macro="" textlink="">
      <xdr:nvSpPr>
        <xdr:cNvPr id="2737" name="Arrow: Down 2736">
          <a:extLst>
            <a:ext uri="{FF2B5EF4-FFF2-40B4-BE49-F238E27FC236}">
              <a16:creationId xmlns:a16="http://schemas.microsoft.com/office/drawing/2014/main" id="{703F3CBC-91D6-4CDC-983E-A6660C5E6DD0}"/>
            </a:ext>
          </a:extLst>
        </xdr:cNvPr>
        <xdr:cNvSpPr/>
      </xdr:nvSpPr>
      <xdr:spPr>
        <a:xfrm>
          <a:off x="1891284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354</xdr:row>
      <xdr:rowOff>0</xdr:rowOff>
    </xdr:from>
    <xdr:to>
      <xdr:col>45</xdr:col>
      <xdr:colOff>83820</xdr:colOff>
      <xdr:row>354</xdr:row>
      <xdr:rowOff>114300</xdr:rowOff>
    </xdr:to>
    <xdr:sp macro="" textlink="">
      <xdr:nvSpPr>
        <xdr:cNvPr id="2738" name="Arrow: Down 2737">
          <a:extLst>
            <a:ext uri="{FF2B5EF4-FFF2-40B4-BE49-F238E27FC236}">
              <a16:creationId xmlns:a16="http://schemas.microsoft.com/office/drawing/2014/main" id="{39D73FE3-2B1C-44E2-B56F-06A4462675DE}"/>
            </a:ext>
          </a:extLst>
        </xdr:cNvPr>
        <xdr:cNvSpPr/>
      </xdr:nvSpPr>
      <xdr:spPr>
        <a:xfrm rot="10800000">
          <a:off x="1335786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354</xdr:row>
      <xdr:rowOff>0</xdr:rowOff>
    </xdr:from>
    <xdr:to>
      <xdr:col>71</xdr:col>
      <xdr:colOff>83820</xdr:colOff>
      <xdr:row>354</xdr:row>
      <xdr:rowOff>114300</xdr:rowOff>
    </xdr:to>
    <xdr:sp macro="" textlink="">
      <xdr:nvSpPr>
        <xdr:cNvPr id="2740" name="Arrow: Down 2739">
          <a:extLst>
            <a:ext uri="{FF2B5EF4-FFF2-40B4-BE49-F238E27FC236}">
              <a16:creationId xmlns:a16="http://schemas.microsoft.com/office/drawing/2014/main" id="{70B35792-2B1A-4102-94F9-D843BC6B5E05}"/>
            </a:ext>
          </a:extLst>
        </xdr:cNvPr>
        <xdr:cNvSpPr/>
      </xdr:nvSpPr>
      <xdr:spPr>
        <a:xfrm>
          <a:off x="2134362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354</xdr:row>
      <xdr:rowOff>0</xdr:rowOff>
    </xdr:from>
    <xdr:to>
      <xdr:col>24</xdr:col>
      <xdr:colOff>83820</xdr:colOff>
      <xdr:row>354</xdr:row>
      <xdr:rowOff>114300</xdr:rowOff>
    </xdr:to>
    <xdr:sp macro="" textlink="">
      <xdr:nvSpPr>
        <xdr:cNvPr id="2741" name="Arrow: Down 2740">
          <a:extLst>
            <a:ext uri="{FF2B5EF4-FFF2-40B4-BE49-F238E27FC236}">
              <a16:creationId xmlns:a16="http://schemas.microsoft.com/office/drawing/2014/main" id="{967AB168-9168-4874-A0D6-5E3873603A5F}"/>
            </a:ext>
          </a:extLst>
        </xdr:cNvPr>
        <xdr:cNvSpPr/>
      </xdr:nvSpPr>
      <xdr:spPr>
        <a:xfrm>
          <a:off x="833628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354</xdr:row>
      <xdr:rowOff>0</xdr:rowOff>
    </xdr:from>
    <xdr:to>
      <xdr:col>5</xdr:col>
      <xdr:colOff>83820</xdr:colOff>
      <xdr:row>354</xdr:row>
      <xdr:rowOff>114300</xdr:rowOff>
    </xdr:to>
    <xdr:sp macro="" textlink="">
      <xdr:nvSpPr>
        <xdr:cNvPr id="2743" name="Arrow: Down 2742">
          <a:extLst>
            <a:ext uri="{FF2B5EF4-FFF2-40B4-BE49-F238E27FC236}">
              <a16:creationId xmlns:a16="http://schemas.microsoft.com/office/drawing/2014/main" id="{BD7E1AC5-8887-41D6-B3A5-17FDE8CFE5AD}"/>
            </a:ext>
          </a:extLst>
        </xdr:cNvPr>
        <xdr:cNvSpPr/>
      </xdr:nvSpPr>
      <xdr:spPr>
        <a:xfrm>
          <a:off x="192786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354</xdr:row>
      <xdr:rowOff>0</xdr:rowOff>
    </xdr:from>
    <xdr:to>
      <xdr:col>60</xdr:col>
      <xdr:colOff>83820</xdr:colOff>
      <xdr:row>354</xdr:row>
      <xdr:rowOff>114300</xdr:rowOff>
    </xdr:to>
    <xdr:sp macro="" textlink="">
      <xdr:nvSpPr>
        <xdr:cNvPr id="2744" name="Arrow: Down 2743">
          <a:extLst>
            <a:ext uri="{FF2B5EF4-FFF2-40B4-BE49-F238E27FC236}">
              <a16:creationId xmlns:a16="http://schemas.microsoft.com/office/drawing/2014/main" id="{9E897ABE-FF64-4133-9D4F-C36CE5F88D0C}"/>
            </a:ext>
          </a:extLst>
        </xdr:cNvPr>
        <xdr:cNvSpPr/>
      </xdr:nvSpPr>
      <xdr:spPr>
        <a:xfrm>
          <a:off x="1891284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353</xdr:row>
      <xdr:rowOff>0</xdr:rowOff>
    </xdr:from>
    <xdr:to>
      <xdr:col>11</xdr:col>
      <xdr:colOff>83820</xdr:colOff>
      <xdr:row>353</xdr:row>
      <xdr:rowOff>114300</xdr:rowOff>
    </xdr:to>
    <xdr:sp macro="" textlink="">
      <xdr:nvSpPr>
        <xdr:cNvPr id="2745" name="Arrow: Down 2744">
          <a:extLst>
            <a:ext uri="{FF2B5EF4-FFF2-40B4-BE49-F238E27FC236}">
              <a16:creationId xmlns:a16="http://schemas.microsoft.com/office/drawing/2014/main" id="{E373F96F-53AA-48C5-960A-161D23E00766}"/>
            </a:ext>
          </a:extLst>
        </xdr:cNvPr>
        <xdr:cNvSpPr/>
      </xdr:nvSpPr>
      <xdr:spPr>
        <a:xfrm>
          <a:off x="369570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354</xdr:row>
      <xdr:rowOff>0</xdr:rowOff>
    </xdr:from>
    <xdr:to>
      <xdr:col>11</xdr:col>
      <xdr:colOff>83820</xdr:colOff>
      <xdr:row>354</xdr:row>
      <xdr:rowOff>114300</xdr:rowOff>
    </xdr:to>
    <xdr:sp macro="" textlink="">
      <xdr:nvSpPr>
        <xdr:cNvPr id="2746" name="Arrow: Down 2745">
          <a:extLst>
            <a:ext uri="{FF2B5EF4-FFF2-40B4-BE49-F238E27FC236}">
              <a16:creationId xmlns:a16="http://schemas.microsoft.com/office/drawing/2014/main" id="{06B6F36E-1056-43D2-9FFB-D115847CE694}"/>
            </a:ext>
          </a:extLst>
        </xdr:cNvPr>
        <xdr:cNvSpPr/>
      </xdr:nvSpPr>
      <xdr:spPr>
        <a:xfrm>
          <a:off x="369570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354</xdr:row>
      <xdr:rowOff>0</xdr:rowOff>
    </xdr:from>
    <xdr:to>
      <xdr:col>39</xdr:col>
      <xdr:colOff>83820</xdr:colOff>
      <xdr:row>354</xdr:row>
      <xdr:rowOff>114300</xdr:rowOff>
    </xdr:to>
    <xdr:sp macro="" textlink="">
      <xdr:nvSpPr>
        <xdr:cNvPr id="2747" name="Arrow: Down 2746">
          <a:extLst>
            <a:ext uri="{FF2B5EF4-FFF2-40B4-BE49-F238E27FC236}">
              <a16:creationId xmlns:a16="http://schemas.microsoft.com/office/drawing/2014/main" id="{C514754B-B0A3-46ED-B43A-98AB4A55ACF2}"/>
            </a:ext>
          </a:extLst>
        </xdr:cNvPr>
        <xdr:cNvSpPr/>
      </xdr:nvSpPr>
      <xdr:spPr>
        <a:xfrm>
          <a:off x="11498580" y="6483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56</xdr:col>
      <xdr:colOff>762000</xdr:colOff>
      <xdr:row>888</xdr:row>
      <xdr:rowOff>91440</xdr:rowOff>
    </xdr:from>
    <xdr:to>
      <xdr:col>76</xdr:col>
      <xdr:colOff>472440</xdr:colOff>
      <xdr:row>911</xdr:row>
      <xdr:rowOff>15240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793E4B8-7691-4497-9033-9E3738190C9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45</xdr:col>
      <xdr:colOff>0</xdr:colOff>
      <xdr:row>355</xdr:row>
      <xdr:rowOff>0</xdr:rowOff>
    </xdr:from>
    <xdr:to>
      <xdr:col>45</xdr:col>
      <xdr:colOff>83820</xdr:colOff>
      <xdr:row>355</xdr:row>
      <xdr:rowOff>114300</xdr:rowOff>
    </xdr:to>
    <xdr:sp macro="" textlink="">
      <xdr:nvSpPr>
        <xdr:cNvPr id="2547" name="Arrow: Down 2546">
          <a:extLst>
            <a:ext uri="{FF2B5EF4-FFF2-40B4-BE49-F238E27FC236}">
              <a16:creationId xmlns:a16="http://schemas.microsoft.com/office/drawing/2014/main" id="{21813CEB-4106-4514-8A70-4779C1787BFE}"/>
            </a:ext>
          </a:extLst>
        </xdr:cNvPr>
        <xdr:cNvSpPr/>
      </xdr:nvSpPr>
      <xdr:spPr>
        <a:xfrm rot="10800000">
          <a:off x="1335786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355</xdr:row>
      <xdr:rowOff>0</xdr:rowOff>
    </xdr:from>
    <xdr:to>
      <xdr:col>71</xdr:col>
      <xdr:colOff>83820</xdr:colOff>
      <xdr:row>355</xdr:row>
      <xdr:rowOff>114300</xdr:rowOff>
    </xdr:to>
    <xdr:sp macro="" textlink="">
      <xdr:nvSpPr>
        <xdr:cNvPr id="2548" name="Arrow: Down 2547">
          <a:extLst>
            <a:ext uri="{FF2B5EF4-FFF2-40B4-BE49-F238E27FC236}">
              <a16:creationId xmlns:a16="http://schemas.microsoft.com/office/drawing/2014/main" id="{FA62B662-7934-4AD2-BD40-1B64D1D86E0D}"/>
            </a:ext>
          </a:extLst>
        </xdr:cNvPr>
        <xdr:cNvSpPr/>
      </xdr:nvSpPr>
      <xdr:spPr>
        <a:xfrm>
          <a:off x="2140458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355</xdr:row>
      <xdr:rowOff>0</xdr:rowOff>
    </xdr:from>
    <xdr:to>
      <xdr:col>60</xdr:col>
      <xdr:colOff>83820</xdr:colOff>
      <xdr:row>355</xdr:row>
      <xdr:rowOff>114300</xdr:rowOff>
    </xdr:to>
    <xdr:sp macro="" textlink="">
      <xdr:nvSpPr>
        <xdr:cNvPr id="2558" name="Arrow: Down 2557">
          <a:extLst>
            <a:ext uri="{FF2B5EF4-FFF2-40B4-BE49-F238E27FC236}">
              <a16:creationId xmlns:a16="http://schemas.microsoft.com/office/drawing/2014/main" id="{3E4C9DD5-89D0-4429-A42F-4A35C728B14B}"/>
            </a:ext>
          </a:extLst>
        </xdr:cNvPr>
        <xdr:cNvSpPr/>
      </xdr:nvSpPr>
      <xdr:spPr>
        <a:xfrm>
          <a:off x="1897380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355</xdr:row>
      <xdr:rowOff>0</xdr:rowOff>
    </xdr:from>
    <xdr:to>
      <xdr:col>39</xdr:col>
      <xdr:colOff>83820</xdr:colOff>
      <xdr:row>355</xdr:row>
      <xdr:rowOff>114300</xdr:rowOff>
    </xdr:to>
    <xdr:sp macro="" textlink="">
      <xdr:nvSpPr>
        <xdr:cNvPr id="2560" name="Arrow: Down 2559">
          <a:extLst>
            <a:ext uri="{FF2B5EF4-FFF2-40B4-BE49-F238E27FC236}">
              <a16:creationId xmlns:a16="http://schemas.microsoft.com/office/drawing/2014/main" id="{4F0D3F9A-8389-43DE-BBC9-B0BB7E8CC51A}"/>
            </a:ext>
          </a:extLst>
        </xdr:cNvPr>
        <xdr:cNvSpPr/>
      </xdr:nvSpPr>
      <xdr:spPr>
        <a:xfrm>
          <a:off x="11498580" y="6483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355</xdr:row>
      <xdr:rowOff>0</xdr:rowOff>
    </xdr:from>
    <xdr:to>
      <xdr:col>24</xdr:col>
      <xdr:colOff>83820</xdr:colOff>
      <xdr:row>355</xdr:row>
      <xdr:rowOff>114300</xdr:rowOff>
    </xdr:to>
    <xdr:sp macro="" textlink="">
      <xdr:nvSpPr>
        <xdr:cNvPr id="2568" name="Arrow: Down 2567">
          <a:extLst>
            <a:ext uri="{FF2B5EF4-FFF2-40B4-BE49-F238E27FC236}">
              <a16:creationId xmlns:a16="http://schemas.microsoft.com/office/drawing/2014/main" id="{1BF985F1-D61B-4F10-A517-32AA11011346}"/>
            </a:ext>
          </a:extLst>
        </xdr:cNvPr>
        <xdr:cNvSpPr/>
      </xdr:nvSpPr>
      <xdr:spPr>
        <a:xfrm rot="10800000">
          <a:off x="833628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355</xdr:row>
      <xdr:rowOff>0</xdr:rowOff>
    </xdr:from>
    <xdr:to>
      <xdr:col>11</xdr:col>
      <xdr:colOff>83820</xdr:colOff>
      <xdr:row>355</xdr:row>
      <xdr:rowOff>114300</xdr:rowOff>
    </xdr:to>
    <xdr:sp macro="" textlink="">
      <xdr:nvSpPr>
        <xdr:cNvPr id="2576" name="Arrow: Down 2575">
          <a:extLst>
            <a:ext uri="{FF2B5EF4-FFF2-40B4-BE49-F238E27FC236}">
              <a16:creationId xmlns:a16="http://schemas.microsoft.com/office/drawing/2014/main" id="{2868D364-935D-4398-B622-22B7AD02A146}"/>
            </a:ext>
          </a:extLst>
        </xdr:cNvPr>
        <xdr:cNvSpPr/>
      </xdr:nvSpPr>
      <xdr:spPr>
        <a:xfrm rot="10800000">
          <a:off x="369570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355</xdr:row>
      <xdr:rowOff>0</xdr:rowOff>
    </xdr:from>
    <xdr:to>
      <xdr:col>5</xdr:col>
      <xdr:colOff>83820</xdr:colOff>
      <xdr:row>355</xdr:row>
      <xdr:rowOff>114300</xdr:rowOff>
    </xdr:to>
    <xdr:sp macro="" textlink="">
      <xdr:nvSpPr>
        <xdr:cNvPr id="2577" name="Arrow: Down 2576">
          <a:extLst>
            <a:ext uri="{FF2B5EF4-FFF2-40B4-BE49-F238E27FC236}">
              <a16:creationId xmlns:a16="http://schemas.microsoft.com/office/drawing/2014/main" id="{1438B2A8-C8B0-4E7F-B2B8-3C225D26767E}"/>
            </a:ext>
          </a:extLst>
        </xdr:cNvPr>
        <xdr:cNvSpPr/>
      </xdr:nvSpPr>
      <xdr:spPr>
        <a:xfrm rot="10800000">
          <a:off x="192786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356</xdr:row>
      <xdr:rowOff>0</xdr:rowOff>
    </xdr:from>
    <xdr:to>
      <xdr:col>45</xdr:col>
      <xdr:colOff>83820</xdr:colOff>
      <xdr:row>356</xdr:row>
      <xdr:rowOff>114300</xdr:rowOff>
    </xdr:to>
    <xdr:sp macro="" textlink="">
      <xdr:nvSpPr>
        <xdr:cNvPr id="2578" name="Arrow: Down 2577">
          <a:extLst>
            <a:ext uri="{FF2B5EF4-FFF2-40B4-BE49-F238E27FC236}">
              <a16:creationId xmlns:a16="http://schemas.microsoft.com/office/drawing/2014/main" id="{E908945A-8FC0-43C0-8EEA-5B196FD5AEC4}"/>
            </a:ext>
          </a:extLst>
        </xdr:cNvPr>
        <xdr:cNvSpPr/>
      </xdr:nvSpPr>
      <xdr:spPr>
        <a:xfrm rot="10800000">
          <a:off x="13357860" y="6502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356</xdr:row>
      <xdr:rowOff>0</xdr:rowOff>
    </xdr:from>
    <xdr:to>
      <xdr:col>71</xdr:col>
      <xdr:colOff>83820</xdr:colOff>
      <xdr:row>356</xdr:row>
      <xdr:rowOff>114300</xdr:rowOff>
    </xdr:to>
    <xdr:sp macro="" textlink="">
      <xdr:nvSpPr>
        <xdr:cNvPr id="2579" name="Arrow: Down 2578">
          <a:extLst>
            <a:ext uri="{FF2B5EF4-FFF2-40B4-BE49-F238E27FC236}">
              <a16:creationId xmlns:a16="http://schemas.microsoft.com/office/drawing/2014/main" id="{E81B2EE9-4E75-4204-894D-96DBDC181FB3}"/>
            </a:ext>
          </a:extLst>
        </xdr:cNvPr>
        <xdr:cNvSpPr/>
      </xdr:nvSpPr>
      <xdr:spPr>
        <a:xfrm>
          <a:off x="21404580" y="6502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356</xdr:row>
      <xdr:rowOff>0</xdr:rowOff>
    </xdr:from>
    <xdr:to>
      <xdr:col>39</xdr:col>
      <xdr:colOff>83820</xdr:colOff>
      <xdr:row>356</xdr:row>
      <xdr:rowOff>114300</xdr:rowOff>
    </xdr:to>
    <xdr:sp macro="" textlink="">
      <xdr:nvSpPr>
        <xdr:cNvPr id="2581" name="Arrow: Down 2580">
          <a:extLst>
            <a:ext uri="{FF2B5EF4-FFF2-40B4-BE49-F238E27FC236}">
              <a16:creationId xmlns:a16="http://schemas.microsoft.com/office/drawing/2014/main" id="{50F43355-FF03-4D30-A8F8-A8A25B207CBF}"/>
            </a:ext>
          </a:extLst>
        </xdr:cNvPr>
        <xdr:cNvSpPr/>
      </xdr:nvSpPr>
      <xdr:spPr>
        <a:xfrm>
          <a:off x="1149858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356</xdr:row>
      <xdr:rowOff>0</xdr:rowOff>
    </xdr:from>
    <xdr:to>
      <xdr:col>24</xdr:col>
      <xdr:colOff>83820</xdr:colOff>
      <xdr:row>356</xdr:row>
      <xdr:rowOff>114300</xdr:rowOff>
    </xdr:to>
    <xdr:sp macro="" textlink="">
      <xdr:nvSpPr>
        <xdr:cNvPr id="2584" name="Arrow: Down 2583">
          <a:extLst>
            <a:ext uri="{FF2B5EF4-FFF2-40B4-BE49-F238E27FC236}">
              <a16:creationId xmlns:a16="http://schemas.microsoft.com/office/drawing/2014/main" id="{C4794315-48C9-41BA-8ACF-97068892727E}"/>
            </a:ext>
          </a:extLst>
        </xdr:cNvPr>
        <xdr:cNvSpPr/>
      </xdr:nvSpPr>
      <xdr:spPr>
        <a:xfrm rot="10800000">
          <a:off x="833628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356</xdr:row>
      <xdr:rowOff>0</xdr:rowOff>
    </xdr:from>
    <xdr:to>
      <xdr:col>11</xdr:col>
      <xdr:colOff>83820</xdr:colOff>
      <xdr:row>356</xdr:row>
      <xdr:rowOff>114300</xdr:rowOff>
    </xdr:to>
    <xdr:sp macro="" textlink="">
      <xdr:nvSpPr>
        <xdr:cNvPr id="2592" name="Arrow: Down 2591">
          <a:extLst>
            <a:ext uri="{FF2B5EF4-FFF2-40B4-BE49-F238E27FC236}">
              <a16:creationId xmlns:a16="http://schemas.microsoft.com/office/drawing/2014/main" id="{0B428D44-B9B4-4BF4-9408-0F30F999AC0C}"/>
            </a:ext>
          </a:extLst>
        </xdr:cNvPr>
        <xdr:cNvSpPr/>
      </xdr:nvSpPr>
      <xdr:spPr>
        <a:xfrm rot="10800000">
          <a:off x="369570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356</xdr:row>
      <xdr:rowOff>0</xdr:rowOff>
    </xdr:from>
    <xdr:to>
      <xdr:col>5</xdr:col>
      <xdr:colOff>83820</xdr:colOff>
      <xdr:row>356</xdr:row>
      <xdr:rowOff>114300</xdr:rowOff>
    </xdr:to>
    <xdr:sp macro="" textlink="">
      <xdr:nvSpPr>
        <xdr:cNvPr id="2593" name="Arrow: Down 2592">
          <a:extLst>
            <a:ext uri="{FF2B5EF4-FFF2-40B4-BE49-F238E27FC236}">
              <a16:creationId xmlns:a16="http://schemas.microsoft.com/office/drawing/2014/main" id="{0E129516-FD19-44B1-963F-50AE75451BE2}"/>
            </a:ext>
          </a:extLst>
        </xdr:cNvPr>
        <xdr:cNvSpPr/>
      </xdr:nvSpPr>
      <xdr:spPr>
        <a:xfrm rot="10800000">
          <a:off x="192786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357</xdr:row>
      <xdr:rowOff>0</xdr:rowOff>
    </xdr:from>
    <xdr:to>
      <xdr:col>45</xdr:col>
      <xdr:colOff>83820</xdr:colOff>
      <xdr:row>357</xdr:row>
      <xdr:rowOff>114300</xdr:rowOff>
    </xdr:to>
    <xdr:sp macro="" textlink="">
      <xdr:nvSpPr>
        <xdr:cNvPr id="2596" name="Arrow: Down 2595">
          <a:extLst>
            <a:ext uri="{FF2B5EF4-FFF2-40B4-BE49-F238E27FC236}">
              <a16:creationId xmlns:a16="http://schemas.microsoft.com/office/drawing/2014/main" id="{F0F19E23-78BF-4867-ADE7-DAF18F2A9BB0}"/>
            </a:ext>
          </a:extLst>
        </xdr:cNvPr>
        <xdr:cNvSpPr/>
      </xdr:nvSpPr>
      <xdr:spPr>
        <a:xfrm rot="10800000">
          <a:off x="13357860" y="6520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357</xdr:row>
      <xdr:rowOff>0</xdr:rowOff>
    </xdr:from>
    <xdr:to>
      <xdr:col>71</xdr:col>
      <xdr:colOff>83820</xdr:colOff>
      <xdr:row>357</xdr:row>
      <xdr:rowOff>114300</xdr:rowOff>
    </xdr:to>
    <xdr:sp macro="" textlink="">
      <xdr:nvSpPr>
        <xdr:cNvPr id="2601" name="Arrow: Down 2600">
          <a:extLst>
            <a:ext uri="{FF2B5EF4-FFF2-40B4-BE49-F238E27FC236}">
              <a16:creationId xmlns:a16="http://schemas.microsoft.com/office/drawing/2014/main" id="{4A8D00B2-17EE-46C8-8C4C-F2A1232DBE85}"/>
            </a:ext>
          </a:extLst>
        </xdr:cNvPr>
        <xdr:cNvSpPr/>
      </xdr:nvSpPr>
      <xdr:spPr>
        <a:xfrm>
          <a:off x="21404580" y="6520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357</xdr:row>
      <xdr:rowOff>0</xdr:rowOff>
    </xdr:from>
    <xdr:to>
      <xdr:col>60</xdr:col>
      <xdr:colOff>83820</xdr:colOff>
      <xdr:row>357</xdr:row>
      <xdr:rowOff>114300</xdr:rowOff>
    </xdr:to>
    <xdr:sp macro="" textlink="">
      <xdr:nvSpPr>
        <xdr:cNvPr id="2615" name="Arrow: Down 2614">
          <a:extLst>
            <a:ext uri="{FF2B5EF4-FFF2-40B4-BE49-F238E27FC236}">
              <a16:creationId xmlns:a16="http://schemas.microsoft.com/office/drawing/2014/main" id="{98CA5DE7-D187-42C3-9AEA-82C71A2578CB}"/>
            </a:ext>
          </a:extLst>
        </xdr:cNvPr>
        <xdr:cNvSpPr/>
      </xdr:nvSpPr>
      <xdr:spPr>
        <a:xfrm>
          <a:off x="18973800" y="6520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357</xdr:row>
      <xdr:rowOff>0</xdr:rowOff>
    </xdr:from>
    <xdr:to>
      <xdr:col>39</xdr:col>
      <xdr:colOff>83820</xdr:colOff>
      <xdr:row>357</xdr:row>
      <xdr:rowOff>114300</xdr:rowOff>
    </xdr:to>
    <xdr:sp macro="" textlink="">
      <xdr:nvSpPr>
        <xdr:cNvPr id="2616" name="Arrow: Down 2615">
          <a:extLst>
            <a:ext uri="{FF2B5EF4-FFF2-40B4-BE49-F238E27FC236}">
              <a16:creationId xmlns:a16="http://schemas.microsoft.com/office/drawing/2014/main" id="{9D5EC7C5-FD20-4F97-ADD4-50DF3F3BA3DC}"/>
            </a:ext>
          </a:extLst>
        </xdr:cNvPr>
        <xdr:cNvSpPr/>
      </xdr:nvSpPr>
      <xdr:spPr>
        <a:xfrm>
          <a:off x="1149858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357</xdr:row>
      <xdr:rowOff>0</xdr:rowOff>
    </xdr:from>
    <xdr:to>
      <xdr:col>24</xdr:col>
      <xdr:colOff>83820</xdr:colOff>
      <xdr:row>357</xdr:row>
      <xdr:rowOff>114300</xdr:rowOff>
    </xdr:to>
    <xdr:sp macro="" textlink="">
      <xdr:nvSpPr>
        <xdr:cNvPr id="2617" name="Arrow: Down 2616">
          <a:extLst>
            <a:ext uri="{FF2B5EF4-FFF2-40B4-BE49-F238E27FC236}">
              <a16:creationId xmlns:a16="http://schemas.microsoft.com/office/drawing/2014/main" id="{FCDB8941-00DD-4DC7-BB27-4CAA2FE415DD}"/>
            </a:ext>
          </a:extLst>
        </xdr:cNvPr>
        <xdr:cNvSpPr/>
      </xdr:nvSpPr>
      <xdr:spPr>
        <a:xfrm rot="10800000">
          <a:off x="833628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357</xdr:row>
      <xdr:rowOff>0</xdr:rowOff>
    </xdr:from>
    <xdr:to>
      <xdr:col>11</xdr:col>
      <xdr:colOff>83820</xdr:colOff>
      <xdr:row>357</xdr:row>
      <xdr:rowOff>114300</xdr:rowOff>
    </xdr:to>
    <xdr:sp macro="" textlink="">
      <xdr:nvSpPr>
        <xdr:cNvPr id="2618" name="Arrow: Down 2617">
          <a:extLst>
            <a:ext uri="{FF2B5EF4-FFF2-40B4-BE49-F238E27FC236}">
              <a16:creationId xmlns:a16="http://schemas.microsoft.com/office/drawing/2014/main" id="{B87372FC-E6F5-4215-B618-C9CC2B2E96DA}"/>
            </a:ext>
          </a:extLst>
        </xdr:cNvPr>
        <xdr:cNvSpPr/>
      </xdr:nvSpPr>
      <xdr:spPr>
        <a:xfrm rot="10800000">
          <a:off x="369570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357</xdr:row>
      <xdr:rowOff>0</xdr:rowOff>
    </xdr:from>
    <xdr:to>
      <xdr:col>5</xdr:col>
      <xdr:colOff>83820</xdr:colOff>
      <xdr:row>357</xdr:row>
      <xdr:rowOff>114300</xdr:rowOff>
    </xdr:to>
    <xdr:sp macro="" textlink="">
      <xdr:nvSpPr>
        <xdr:cNvPr id="2619" name="Arrow: Down 2618">
          <a:extLst>
            <a:ext uri="{FF2B5EF4-FFF2-40B4-BE49-F238E27FC236}">
              <a16:creationId xmlns:a16="http://schemas.microsoft.com/office/drawing/2014/main" id="{71AF7CE2-E93B-4905-AFFF-1393FC9FE79D}"/>
            </a:ext>
          </a:extLst>
        </xdr:cNvPr>
        <xdr:cNvSpPr/>
      </xdr:nvSpPr>
      <xdr:spPr>
        <a:xfrm rot="10800000">
          <a:off x="192786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356</xdr:row>
      <xdr:rowOff>0</xdr:rowOff>
    </xdr:from>
    <xdr:to>
      <xdr:col>60</xdr:col>
      <xdr:colOff>83820</xdr:colOff>
      <xdr:row>356</xdr:row>
      <xdr:rowOff>114300</xdr:rowOff>
    </xdr:to>
    <xdr:sp macro="" textlink="">
      <xdr:nvSpPr>
        <xdr:cNvPr id="2621" name="Arrow: Down 2620">
          <a:extLst>
            <a:ext uri="{FF2B5EF4-FFF2-40B4-BE49-F238E27FC236}">
              <a16:creationId xmlns:a16="http://schemas.microsoft.com/office/drawing/2014/main" id="{B137CC3C-F3CF-4888-A51E-DC29D2B7FACB}"/>
            </a:ext>
          </a:extLst>
        </xdr:cNvPr>
        <xdr:cNvSpPr/>
      </xdr:nvSpPr>
      <xdr:spPr>
        <a:xfrm rot="10800000">
          <a:off x="1897380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358</xdr:row>
      <xdr:rowOff>0</xdr:rowOff>
    </xdr:from>
    <xdr:to>
      <xdr:col>45</xdr:col>
      <xdr:colOff>83820</xdr:colOff>
      <xdr:row>358</xdr:row>
      <xdr:rowOff>114300</xdr:rowOff>
    </xdr:to>
    <xdr:sp macro="" textlink="">
      <xdr:nvSpPr>
        <xdr:cNvPr id="2624" name="Arrow: Down 2623">
          <a:extLst>
            <a:ext uri="{FF2B5EF4-FFF2-40B4-BE49-F238E27FC236}">
              <a16:creationId xmlns:a16="http://schemas.microsoft.com/office/drawing/2014/main" id="{404EBB24-E6E0-4D78-B909-92AFEC615A48}"/>
            </a:ext>
          </a:extLst>
        </xdr:cNvPr>
        <xdr:cNvSpPr/>
      </xdr:nvSpPr>
      <xdr:spPr>
        <a:xfrm rot="10800000">
          <a:off x="13357860" y="6538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358</xdr:row>
      <xdr:rowOff>0</xdr:rowOff>
    </xdr:from>
    <xdr:to>
      <xdr:col>71</xdr:col>
      <xdr:colOff>83820</xdr:colOff>
      <xdr:row>358</xdr:row>
      <xdr:rowOff>114300</xdr:rowOff>
    </xdr:to>
    <xdr:sp macro="" textlink="">
      <xdr:nvSpPr>
        <xdr:cNvPr id="2628" name="Arrow: Down 2627">
          <a:extLst>
            <a:ext uri="{FF2B5EF4-FFF2-40B4-BE49-F238E27FC236}">
              <a16:creationId xmlns:a16="http://schemas.microsoft.com/office/drawing/2014/main" id="{82A70C09-1BA5-4D03-8FBC-C930A2029B87}"/>
            </a:ext>
          </a:extLst>
        </xdr:cNvPr>
        <xdr:cNvSpPr/>
      </xdr:nvSpPr>
      <xdr:spPr>
        <a:xfrm>
          <a:off x="21404580" y="6538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358</xdr:row>
      <xdr:rowOff>0</xdr:rowOff>
    </xdr:from>
    <xdr:to>
      <xdr:col>60</xdr:col>
      <xdr:colOff>83820</xdr:colOff>
      <xdr:row>358</xdr:row>
      <xdr:rowOff>114300</xdr:rowOff>
    </xdr:to>
    <xdr:sp macro="" textlink="">
      <xdr:nvSpPr>
        <xdr:cNvPr id="2629" name="Arrow: Down 2628">
          <a:extLst>
            <a:ext uri="{FF2B5EF4-FFF2-40B4-BE49-F238E27FC236}">
              <a16:creationId xmlns:a16="http://schemas.microsoft.com/office/drawing/2014/main" id="{029302A8-365F-4C74-A82F-625DECFF5444}"/>
            </a:ext>
          </a:extLst>
        </xdr:cNvPr>
        <xdr:cNvSpPr/>
      </xdr:nvSpPr>
      <xdr:spPr>
        <a:xfrm>
          <a:off x="18973800" y="6538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358</xdr:row>
      <xdr:rowOff>0</xdr:rowOff>
    </xdr:from>
    <xdr:to>
      <xdr:col>11</xdr:col>
      <xdr:colOff>83820</xdr:colOff>
      <xdr:row>358</xdr:row>
      <xdr:rowOff>114300</xdr:rowOff>
    </xdr:to>
    <xdr:sp macro="" textlink="">
      <xdr:nvSpPr>
        <xdr:cNvPr id="2632" name="Arrow: Down 2631">
          <a:extLst>
            <a:ext uri="{FF2B5EF4-FFF2-40B4-BE49-F238E27FC236}">
              <a16:creationId xmlns:a16="http://schemas.microsoft.com/office/drawing/2014/main" id="{6B864146-AB98-459A-82D3-04A4F3716206}"/>
            </a:ext>
          </a:extLst>
        </xdr:cNvPr>
        <xdr:cNvSpPr/>
      </xdr:nvSpPr>
      <xdr:spPr>
        <a:xfrm rot="10800000">
          <a:off x="3695700" y="6538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358</xdr:row>
      <xdr:rowOff>0</xdr:rowOff>
    </xdr:from>
    <xdr:to>
      <xdr:col>5</xdr:col>
      <xdr:colOff>83820</xdr:colOff>
      <xdr:row>358</xdr:row>
      <xdr:rowOff>114300</xdr:rowOff>
    </xdr:to>
    <xdr:sp macro="" textlink="">
      <xdr:nvSpPr>
        <xdr:cNvPr id="2633" name="Arrow: Down 2632">
          <a:extLst>
            <a:ext uri="{FF2B5EF4-FFF2-40B4-BE49-F238E27FC236}">
              <a16:creationId xmlns:a16="http://schemas.microsoft.com/office/drawing/2014/main" id="{55D220A5-B33C-432E-B7FF-AA01149F493A}"/>
            </a:ext>
          </a:extLst>
        </xdr:cNvPr>
        <xdr:cNvSpPr/>
      </xdr:nvSpPr>
      <xdr:spPr>
        <a:xfrm rot="10800000">
          <a:off x="1927860" y="6538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359</xdr:row>
      <xdr:rowOff>0</xdr:rowOff>
    </xdr:from>
    <xdr:to>
      <xdr:col>45</xdr:col>
      <xdr:colOff>83820</xdr:colOff>
      <xdr:row>359</xdr:row>
      <xdr:rowOff>114300</xdr:rowOff>
    </xdr:to>
    <xdr:sp macro="" textlink="">
      <xdr:nvSpPr>
        <xdr:cNvPr id="2650" name="Arrow: Down 2649">
          <a:extLst>
            <a:ext uri="{FF2B5EF4-FFF2-40B4-BE49-F238E27FC236}">
              <a16:creationId xmlns:a16="http://schemas.microsoft.com/office/drawing/2014/main" id="{8EF661F3-4AE3-4762-A44B-0E4F103D9C3B}"/>
            </a:ext>
          </a:extLst>
        </xdr:cNvPr>
        <xdr:cNvSpPr/>
      </xdr:nvSpPr>
      <xdr:spPr>
        <a:xfrm rot="10800000">
          <a:off x="1335786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359</xdr:row>
      <xdr:rowOff>0</xdr:rowOff>
    </xdr:from>
    <xdr:to>
      <xdr:col>71</xdr:col>
      <xdr:colOff>83820</xdr:colOff>
      <xdr:row>359</xdr:row>
      <xdr:rowOff>114300</xdr:rowOff>
    </xdr:to>
    <xdr:sp macro="" textlink="">
      <xdr:nvSpPr>
        <xdr:cNvPr id="2651" name="Arrow: Down 2650">
          <a:extLst>
            <a:ext uri="{FF2B5EF4-FFF2-40B4-BE49-F238E27FC236}">
              <a16:creationId xmlns:a16="http://schemas.microsoft.com/office/drawing/2014/main" id="{E078A4B5-EAA0-478F-9F1F-2D1210D9509D}"/>
            </a:ext>
          </a:extLst>
        </xdr:cNvPr>
        <xdr:cNvSpPr/>
      </xdr:nvSpPr>
      <xdr:spPr>
        <a:xfrm>
          <a:off x="2140458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359</xdr:row>
      <xdr:rowOff>0</xdr:rowOff>
    </xdr:from>
    <xdr:to>
      <xdr:col>60</xdr:col>
      <xdr:colOff>83820</xdr:colOff>
      <xdr:row>359</xdr:row>
      <xdr:rowOff>114300</xdr:rowOff>
    </xdr:to>
    <xdr:sp macro="" textlink="">
      <xdr:nvSpPr>
        <xdr:cNvPr id="2652" name="Arrow: Down 2651">
          <a:extLst>
            <a:ext uri="{FF2B5EF4-FFF2-40B4-BE49-F238E27FC236}">
              <a16:creationId xmlns:a16="http://schemas.microsoft.com/office/drawing/2014/main" id="{00FA8607-39AE-4EA0-9901-2481311FF575}"/>
            </a:ext>
          </a:extLst>
        </xdr:cNvPr>
        <xdr:cNvSpPr/>
      </xdr:nvSpPr>
      <xdr:spPr>
        <a:xfrm>
          <a:off x="1897380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359</xdr:row>
      <xdr:rowOff>0</xdr:rowOff>
    </xdr:from>
    <xdr:to>
      <xdr:col>11</xdr:col>
      <xdr:colOff>83820</xdr:colOff>
      <xdr:row>359</xdr:row>
      <xdr:rowOff>114300</xdr:rowOff>
    </xdr:to>
    <xdr:sp macro="" textlink="">
      <xdr:nvSpPr>
        <xdr:cNvPr id="2655" name="Arrow: Down 2654">
          <a:extLst>
            <a:ext uri="{FF2B5EF4-FFF2-40B4-BE49-F238E27FC236}">
              <a16:creationId xmlns:a16="http://schemas.microsoft.com/office/drawing/2014/main" id="{08D6DCD6-5824-41C2-BF71-5A48B6CA02CD}"/>
            </a:ext>
          </a:extLst>
        </xdr:cNvPr>
        <xdr:cNvSpPr/>
      </xdr:nvSpPr>
      <xdr:spPr>
        <a:xfrm rot="10800000">
          <a:off x="3695700" y="6557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359</xdr:row>
      <xdr:rowOff>0</xdr:rowOff>
    </xdr:from>
    <xdr:to>
      <xdr:col>5</xdr:col>
      <xdr:colOff>83820</xdr:colOff>
      <xdr:row>359</xdr:row>
      <xdr:rowOff>114300</xdr:rowOff>
    </xdr:to>
    <xdr:sp macro="" textlink="">
      <xdr:nvSpPr>
        <xdr:cNvPr id="2656" name="Arrow: Down 2655">
          <a:extLst>
            <a:ext uri="{FF2B5EF4-FFF2-40B4-BE49-F238E27FC236}">
              <a16:creationId xmlns:a16="http://schemas.microsoft.com/office/drawing/2014/main" id="{EC86F6B4-0890-465D-BEFE-E16EC513EA0F}"/>
            </a:ext>
          </a:extLst>
        </xdr:cNvPr>
        <xdr:cNvSpPr/>
      </xdr:nvSpPr>
      <xdr:spPr>
        <a:xfrm rot="10800000">
          <a:off x="1927860" y="6557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358</xdr:row>
      <xdr:rowOff>0</xdr:rowOff>
    </xdr:from>
    <xdr:to>
      <xdr:col>24</xdr:col>
      <xdr:colOff>83820</xdr:colOff>
      <xdr:row>358</xdr:row>
      <xdr:rowOff>114300</xdr:rowOff>
    </xdr:to>
    <xdr:sp macro="" textlink="">
      <xdr:nvSpPr>
        <xdr:cNvPr id="2662" name="Arrow: Down 2661">
          <a:extLst>
            <a:ext uri="{FF2B5EF4-FFF2-40B4-BE49-F238E27FC236}">
              <a16:creationId xmlns:a16="http://schemas.microsoft.com/office/drawing/2014/main" id="{9E68D5C6-04E9-4428-A365-5534E548AD33}"/>
            </a:ext>
          </a:extLst>
        </xdr:cNvPr>
        <xdr:cNvSpPr/>
      </xdr:nvSpPr>
      <xdr:spPr>
        <a:xfrm>
          <a:off x="833628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359</xdr:row>
      <xdr:rowOff>0</xdr:rowOff>
    </xdr:from>
    <xdr:to>
      <xdr:col>24</xdr:col>
      <xdr:colOff>83820</xdr:colOff>
      <xdr:row>359</xdr:row>
      <xdr:rowOff>114300</xdr:rowOff>
    </xdr:to>
    <xdr:sp macro="" textlink="">
      <xdr:nvSpPr>
        <xdr:cNvPr id="2663" name="Arrow: Down 2662">
          <a:extLst>
            <a:ext uri="{FF2B5EF4-FFF2-40B4-BE49-F238E27FC236}">
              <a16:creationId xmlns:a16="http://schemas.microsoft.com/office/drawing/2014/main" id="{1B982194-AF03-404F-9979-2B540D234CC8}"/>
            </a:ext>
          </a:extLst>
        </xdr:cNvPr>
        <xdr:cNvSpPr/>
      </xdr:nvSpPr>
      <xdr:spPr>
        <a:xfrm>
          <a:off x="83362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360</xdr:row>
      <xdr:rowOff>0</xdr:rowOff>
    </xdr:from>
    <xdr:to>
      <xdr:col>45</xdr:col>
      <xdr:colOff>83820</xdr:colOff>
      <xdr:row>360</xdr:row>
      <xdr:rowOff>114300</xdr:rowOff>
    </xdr:to>
    <xdr:sp macro="" textlink="">
      <xdr:nvSpPr>
        <xdr:cNvPr id="2668" name="Arrow: Down 2667">
          <a:extLst>
            <a:ext uri="{FF2B5EF4-FFF2-40B4-BE49-F238E27FC236}">
              <a16:creationId xmlns:a16="http://schemas.microsoft.com/office/drawing/2014/main" id="{580B0D81-9241-43FC-8115-C31B44F636FB}"/>
            </a:ext>
          </a:extLst>
        </xdr:cNvPr>
        <xdr:cNvSpPr/>
      </xdr:nvSpPr>
      <xdr:spPr>
        <a:xfrm rot="10800000">
          <a:off x="1335786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360</xdr:row>
      <xdr:rowOff>0</xdr:rowOff>
    </xdr:from>
    <xdr:to>
      <xdr:col>71</xdr:col>
      <xdr:colOff>83820</xdr:colOff>
      <xdr:row>360</xdr:row>
      <xdr:rowOff>114300</xdr:rowOff>
    </xdr:to>
    <xdr:sp macro="" textlink="">
      <xdr:nvSpPr>
        <xdr:cNvPr id="2669" name="Arrow: Down 2668">
          <a:extLst>
            <a:ext uri="{FF2B5EF4-FFF2-40B4-BE49-F238E27FC236}">
              <a16:creationId xmlns:a16="http://schemas.microsoft.com/office/drawing/2014/main" id="{9C3071B5-7E67-4D0D-AAC4-9F1413373E73}"/>
            </a:ext>
          </a:extLst>
        </xdr:cNvPr>
        <xdr:cNvSpPr/>
      </xdr:nvSpPr>
      <xdr:spPr>
        <a:xfrm>
          <a:off x="214045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360</xdr:row>
      <xdr:rowOff>0</xdr:rowOff>
    </xdr:from>
    <xdr:to>
      <xdr:col>24</xdr:col>
      <xdr:colOff>83820</xdr:colOff>
      <xdr:row>360</xdr:row>
      <xdr:rowOff>114300</xdr:rowOff>
    </xdr:to>
    <xdr:sp macro="" textlink="">
      <xdr:nvSpPr>
        <xdr:cNvPr id="2675" name="Arrow: Down 2674">
          <a:extLst>
            <a:ext uri="{FF2B5EF4-FFF2-40B4-BE49-F238E27FC236}">
              <a16:creationId xmlns:a16="http://schemas.microsoft.com/office/drawing/2014/main" id="{B5CC4B30-3DC6-493B-AC6E-97E613B58986}"/>
            </a:ext>
          </a:extLst>
        </xdr:cNvPr>
        <xdr:cNvSpPr/>
      </xdr:nvSpPr>
      <xdr:spPr>
        <a:xfrm>
          <a:off x="83362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358</xdr:row>
      <xdr:rowOff>0</xdr:rowOff>
    </xdr:from>
    <xdr:to>
      <xdr:col>39</xdr:col>
      <xdr:colOff>83820</xdr:colOff>
      <xdr:row>358</xdr:row>
      <xdr:rowOff>114300</xdr:rowOff>
    </xdr:to>
    <xdr:sp macro="" textlink="">
      <xdr:nvSpPr>
        <xdr:cNvPr id="2678" name="Arrow: Down 2677">
          <a:extLst>
            <a:ext uri="{FF2B5EF4-FFF2-40B4-BE49-F238E27FC236}">
              <a16:creationId xmlns:a16="http://schemas.microsoft.com/office/drawing/2014/main" id="{7BA74A44-922D-491D-AC5E-5034F8FE8079}"/>
            </a:ext>
          </a:extLst>
        </xdr:cNvPr>
        <xdr:cNvSpPr/>
      </xdr:nvSpPr>
      <xdr:spPr>
        <a:xfrm rot="10800000">
          <a:off x="1149858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359</xdr:row>
      <xdr:rowOff>0</xdr:rowOff>
    </xdr:from>
    <xdr:to>
      <xdr:col>39</xdr:col>
      <xdr:colOff>83820</xdr:colOff>
      <xdr:row>359</xdr:row>
      <xdr:rowOff>114300</xdr:rowOff>
    </xdr:to>
    <xdr:sp macro="" textlink="">
      <xdr:nvSpPr>
        <xdr:cNvPr id="2691" name="Arrow: Down 2690">
          <a:extLst>
            <a:ext uri="{FF2B5EF4-FFF2-40B4-BE49-F238E27FC236}">
              <a16:creationId xmlns:a16="http://schemas.microsoft.com/office/drawing/2014/main" id="{9877CD70-62C7-4C40-B4A5-B2D8DFC2C0C4}"/>
            </a:ext>
          </a:extLst>
        </xdr:cNvPr>
        <xdr:cNvSpPr/>
      </xdr:nvSpPr>
      <xdr:spPr>
        <a:xfrm rot="10800000">
          <a:off x="114985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360</xdr:row>
      <xdr:rowOff>0</xdr:rowOff>
    </xdr:from>
    <xdr:to>
      <xdr:col>39</xdr:col>
      <xdr:colOff>83820</xdr:colOff>
      <xdr:row>360</xdr:row>
      <xdr:rowOff>114300</xdr:rowOff>
    </xdr:to>
    <xdr:sp macro="" textlink="">
      <xdr:nvSpPr>
        <xdr:cNvPr id="2696" name="Arrow: Down 2695">
          <a:extLst>
            <a:ext uri="{FF2B5EF4-FFF2-40B4-BE49-F238E27FC236}">
              <a16:creationId xmlns:a16="http://schemas.microsoft.com/office/drawing/2014/main" id="{FD7C9BEA-3C07-4E41-BDE6-CDAB0EE921CA}"/>
            </a:ext>
          </a:extLst>
        </xdr:cNvPr>
        <xdr:cNvSpPr/>
      </xdr:nvSpPr>
      <xdr:spPr>
        <a:xfrm rot="10800000">
          <a:off x="1149858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360</xdr:row>
      <xdr:rowOff>0</xdr:rowOff>
    </xdr:from>
    <xdr:to>
      <xdr:col>60</xdr:col>
      <xdr:colOff>83820</xdr:colOff>
      <xdr:row>360</xdr:row>
      <xdr:rowOff>114300</xdr:rowOff>
    </xdr:to>
    <xdr:sp macro="" textlink="">
      <xdr:nvSpPr>
        <xdr:cNvPr id="2702" name="Arrow: Down 2701">
          <a:extLst>
            <a:ext uri="{FF2B5EF4-FFF2-40B4-BE49-F238E27FC236}">
              <a16:creationId xmlns:a16="http://schemas.microsoft.com/office/drawing/2014/main" id="{1FFDBD25-0348-4D26-BC73-15DF9727F54F}"/>
            </a:ext>
          </a:extLst>
        </xdr:cNvPr>
        <xdr:cNvSpPr/>
      </xdr:nvSpPr>
      <xdr:spPr>
        <a:xfrm rot="10800000">
          <a:off x="18973800" y="6593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361</xdr:row>
      <xdr:rowOff>0</xdr:rowOff>
    </xdr:from>
    <xdr:to>
      <xdr:col>45</xdr:col>
      <xdr:colOff>83820</xdr:colOff>
      <xdr:row>361</xdr:row>
      <xdr:rowOff>114300</xdr:rowOff>
    </xdr:to>
    <xdr:sp macro="" textlink="">
      <xdr:nvSpPr>
        <xdr:cNvPr id="2705" name="Arrow: Down 2704">
          <a:extLst>
            <a:ext uri="{FF2B5EF4-FFF2-40B4-BE49-F238E27FC236}">
              <a16:creationId xmlns:a16="http://schemas.microsoft.com/office/drawing/2014/main" id="{9BB8BC11-846D-49CB-87E4-37AE68DFB53E}"/>
            </a:ext>
          </a:extLst>
        </xdr:cNvPr>
        <xdr:cNvSpPr/>
      </xdr:nvSpPr>
      <xdr:spPr>
        <a:xfrm rot="10800000">
          <a:off x="1335786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361</xdr:row>
      <xdr:rowOff>0</xdr:rowOff>
    </xdr:from>
    <xdr:to>
      <xdr:col>71</xdr:col>
      <xdr:colOff>83820</xdr:colOff>
      <xdr:row>361</xdr:row>
      <xdr:rowOff>114300</xdr:rowOff>
    </xdr:to>
    <xdr:sp macro="" textlink="">
      <xdr:nvSpPr>
        <xdr:cNvPr id="2707" name="Arrow: Down 2706">
          <a:extLst>
            <a:ext uri="{FF2B5EF4-FFF2-40B4-BE49-F238E27FC236}">
              <a16:creationId xmlns:a16="http://schemas.microsoft.com/office/drawing/2014/main" id="{322DB559-F804-4D62-90E7-F152ACFD6E13}"/>
            </a:ext>
          </a:extLst>
        </xdr:cNvPr>
        <xdr:cNvSpPr/>
      </xdr:nvSpPr>
      <xdr:spPr>
        <a:xfrm>
          <a:off x="2140458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361</xdr:row>
      <xdr:rowOff>0</xdr:rowOff>
    </xdr:from>
    <xdr:to>
      <xdr:col>24</xdr:col>
      <xdr:colOff>83820</xdr:colOff>
      <xdr:row>361</xdr:row>
      <xdr:rowOff>114300</xdr:rowOff>
    </xdr:to>
    <xdr:sp macro="" textlink="">
      <xdr:nvSpPr>
        <xdr:cNvPr id="2715" name="Arrow: Down 2714">
          <a:extLst>
            <a:ext uri="{FF2B5EF4-FFF2-40B4-BE49-F238E27FC236}">
              <a16:creationId xmlns:a16="http://schemas.microsoft.com/office/drawing/2014/main" id="{CD8ED2C0-41C2-42C3-A7DB-5F04AB865725}"/>
            </a:ext>
          </a:extLst>
        </xdr:cNvPr>
        <xdr:cNvSpPr/>
      </xdr:nvSpPr>
      <xdr:spPr>
        <a:xfrm>
          <a:off x="833628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360</xdr:row>
      <xdr:rowOff>0</xdr:rowOff>
    </xdr:from>
    <xdr:to>
      <xdr:col>5</xdr:col>
      <xdr:colOff>83820</xdr:colOff>
      <xdr:row>360</xdr:row>
      <xdr:rowOff>114300</xdr:rowOff>
    </xdr:to>
    <xdr:sp macro="" textlink="">
      <xdr:nvSpPr>
        <xdr:cNvPr id="2723" name="Arrow: Down 2722">
          <a:extLst>
            <a:ext uri="{FF2B5EF4-FFF2-40B4-BE49-F238E27FC236}">
              <a16:creationId xmlns:a16="http://schemas.microsoft.com/office/drawing/2014/main" id="{36EED64D-BDE9-45FA-9510-749FCEABD0DA}"/>
            </a:ext>
          </a:extLst>
        </xdr:cNvPr>
        <xdr:cNvSpPr/>
      </xdr:nvSpPr>
      <xdr:spPr>
        <a:xfrm>
          <a:off x="192786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361</xdr:row>
      <xdr:rowOff>0</xdr:rowOff>
    </xdr:from>
    <xdr:to>
      <xdr:col>5</xdr:col>
      <xdr:colOff>83820</xdr:colOff>
      <xdr:row>361</xdr:row>
      <xdr:rowOff>114300</xdr:rowOff>
    </xdr:to>
    <xdr:sp macro="" textlink="">
      <xdr:nvSpPr>
        <xdr:cNvPr id="2724" name="Arrow: Down 2723">
          <a:extLst>
            <a:ext uri="{FF2B5EF4-FFF2-40B4-BE49-F238E27FC236}">
              <a16:creationId xmlns:a16="http://schemas.microsoft.com/office/drawing/2014/main" id="{505D3492-B230-4801-9418-6F25911B687C}"/>
            </a:ext>
          </a:extLst>
        </xdr:cNvPr>
        <xdr:cNvSpPr/>
      </xdr:nvSpPr>
      <xdr:spPr>
        <a:xfrm>
          <a:off x="192786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360</xdr:row>
      <xdr:rowOff>0</xdr:rowOff>
    </xdr:from>
    <xdr:to>
      <xdr:col>11</xdr:col>
      <xdr:colOff>83820</xdr:colOff>
      <xdr:row>360</xdr:row>
      <xdr:rowOff>114300</xdr:rowOff>
    </xdr:to>
    <xdr:sp macro="" textlink="">
      <xdr:nvSpPr>
        <xdr:cNvPr id="2725" name="Arrow: Down 2724">
          <a:extLst>
            <a:ext uri="{FF2B5EF4-FFF2-40B4-BE49-F238E27FC236}">
              <a16:creationId xmlns:a16="http://schemas.microsoft.com/office/drawing/2014/main" id="{A8A1871D-FEEE-4118-B89D-8FBD1B9DB91A}"/>
            </a:ext>
          </a:extLst>
        </xdr:cNvPr>
        <xdr:cNvSpPr/>
      </xdr:nvSpPr>
      <xdr:spPr>
        <a:xfrm>
          <a:off x="369570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361</xdr:row>
      <xdr:rowOff>0</xdr:rowOff>
    </xdr:from>
    <xdr:to>
      <xdr:col>11</xdr:col>
      <xdr:colOff>83820</xdr:colOff>
      <xdr:row>361</xdr:row>
      <xdr:rowOff>114300</xdr:rowOff>
    </xdr:to>
    <xdr:sp macro="" textlink="">
      <xdr:nvSpPr>
        <xdr:cNvPr id="2726" name="Arrow: Down 2725">
          <a:extLst>
            <a:ext uri="{FF2B5EF4-FFF2-40B4-BE49-F238E27FC236}">
              <a16:creationId xmlns:a16="http://schemas.microsoft.com/office/drawing/2014/main" id="{B66331B6-20AC-4E4C-AD80-01F01D44A36C}"/>
            </a:ext>
          </a:extLst>
        </xdr:cNvPr>
        <xdr:cNvSpPr/>
      </xdr:nvSpPr>
      <xdr:spPr>
        <a:xfrm>
          <a:off x="369570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361</xdr:row>
      <xdr:rowOff>0</xdr:rowOff>
    </xdr:from>
    <xdr:to>
      <xdr:col>39</xdr:col>
      <xdr:colOff>83820</xdr:colOff>
      <xdr:row>361</xdr:row>
      <xdr:rowOff>114300</xdr:rowOff>
    </xdr:to>
    <xdr:sp macro="" textlink="">
      <xdr:nvSpPr>
        <xdr:cNvPr id="2728" name="Arrow: Down 2727">
          <a:extLst>
            <a:ext uri="{FF2B5EF4-FFF2-40B4-BE49-F238E27FC236}">
              <a16:creationId xmlns:a16="http://schemas.microsoft.com/office/drawing/2014/main" id="{C6EE6E51-76B9-4337-82CF-9ABA2A5980F8}"/>
            </a:ext>
          </a:extLst>
        </xdr:cNvPr>
        <xdr:cNvSpPr/>
      </xdr:nvSpPr>
      <xdr:spPr>
        <a:xfrm>
          <a:off x="11498580" y="6611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361</xdr:row>
      <xdr:rowOff>0</xdr:rowOff>
    </xdr:from>
    <xdr:to>
      <xdr:col>60</xdr:col>
      <xdr:colOff>83820</xdr:colOff>
      <xdr:row>361</xdr:row>
      <xdr:rowOff>114300</xdr:rowOff>
    </xdr:to>
    <xdr:sp macro="" textlink="">
      <xdr:nvSpPr>
        <xdr:cNvPr id="2730" name="Arrow: Down 2729">
          <a:extLst>
            <a:ext uri="{FF2B5EF4-FFF2-40B4-BE49-F238E27FC236}">
              <a16:creationId xmlns:a16="http://schemas.microsoft.com/office/drawing/2014/main" id="{BF715A13-433E-4100-84C4-5B1F3457B3F9}"/>
            </a:ext>
          </a:extLst>
        </xdr:cNvPr>
        <xdr:cNvSpPr/>
      </xdr:nvSpPr>
      <xdr:spPr>
        <a:xfrm>
          <a:off x="1897380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362</xdr:row>
      <xdr:rowOff>0</xdr:rowOff>
    </xdr:from>
    <xdr:to>
      <xdr:col>45</xdr:col>
      <xdr:colOff>83820</xdr:colOff>
      <xdr:row>362</xdr:row>
      <xdr:rowOff>114300</xdr:rowOff>
    </xdr:to>
    <xdr:sp macro="" textlink="">
      <xdr:nvSpPr>
        <xdr:cNvPr id="2634" name="Arrow: Down 2633">
          <a:extLst>
            <a:ext uri="{FF2B5EF4-FFF2-40B4-BE49-F238E27FC236}">
              <a16:creationId xmlns:a16="http://schemas.microsoft.com/office/drawing/2014/main" id="{B73912A1-242D-4D85-A67A-411DEF00F94D}"/>
            </a:ext>
          </a:extLst>
        </xdr:cNvPr>
        <xdr:cNvSpPr/>
      </xdr:nvSpPr>
      <xdr:spPr>
        <a:xfrm rot="10800000">
          <a:off x="1335786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362</xdr:row>
      <xdr:rowOff>0</xdr:rowOff>
    </xdr:from>
    <xdr:to>
      <xdr:col>71</xdr:col>
      <xdr:colOff>83820</xdr:colOff>
      <xdr:row>362</xdr:row>
      <xdr:rowOff>114300</xdr:rowOff>
    </xdr:to>
    <xdr:sp macro="" textlink="">
      <xdr:nvSpPr>
        <xdr:cNvPr id="2635" name="Arrow: Down 2634">
          <a:extLst>
            <a:ext uri="{FF2B5EF4-FFF2-40B4-BE49-F238E27FC236}">
              <a16:creationId xmlns:a16="http://schemas.microsoft.com/office/drawing/2014/main" id="{98BCBDCA-4ECA-4D36-922C-6BCEBE9E0EFB}"/>
            </a:ext>
          </a:extLst>
        </xdr:cNvPr>
        <xdr:cNvSpPr/>
      </xdr:nvSpPr>
      <xdr:spPr>
        <a:xfrm>
          <a:off x="2140458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362</xdr:row>
      <xdr:rowOff>0</xdr:rowOff>
    </xdr:from>
    <xdr:to>
      <xdr:col>60</xdr:col>
      <xdr:colOff>83820</xdr:colOff>
      <xdr:row>362</xdr:row>
      <xdr:rowOff>114300</xdr:rowOff>
    </xdr:to>
    <xdr:sp macro="" textlink="">
      <xdr:nvSpPr>
        <xdr:cNvPr id="2648" name="Arrow: Down 2647">
          <a:extLst>
            <a:ext uri="{FF2B5EF4-FFF2-40B4-BE49-F238E27FC236}">
              <a16:creationId xmlns:a16="http://schemas.microsoft.com/office/drawing/2014/main" id="{FBE94671-04B0-4285-8F3B-5FA8CDB0E7C9}"/>
            </a:ext>
          </a:extLst>
        </xdr:cNvPr>
        <xdr:cNvSpPr/>
      </xdr:nvSpPr>
      <xdr:spPr>
        <a:xfrm>
          <a:off x="1897380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362</xdr:row>
      <xdr:rowOff>0</xdr:rowOff>
    </xdr:from>
    <xdr:to>
      <xdr:col>11</xdr:col>
      <xdr:colOff>83820</xdr:colOff>
      <xdr:row>362</xdr:row>
      <xdr:rowOff>114300</xdr:rowOff>
    </xdr:to>
    <xdr:sp macro="" textlink="">
      <xdr:nvSpPr>
        <xdr:cNvPr id="2654" name="Arrow: Down 2653">
          <a:extLst>
            <a:ext uri="{FF2B5EF4-FFF2-40B4-BE49-F238E27FC236}">
              <a16:creationId xmlns:a16="http://schemas.microsoft.com/office/drawing/2014/main" id="{032B0CA4-8A47-4757-A616-17CCE9DEDCCB}"/>
            </a:ext>
          </a:extLst>
        </xdr:cNvPr>
        <xdr:cNvSpPr/>
      </xdr:nvSpPr>
      <xdr:spPr>
        <a:xfrm rot="10800000">
          <a:off x="369570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362</xdr:row>
      <xdr:rowOff>0</xdr:rowOff>
    </xdr:from>
    <xdr:to>
      <xdr:col>24</xdr:col>
      <xdr:colOff>83820</xdr:colOff>
      <xdr:row>362</xdr:row>
      <xdr:rowOff>114300</xdr:rowOff>
    </xdr:to>
    <xdr:sp macro="" textlink="">
      <xdr:nvSpPr>
        <xdr:cNvPr id="2670" name="Arrow: Down 2669">
          <a:extLst>
            <a:ext uri="{FF2B5EF4-FFF2-40B4-BE49-F238E27FC236}">
              <a16:creationId xmlns:a16="http://schemas.microsoft.com/office/drawing/2014/main" id="{55EA719D-6AC0-4DA3-9344-1137704EDF65}"/>
            </a:ext>
          </a:extLst>
        </xdr:cNvPr>
        <xdr:cNvSpPr/>
      </xdr:nvSpPr>
      <xdr:spPr>
        <a:xfrm rot="10800000">
          <a:off x="833628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362</xdr:row>
      <xdr:rowOff>0</xdr:rowOff>
    </xdr:from>
    <xdr:to>
      <xdr:col>5</xdr:col>
      <xdr:colOff>83820</xdr:colOff>
      <xdr:row>362</xdr:row>
      <xdr:rowOff>114300</xdr:rowOff>
    </xdr:to>
    <xdr:sp macro="" textlink="">
      <xdr:nvSpPr>
        <xdr:cNvPr id="2671" name="Arrow: Down 2670">
          <a:extLst>
            <a:ext uri="{FF2B5EF4-FFF2-40B4-BE49-F238E27FC236}">
              <a16:creationId xmlns:a16="http://schemas.microsoft.com/office/drawing/2014/main" id="{8AE12474-94E7-4FA9-83CD-185C1E718238}"/>
            </a:ext>
          </a:extLst>
        </xdr:cNvPr>
        <xdr:cNvSpPr/>
      </xdr:nvSpPr>
      <xdr:spPr>
        <a:xfrm rot="10800000">
          <a:off x="192786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363</xdr:row>
      <xdr:rowOff>0</xdr:rowOff>
    </xdr:from>
    <xdr:to>
      <xdr:col>45</xdr:col>
      <xdr:colOff>83820</xdr:colOff>
      <xdr:row>363</xdr:row>
      <xdr:rowOff>114300</xdr:rowOff>
    </xdr:to>
    <xdr:sp macro="" textlink="">
      <xdr:nvSpPr>
        <xdr:cNvPr id="2672" name="Arrow: Down 2671">
          <a:extLst>
            <a:ext uri="{FF2B5EF4-FFF2-40B4-BE49-F238E27FC236}">
              <a16:creationId xmlns:a16="http://schemas.microsoft.com/office/drawing/2014/main" id="{497C1BA8-C9BE-4C28-A165-E3E227E74AE0}"/>
            </a:ext>
          </a:extLst>
        </xdr:cNvPr>
        <xdr:cNvSpPr/>
      </xdr:nvSpPr>
      <xdr:spPr>
        <a:xfrm rot="10800000">
          <a:off x="13357860" y="6630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363</xdr:row>
      <xdr:rowOff>0</xdr:rowOff>
    </xdr:from>
    <xdr:to>
      <xdr:col>71</xdr:col>
      <xdr:colOff>83820</xdr:colOff>
      <xdr:row>363</xdr:row>
      <xdr:rowOff>114300</xdr:rowOff>
    </xdr:to>
    <xdr:sp macro="" textlink="">
      <xdr:nvSpPr>
        <xdr:cNvPr id="2673" name="Arrow: Down 2672">
          <a:extLst>
            <a:ext uri="{FF2B5EF4-FFF2-40B4-BE49-F238E27FC236}">
              <a16:creationId xmlns:a16="http://schemas.microsoft.com/office/drawing/2014/main" id="{C7F543AF-1403-4717-B8A3-BFDE9564976D}"/>
            </a:ext>
          </a:extLst>
        </xdr:cNvPr>
        <xdr:cNvSpPr/>
      </xdr:nvSpPr>
      <xdr:spPr>
        <a:xfrm>
          <a:off x="21404580" y="6630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363</xdr:row>
      <xdr:rowOff>0</xdr:rowOff>
    </xdr:from>
    <xdr:to>
      <xdr:col>11</xdr:col>
      <xdr:colOff>83820</xdr:colOff>
      <xdr:row>363</xdr:row>
      <xdr:rowOff>114300</xdr:rowOff>
    </xdr:to>
    <xdr:sp macro="" textlink="">
      <xdr:nvSpPr>
        <xdr:cNvPr id="2684" name="Arrow: Down 2683">
          <a:extLst>
            <a:ext uri="{FF2B5EF4-FFF2-40B4-BE49-F238E27FC236}">
              <a16:creationId xmlns:a16="http://schemas.microsoft.com/office/drawing/2014/main" id="{EC71A0F3-69EA-4FF4-B8A2-98FCFDBB62B8}"/>
            </a:ext>
          </a:extLst>
        </xdr:cNvPr>
        <xdr:cNvSpPr/>
      </xdr:nvSpPr>
      <xdr:spPr>
        <a:xfrm rot="10800000">
          <a:off x="369570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363</xdr:row>
      <xdr:rowOff>0</xdr:rowOff>
    </xdr:from>
    <xdr:to>
      <xdr:col>24</xdr:col>
      <xdr:colOff>83820</xdr:colOff>
      <xdr:row>363</xdr:row>
      <xdr:rowOff>114300</xdr:rowOff>
    </xdr:to>
    <xdr:sp macro="" textlink="">
      <xdr:nvSpPr>
        <xdr:cNvPr id="2692" name="Arrow: Down 2691">
          <a:extLst>
            <a:ext uri="{FF2B5EF4-FFF2-40B4-BE49-F238E27FC236}">
              <a16:creationId xmlns:a16="http://schemas.microsoft.com/office/drawing/2014/main" id="{95E34C8A-92DD-4542-9100-44030EB386A3}"/>
            </a:ext>
          </a:extLst>
        </xdr:cNvPr>
        <xdr:cNvSpPr/>
      </xdr:nvSpPr>
      <xdr:spPr>
        <a:xfrm rot="10800000">
          <a:off x="833628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363</xdr:row>
      <xdr:rowOff>0</xdr:rowOff>
    </xdr:from>
    <xdr:to>
      <xdr:col>5</xdr:col>
      <xdr:colOff>83820</xdr:colOff>
      <xdr:row>363</xdr:row>
      <xdr:rowOff>114300</xdr:rowOff>
    </xdr:to>
    <xdr:sp macro="" textlink="">
      <xdr:nvSpPr>
        <xdr:cNvPr id="2698" name="Arrow: Down 2697">
          <a:extLst>
            <a:ext uri="{FF2B5EF4-FFF2-40B4-BE49-F238E27FC236}">
              <a16:creationId xmlns:a16="http://schemas.microsoft.com/office/drawing/2014/main" id="{6240D4C4-1D98-4946-9727-8881E8AFA08A}"/>
            </a:ext>
          </a:extLst>
        </xdr:cNvPr>
        <xdr:cNvSpPr/>
      </xdr:nvSpPr>
      <xdr:spPr>
        <a:xfrm rot="10800000">
          <a:off x="192786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362</xdr:row>
      <xdr:rowOff>0</xdr:rowOff>
    </xdr:from>
    <xdr:to>
      <xdr:col>39</xdr:col>
      <xdr:colOff>83820</xdr:colOff>
      <xdr:row>362</xdr:row>
      <xdr:rowOff>114300</xdr:rowOff>
    </xdr:to>
    <xdr:sp macro="" textlink="">
      <xdr:nvSpPr>
        <xdr:cNvPr id="2714" name="Arrow: Down 2713">
          <a:extLst>
            <a:ext uri="{FF2B5EF4-FFF2-40B4-BE49-F238E27FC236}">
              <a16:creationId xmlns:a16="http://schemas.microsoft.com/office/drawing/2014/main" id="{D88A1C48-F617-4901-859C-A1657E61C28D}"/>
            </a:ext>
          </a:extLst>
        </xdr:cNvPr>
        <xdr:cNvSpPr/>
      </xdr:nvSpPr>
      <xdr:spPr>
        <a:xfrm rot="10800000">
          <a:off x="11498580" y="6630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363</xdr:row>
      <xdr:rowOff>0</xdr:rowOff>
    </xdr:from>
    <xdr:to>
      <xdr:col>39</xdr:col>
      <xdr:colOff>83820</xdr:colOff>
      <xdr:row>363</xdr:row>
      <xdr:rowOff>114300</xdr:rowOff>
    </xdr:to>
    <xdr:sp macro="" textlink="">
      <xdr:nvSpPr>
        <xdr:cNvPr id="2718" name="Arrow: Down 2717">
          <a:extLst>
            <a:ext uri="{FF2B5EF4-FFF2-40B4-BE49-F238E27FC236}">
              <a16:creationId xmlns:a16="http://schemas.microsoft.com/office/drawing/2014/main" id="{DE8AA8A9-4031-4D68-AB4B-1500F5376362}"/>
            </a:ext>
          </a:extLst>
        </xdr:cNvPr>
        <xdr:cNvSpPr/>
      </xdr:nvSpPr>
      <xdr:spPr>
        <a:xfrm>
          <a:off x="1149858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363</xdr:row>
      <xdr:rowOff>0</xdr:rowOff>
    </xdr:from>
    <xdr:to>
      <xdr:col>60</xdr:col>
      <xdr:colOff>83820</xdr:colOff>
      <xdr:row>363</xdr:row>
      <xdr:rowOff>114300</xdr:rowOff>
    </xdr:to>
    <xdr:sp macro="" textlink="">
      <xdr:nvSpPr>
        <xdr:cNvPr id="2721" name="Arrow: Down 2720">
          <a:extLst>
            <a:ext uri="{FF2B5EF4-FFF2-40B4-BE49-F238E27FC236}">
              <a16:creationId xmlns:a16="http://schemas.microsoft.com/office/drawing/2014/main" id="{8D687E65-2339-4BF2-A247-B74C6565A369}"/>
            </a:ext>
          </a:extLst>
        </xdr:cNvPr>
        <xdr:cNvSpPr/>
      </xdr:nvSpPr>
      <xdr:spPr>
        <a:xfrm rot="10800000">
          <a:off x="1897380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364</xdr:row>
      <xdr:rowOff>0</xdr:rowOff>
    </xdr:from>
    <xdr:to>
      <xdr:col>45</xdr:col>
      <xdr:colOff>83820</xdr:colOff>
      <xdr:row>364</xdr:row>
      <xdr:rowOff>114300</xdr:rowOff>
    </xdr:to>
    <xdr:sp macro="" textlink="">
      <xdr:nvSpPr>
        <xdr:cNvPr id="2750" name="Arrow: Down 2749">
          <a:extLst>
            <a:ext uri="{FF2B5EF4-FFF2-40B4-BE49-F238E27FC236}">
              <a16:creationId xmlns:a16="http://schemas.microsoft.com/office/drawing/2014/main" id="{6C45668A-DFDA-4969-A17F-14B85C34272A}"/>
            </a:ext>
          </a:extLst>
        </xdr:cNvPr>
        <xdr:cNvSpPr/>
      </xdr:nvSpPr>
      <xdr:spPr>
        <a:xfrm rot="10800000">
          <a:off x="13357860" y="6648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364</xdr:row>
      <xdr:rowOff>0</xdr:rowOff>
    </xdr:from>
    <xdr:to>
      <xdr:col>71</xdr:col>
      <xdr:colOff>83820</xdr:colOff>
      <xdr:row>364</xdr:row>
      <xdr:rowOff>114300</xdr:rowOff>
    </xdr:to>
    <xdr:sp macro="" textlink="">
      <xdr:nvSpPr>
        <xdr:cNvPr id="2751" name="Arrow: Down 2750">
          <a:extLst>
            <a:ext uri="{FF2B5EF4-FFF2-40B4-BE49-F238E27FC236}">
              <a16:creationId xmlns:a16="http://schemas.microsoft.com/office/drawing/2014/main" id="{E394F5D1-C3C3-4DD9-A463-DE28EB82A7CD}"/>
            </a:ext>
          </a:extLst>
        </xdr:cNvPr>
        <xdr:cNvSpPr/>
      </xdr:nvSpPr>
      <xdr:spPr>
        <a:xfrm>
          <a:off x="21404580" y="6648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364</xdr:row>
      <xdr:rowOff>0</xdr:rowOff>
    </xdr:from>
    <xdr:to>
      <xdr:col>11</xdr:col>
      <xdr:colOff>83820</xdr:colOff>
      <xdr:row>364</xdr:row>
      <xdr:rowOff>114300</xdr:rowOff>
    </xdr:to>
    <xdr:sp macro="" textlink="">
      <xdr:nvSpPr>
        <xdr:cNvPr id="2752" name="Arrow: Down 2751">
          <a:extLst>
            <a:ext uri="{FF2B5EF4-FFF2-40B4-BE49-F238E27FC236}">
              <a16:creationId xmlns:a16="http://schemas.microsoft.com/office/drawing/2014/main" id="{25E12CC0-4B56-4C25-BA60-38BB4458F687}"/>
            </a:ext>
          </a:extLst>
        </xdr:cNvPr>
        <xdr:cNvSpPr/>
      </xdr:nvSpPr>
      <xdr:spPr>
        <a:xfrm rot="10800000">
          <a:off x="369570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83820</xdr:colOff>
      <xdr:row>364</xdr:row>
      <xdr:rowOff>114300</xdr:rowOff>
    </xdr:to>
    <xdr:sp macro="" textlink="">
      <xdr:nvSpPr>
        <xdr:cNvPr id="2754" name="Arrow: Down 2753">
          <a:extLst>
            <a:ext uri="{FF2B5EF4-FFF2-40B4-BE49-F238E27FC236}">
              <a16:creationId xmlns:a16="http://schemas.microsoft.com/office/drawing/2014/main" id="{B9BE4AD3-41D6-4125-A440-C30802724646}"/>
            </a:ext>
          </a:extLst>
        </xdr:cNvPr>
        <xdr:cNvSpPr/>
      </xdr:nvSpPr>
      <xdr:spPr>
        <a:xfrm rot="10800000">
          <a:off x="192786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364</xdr:row>
      <xdr:rowOff>0</xdr:rowOff>
    </xdr:from>
    <xdr:to>
      <xdr:col>60</xdr:col>
      <xdr:colOff>83820</xdr:colOff>
      <xdr:row>364</xdr:row>
      <xdr:rowOff>114300</xdr:rowOff>
    </xdr:to>
    <xdr:sp macro="" textlink="">
      <xdr:nvSpPr>
        <xdr:cNvPr id="2756" name="Arrow: Down 2755">
          <a:extLst>
            <a:ext uri="{FF2B5EF4-FFF2-40B4-BE49-F238E27FC236}">
              <a16:creationId xmlns:a16="http://schemas.microsoft.com/office/drawing/2014/main" id="{CCECC54B-8872-46F2-9702-28C967CBD435}"/>
            </a:ext>
          </a:extLst>
        </xdr:cNvPr>
        <xdr:cNvSpPr/>
      </xdr:nvSpPr>
      <xdr:spPr>
        <a:xfrm rot="10800000">
          <a:off x="1897380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364</xdr:row>
      <xdr:rowOff>0</xdr:rowOff>
    </xdr:from>
    <xdr:to>
      <xdr:col>39</xdr:col>
      <xdr:colOff>83820</xdr:colOff>
      <xdr:row>364</xdr:row>
      <xdr:rowOff>114300</xdr:rowOff>
    </xdr:to>
    <xdr:sp macro="" textlink="">
      <xdr:nvSpPr>
        <xdr:cNvPr id="2757" name="Arrow: Down 2756">
          <a:extLst>
            <a:ext uri="{FF2B5EF4-FFF2-40B4-BE49-F238E27FC236}">
              <a16:creationId xmlns:a16="http://schemas.microsoft.com/office/drawing/2014/main" id="{B31A5A6F-48A1-4633-A948-049F3D7CE086}"/>
            </a:ext>
          </a:extLst>
        </xdr:cNvPr>
        <xdr:cNvSpPr/>
      </xdr:nvSpPr>
      <xdr:spPr>
        <a:xfrm rot="10800000">
          <a:off x="114985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364</xdr:row>
      <xdr:rowOff>0</xdr:rowOff>
    </xdr:from>
    <xdr:to>
      <xdr:col>24</xdr:col>
      <xdr:colOff>83820</xdr:colOff>
      <xdr:row>364</xdr:row>
      <xdr:rowOff>114300</xdr:rowOff>
    </xdr:to>
    <xdr:sp macro="" textlink="">
      <xdr:nvSpPr>
        <xdr:cNvPr id="2759" name="Arrow: Down 2758">
          <a:extLst>
            <a:ext uri="{FF2B5EF4-FFF2-40B4-BE49-F238E27FC236}">
              <a16:creationId xmlns:a16="http://schemas.microsoft.com/office/drawing/2014/main" id="{C8D42819-C364-40F5-A20C-11426B4DFEDB}"/>
            </a:ext>
          </a:extLst>
        </xdr:cNvPr>
        <xdr:cNvSpPr/>
      </xdr:nvSpPr>
      <xdr:spPr>
        <a:xfrm>
          <a:off x="83362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365</xdr:row>
      <xdr:rowOff>0</xdr:rowOff>
    </xdr:from>
    <xdr:to>
      <xdr:col>45</xdr:col>
      <xdr:colOff>83820</xdr:colOff>
      <xdr:row>365</xdr:row>
      <xdr:rowOff>114300</xdr:rowOff>
    </xdr:to>
    <xdr:sp macro="" textlink="">
      <xdr:nvSpPr>
        <xdr:cNvPr id="2760" name="Arrow: Down 2759">
          <a:extLst>
            <a:ext uri="{FF2B5EF4-FFF2-40B4-BE49-F238E27FC236}">
              <a16:creationId xmlns:a16="http://schemas.microsoft.com/office/drawing/2014/main" id="{0F48508A-6FDB-4ABB-8106-CBD6C022752F}"/>
            </a:ext>
          </a:extLst>
        </xdr:cNvPr>
        <xdr:cNvSpPr/>
      </xdr:nvSpPr>
      <xdr:spPr>
        <a:xfrm rot="10800000">
          <a:off x="1335786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365</xdr:row>
      <xdr:rowOff>0</xdr:rowOff>
    </xdr:from>
    <xdr:to>
      <xdr:col>71</xdr:col>
      <xdr:colOff>83820</xdr:colOff>
      <xdr:row>365</xdr:row>
      <xdr:rowOff>114300</xdr:rowOff>
    </xdr:to>
    <xdr:sp macro="" textlink="">
      <xdr:nvSpPr>
        <xdr:cNvPr id="2761" name="Arrow: Down 2760">
          <a:extLst>
            <a:ext uri="{FF2B5EF4-FFF2-40B4-BE49-F238E27FC236}">
              <a16:creationId xmlns:a16="http://schemas.microsoft.com/office/drawing/2014/main" id="{E92A94E7-57D8-4CA3-842F-E37F1D94137A}"/>
            </a:ext>
          </a:extLst>
        </xdr:cNvPr>
        <xdr:cNvSpPr/>
      </xdr:nvSpPr>
      <xdr:spPr>
        <a:xfrm>
          <a:off x="214045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365</xdr:row>
      <xdr:rowOff>0</xdr:rowOff>
    </xdr:from>
    <xdr:to>
      <xdr:col>11</xdr:col>
      <xdr:colOff>83820</xdr:colOff>
      <xdr:row>365</xdr:row>
      <xdr:rowOff>114300</xdr:rowOff>
    </xdr:to>
    <xdr:sp macro="" textlink="">
      <xdr:nvSpPr>
        <xdr:cNvPr id="2762" name="Arrow: Down 2761">
          <a:extLst>
            <a:ext uri="{FF2B5EF4-FFF2-40B4-BE49-F238E27FC236}">
              <a16:creationId xmlns:a16="http://schemas.microsoft.com/office/drawing/2014/main" id="{DA038BC5-12F6-49FE-A84D-4AAC7BE1D025}"/>
            </a:ext>
          </a:extLst>
        </xdr:cNvPr>
        <xdr:cNvSpPr/>
      </xdr:nvSpPr>
      <xdr:spPr>
        <a:xfrm rot="10800000">
          <a:off x="3695700" y="6666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365</xdr:row>
      <xdr:rowOff>0</xdr:rowOff>
    </xdr:from>
    <xdr:to>
      <xdr:col>5</xdr:col>
      <xdr:colOff>83820</xdr:colOff>
      <xdr:row>365</xdr:row>
      <xdr:rowOff>114300</xdr:rowOff>
    </xdr:to>
    <xdr:sp macro="" textlink="">
      <xdr:nvSpPr>
        <xdr:cNvPr id="2763" name="Arrow: Down 2762">
          <a:extLst>
            <a:ext uri="{FF2B5EF4-FFF2-40B4-BE49-F238E27FC236}">
              <a16:creationId xmlns:a16="http://schemas.microsoft.com/office/drawing/2014/main" id="{C5DFFCDD-9B8C-4E22-8A4B-8D74F4E7DEB1}"/>
            </a:ext>
          </a:extLst>
        </xdr:cNvPr>
        <xdr:cNvSpPr/>
      </xdr:nvSpPr>
      <xdr:spPr>
        <a:xfrm rot="10800000">
          <a:off x="1927860" y="6666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365</xdr:row>
      <xdr:rowOff>0</xdr:rowOff>
    </xdr:from>
    <xdr:to>
      <xdr:col>24</xdr:col>
      <xdr:colOff>83820</xdr:colOff>
      <xdr:row>365</xdr:row>
      <xdr:rowOff>114300</xdr:rowOff>
    </xdr:to>
    <xdr:sp macro="" textlink="">
      <xdr:nvSpPr>
        <xdr:cNvPr id="2766" name="Arrow: Down 2765">
          <a:extLst>
            <a:ext uri="{FF2B5EF4-FFF2-40B4-BE49-F238E27FC236}">
              <a16:creationId xmlns:a16="http://schemas.microsoft.com/office/drawing/2014/main" id="{04DBF96B-459E-4E75-B5D1-9570DEA2EBD8}"/>
            </a:ext>
          </a:extLst>
        </xdr:cNvPr>
        <xdr:cNvSpPr/>
      </xdr:nvSpPr>
      <xdr:spPr>
        <a:xfrm>
          <a:off x="83362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365</xdr:row>
      <xdr:rowOff>0</xdr:rowOff>
    </xdr:from>
    <xdr:to>
      <xdr:col>39</xdr:col>
      <xdr:colOff>83820</xdr:colOff>
      <xdr:row>365</xdr:row>
      <xdr:rowOff>114300</xdr:rowOff>
    </xdr:to>
    <xdr:sp macro="" textlink="">
      <xdr:nvSpPr>
        <xdr:cNvPr id="2767" name="Arrow: Down 2766">
          <a:extLst>
            <a:ext uri="{FF2B5EF4-FFF2-40B4-BE49-F238E27FC236}">
              <a16:creationId xmlns:a16="http://schemas.microsoft.com/office/drawing/2014/main" id="{D5152529-9A71-42F6-9F32-C5A530D65ABF}"/>
            </a:ext>
          </a:extLst>
        </xdr:cNvPr>
        <xdr:cNvSpPr/>
      </xdr:nvSpPr>
      <xdr:spPr>
        <a:xfrm>
          <a:off x="11498580" y="6685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365</xdr:row>
      <xdr:rowOff>0</xdr:rowOff>
    </xdr:from>
    <xdr:to>
      <xdr:col>60</xdr:col>
      <xdr:colOff>83820</xdr:colOff>
      <xdr:row>365</xdr:row>
      <xdr:rowOff>114300</xdr:rowOff>
    </xdr:to>
    <xdr:sp macro="" textlink="">
      <xdr:nvSpPr>
        <xdr:cNvPr id="2769" name="Arrow: Down 2768">
          <a:extLst>
            <a:ext uri="{FF2B5EF4-FFF2-40B4-BE49-F238E27FC236}">
              <a16:creationId xmlns:a16="http://schemas.microsoft.com/office/drawing/2014/main" id="{855641CA-FD4E-4644-8183-5A8513B61012}"/>
            </a:ext>
          </a:extLst>
        </xdr:cNvPr>
        <xdr:cNvSpPr/>
      </xdr:nvSpPr>
      <xdr:spPr>
        <a:xfrm>
          <a:off x="1897380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366</xdr:row>
      <xdr:rowOff>0</xdr:rowOff>
    </xdr:from>
    <xdr:to>
      <xdr:col>45</xdr:col>
      <xdr:colOff>83820</xdr:colOff>
      <xdr:row>366</xdr:row>
      <xdr:rowOff>114300</xdr:rowOff>
    </xdr:to>
    <xdr:sp macro="" textlink="">
      <xdr:nvSpPr>
        <xdr:cNvPr id="2770" name="Arrow: Down 2769">
          <a:extLst>
            <a:ext uri="{FF2B5EF4-FFF2-40B4-BE49-F238E27FC236}">
              <a16:creationId xmlns:a16="http://schemas.microsoft.com/office/drawing/2014/main" id="{6310C48C-DA43-468E-8A86-263F210C17DE}"/>
            </a:ext>
          </a:extLst>
        </xdr:cNvPr>
        <xdr:cNvSpPr/>
      </xdr:nvSpPr>
      <xdr:spPr>
        <a:xfrm rot="10800000">
          <a:off x="1335786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366</xdr:row>
      <xdr:rowOff>0</xdr:rowOff>
    </xdr:from>
    <xdr:to>
      <xdr:col>71</xdr:col>
      <xdr:colOff>83820</xdr:colOff>
      <xdr:row>366</xdr:row>
      <xdr:rowOff>114300</xdr:rowOff>
    </xdr:to>
    <xdr:sp macro="" textlink="">
      <xdr:nvSpPr>
        <xdr:cNvPr id="2771" name="Arrow: Down 2770">
          <a:extLst>
            <a:ext uri="{FF2B5EF4-FFF2-40B4-BE49-F238E27FC236}">
              <a16:creationId xmlns:a16="http://schemas.microsoft.com/office/drawing/2014/main" id="{EDD11F47-1BA5-4BA3-AE9C-E01C91E13567}"/>
            </a:ext>
          </a:extLst>
        </xdr:cNvPr>
        <xdr:cNvSpPr/>
      </xdr:nvSpPr>
      <xdr:spPr>
        <a:xfrm>
          <a:off x="2140458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366</xdr:row>
      <xdr:rowOff>0</xdr:rowOff>
    </xdr:from>
    <xdr:to>
      <xdr:col>11</xdr:col>
      <xdr:colOff>83820</xdr:colOff>
      <xdr:row>366</xdr:row>
      <xdr:rowOff>114300</xdr:rowOff>
    </xdr:to>
    <xdr:sp macro="" textlink="">
      <xdr:nvSpPr>
        <xdr:cNvPr id="2772" name="Arrow: Down 2771">
          <a:extLst>
            <a:ext uri="{FF2B5EF4-FFF2-40B4-BE49-F238E27FC236}">
              <a16:creationId xmlns:a16="http://schemas.microsoft.com/office/drawing/2014/main" id="{920124F3-5E7F-45E4-88E3-C3891086E248}"/>
            </a:ext>
          </a:extLst>
        </xdr:cNvPr>
        <xdr:cNvSpPr/>
      </xdr:nvSpPr>
      <xdr:spPr>
        <a:xfrm rot="10800000">
          <a:off x="3695700" y="6685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366</xdr:row>
      <xdr:rowOff>0</xdr:rowOff>
    </xdr:from>
    <xdr:to>
      <xdr:col>5</xdr:col>
      <xdr:colOff>83820</xdr:colOff>
      <xdr:row>366</xdr:row>
      <xdr:rowOff>114300</xdr:rowOff>
    </xdr:to>
    <xdr:sp macro="" textlink="">
      <xdr:nvSpPr>
        <xdr:cNvPr id="2773" name="Arrow: Down 2772">
          <a:extLst>
            <a:ext uri="{FF2B5EF4-FFF2-40B4-BE49-F238E27FC236}">
              <a16:creationId xmlns:a16="http://schemas.microsoft.com/office/drawing/2014/main" id="{5F437032-F10A-47DE-97D4-2153827648CF}"/>
            </a:ext>
          </a:extLst>
        </xdr:cNvPr>
        <xdr:cNvSpPr/>
      </xdr:nvSpPr>
      <xdr:spPr>
        <a:xfrm rot="10800000">
          <a:off x="1927860" y="6685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366</xdr:row>
      <xdr:rowOff>0</xdr:rowOff>
    </xdr:from>
    <xdr:to>
      <xdr:col>24</xdr:col>
      <xdr:colOff>83820</xdr:colOff>
      <xdr:row>366</xdr:row>
      <xdr:rowOff>114300</xdr:rowOff>
    </xdr:to>
    <xdr:sp macro="" textlink="">
      <xdr:nvSpPr>
        <xdr:cNvPr id="2774" name="Arrow: Down 2773">
          <a:extLst>
            <a:ext uri="{FF2B5EF4-FFF2-40B4-BE49-F238E27FC236}">
              <a16:creationId xmlns:a16="http://schemas.microsoft.com/office/drawing/2014/main" id="{1EB5010E-F37E-4E1C-AE88-97EE984D418F}"/>
            </a:ext>
          </a:extLst>
        </xdr:cNvPr>
        <xdr:cNvSpPr/>
      </xdr:nvSpPr>
      <xdr:spPr>
        <a:xfrm>
          <a:off x="833628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366</xdr:row>
      <xdr:rowOff>0</xdr:rowOff>
    </xdr:from>
    <xdr:to>
      <xdr:col>60</xdr:col>
      <xdr:colOff>83820</xdr:colOff>
      <xdr:row>366</xdr:row>
      <xdr:rowOff>114300</xdr:rowOff>
    </xdr:to>
    <xdr:sp macro="" textlink="">
      <xdr:nvSpPr>
        <xdr:cNvPr id="2776" name="Arrow: Down 2775">
          <a:extLst>
            <a:ext uri="{FF2B5EF4-FFF2-40B4-BE49-F238E27FC236}">
              <a16:creationId xmlns:a16="http://schemas.microsoft.com/office/drawing/2014/main" id="{BF05F677-FFA0-403C-9D76-5F0B03260DD9}"/>
            </a:ext>
          </a:extLst>
        </xdr:cNvPr>
        <xdr:cNvSpPr/>
      </xdr:nvSpPr>
      <xdr:spPr>
        <a:xfrm>
          <a:off x="1897380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367</xdr:row>
      <xdr:rowOff>0</xdr:rowOff>
    </xdr:from>
    <xdr:to>
      <xdr:col>45</xdr:col>
      <xdr:colOff>83820</xdr:colOff>
      <xdr:row>367</xdr:row>
      <xdr:rowOff>114300</xdr:rowOff>
    </xdr:to>
    <xdr:sp macro="" textlink="">
      <xdr:nvSpPr>
        <xdr:cNvPr id="2777" name="Arrow: Down 2776">
          <a:extLst>
            <a:ext uri="{FF2B5EF4-FFF2-40B4-BE49-F238E27FC236}">
              <a16:creationId xmlns:a16="http://schemas.microsoft.com/office/drawing/2014/main" id="{0EFE8C8F-3911-43FD-8330-21C490951F57}"/>
            </a:ext>
          </a:extLst>
        </xdr:cNvPr>
        <xdr:cNvSpPr/>
      </xdr:nvSpPr>
      <xdr:spPr>
        <a:xfrm rot="10800000">
          <a:off x="1341882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367</xdr:row>
      <xdr:rowOff>0</xdr:rowOff>
    </xdr:from>
    <xdr:to>
      <xdr:col>71</xdr:col>
      <xdr:colOff>83820</xdr:colOff>
      <xdr:row>367</xdr:row>
      <xdr:rowOff>114300</xdr:rowOff>
    </xdr:to>
    <xdr:sp macro="" textlink="">
      <xdr:nvSpPr>
        <xdr:cNvPr id="2778" name="Arrow: Down 2777">
          <a:extLst>
            <a:ext uri="{FF2B5EF4-FFF2-40B4-BE49-F238E27FC236}">
              <a16:creationId xmlns:a16="http://schemas.microsoft.com/office/drawing/2014/main" id="{44174E42-AEB0-4B60-8F52-C7B1226CD6BE}"/>
            </a:ext>
          </a:extLst>
        </xdr:cNvPr>
        <xdr:cNvSpPr/>
      </xdr:nvSpPr>
      <xdr:spPr>
        <a:xfrm>
          <a:off x="2146554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367</xdr:row>
      <xdr:rowOff>0</xdr:rowOff>
    </xdr:from>
    <xdr:to>
      <xdr:col>24</xdr:col>
      <xdr:colOff>83820</xdr:colOff>
      <xdr:row>367</xdr:row>
      <xdr:rowOff>114300</xdr:rowOff>
    </xdr:to>
    <xdr:sp macro="" textlink="">
      <xdr:nvSpPr>
        <xdr:cNvPr id="2781" name="Arrow: Down 2780">
          <a:extLst>
            <a:ext uri="{FF2B5EF4-FFF2-40B4-BE49-F238E27FC236}">
              <a16:creationId xmlns:a16="http://schemas.microsoft.com/office/drawing/2014/main" id="{C70A1B82-92BC-4A05-A2D6-BFC037B1C420}"/>
            </a:ext>
          </a:extLst>
        </xdr:cNvPr>
        <xdr:cNvSpPr/>
      </xdr:nvSpPr>
      <xdr:spPr>
        <a:xfrm>
          <a:off x="833628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367</xdr:row>
      <xdr:rowOff>0</xdr:rowOff>
    </xdr:from>
    <xdr:to>
      <xdr:col>39</xdr:col>
      <xdr:colOff>83820</xdr:colOff>
      <xdr:row>367</xdr:row>
      <xdr:rowOff>114300</xdr:rowOff>
    </xdr:to>
    <xdr:sp macro="" textlink="">
      <xdr:nvSpPr>
        <xdr:cNvPr id="2782" name="Arrow: Down 2781">
          <a:extLst>
            <a:ext uri="{FF2B5EF4-FFF2-40B4-BE49-F238E27FC236}">
              <a16:creationId xmlns:a16="http://schemas.microsoft.com/office/drawing/2014/main" id="{0768609F-9517-496C-9950-15E61DB5BA73}"/>
            </a:ext>
          </a:extLst>
        </xdr:cNvPr>
        <xdr:cNvSpPr/>
      </xdr:nvSpPr>
      <xdr:spPr>
        <a:xfrm>
          <a:off x="11559540" y="6703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367</xdr:row>
      <xdr:rowOff>0</xdr:rowOff>
    </xdr:from>
    <xdr:to>
      <xdr:col>60</xdr:col>
      <xdr:colOff>83820</xdr:colOff>
      <xdr:row>367</xdr:row>
      <xdr:rowOff>114300</xdr:rowOff>
    </xdr:to>
    <xdr:sp macro="" textlink="">
      <xdr:nvSpPr>
        <xdr:cNvPr id="2783" name="Arrow: Down 2782">
          <a:extLst>
            <a:ext uri="{FF2B5EF4-FFF2-40B4-BE49-F238E27FC236}">
              <a16:creationId xmlns:a16="http://schemas.microsoft.com/office/drawing/2014/main" id="{DA3B3721-715D-4A17-95B6-5D98B95EBA40}"/>
            </a:ext>
          </a:extLst>
        </xdr:cNvPr>
        <xdr:cNvSpPr/>
      </xdr:nvSpPr>
      <xdr:spPr>
        <a:xfrm>
          <a:off x="1903476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366</xdr:row>
      <xdr:rowOff>0</xdr:rowOff>
    </xdr:from>
    <xdr:to>
      <xdr:col>39</xdr:col>
      <xdr:colOff>83820</xdr:colOff>
      <xdr:row>366</xdr:row>
      <xdr:rowOff>114300</xdr:rowOff>
    </xdr:to>
    <xdr:sp macro="" textlink="">
      <xdr:nvSpPr>
        <xdr:cNvPr id="2785" name="Arrow: Down 2784">
          <a:extLst>
            <a:ext uri="{FF2B5EF4-FFF2-40B4-BE49-F238E27FC236}">
              <a16:creationId xmlns:a16="http://schemas.microsoft.com/office/drawing/2014/main" id="{47113C35-AC7F-4949-A793-E804EFD30833}"/>
            </a:ext>
          </a:extLst>
        </xdr:cNvPr>
        <xdr:cNvSpPr/>
      </xdr:nvSpPr>
      <xdr:spPr>
        <a:xfrm rot="10800000">
          <a:off x="1155954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367</xdr:row>
      <xdr:rowOff>0</xdr:rowOff>
    </xdr:from>
    <xdr:to>
      <xdr:col>5</xdr:col>
      <xdr:colOff>83820</xdr:colOff>
      <xdr:row>367</xdr:row>
      <xdr:rowOff>114300</xdr:rowOff>
    </xdr:to>
    <xdr:sp macro="" textlink="">
      <xdr:nvSpPr>
        <xdr:cNvPr id="2786" name="Arrow: Down 2785">
          <a:extLst>
            <a:ext uri="{FF2B5EF4-FFF2-40B4-BE49-F238E27FC236}">
              <a16:creationId xmlns:a16="http://schemas.microsoft.com/office/drawing/2014/main" id="{08D3E635-6E0A-465D-AC9C-4260F9227B30}"/>
            </a:ext>
          </a:extLst>
        </xdr:cNvPr>
        <xdr:cNvSpPr/>
      </xdr:nvSpPr>
      <xdr:spPr>
        <a:xfrm>
          <a:off x="192786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367</xdr:row>
      <xdr:rowOff>0</xdr:rowOff>
    </xdr:from>
    <xdr:to>
      <xdr:col>11</xdr:col>
      <xdr:colOff>83820</xdr:colOff>
      <xdr:row>367</xdr:row>
      <xdr:rowOff>114300</xdr:rowOff>
    </xdr:to>
    <xdr:sp macro="" textlink="">
      <xdr:nvSpPr>
        <xdr:cNvPr id="2787" name="Arrow: Down 2786">
          <a:extLst>
            <a:ext uri="{FF2B5EF4-FFF2-40B4-BE49-F238E27FC236}">
              <a16:creationId xmlns:a16="http://schemas.microsoft.com/office/drawing/2014/main" id="{312420DA-37D3-4971-A1A8-322F97BD78B7}"/>
            </a:ext>
          </a:extLst>
        </xdr:cNvPr>
        <xdr:cNvSpPr/>
      </xdr:nvSpPr>
      <xdr:spPr>
        <a:xfrm>
          <a:off x="369570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368</xdr:row>
      <xdr:rowOff>0</xdr:rowOff>
    </xdr:from>
    <xdr:to>
      <xdr:col>45</xdr:col>
      <xdr:colOff>83820</xdr:colOff>
      <xdr:row>368</xdr:row>
      <xdr:rowOff>114300</xdr:rowOff>
    </xdr:to>
    <xdr:sp macro="" textlink="">
      <xdr:nvSpPr>
        <xdr:cNvPr id="2788" name="Arrow: Down 2787">
          <a:extLst>
            <a:ext uri="{FF2B5EF4-FFF2-40B4-BE49-F238E27FC236}">
              <a16:creationId xmlns:a16="http://schemas.microsoft.com/office/drawing/2014/main" id="{0532812F-027C-40F1-9D84-7594AE256540}"/>
            </a:ext>
          </a:extLst>
        </xdr:cNvPr>
        <xdr:cNvSpPr/>
      </xdr:nvSpPr>
      <xdr:spPr>
        <a:xfrm rot="10800000">
          <a:off x="1341882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368</xdr:row>
      <xdr:rowOff>0</xdr:rowOff>
    </xdr:from>
    <xdr:to>
      <xdr:col>71</xdr:col>
      <xdr:colOff>83820</xdr:colOff>
      <xdr:row>368</xdr:row>
      <xdr:rowOff>114300</xdr:rowOff>
    </xdr:to>
    <xdr:sp macro="" textlink="">
      <xdr:nvSpPr>
        <xdr:cNvPr id="2789" name="Arrow: Down 2788">
          <a:extLst>
            <a:ext uri="{FF2B5EF4-FFF2-40B4-BE49-F238E27FC236}">
              <a16:creationId xmlns:a16="http://schemas.microsoft.com/office/drawing/2014/main" id="{43F49D7E-9FFF-498D-B15B-8EF7D3D46B2B}"/>
            </a:ext>
          </a:extLst>
        </xdr:cNvPr>
        <xdr:cNvSpPr/>
      </xdr:nvSpPr>
      <xdr:spPr>
        <a:xfrm>
          <a:off x="2146554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368</xdr:row>
      <xdr:rowOff>0</xdr:rowOff>
    </xdr:from>
    <xdr:to>
      <xdr:col>24</xdr:col>
      <xdr:colOff>83820</xdr:colOff>
      <xdr:row>368</xdr:row>
      <xdr:rowOff>114300</xdr:rowOff>
    </xdr:to>
    <xdr:sp macro="" textlink="">
      <xdr:nvSpPr>
        <xdr:cNvPr id="2790" name="Arrow: Down 2789">
          <a:extLst>
            <a:ext uri="{FF2B5EF4-FFF2-40B4-BE49-F238E27FC236}">
              <a16:creationId xmlns:a16="http://schemas.microsoft.com/office/drawing/2014/main" id="{3A202B8E-A837-45A6-85AE-9119206201A8}"/>
            </a:ext>
          </a:extLst>
        </xdr:cNvPr>
        <xdr:cNvSpPr/>
      </xdr:nvSpPr>
      <xdr:spPr>
        <a:xfrm>
          <a:off x="833628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368</xdr:row>
      <xdr:rowOff>0</xdr:rowOff>
    </xdr:from>
    <xdr:to>
      <xdr:col>39</xdr:col>
      <xdr:colOff>83820</xdr:colOff>
      <xdr:row>368</xdr:row>
      <xdr:rowOff>114300</xdr:rowOff>
    </xdr:to>
    <xdr:sp macro="" textlink="">
      <xdr:nvSpPr>
        <xdr:cNvPr id="2791" name="Arrow: Down 2790">
          <a:extLst>
            <a:ext uri="{FF2B5EF4-FFF2-40B4-BE49-F238E27FC236}">
              <a16:creationId xmlns:a16="http://schemas.microsoft.com/office/drawing/2014/main" id="{102E4B2E-17E5-481A-8888-06F82E601CD5}"/>
            </a:ext>
          </a:extLst>
        </xdr:cNvPr>
        <xdr:cNvSpPr/>
      </xdr:nvSpPr>
      <xdr:spPr>
        <a:xfrm>
          <a:off x="11559540" y="6721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368</xdr:row>
      <xdr:rowOff>0</xdr:rowOff>
    </xdr:from>
    <xdr:to>
      <xdr:col>5</xdr:col>
      <xdr:colOff>83820</xdr:colOff>
      <xdr:row>368</xdr:row>
      <xdr:rowOff>114300</xdr:rowOff>
    </xdr:to>
    <xdr:sp macro="" textlink="">
      <xdr:nvSpPr>
        <xdr:cNvPr id="2793" name="Arrow: Down 2792">
          <a:extLst>
            <a:ext uri="{FF2B5EF4-FFF2-40B4-BE49-F238E27FC236}">
              <a16:creationId xmlns:a16="http://schemas.microsoft.com/office/drawing/2014/main" id="{E22D9D5C-3E57-4EDF-B475-58ACAC68DDCA}"/>
            </a:ext>
          </a:extLst>
        </xdr:cNvPr>
        <xdr:cNvSpPr/>
      </xdr:nvSpPr>
      <xdr:spPr>
        <a:xfrm>
          <a:off x="192786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368</xdr:row>
      <xdr:rowOff>0</xdr:rowOff>
    </xdr:from>
    <xdr:to>
      <xdr:col>11</xdr:col>
      <xdr:colOff>83820</xdr:colOff>
      <xdr:row>368</xdr:row>
      <xdr:rowOff>114300</xdr:rowOff>
    </xdr:to>
    <xdr:sp macro="" textlink="">
      <xdr:nvSpPr>
        <xdr:cNvPr id="2794" name="Arrow: Down 2793">
          <a:extLst>
            <a:ext uri="{FF2B5EF4-FFF2-40B4-BE49-F238E27FC236}">
              <a16:creationId xmlns:a16="http://schemas.microsoft.com/office/drawing/2014/main" id="{240B36C2-676E-45BB-B01E-BC5EC8C9E811}"/>
            </a:ext>
          </a:extLst>
        </xdr:cNvPr>
        <xdr:cNvSpPr/>
      </xdr:nvSpPr>
      <xdr:spPr>
        <a:xfrm>
          <a:off x="369570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368</xdr:row>
      <xdr:rowOff>0</xdr:rowOff>
    </xdr:from>
    <xdr:to>
      <xdr:col>60</xdr:col>
      <xdr:colOff>83820</xdr:colOff>
      <xdr:row>368</xdr:row>
      <xdr:rowOff>114300</xdr:rowOff>
    </xdr:to>
    <xdr:sp macro="" textlink="">
      <xdr:nvSpPr>
        <xdr:cNvPr id="2795" name="Arrow: Down 2794">
          <a:extLst>
            <a:ext uri="{FF2B5EF4-FFF2-40B4-BE49-F238E27FC236}">
              <a16:creationId xmlns:a16="http://schemas.microsoft.com/office/drawing/2014/main" id="{321DA928-3902-4FB5-9C9B-A3F3E7437B3A}"/>
            </a:ext>
          </a:extLst>
        </xdr:cNvPr>
        <xdr:cNvSpPr/>
      </xdr:nvSpPr>
      <xdr:spPr>
        <a:xfrm rot="10800000">
          <a:off x="19034760" y="6739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369</xdr:row>
      <xdr:rowOff>0</xdr:rowOff>
    </xdr:from>
    <xdr:to>
      <xdr:col>45</xdr:col>
      <xdr:colOff>83820</xdr:colOff>
      <xdr:row>369</xdr:row>
      <xdr:rowOff>114300</xdr:rowOff>
    </xdr:to>
    <xdr:sp macro="" textlink="">
      <xdr:nvSpPr>
        <xdr:cNvPr id="2796" name="Arrow: Down 2795">
          <a:extLst>
            <a:ext uri="{FF2B5EF4-FFF2-40B4-BE49-F238E27FC236}">
              <a16:creationId xmlns:a16="http://schemas.microsoft.com/office/drawing/2014/main" id="{1B308E9E-5FCB-4E09-8F86-6E289F008701}"/>
            </a:ext>
          </a:extLst>
        </xdr:cNvPr>
        <xdr:cNvSpPr/>
      </xdr:nvSpPr>
      <xdr:spPr>
        <a:xfrm rot="10800000">
          <a:off x="13853160" y="6739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369</xdr:row>
      <xdr:rowOff>0</xdr:rowOff>
    </xdr:from>
    <xdr:to>
      <xdr:col>71</xdr:col>
      <xdr:colOff>83820</xdr:colOff>
      <xdr:row>369</xdr:row>
      <xdr:rowOff>114300</xdr:rowOff>
    </xdr:to>
    <xdr:sp macro="" textlink="">
      <xdr:nvSpPr>
        <xdr:cNvPr id="2797" name="Arrow: Down 2796">
          <a:extLst>
            <a:ext uri="{FF2B5EF4-FFF2-40B4-BE49-F238E27FC236}">
              <a16:creationId xmlns:a16="http://schemas.microsoft.com/office/drawing/2014/main" id="{25C2FD1C-5DEB-446E-9C9D-36188751F723}"/>
            </a:ext>
          </a:extLst>
        </xdr:cNvPr>
        <xdr:cNvSpPr/>
      </xdr:nvSpPr>
      <xdr:spPr>
        <a:xfrm>
          <a:off x="21899880" y="6739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369</xdr:row>
      <xdr:rowOff>0</xdr:rowOff>
    </xdr:from>
    <xdr:to>
      <xdr:col>60</xdr:col>
      <xdr:colOff>83820</xdr:colOff>
      <xdr:row>369</xdr:row>
      <xdr:rowOff>114300</xdr:rowOff>
    </xdr:to>
    <xdr:sp macro="" textlink="">
      <xdr:nvSpPr>
        <xdr:cNvPr id="2804" name="Arrow: Down 2803">
          <a:extLst>
            <a:ext uri="{FF2B5EF4-FFF2-40B4-BE49-F238E27FC236}">
              <a16:creationId xmlns:a16="http://schemas.microsoft.com/office/drawing/2014/main" id="{F13AD0D5-6E54-4011-B3A8-2A75CF61D1DA}"/>
            </a:ext>
          </a:extLst>
        </xdr:cNvPr>
        <xdr:cNvSpPr/>
      </xdr:nvSpPr>
      <xdr:spPr>
        <a:xfrm rot="10800000">
          <a:off x="1901952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369</xdr:row>
      <xdr:rowOff>0</xdr:rowOff>
    </xdr:from>
    <xdr:to>
      <xdr:col>39</xdr:col>
      <xdr:colOff>83820</xdr:colOff>
      <xdr:row>369</xdr:row>
      <xdr:rowOff>114300</xdr:rowOff>
    </xdr:to>
    <xdr:sp macro="" textlink="">
      <xdr:nvSpPr>
        <xdr:cNvPr id="2806" name="Arrow: Down 2805">
          <a:extLst>
            <a:ext uri="{FF2B5EF4-FFF2-40B4-BE49-F238E27FC236}">
              <a16:creationId xmlns:a16="http://schemas.microsoft.com/office/drawing/2014/main" id="{34D158EC-5AC9-4D83-9D88-9761179C879D}"/>
            </a:ext>
          </a:extLst>
        </xdr:cNvPr>
        <xdr:cNvSpPr/>
      </xdr:nvSpPr>
      <xdr:spPr>
        <a:xfrm rot="10800000">
          <a:off x="1154430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369</xdr:row>
      <xdr:rowOff>0</xdr:rowOff>
    </xdr:from>
    <xdr:to>
      <xdr:col>24</xdr:col>
      <xdr:colOff>83820</xdr:colOff>
      <xdr:row>369</xdr:row>
      <xdr:rowOff>114300</xdr:rowOff>
    </xdr:to>
    <xdr:sp macro="" textlink="">
      <xdr:nvSpPr>
        <xdr:cNvPr id="2808" name="Arrow: Down 2807">
          <a:extLst>
            <a:ext uri="{FF2B5EF4-FFF2-40B4-BE49-F238E27FC236}">
              <a16:creationId xmlns:a16="http://schemas.microsoft.com/office/drawing/2014/main" id="{B2D09452-550B-49B9-A59F-6E31ABE2F41B}"/>
            </a:ext>
          </a:extLst>
        </xdr:cNvPr>
        <xdr:cNvSpPr/>
      </xdr:nvSpPr>
      <xdr:spPr>
        <a:xfrm rot="10800000">
          <a:off x="833628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369</xdr:row>
      <xdr:rowOff>0</xdr:rowOff>
    </xdr:from>
    <xdr:to>
      <xdr:col>5</xdr:col>
      <xdr:colOff>83820</xdr:colOff>
      <xdr:row>369</xdr:row>
      <xdr:rowOff>114300</xdr:rowOff>
    </xdr:to>
    <xdr:sp macro="" textlink="">
      <xdr:nvSpPr>
        <xdr:cNvPr id="2809" name="Arrow: Down 2808">
          <a:extLst>
            <a:ext uri="{FF2B5EF4-FFF2-40B4-BE49-F238E27FC236}">
              <a16:creationId xmlns:a16="http://schemas.microsoft.com/office/drawing/2014/main" id="{CFC85DA7-196A-44C3-B5D5-5D608576C04C}"/>
            </a:ext>
          </a:extLst>
        </xdr:cNvPr>
        <xdr:cNvSpPr/>
      </xdr:nvSpPr>
      <xdr:spPr>
        <a:xfrm rot="10800000">
          <a:off x="192786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369</xdr:row>
      <xdr:rowOff>0</xdr:rowOff>
    </xdr:from>
    <xdr:to>
      <xdr:col>11</xdr:col>
      <xdr:colOff>83820</xdr:colOff>
      <xdr:row>369</xdr:row>
      <xdr:rowOff>114300</xdr:rowOff>
    </xdr:to>
    <xdr:sp macro="" textlink="">
      <xdr:nvSpPr>
        <xdr:cNvPr id="2810" name="Arrow: Down 2809">
          <a:extLst>
            <a:ext uri="{FF2B5EF4-FFF2-40B4-BE49-F238E27FC236}">
              <a16:creationId xmlns:a16="http://schemas.microsoft.com/office/drawing/2014/main" id="{45FFAA0D-02C8-4684-BDEC-DCD14A22BB69}"/>
            </a:ext>
          </a:extLst>
        </xdr:cNvPr>
        <xdr:cNvSpPr/>
      </xdr:nvSpPr>
      <xdr:spPr>
        <a:xfrm rot="10800000">
          <a:off x="369570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370</xdr:row>
      <xdr:rowOff>0</xdr:rowOff>
    </xdr:from>
    <xdr:to>
      <xdr:col>45</xdr:col>
      <xdr:colOff>83820</xdr:colOff>
      <xdr:row>370</xdr:row>
      <xdr:rowOff>114300</xdr:rowOff>
    </xdr:to>
    <xdr:sp macro="" textlink="">
      <xdr:nvSpPr>
        <xdr:cNvPr id="2818" name="Arrow: Down 2817">
          <a:extLst>
            <a:ext uri="{FF2B5EF4-FFF2-40B4-BE49-F238E27FC236}">
              <a16:creationId xmlns:a16="http://schemas.microsoft.com/office/drawing/2014/main" id="{A4489BBD-B7CA-41BD-834C-3AE9D48B90D2}"/>
            </a:ext>
          </a:extLst>
        </xdr:cNvPr>
        <xdr:cNvSpPr/>
      </xdr:nvSpPr>
      <xdr:spPr>
        <a:xfrm rot="10800000">
          <a:off x="1340358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370</xdr:row>
      <xdr:rowOff>0</xdr:rowOff>
    </xdr:from>
    <xdr:to>
      <xdr:col>71</xdr:col>
      <xdr:colOff>83820</xdr:colOff>
      <xdr:row>370</xdr:row>
      <xdr:rowOff>114300</xdr:rowOff>
    </xdr:to>
    <xdr:sp macro="" textlink="">
      <xdr:nvSpPr>
        <xdr:cNvPr id="2819" name="Arrow: Down 2818">
          <a:extLst>
            <a:ext uri="{FF2B5EF4-FFF2-40B4-BE49-F238E27FC236}">
              <a16:creationId xmlns:a16="http://schemas.microsoft.com/office/drawing/2014/main" id="{79D19ADC-0FD9-498B-A0CF-C7F0E3E4E0FB}"/>
            </a:ext>
          </a:extLst>
        </xdr:cNvPr>
        <xdr:cNvSpPr/>
      </xdr:nvSpPr>
      <xdr:spPr>
        <a:xfrm>
          <a:off x="2145030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370</xdr:row>
      <xdr:rowOff>0</xdr:rowOff>
    </xdr:from>
    <xdr:to>
      <xdr:col>60</xdr:col>
      <xdr:colOff>83820</xdr:colOff>
      <xdr:row>370</xdr:row>
      <xdr:rowOff>114300</xdr:rowOff>
    </xdr:to>
    <xdr:sp macro="" textlink="">
      <xdr:nvSpPr>
        <xdr:cNvPr id="2820" name="Arrow: Down 2819">
          <a:extLst>
            <a:ext uri="{FF2B5EF4-FFF2-40B4-BE49-F238E27FC236}">
              <a16:creationId xmlns:a16="http://schemas.microsoft.com/office/drawing/2014/main" id="{CE0CD8A4-001A-4F46-A7BA-DE911F3C5340}"/>
            </a:ext>
          </a:extLst>
        </xdr:cNvPr>
        <xdr:cNvSpPr/>
      </xdr:nvSpPr>
      <xdr:spPr>
        <a:xfrm rot="10800000">
          <a:off x="1901952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370</xdr:row>
      <xdr:rowOff>0</xdr:rowOff>
    </xdr:from>
    <xdr:to>
      <xdr:col>39</xdr:col>
      <xdr:colOff>83820</xdr:colOff>
      <xdr:row>370</xdr:row>
      <xdr:rowOff>114300</xdr:rowOff>
    </xdr:to>
    <xdr:sp macro="" textlink="">
      <xdr:nvSpPr>
        <xdr:cNvPr id="2821" name="Arrow: Down 2820">
          <a:extLst>
            <a:ext uri="{FF2B5EF4-FFF2-40B4-BE49-F238E27FC236}">
              <a16:creationId xmlns:a16="http://schemas.microsoft.com/office/drawing/2014/main" id="{D6CE625F-CA95-42A9-AC5B-7E294E2455C5}"/>
            </a:ext>
          </a:extLst>
        </xdr:cNvPr>
        <xdr:cNvSpPr/>
      </xdr:nvSpPr>
      <xdr:spPr>
        <a:xfrm rot="10800000">
          <a:off x="1154430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370</xdr:row>
      <xdr:rowOff>0</xdr:rowOff>
    </xdr:from>
    <xdr:to>
      <xdr:col>24</xdr:col>
      <xdr:colOff>83820</xdr:colOff>
      <xdr:row>370</xdr:row>
      <xdr:rowOff>114300</xdr:rowOff>
    </xdr:to>
    <xdr:sp macro="" textlink="">
      <xdr:nvSpPr>
        <xdr:cNvPr id="2822" name="Arrow: Down 2821">
          <a:extLst>
            <a:ext uri="{FF2B5EF4-FFF2-40B4-BE49-F238E27FC236}">
              <a16:creationId xmlns:a16="http://schemas.microsoft.com/office/drawing/2014/main" id="{E3854F39-C25A-4E2F-85E9-41CBABEECB43}"/>
            </a:ext>
          </a:extLst>
        </xdr:cNvPr>
        <xdr:cNvSpPr/>
      </xdr:nvSpPr>
      <xdr:spPr>
        <a:xfrm rot="10800000">
          <a:off x="833628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370</xdr:row>
      <xdr:rowOff>0</xdr:rowOff>
    </xdr:from>
    <xdr:to>
      <xdr:col>5</xdr:col>
      <xdr:colOff>83820</xdr:colOff>
      <xdr:row>370</xdr:row>
      <xdr:rowOff>114300</xdr:rowOff>
    </xdr:to>
    <xdr:sp macro="" textlink="">
      <xdr:nvSpPr>
        <xdr:cNvPr id="2823" name="Arrow: Down 2822">
          <a:extLst>
            <a:ext uri="{FF2B5EF4-FFF2-40B4-BE49-F238E27FC236}">
              <a16:creationId xmlns:a16="http://schemas.microsoft.com/office/drawing/2014/main" id="{D293C048-F815-433F-AA67-23C85775B9CF}"/>
            </a:ext>
          </a:extLst>
        </xdr:cNvPr>
        <xdr:cNvSpPr/>
      </xdr:nvSpPr>
      <xdr:spPr>
        <a:xfrm rot="10800000">
          <a:off x="192786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370</xdr:row>
      <xdr:rowOff>0</xdr:rowOff>
    </xdr:from>
    <xdr:to>
      <xdr:col>11</xdr:col>
      <xdr:colOff>83820</xdr:colOff>
      <xdr:row>370</xdr:row>
      <xdr:rowOff>114300</xdr:rowOff>
    </xdr:to>
    <xdr:sp macro="" textlink="">
      <xdr:nvSpPr>
        <xdr:cNvPr id="2824" name="Arrow: Down 2823">
          <a:extLst>
            <a:ext uri="{FF2B5EF4-FFF2-40B4-BE49-F238E27FC236}">
              <a16:creationId xmlns:a16="http://schemas.microsoft.com/office/drawing/2014/main" id="{5D844214-E263-43EB-852C-B023CEF3B66F}"/>
            </a:ext>
          </a:extLst>
        </xdr:cNvPr>
        <xdr:cNvSpPr/>
      </xdr:nvSpPr>
      <xdr:spPr>
        <a:xfrm rot="10800000">
          <a:off x="369570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371</xdr:row>
      <xdr:rowOff>0</xdr:rowOff>
    </xdr:from>
    <xdr:to>
      <xdr:col>45</xdr:col>
      <xdr:colOff>83820</xdr:colOff>
      <xdr:row>371</xdr:row>
      <xdr:rowOff>114300</xdr:rowOff>
    </xdr:to>
    <xdr:sp macro="" textlink="">
      <xdr:nvSpPr>
        <xdr:cNvPr id="2825" name="Arrow: Down 2824">
          <a:extLst>
            <a:ext uri="{FF2B5EF4-FFF2-40B4-BE49-F238E27FC236}">
              <a16:creationId xmlns:a16="http://schemas.microsoft.com/office/drawing/2014/main" id="{F843592C-ACDF-46EC-8008-E588A7A1FCCA}"/>
            </a:ext>
          </a:extLst>
        </xdr:cNvPr>
        <xdr:cNvSpPr/>
      </xdr:nvSpPr>
      <xdr:spPr>
        <a:xfrm rot="10800000">
          <a:off x="13403580" y="6776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371</xdr:row>
      <xdr:rowOff>0</xdr:rowOff>
    </xdr:from>
    <xdr:to>
      <xdr:col>71</xdr:col>
      <xdr:colOff>83820</xdr:colOff>
      <xdr:row>371</xdr:row>
      <xdr:rowOff>114300</xdr:rowOff>
    </xdr:to>
    <xdr:sp macro="" textlink="">
      <xdr:nvSpPr>
        <xdr:cNvPr id="2826" name="Arrow: Down 2825">
          <a:extLst>
            <a:ext uri="{FF2B5EF4-FFF2-40B4-BE49-F238E27FC236}">
              <a16:creationId xmlns:a16="http://schemas.microsoft.com/office/drawing/2014/main" id="{F9C3E1CC-ED10-436B-BD68-6214281A3061}"/>
            </a:ext>
          </a:extLst>
        </xdr:cNvPr>
        <xdr:cNvSpPr/>
      </xdr:nvSpPr>
      <xdr:spPr>
        <a:xfrm>
          <a:off x="21450300" y="6776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371</xdr:row>
      <xdr:rowOff>0</xdr:rowOff>
    </xdr:from>
    <xdr:to>
      <xdr:col>24</xdr:col>
      <xdr:colOff>83820</xdr:colOff>
      <xdr:row>371</xdr:row>
      <xdr:rowOff>114300</xdr:rowOff>
    </xdr:to>
    <xdr:sp macro="" textlink="">
      <xdr:nvSpPr>
        <xdr:cNvPr id="2829" name="Arrow: Down 2828">
          <a:extLst>
            <a:ext uri="{FF2B5EF4-FFF2-40B4-BE49-F238E27FC236}">
              <a16:creationId xmlns:a16="http://schemas.microsoft.com/office/drawing/2014/main" id="{FEE9138E-B942-4972-B119-7A5686623E3D}"/>
            </a:ext>
          </a:extLst>
        </xdr:cNvPr>
        <xdr:cNvSpPr/>
      </xdr:nvSpPr>
      <xdr:spPr>
        <a:xfrm rot="10800000">
          <a:off x="8336280" y="6776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371</xdr:row>
      <xdr:rowOff>0</xdr:rowOff>
    </xdr:from>
    <xdr:to>
      <xdr:col>5</xdr:col>
      <xdr:colOff>83820</xdr:colOff>
      <xdr:row>371</xdr:row>
      <xdr:rowOff>114300</xdr:rowOff>
    </xdr:to>
    <xdr:sp macro="" textlink="">
      <xdr:nvSpPr>
        <xdr:cNvPr id="2830" name="Arrow: Down 2829">
          <a:extLst>
            <a:ext uri="{FF2B5EF4-FFF2-40B4-BE49-F238E27FC236}">
              <a16:creationId xmlns:a16="http://schemas.microsoft.com/office/drawing/2014/main" id="{21E52E52-9B84-4B39-BB29-93B9EF732981}"/>
            </a:ext>
          </a:extLst>
        </xdr:cNvPr>
        <xdr:cNvSpPr/>
      </xdr:nvSpPr>
      <xdr:spPr>
        <a:xfrm rot="10800000">
          <a:off x="1927860" y="6776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371</xdr:row>
      <xdr:rowOff>0</xdr:rowOff>
    </xdr:from>
    <xdr:to>
      <xdr:col>11</xdr:col>
      <xdr:colOff>83820</xdr:colOff>
      <xdr:row>371</xdr:row>
      <xdr:rowOff>114300</xdr:rowOff>
    </xdr:to>
    <xdr:sp macro="" textlink="">
      <xdr:nvSpPr>
        <xdr:cNvPr id="2831" name="Arrow: Down 2830">
          <a:extLst>
            <a:ext uri="{FF2B5EF4-FFF2-40B4-BE49-F238E27FC236}">
              <a16:creationId xmlns:a16="http://schemas.microsoft.com/office/drawing/2014/main" id="{49C6E043-D262-4371-B286-DA1B24A30416}"/>
            </a:ext>
          </a:extLst>
        </xdr:cNvPr>
        <xdr:cNvSpPr/>
      </xdr:nvSpPr>
      <xdr:spPr>
        <a:xfrm rot="10800000">
          <a:off x="3695700" y="6776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371</xdr:row>
      <xdr:rowOff>0</xdr:rowOff>
    </xdr:from>
    <xdr:to>
      <xdr:col>60</xdr:col>
      <xdr:colOff>83820</xdr:colOff>
      <xdr:row>371</xdr:row>
      <xdr:rowOff>114300</xdr:rowOff>
    </xdr:to>
    <xdr:sp macro="" textlink="">
      <xdr:nvSpPr>
        <xdr:cNvPr id="2833" name="Arrow: Down 2832">
          <a:extLst>
            <a:ext uri="{FF2B5EF4-FFF2-40B4-BE49-F238E27FC236}">
              <a16:creationId xmlns:a16="http://schemas.microsoft.com/office/drawing/2014/main" id="{BA8EFC8A-08C9-4622-BE74-39467B58CD60}"/>
            </a:ext>
          </a:extLst>
        </xdr:cNvPr>
        <xdr:cNvSpPr/>
      </xdr:nvSpPr>
      <xdr:spPr>
        <a:xfrm>
          <a:off x="1901952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371</xdr:row>
      <xdr:rowOff>0</xdr:rowOff>
    </xdr:from>
    <xdr:to>
      <xdr:col>39</xdr:col>
      <xdr:colOff>83820</xdr:colOff>
      <xdr:row>371</xdr:row>
      <xdr:rowOff>114300</xdr:rowOff>
    </xdr:to>
    <xdr:sp macro="" textlink="">
      <xdr:nvSpPr>
        <xdr:cNvPr id="2835" name="Arrow: Down 2834">
          <a:extLst>
            <a:ext uri="{FF2B5EF4-FFF2-40B4-BE49-F238E27FC236}">
              <a16:creationId xmlns:a16="http://schemas.microsoft.com/office/drawing/2014/main" id="{5A2461E6-FE69-4F0A-B4F8-2F93856A5DAF}"/>
            </a:ext>
          </a:extLst>
        </xdr:cNvPr>
        <xdr:cNvSpPr/>
      </xdr:nvSpPr>
      <xdr:spPr>
        <a:xfrm>
          <a:off x="11544300" y="6794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372</xdr:row>
      <xdr:rowOff>0</xdr:rowOff>
    </xdr:from>
    <xdr:to>
      <xdr:col>45</xdr:col>
      <xdr:colOff>83820</xdr:colOff>
      <xdr:row>372</xdr:row>
      <xdr:rowOff>114300</xdr:rowOff>
    </xdr:to>
    <xdr:sp macro="" textlink="">
      <xdr:nvSpPr>
        <xdr:cNvPr id="2836" name="Arrow: Down 2835">
          <a:extLst>
            <a:ext uri="{FF2B5EF4-FFF2-40B4-BE49-F238E27FC236}">
              <a16:creationId xmlns:a16="http://schemas.microsoft.com/office/drawing/2014/main" id="{0D89E0F1-5A91-4216-AB76-2C09155FBDCD}"/>
            </a:ext>
          </a:extLst>
        </xdr:cNvPr>
        <xdr:cNvSpPr/>
      </xdr:nvSpPr>
      <xdr:spPr>
        <a:xfrm rot="10800000">
          <a:off x="1340358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372</xdr:row>
      <xdr:rowOff>0</xdr:rowOff>
    </xdr:from>
    <xdr:to>
      <xdr:col>71</xdr:col>
      <xdr:colOff>83820</xdr:colOff>
      <xdr:row>372</xdr:row>
      <xdr:rowOff>114300</xdr:rowOff>
    </xdr:to>
    <xdr:sp macro="" textlink="">
      <xdr:nvSpPr>
        <xdr:cNvPr id="2837" name="Arrow: Down 2836">
          <a:extLst>
            <a:ext uri="{FF2B5EF4-FFF2-40B4-BE49-F238E27FC236}">
              <a16:creationId xmlns:a16="http://schemas.microsoft.com/office/drawing/2014/main" id="{711A48FA-92E5-46AF-946F-1824077178F3}"/>
            </a:ext>
          </a:extLst>
        </xdr:cNvPr>
        <xdr:cNvSpPr/>
      </xdr:nvSpPr>
      <xdr:spPr>
        <a:xfrm>
          <a:off x="2145030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372</xdr:row>
      <xdr:rowOff>0</xdr:rowOff>
    </xdr:from>
    <xdr:to>
      <xdr:col>24</xdr:col>
      <xdr:colOff>83820</xdr:colOff>
      <xdr:row>372</xdr:row>
      <xdr:rowOff>114300</xdr:rowOff>
    </xdr:to>
    <xdr:sp macro="" textlink="">
      <xdr:nvSpPr>
        <xdr:cNvPr id="2838" name="Arrow: Down 2837">
          <a:extLst>
            <a:ext uri="{FF2B5EF4-FFF2-40B4-BE49-F238E27FC236}">
              <a16:creationId xmlns:a16="http://schemas.microsoft.com/office/drawing/2014/main" id="{FD1A5047-5DA2-426E-B792-1C706B95A7A2}"/>
            </a:ext>
          </a:extLst>
        </xdr:cNvPr>
        <xdr:cNvSpPr/>
      </xdr:nvSpPr>
      <xdr:spPr>
        <a:xfrm rot="10800000">
          <a:off x="8336280" y="6794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372</xdr:row>
      <xdr:rowOff>0</xdr:rowOff>
    </xdr:from>
    <xdr:to>
      <xdr:col>60</xdr:col>
      <xdr:colOff>83820</xdr:colOff>
      <xdr:row>372</xdr:row>
      <xdr:rowOff>114300</xdr:rowOff>
    </xdr:to>
    <xdr:sp macro="" textlink="">
      <xdr:nvSpPr>
        <xdr:cNvPr id="2841" name="Arrow: Down 2840">
          <a:extLst>
            <a:ext uri="{FF2B5EF4-FFF2-40B4-BE49-F238E27FC236}">
              <a16:creationId xmlns:a16="http://schemas.microsoft.com/office/drawing/2014/main" id="{16E18A19-32DD-4819-8A5C-1BDAACD7E6EA}"/>
            </a:ext>
          </a:extLst>
        </xdr:cNvPr>
        <xdr:cNvSpPr/>
      </xdr:nvSpPr>
      <xdr:spPr>
        <a:xfrm>
          <a:off x="1901952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372</xdr:row>
      <xdr:rowOff>0</xdr:rowOff>
    </xdr:from>
    <xdr:to>
      <xdr:col>39</xdr:col>
      <xdr:colOff>83820</xdr:colOff>
      <xdr:row>372</xdr:row>
      <xdr:rowOff>114300</xdr:rowOff>
    </xdr:to>
    <xdr:sp macro="" textlink="">
      <xdr:nvSpPr>
        <xdr:cNvPr id="2842" name="Arrow: Down 2841">
          <a:extLst>
            <a:ext uri="{FF2B5EF4-FFF2-40B4-BE49-F238E27FC236}">
              <a16:creationId xmlns:a16="http://schemas.microsoft.com/office/drawing/2014/main" id="{AEAD3739-AB58-4375-9243-DBEF98EFC675}"/>
            </a:ext>
          </a:extLst>
        </xdr:cNvPr>
        <xdr:cNvSpPr/>
      </xdr:nvSpPr>
      <xdr:spPr>
        <a:xfrm>
          <a:off x="11544300" y="6794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372</xdr:row>
      <xdr:rowOff>0</xdr:rowOff>
    </xdr:from>
    <xdr:to>
      <xdr:col>5</xdr:col>
      <xdr:colOff>83820</xdr:colOff>
      <xdr:row>372</xdr:row>
      <xdr:rowOff>114300</xdr:rowOff>
    </xdr:to>
    <xdr:sp macro="" textlink="">
      <xdr:nvSpPr>
        <xdr:cNvPr id="2843" name="Arrow: Down 2842">
          <a:extLst>
            <a:ext uri="{FF2B5EF4-FFF2-40B4-BE49-F238E27FC236}">
              <a16:creationId xmlns:a16="http://schemas.microsoft.com/office/drawing/2014/main" id="{BCA85A5D-F084-4850-A8C8-06551E7CD61B}"/>
            </a:ext>
          </a:extLst>
        </xdr:cNvPr>
        <xdr:cNvSpPr/>
      </xdr:nvSpPr>
      <xdr:spPr>
        <a:xfrm>
          <a:off x="192786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372</xdr:row>
      <xdr:rowOff>0</xdr:rowOff>
    </xdr:from>
    <xdr:to>
      <xdr:col>11</xdr:col>
      <xdr:colOff>83820</xdr:colOff>
      <xdr:row>372</xdr:row>
      <xdr:rowOff>114300</xdr:rowOff>
    </xdr:to>
    <xdr:sp macro="" textlink="">
      <xdr:nvSpPr>
        <xdr:cNvPr id="2844" name="Arrow: Down 2843">
          <a:extLst>
            <a:ext uri="{FF2B5EF4-FFF2-40B4-BE49-F238E27FC236}">
              <a16:creationId xmlns:a16="http://schemas.microsoft.com/office/drawing/2014/main" id="{2A85487D-B611-4669-B42F-FCC90D24CD0E}"/>
            </a:ext>
          </a:extLst>
        </xdr:cNvPr>
        <xdr:cNvSpPr/>
      </xdr:nvSpPr>
      <xdr:spPr>
        <a:xfrm>
          <a:off x="369570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373</xdr:row>
      <xdr:rowOff>0</xdr:rowOff>
    </xdr:from>
    <xdr:to>
      <xdr:col>45</xdr:col>
      <xdr:colOff>83820</xdr:colOff>
      <xdr:row>373</xdr:row>
      <xdr:rowOff>114300</xdr:rowOff>
    </xdr:to>
    <xdr:sp macro="" textlink="">
      <xdr:nvSpPr>
        <xdr:cNvPr id="2845" name="Arrow: Down 2844">
          <a:extLst>
            <a:ext uri="{FF2B5EF4-FFF2-40B4-BE49-F238E27FC236}">
              <a16:creationId xmlns:a16="http://schemas.microsoft.com/office/drawing/2014/main" id="{48AF9281-8BA7-41CA-9BB6-82EEDE613070}"/>
            </a:ext>
          </a:extLst>
        </xdr:cNvPr>
        <xdr:cNvSpPr/>
      </xdr:nvSpPr>
      <xdr:spPr>
        <a:xfrm rot="10800000">
          <a:off x="1340358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373</xdr:row>
      <xdr:rowOff>0</xdr:rowOff>
    </xdr:from>
    <xdr:to>
      <xdr:col>71</xdr:col>
      <xdr:colOff>83820</xdr:colOff>
      <xdr:row>373</xdr:row>
      <xdr:rowOff>114300</xdr:rowOff>
    </xdr:to>
    <xdr:sp macro="" textlink="">
      <xdr:nvSpPr>
        <xdr:cNvPr id="2846" name="Arrow: Down 2845">
          <a:extLst>
            <a:ext uri="{FF2B5EF4-FFF2-40B4-BE49-F238E27FC236}">
              <a16:creationId xmlns:a16="http://schemas.microsoft.com/office/drawing/2014/main" id="{77ABF526-A2CC-4800-9F64-C3C99A321AF8}"/>
            </a:ext>
          </a:extLst>
        </xdr:cNvPr>
        <xdr:cNvSpPr/>
      </xdr:nvSpPr>
      <xdr:spPr>
        <a:xfrm>
          <a:off x="2145030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373</xdr:row>
      <xdr:rowOff>0</xdr:rowOff>
    </xdr:from>
    <xdr:to>
      <xdr:col>39</xdr:col>
      <xdr:colOff>83820</xdr:colOff>
      <xdr:row>373</xdr:row>
      <xdr:rowOff>114300</xdr:rowOff>
    </xdr:to>
    <xdr:sp macro="" textlink="">
      <xdr:nvSpPr>
        <xdr:cNvPr id="2849" name="Arrow: Down 2848">
          <a:extLst>
            <a:ext uri="{FF2B5EF4-FFF2-40B4-BE49-F238E27FC236}">
              <a16:creationId xmlns:a16="http://schemas.microsoft.com/office/drawing/2014/main" id="{BA1F2B06-3098-43E4-843E-C03679B7294E}"/>
            </a:ext>
          </a:extLst>
        </xdr:cNvPr>
        <xdr:cNvSpPr/>
      </xdr:nvSpPr>
      <xdr:spPr>
        <a:xfrm>
          <a:off x="11544300" y="6813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373</xdr:row>
      <xdr:rowOff>0</xdr:rowOff>
    </xdr:from>
    <xdr:to>
      <xdr:col>60</xdr:col>
      <xdr:colOff>83820</xdr:colOff>
      <xdr:row>373</xdr:row>
      <xdr:rowOff>114300</xdr:rowOff>
    </xdr:to>
    <xdr:sp macro="" textlink="">
      <xdr:nvSpPr>
        <xdr:cNvPr id="2852" name="Arrow: Down 2851">
          <a:extLst>
            <a:ext uri="{FF2B5EF4-FFF2-40B4-BE49-F238E27FC236}">
              <a16:creationId xmlns:a16="http://schemas.microsoft.com/office/drawing/2014/main" id="{555852D0-9FE3-4653-8423-5D00CAEAE743}"/>
            </a:ext>
          </a:extLst>
        </xdr:cNvPr>
        <xdr:cNvSpPr/>
      </xdr:nvSpPr>
      <xdr:spPr>
        <a:xfrm rot="10800000">
          <a:off x="19019520" y="6831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373</xdr:row>
      <xdr:rowOff>0</xdr:rowOff>
    </xdr:from>
    <xdr:to>
      <xdr:col>24</xdr:col>
      <xdr:colOff>83820</xdr:colOff>
      <xdr:row>373</xdr:row>
      <xdr:rowOff>114300</xdr:rowOff>
    </xdr:to>
    <xdr:sp macro="" textlink="">
      <xdr:nvSpPr>
        <xdr:cNvPr id="2854" name="Arrow: Down 2853">
          <a:extLst>
            <a:ext uri="{FF2B5EF4-FFF2-40B4-BE49-F238E27FC236}">
              <a16:creationId xmlns:a16="http://schemas.microsoft.com/office/drawing/2014/main" id="{33EE58D8-0AA8-4979-B193-621495BBCDE9}"/>
            </a:ext>
          </a:extLst>
        </xdr:cNvPr>
        <xdr:cNvSpPr/>
      </xdr:nvSpPr>
      <xdr:spPr>
        <a:xfrm>
          <a:off x="833628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373</xdr:row>
      <xdr:rowOff>0</xdr:rowOff>
    </xdr:from>
    <xdr:to>
      <xdr:col>11</xdr:col>
      <xdr:colOff>83820</xdr:colOff>
      <xdr:row>373</xdr:row>
      <xdr:rowOff>114300</xdr:rowOff>
    </xdr:to>
    <xdr:sp macro="" textlink="">
      <xdr:nvSpPr>
        <xdr:cNvPr id="2855" name="Arrow: Down 2854">
          <a:extLst>
            <a:ext uri="{FF2B5EF4-FFF2-40B4-BE49-F238E27FC236}">
              <a16:creationId xmlns:a16="http://schemas.microsoft.com/office/drawing/2014/main" id="{C989B153-60FC-456D-988F-D221BF914777}"/>
            </a:ext>
          </a:extLst>
        </xdr:cNvPr>
        <xdr:cNvSpPr/>
      </xdr:nvSpPr>
      <xdr:spPr>
        <a:xfrm rot="10800000">
          <a:off x="3695700" y="6831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373</xdr:row>
      <xdr:rowOff>0</xdr:rowOff>
    </xdr:from>
    <xdr:to>
      <xdr:col>5</xdr:col>
      <xdr:colOff>83820</xdr:colOff>
      <xdr:row>373</xdr:row>
      <xdr:rowOff>114300</xdr:rowOff>
    </xdr:to>
    <xdr:sp macro="" textlink="">
      <xdr:nvSpPr>
        <xdr:cNvPr id="2856" name="Arrow: Down 2855">
          <a:extLst>
            <a:ext uri="{FF2B5EF4-FFF2-40B4-BE49-F238E27FC236}">
              <a16:creationId xmlns:a16="http://schemas.microsoft.com/office/drawing/2014/main" id="{BB3B7FD6-EEE4-4E67-A5B8-A42CA7CC9FDD}"/>
            </a:ext>
          </a:extLst>
        </xdr:cNvPr>
        <xdr:cNvSpPr/>
      </xdr:nvSpPr>
      <xdr:spPr>
        <a:xfrm rot="10800000">
          <a:off x="1927860" y="6831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374</xdr:row>
      <xdr:rowOff>0</xdr:rowOff>
    </xdr:from>
    <xdr:to>
      <xdr:col>45</xdr:col>
      <xdr:colOff>83820</xdr:colOff>
      <xdr:row>374</xdr:row>
      <xdr:rowOff>114300</xdr:rowOff>
    </xdr:to>
    <xdr:sp macro="" textlink="">
      <xdr:nvSpPr>
        <xdr:cNvPr id="2864" name="Arrow: Down 2863">
          <a:extLst>
            <a:ext uri="{FF2B5EF4-FFF2-40B4-BE49-F238E27FC236}">
              <a16:creationId xmlns:a16="http://schemas.microsoft.com/office/drawing/2014/main" id="{1678F086-5FF7-4589-BC11-3E321C4A02C3}"/>
            </a:ext>
          </a:extLst>
        </xdr:cNvPr>
        <xdr:cNvSpPr/>
      </xdr:nvSpPr>
      <xdr:spPr>
        <a:xfrm rot="10800000">
          <a:off x="1340358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374</xdr:row>
      <xdr:rowOff>0</xdr:rowOff>
    </xdr:from>
    <xdr:to>
      <xdr:col>71</xdr:col>
      <xdr:colOff>83820</xdr:colOff>
      <xdr:row>374</xdr:row>
      <xdr:rowOff>114300</xdr:rowOff>
    </xdr:to>
    <xdr:sp macro="" textlink="">
      <xdr:nvSpPr>
        <xdr:cNvPr id="2865" name="Arrow: Down 2864">
          <a:extLst>
            <a:ext uri="{FF2B5EF4-FFF2-40B4-BE49-F238E27FC236}">
              <a16:creationId xmlns:a16="http://schemas.microsoft.com/office/drawing/2014/main" id="{9223A9A4-B1F7-413E-9EC1-C2C808F9AD23}"/>
            </a:ext>
          </a:extLst>
        </xdr:cNvPr>
        <xdr:cNvSpPr/>
      </xdr:nvSpPr>
      <xdr:spPr>
        <a:xfrm>
          <a:off x="2145030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374</xdr:row>
      <xdr:rowOff>0</xdr:rowOff>
    </xdr:from>
    <xdr:to>
      <xdr:col>24</xdr:col>
      <xdr:colOff>83820</xdr:colOff>
      <xdr:row>374</xdr:row>
      <xdr:rowOff>114300</xdr:rowOff>
    </xdr:to>
    <xdr:sp macro="" textlink="">
      <xdr:nvSpPr>
        <xdr:cNvPr id="2868" name="Arrow: Down 2867">
          <a:extLst>
            <a:ext uri="{FF2B5EF4-FFF2-40B4-BE49-F238E27FC236}">
              <a16:creationId xmlns:a16="http://schemas.microsoft.com/office/drawing/2014/main" id="{F21503D9-F7DA-4115-94A6-CE6BD84741AA}"/>
            </a:ext>
          </a:extLst>
        </xdr:cNvPr>
        <xdr:cNvSpPr/>
      </xdr:nvSpPr>
      <xdr:spPr>
        <a:xfrm>
          <a:off x="833628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374</xdr:row>
      <xdr:rowOff>0</xdr:rowOff>
    </xdr:from>
    <xdr:to>
      <xdr:col>5</xdr:col>
      <xdr:colOff>83820</xdr:colOff>
      <xdr:row>374</xdr:row>
      <xdr:rowOff>114300</xdr:rowOff>
    </xdr:to>
    <xdr:sp macro="" textlink="">
      <xdr:nvSpPr>
        <xdr:cNvPr id="2871" name="Arrow: Down 2870">
          <a:extLst>
            <a:ext uri="{FF2B5EF4-FFF2-40B4-BE49-F238E27FC236}">
              <a16:creationId xmlns:a16="http://schemas.microsoft.com/office/drawing/2014/main" id="{9BAABD22-120B-4CCF-BA3A-898EDE53260D}"/>
            </a:ext>
          </a:extLst>
        </xdr:cNvPr>
        <xdr:cNvSpPr/>
      </xdr:nvSpPr>
      <xdr:spPr>
        <a:xfrm>
          <a:off x="192786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374</xdr:row>
      <xdr:rowOff>0</xdr:rowOff>
    </xdr:from>
    <xdr:to>
      <xdr:col>11</xdr:col>
      <xdr:colOff>83820</xdr:colOff>
      <xdr:row>374</xdr:row>
      <xdr:rowOff>114300</xdr:rowOff>
    </xdr:to>
    <xdr:sp macro="" textlink="">
      <xdr:nvSpPr>
        <xdr:cNvPr id="2872" name="Arrow: Down 2871">
          <a:extLst>
            <a:ext uri="{FF2B5EF4-FFF2-40B4-BE49-F238E27FC236}">
              <a16:creationId xmlns:a16="http://schemas.microsoft.com/office/drawing/2014/main" id="{A129549D-FDC0-435E-B7BA-7CDEE4A1C689}"/>
            </a:ext>
          </a:extLst>
        </xdr:cNvPr>
        <xdr:cNvSpPr/>
      </xdr:nvSpPr>
      <xdr:spPr>
        <a:xfrm>
          <a:off x="36957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374</xdr:row>
      <xdr:rowOff>0</xdr:rowOff>
    </xdr:from>
    <xdr:to>
      <xdr:col>39</xdr:col>
      <xdr:colOff>83820</xdr:colOff>
      <xdr:row>374</xdr:row>
      <xdr:rowOff>114300</xdr:rowOff>
    </xdr:to>
    <xdr:sp macro="" textlink="">
      <xdr:nvSpPr>
        <xdr:cNvPr id="2873" name="Arrow: Down 2872">
          <a:extLst>
            <a:ext uri="{FF2B5EF4-FFF2-40B4-BE49-F238E27FC236}">
              <a16:creationId xmlns:a16="http://schemas.microsoft.com/office/drawing/2014/main" id="{A45F6066-1DA5-406B-8B42-FEA95DE42272}"/>
            </a:ext>
          </a:extLst>
        </xdr:cNvPr>
        <xdr:cNvSpPr/>
      </xdr:nvSpPr>
      <xdr:spPr>
        <a:xfrm rot="10800000">
          <a:off x="115443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374</xdr:row>
      <xdr:rowOff>0</xdr:rowOff>
    </xdr:from>
    <xdr:to>
      <xdr:col>60</xdr:col>
      <xdr:colOff>83820</xdr:colOff>
      <xdr:row>374</xdr:row>
      <xdr:rowOff>114300</xdr:rowOff>
    </xdr:to>
    <xdr:sp macro="" textlink="">
      <xdr:nvSpPr>
        <xdr:cNvPr id="2875" name="Arrow: Down 2874">
          <a:extLst>
            <a:ext uri="{FF2B5EF4-FFF2-40B4-BE49-F238E27FC236}">
              <a16:creationId xmlns:a16="http://schemas.microsoft.com/office/drawing/2014/main" id="{02DBFDA0-9F5D-4E49-B04D-48311410B988}"/>
            </a:ext>
          </a:extLst>
        </xdr:cNvPr>
        <xdr:cNvSpPr/>
      </xdr:nvSpPr>
      <xdr:spPr>
        <a:xfrm>
          <a:off x="1901952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375</xdr:row>
      <xdr:rowOff>0</xdr:rowOff>
    </xdr:from>
    <xdr:to>
      <xdr:col>45</xdr:col>
      <xdr:colOff>83820</xdr:colOff>
      <xdr:row>375</xdr:row>
      <xdr:rowOff>114300</xdr:rowOff>
    </xdr:to>
    <xdr:sp macro="" textlink="">
      <xdr:nvSpPr>
        <xdr:cNvPr id="2876" name="Arrow: Down 2875">
          <a:extLst>
            <a:ext uri="{FF2B5EF4-FFF2-40B4-BE49-F238E27FC236}">
              <a16:creationId xmlns:a16="http://schemas.microsoft.com/office/drawing/2014/main" id="{C2B30E13-A0E9-45CB-95C4-26122FF48234}"/>
            </a:ext>
          </a:extLst>
        </xdr:cNvPr>
        <xdr:cNvSpPr/>
      </xdr:nvSpPr>
      <xdr:spPr>
        <a:xfrm rot="10800000">
          <a:off x="1340358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375</xdr:row>
      <xdr:rowOff>0</xdr:rowOff>
    </xdr:from>
    <xdr:to>
      <xdr:col>71</xdr:col>
      <xdr:colOff>83820</xdr:colOff>
      <xdr:row>375</xdr:row>
      <xdr:rowOff>114300</xdr:rowOff>
    </xdr:to>
    <xdr:sp macro="" textlink="">
      <xdr:nvSpPr>
        <xdr:cNvPr id="2877" name="Arrow: Down 2876">
          <a:extLst>
            <a:ext uri="{FF2B5EF4-FFF2-40B4-BE49-F238E27FC236}">
              <a16:creationId xmlns:a16="http://schemas.microsoft.com/office/drawing/2014/main" id="{800DC45D-2CF7-4DEA-AFE7-DE549CD9EE85}"/>
            </a:ext>
          </a:extLst>
        </xdr:cNvPr>
        <xdr:cNvSpPr/>
      </xdr:nvSpPr>
      <xdr:spPr>
        <a:xfrm>
          <a:off x="214503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375</xdr:row>
      <xdr:rowOff>0</xdr:rowOff>
    </xdr:from>
    <xdr:to>
      <xdr:col>24</xdr:col>
      <xdr:colOff>83820</xdr:colOff>
      <xdr:row>375</xdr:row>
      <xdr:rowOff>114300</xdr:rowOff>
    </xdr:to>
    <xdr:sp macro="" textlink="">
      <xdr:nvSpPr>
        <xdr:cNvPr id="2878" name="Arrow: Down 2877">
          <a:extLst>
            <a:ext uri="{FF2B5EF4-FFF2-40B4-BE49-F238E27FC236}">
              <a16:creationId xmlns:a16="http://schemas.microsoft.com/office/drawing/2014/main" id="{95CD9D35-AF1F-4ED0-8A87-EC394402C794}"/>
            </a:ext>
          </a:extLst>
        </xdr:cNvPr>
        <xdr:cNvSpPr/>
      </xdr:nvSpPr>
      <xdr:spPr>
        <a:xfrm>
          <a:off x="833628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375</xdr:row>
      <xdr:rowOff>0</xdr:rowOff>
    </xdr:from>
    <xdr:to>
      <xdr:col>5</xdr:col>
      <xdr:colOff>83820</xdr:colOff>
      <xdr:row>375</xdr:row>
      <xdr:rowOff>114300</xdr:rowOff>
    </xdr:to>
    <xdr:sp macro="" textlink="">
      <xdr:nvSpPr>
        <xdr:cNvPr id="2879" name="Arrow: Down 2878">
          <a:extLst>
            <a:ext uri="{FF2B5EF4-FFF2-40B4-BE49-F238E27FC236}">
              <a16:creationId xmlns:a16="http://schemas.microsoft.com/office/drawing/2014/main" id="{C28BF2FE-3B63-4A07-8AE2-9740CC0DA3B9}"/>
            </a:ext>
          </a:extLst>
        </xdr:cNvPr>
        <xdr:cNvSpPr/>
      </xdr:nvSpPr>
      <xdr:spPr>
        <a:xfrm>
          <a:off x="192786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375</xdr:row>
      <xdr:rowOff>0</xdr:rowOff>
    </xdr:from>
    <xdr:to>
      <xdr:col>11</xdr:col>
      <xdr:colOff>83820</xdr:colOff>
      <xdr:row>375</xdr:row>
      <xdr:rowOff>114300</xdr:rowOff>
    </xdr:to>
    <xdr:sp macro="" textlink="">
      <xdr:nvSpPr>
        <xdr:cNvPr id="2880" name="Arrow: Down 2879">
          <a:extLst>
            <a:ext uri="{FF2B5EF4-FFF2-40B4-BE49-F238E27FC236}">
              <a16:creationId xmlns:a16="http://schemas.microsoft.com/office/drawing/2014/main" id="{CAB5828B-6341-48C9-9BDE-EDBFCD2FFEF7}"/>
            </a:ext>
          </a:extLst>
        </xdr:cNvPr>
        <xdr:cNvSpPr/>
      </xdr:nvSpPr>
      <xdr:spPr>
        <a:xfrm>
          <a:off x="36957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375</xdr:row>
      <xdr:rowOff>0</xdr:rowOff>
    </xdr:from>
    <xdr:to>
      <xdr:col>60</xdr:col>
      <xdr:colOff>83820</xdr:colOff>
      <xdr:row>375</xdr:row>
      <xdr:rowOff>114300</xdr:rowOff>
    </xdr:to>
    <xdr:sp macro="" textlink="">
      <xdr:nvSpPr>
        <xdr:cNvPr id="2884" name="Arrow: Down 2883">
          <a:extLst>
            <a:ext uri="{FF2B5EF4-FFF2-40B4-BE49-F238E27FC236}">
              <a16:creationId xmlns:a16="http://schemas.microsoft.com/office/drawing/2014/main" id="{58267419-FE81-4CFD-AA1F-F07AECF7A841}"/>
            </a:ext>
          </a:extLst>
        </xdr:cNvPr>
        <xdr:cNvSpPr/>
      </xdr:nvSpPr>
      <xdr:spPr>
        <a:xfrm rot="10800000">
          <a:off x="19019520" y="6867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375</xdr:row>
      <xdr:rowOff>0</xdr:rowOff>
    </xdr:from>
    <xdr:to>
      <xdr:col>39</xdr:col>
      <xdr:colOff>83820</xdr:colOff>
      <xdr:row>375</xdr:row>
      <xdr:rowOff>114300</xdr:rowOff>
    </xdr:to>
    <xdr:sp macro="" textlink="">
      <xdr:nvSpPr>
        <xdr:cNvPr id="2886" name="Arrow: Down 2885">
          <a:extLst>
            <a:ext uri="{FF2B5EF4-FFF2-40B4-BE49-F238E27FC236}">
              <a16:creationId xmlns:a16="http://schemas.microsoft.com/office/drawing/2014/main" id="{07D00B4D-9283-4330-9F8B-96426EE54B8B}"/>
            </a:ext>
          </a:extLst>
        </xdr:cNvPr>
        <xdr:cNvSpPr/>
      </xdr:nvSpPr>
      <xdr:spPr>
        <a:xfrm>
          <a:off x="11544300" y="6867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376</xdr:row>
      <xdr:rowOff>0</xdr:rowOff>
    </xdr:from>
    <xdr:to>
      <xdr:col>45</xdr:col>
      <xdr:colOff>83820</xdr:colOff>
      <xdr:row>376</xdr:row>
      <xdr:rowOff>114300</xdr:rowOff>
    </xdr:to>
    <xdr:sp macro="" textlink="">
      <xdr:nvSpPr>
        <xdr:cNvPr id="2887" name="Arrow: Down 2886">
          <a:extLst>
            <a:ext uri="{FF2B5EF4-FFF2-40B4-BE49-F238E27FC236}">
              <a16:creationId xmlns:a16="http://schemas.microsoft.com/office/drawing/2014/main" id="{2750B87A-4055-45D1-8987-4DAEFC66FA62}"/>
            </a:ext>
          </a:extLst>
        </xdr:cNvPr>
        <xdr:cNvSpPr/>
      </xdr:nvSpPr>
      <xdr:spPr>
        <a:xfrm rot="10800000">
          <a:off x="13403580" y="6867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376</xdr:row>
      <xdr:rowOff>0</xdr:rowOff>
    </xdr:from>
    <xdr:to>
      <xdr:col>71</xdr:col>
      <xdr:colOff>83820</xdr:colOff>
      <xdr:row>376</xdr:row>
      <xdr:rowOff>114300</xdr:rowOff>
    </xdr:to>
    <xdr:sp macro="" textlink="">
      <xdr:nvSpPr>
        <xdr:cNvPr id="2888" name="Arrow: Down 2887">
          <a:extLst>
            <a:ext uri="{FF2B5EF4-FFF2-40B4-BE49-F238E27FC236}">
              <a16:creationId xmlns:a16="http://schemas.microsoft.com/office/drawing/2014/main" id="{27D2A8D4-4926-4526-A5BA-87DF871FFF2A}"/>
            </a:ext>
          </a:extLst>
        </xdr:cNvPr>
        <xdr:cNvSpPr/>
      </xdr:nvSpPr>
      <xdr:spPr>
        <a:xfrm>
          <a:off x="21450300" y="6867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376</xdr:row>
      <xdr:rowOff>0</xdr:rowOff>
    </xdr:from>
    <xdr:to>
      <xdr:col>60</xdr:col>
      <xdr:colOff>83820</xdr:colOff>
      <xdr:row>376</xdr:row>
      <xdr:rowOff>114300</xdr:rowOff>
    </xdr:to>
    <xdr:sp macro="" textlink="">
      <xdr:nvSpPr>
        <xdr:cNvPr id="2895" name="Arrow: Down 2894">
          <a:extLst>
            <a:ext uri="{FF2B5EF4-FFF2-40B4-BE49-F238E27FC236}">
              <a16:creationId xmlns:a16="http://schemas.microsoft.com/office/drawing/2014/main" id="{F84C88B0-B37B-418F-9CB0-62F338464077}"/>
            </a:ext>
          </a:extLst>
        </xdr:cNvPr>
        <xdr:cNvSpPr/>
      </xdr:nvSpPr>
      <xdr:spPr>
        <a:xfrm>
          <a:off x="1901952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376</xdr:row>
      <xdr:rowOff>0</xdr:rowOff>
    </xdr:from>
    <xdr:to>
      <xdr:col>39</xdr:col>
      <xdr:colOff>83820</xdr:colOff>
      <xdr:row>376</xdr:row>
      <xdr:rowOff>114300</xdr:rowOff>
    </xdr:to>
    <xdr:sp macro="" textlink="">
      <xdr:nvSpPr>
        <xdr:cNvPr id="2896" name="Arrow: Down 2895">
          <a:extLst>
            <a:ext uri="{FF2B5EF4-FFF2-40B4-BE49-F238E27FC236}">
              <a16:creationId xmlns:a16="http://schemas.microsoft.com/office/drawing/2014/main" id="{EF692DC3-8526-4427-94F4-E7FC032DD2CF}"/>
            </a:ext>
          </a:extLst>
        </xdr:cNvPr>
        <xdr:cNvSpPr/>
      </xdr:nvSpPr>
      <xdr:spPr>
        <a:xfrm rot="10800000">
          <a:off x="1154430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376</xdr:row>
      <xdr:rowOff>0</xdr:rowOff>
    </xdr:from>
    <xdr:to>
      <xdr:col>24</xdr:col>
      <xdr:colOff>83820</xdr:colOff>
      <xdr:row>376</xdr:row>
      <xdr:rowOff>114300</xdr:rowOff>
    </xdr:to>
    <xdr:sp macro="" textlink="">
      <xdr:nvSpPr>
        <xdr:cNvPr id="2897" name="Arrow: Down 2896">
          <a:extLst>
            <a:ext uri="{FF2B5EF4-FFF2-40B4-BE49-F238E27FC236}">
              <a16:creationId xmlns:a16="http://schemas.microsoft.com/office/drawing/2014/main" id="{6094DFE6-28FA-4E64-A02B-DE78A7874600}"/>
            </a:ext>
          </a:extLst>
        </xdr:cNvPr>
        <xdr:cNvSpPr/>
      </xdr:nvSpPr>
      <xdr:spPr>
        <a:xfrm rot="10800000">
          <a:off x="833628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376</xdr:row>
      <xdr:rowOff>0</xdr:rowOff>
    </xdr:from>
    <xdr:to>
      <xdr:col>11</xdr:col>
      <xdr:colOff>83820</xdr:colOff>
      <xdr:row>376</xdr:row>
      <xdr:rowOff>114300</xdr:rowOff>
    </xdr:to>
    <xdr:sp macro="" textlink="">
      <xdr:nvSpPr>
        <xdr:cNvPr id="2898" name="Arrow: Down 2897">
          <a:extLst>
            <a:ext uri="{FF2B5EF4-FFF2-40B4-BE49-F238E27FC236}">
              <a16:creationId xmlns:a16="http://schemas.microsoft.com/office/drawing/2014/main" id="{40AF2236-A8F0-4FA2-99B6-F1CB2386D51D}"/>
            </a:ext>
          </a:extLst>
        </xdr:cNvPr>
        <xdr:cNvSpPr/>
      </xdr:nvSpPr>
      <xdr:spPr>
        <a:xfrm rot="10800000">
          <a:off x="369570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376</xdr:row>
      <xdr:rowOff>0</xdr:rowOff>
    </xdr:from>
    <xdr:to>
      <xdr:col>5</xdr:col>
      <xdr:colOff>83820</xdr:colOff>
      <xdr:row>376</xdr:row>
      <xdr:rowOff>114300</xdr:rowOff>
    </xdr:to>
    <xdr:sp macro="" textlink="">
      <xdr:nvSpPr>
        <xdr:cNvPr id="2899" name="Arrow: Down 2898">
          <a:extLst>
            <a:ext uri="{FF2B5EF4-FFF2-40B4-BE49-F238E27FC236}">
              <a16:creationId xmlns:a16="http://schemas.microsoft.com/office/drawing/2014/main" id="{C2DE2EC7-851D-418C-BCEB-20FEE30B74E1}"/>
            </a:ext>
          </a:extLst>
        </xdr:cNvPr>
        <xdr:cNvSpPr/>
      </xdr:nvSpPr>
      <xdr:spPr>
        <a:xfrm rot="10800000">
          <a:off x="192786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377</xdr:row>
      <xdr:rowOff>0</xdr:rowOff>
    </xdr:from>
    <xdr:to>
      <xdr:col>45</xdr:col>
      <xdr:colOff>83820</xdr:colOff>
      <xdr:row>377</xdr:row>
      <xdr:rowOff>114300</xdr:rowOff>
    </xdr:to>
    <xdr:sp macro="" textlink="">
      <xdr:nvSpPr>
        <xdr:cNvPr id="2900" name="Arrow: Down 2899">
          <a:extLst>
            <a:ext uri="{FF2B5EF4-FFF2-40B4-BE49-F238E27FC236}">
              <a16:creationId xmlns:a16="http://schemas.microsoft.com/office/drawing/2014/main" id="{439B0A85-DBDB-45F9-B8E7-35AB5A0EB632}"/>
            </a:ext>
          </a:extLst>
        </xdr:cNvPr>
        <xdr:cNvSpPr/>
      </xdr:nvSpPr>
      <xdr:spPr>
        <a:xfrm rot="10800000">
          <a:off x="1340358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377</xdr:row>
      <xdr:rowOff>0</xdr:rowOff>
    </xdr:from>
    <xdr:to>
      <xdr:col>71</xdr:col>
      <xdr:colOff>83820</xdr:colOff>
      <xdr:row>377</xdr:row>
      <xdr:rowOff>114300</xdr:rowOff>
    </xdr:to>
    <xdr:sp macro="" textlink="">
      <xdr:nvSpPr>
        <xdr:cNvPr id="2901" name="Arrow: Down 2900">
          <a:extLst>
            <a:ext uri="{FF2B5EF4-FFF2-40B4-BE49-F238E27FC236}">
              <a16:creationId xmlns:a16="http://schemas.microsoft.com/office/drawing/2014/main" id="{D06B9608-FC06-4765-B87E-E2B46AE8B440}"/>
            </a:ext>
          </a:extLst>
        </xdr:cNvPr>
        <xdr:cNvSpPr/>
      </xdr:nvSpPr>
      <xdr:spPr>
        <a:xfrm>
          <a:off x="2145030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377</xdr:row>
      <xdr:rowOff>0</xdr:rowOff>
    </xdr:from>
    <xdr:to>
      <xdr:col>24</xdr:col>
      <xdr:colOff>83820</xdr:colOff>
      <xdr:row>377</xdr:row>
      <xdr:rowOff>114300</xdr:rowOff>
    </xdr:to>
    <xdr:sp macro="" textlink="">
      <xdr:nvSpPr>
        <xdr:cNvPr id="2904" name="Arrow: Down 2903">
          <a:extLst>
            <a:ext uri="{FF2B5EF4-FFF2-40B4-BE49-F238E27FC236}">
              <a16:creationId xmlns:a16="http://schemas.microsoft.com/office/drawing/2014/main" id="{218084D7-F923-4CDD-B30E-2DA644B8D28C}"/>
            </a:ext>
          </a:extLst>
        </xdr:cNvPr>
        <xdr:cNvSpPr/>
      </xdr:nvSpPr>
      <xdr:spPr>
        <a:xfrm rot="10800000">
          <a:off x="833628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377</xdr:row>
      <xdr:rowOff>0</xdr:rowOff>
    </xdr:from>
    <xdr:to>
      <xdr:col>11</xdr:col>
      <xdr:colOff>83820</xdr:colOff>
      <xdr:row>377</xdr:row>
      <xdr:rowOff>114300</xdr:rowOff>
    </xdr:to>
    <xdr:sp macro="" textlink="">
      <xdr:nvSpPr>
        <xdr:cNvPr id="2905" name="Arrow: Down 2904">
          <a:extLst>
            <a:ext uri="{FF2B5EF4-FFF2-40B4-BE49-F238E27FC236}">
              <a16:creationId xmlns:a16="http://schemas.microsoft.com/office/drawing/2014/main" id="{3F019BB8-47CA-4B3C-AD02-DA7F88E21D20}"/>
            </a:ext>
          </a:extLst>
        </xdr:cNvPr>
        <xdr:cNvSpPr/>
      </xdr:nvSpPr>
      <xdr:spPr>
        <a:xfrm rot="10800000">
          <a:off x="369570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377</xdr:row>
      <xdr:rowOff>0</xdr:rowOff>
    </xdr:from>
    <xdr:to>
      <xdr:col>5</xdr:col>
      <xdr:colOff>83820</xdr:colOff>
      <xdr:row>377</xdr:row>
      <xdr:rowOff>114300</xdr:rowOff>
    </xdr:to>
    <xdr:sp macro="" textlink="">
      <xdr:nvSpPr>
        <xdr:cNvPr id="2906" name="Arrow: Down 2905">
          <a:extLst>
            <a:ext uri="{FF2B5EF4-FFF2-40B4-BE49-F238E27FC236}">
              <a16:creationId xmlns:a16="http://schemas.microsoft.com/office/drawing/2014/main" id="{2438A000-1DC9-4337-A994-736BE1D063F7}"/>
            </a:ext>
          </a:extLst>
        </xdr:cNvPr>
        <xdr:cNvSpPr/>
      </xdr:nvSpPr>
      <xdr:spPr>
        <a:xfrm rot="10800000">
          <a:off x="192786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377</xdr:row>
      <xdr:rowOff>0</xdr:rowOff>
    </xdr:from>
    <xdr:to>
      <xdr:col>39</xdr:col>
      <xdr:colOff>83820</xdr:colOff>
      <xdr:row>377</xdr:row>
      <xdr:rowOff>114300</xdr:rowOff>
    </xdr:to>
    <xdr:sp macro="" textlink="">
      <xdr:nvSpPr>
        <xdr:cNvPr id="2907" name="Arrow: Down 2906">
          <a:extLst>
            <a:ext uri="{FF2B5EF4-FFF2-40B4-BE49-F238E27FC236}">
              <a16:creationId xmlns:a16="http://schemas.microsoft.com/office/drawing/2014/main" id="{79DB3EDA-914D-49C3-BC20-CBECB7A812F0}"/>
            </a:ext>
          </a:extLst>
        </xdr:cNvPr>
        <xdr:cNvSpPr/>
      </xdr:nvSpPr>
      <xdr:spPr>
        <a:xfrm>
          <a:off x="1154430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377</xdr:row>
      <xdr:rowOff>0</xdr:rowOff>
    </xdr:from>
    <xdr:to>
      <xdr:col>60</xdr:col>
      <xdr:colOff>83820</xdr:colOff>
      <xdr:row>377</xdr:row>
      <xdr:rowOff>114300</xdr:rowOff>
    </xdr:to>
    <xdr:sp macro="" textlink="">
      <xdr:nvSpPr>
        <xdr:cNvPr id="2909" name="Arrow: Down 2908">
          <a:extLst>
            <a:ext uri="{FF2B5EF4-FFF2-40B4-BE49-F238E27FC236}">
              <a16:creationId xmlns:a16="http://schemas.microsoft.com/office/drawing/2014/main" id="{5B384C6A-44F8-455F-8D63-FE04D7B2EB61}"/>
            </a:ext>
          </a:extLst>
        </xdr:cNvPr>
        <xdr:cNvSpPr/>
      </xdr:nvSpPr>
      <xdr:spPr>
        <a:xfrm rot="10800000">
          <a:off x="1901952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378</xdr:row>
      <xdr:rowOff>0</xdr:rowOff>
    </xdr:from>
    <xdr:to>
      <xdr:col>45</xdr:col>
      <xdr:colOff>83820</xdr:colOff>
      <xdr:row>378</xdr:row>
      <xdr:rowOff>114300</xdr:rowOff>
    </xdr:to>
    <xdr:sp macro="" textlink="">
      <xdr:nvSpPr>
        <xdr:cNvPr id="2910" name="Arrow: Down 2909">
          <a:extLst>
            <a:ext uri="{FF2B5EF4-FFF2-40B4-BE49-F238E27FC236}">
              <a16:creationId xmlns:a16="http://schemas.microsoft.com/office/drawing/2014/main" id="{C60E2418-C82C-4F4E-AEEE-BC253E82DD33}"/>
            </a:ext>
          </a:extLst>
        </xdr:cNvPr>
        <xdr:cNvSpPr/>
      </xdr:nvSpPr>
      <xdr:spPr>
        <a:xfrm rot="10800000">
          <a:off x="13403580" y="6904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378</xdr:row>
      <xdr:rowOff>0</xdr:rowOff>
    </xdr:from>
    <xdr:to>
      <xdr:col>71</xdr:col>
      <xdr:colOff>83820</xdr:colOff>
      <xdr:row>378</xdr:row>
      <xdr:rowOff>114300</xdr:rowOff>
    </xdr:to>
    <xdr:sp macro="" textlink="">
      <xdr:nvSpPr>
        <xdr:cNvPr id="2911" name="Arrow: Down 2910">
          <a:extLst>
            <a:ext uri="{FF2B5EF4-FFF2-40B4-BE49-F238E27FC236}">
              <a16:creationId xmlns:a16="http://schemas.microsoft.com/office/drawing/2014/main" id="{54F899CF-CB79-4EAE-AE3B-7A0AF5F977BE}"/>
            </a:ext>
          </a:extLst>
        </xdr:cNvPr>
        <xdr:cNvSpPr/>
      </xdr:nvSpPr>
      <xdr:spPr>
        <a:xfrm>
          <a:off x="21450300" y="6904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378</xdr:row>
      <xdr:rowOff>0</xdr:rowOff>
    </xdr:from>
    <xdr:to>
      <xdr:col>24</xdr:col>
      <xdr:colOff>83820</xdr:colOff>
      <xdr:row>378</xdr:row>
      <xdr:rowOff>114300</xdr:rowOff>
    </xdr:to>
    <xdr:sp macro="" textlink="">
      <xdr:nvSpPr>
        <xdr:cNvPr id="2912" name="Arrow: Down 2911">
          <a:extLst>
            <a:ext uri="{FF2B5EF4-FFF2-40B4-BE49-F238E27FC236}">
              <a16:creationId xmlns:a16="http://schemas.microsoft.com/office/drawing/2014/main" id="{A57E8C48-5CF6-4092-AA19-4D9D39433E73}"/>
            </a:ext>
          </a:extLst>
        </xdr:cNvPr>
        <xdr:cNvSpPr/>
      </xdr:nvSpPr>
      <xdr:spPr>
        <a:xfrm rot="10800000">
          <a:off x="833628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378</xdr:row>
      <xdr:rowOff>0</xdr:rowOff>
    </xdr:from>
    <xdr:to>
      <xdr:col>11</xdr:col>
      <xdr:colOff>83820</xdr:colOff>
      <xdr:row>378</xdr:row>
      <xdr:rowOff>114300</xdr:rowOff>
    </xdr:to>
    <xdr:sp macro="" textlink="">
      <xdr:nvSpPr>
        <xdr:cNvPr id="2913" name="Arrow: Down 2912">
          <a:extLst>
            <a:ext uri="{FF2B5EF4-FFF2-40B4-BE49-F238E27FC236}">
              <a16:creationId xmlns:a16="http://schemas.microsoft.com/office/drawing/2014/main" id="{B8D3425D-EAC8-431A-892E-ADB92A48AEB8}"/>
            </a:ext>
          </a:extLst>
        </xdr:cNvPr>
        <xdr:cNvSpPr/>
      </xdr:nvSpPr>
      <xdr:spPr>
        <a:xfrm rot="10800000">
          <a:off x="369570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378</xdr:row>
      <xdr:rowOff>0</xdr:rowOff>
    </xdr:from>
    <xdr:to>
      <xdr:col>5</xdr:col>
      <xdr:colOff>83820</xdr:colOff>
      <xdr:row>378</xdr:row>
      <xdr:rowOff>114300</xdr:rowOff>
    </xdr:to>
    <xdr:sp macro="" textlink="">
      <xdr:nvSpPr>
        <xdr:cNvPr id="2914" name="Arrow: Down 2913">
          <a:extLst>
            <a:ext uri="{FF2B5EF4-FFF2-40B4-BE49-F238E27FC236}">
              <a16:creationId xmlns:a16="http://schemas.microsoft.com/office/drawing/2014/main" id="{BB58BA02-8FE8-44C5-8324-12E020B05A66}"/>
            </a:ext>
          </a:extLst>
        </xdr:cNvPr>
        <xdr:cNvSpPr/>
      </xdr:nvSpPr>
      <xdr:spPr>
        <a:xfrm rot="10800000">
          <a:off x="192786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378</xdr:row>
      <xdr:rowOff>0</xdr:rowOff>
    </xdr:from>
    <xdr:to>
      <xdr:col>60</xdr:col>
      <xdr:colOff>83820</xdr:colOff>
      <xdr:row>378</xdr:row>
      <xdr:rowOff>114300</xdr:rowOff>
    </xdr:to>
    <xdr:sp macro="" textlink="">
      <xdr:nvSpPr>
        <xdr:cNvPr id="2918" name="Arrow: Down 2917">
          <a:extLst>
            <a:ext uri="{FF2B5EF4-FFF2-40B4-BE49-F238E27FC236}">
              <a16:creationId xmlns:a16="http://schemas.microsoft.com/office/drawing/2014/main" id="{9007DE09-02FB-4A5D-994F-5333092B6247}"/>
            </a:ext>
          </a:extLst>
        </xdr:cNvPr>
        <xdr:cNvSpPr/>
      </xdr:nvSpPr>
      <xdr:spPr>
        <a:xfrm>
          <a:off x="1901952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379</xdr:row>
      <xdr:rowOff>0</xdr:rowOff>
    </xdr:from>
    <xdr:to>
      <xdr:col>45</xdr:col>
      <xdr:colOff>83820</xdr:colOff>
      <xdr:row>379</xdr:row>
      <xdr:rowOff>114300</xdr:rowOff>
    </xdr:to>
    <xdr:sp macro="" textlink="">
      <xdr:nvSpPr>
        <xdr:cNvPr id="2919" name="Arrow: Down 2918">
          <a:extLst>
            <a:ext uri="{FF2B5EF4-FFF2-40B4-BE49-F238E27FC236}">
              <a16:creationId xmlns:a16="http://schemas.microsoft.com/office/drawing/2014/main" id="{0EB08AC8-F1A3-41CB-A67C-6899B8DCFED8}"/>
            </a:ext>
          </a:extLst>
        </xdr:cNvPr>
        <xdr:cNvSpPr/>
      </xdr:nvSpPr>
      <xdr:spPr>
        <a:xfrm rot="10800000">
          <a:off x="1340358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379</xdr:row>
      <xdr:rowOff>0</xdr:rowOff>
    </xdr:from>
    <xdr:to>
      <xdr:col>71</xdr:col>
      <xdr:colOff>83820</xdr:colOff>
      <xdr:row>379</xdr:row>
      <xdr:rowOff>114300</xdr:rowOff>
    </xdr:to>
    <xdr:sp macro="" textlink="">
      <xdr:nvSpPr>
        <xdr:cNvPr id="2920" name="Arrow: Down 2919">
          <a:extLst>
            <a:ext uri="{FF2B5EF4-FFF2-40B4-BE49-F238E27FC236}">
              <a16:creationId xmlns:a16="http://schemas.microsoft.com/office/drawing/2014/main" id="{C380F40B-18C1-4E89-9683-BAF709099AD7}"/>
            </a:ext>
          </a:extLst>
        </xdr:cNvPr>
        <xdr:cNvSpPr/>
      </xdr:nvSpPr>
      <xdr:spPr>
        <a:xfrm>
          <a:off x="2145030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379</xdr:row>
      <xdr:rowOff>0</xdr:rowOff>
    </xdr:from>
    <xdr:to>
      <xdr:col>11</xdr:col>
      <xdr:colOff>83820</xdr:colOff>
      <xdr:row>379</xdr:row>
      <xdr:rowOff>114300</xdr:rowOff>
    </xdr:to>
    <xdr:sp macro="" textlink="">
      <xdr:nvSpPr>
        <xdr:cNvPr id="2922" name="Arrow: Down 2921">
          <a:extLst>
            <a:ext uri="{FF2B5EF4-FFF2-40B4-BE49-F238E27FC236}">
              <a16:creationId xmlns:a16="http://schemas.microsoft.com/office/drawing/2014/main" id="{22DEF905-739C-445A-8242-17D42485E1B6}"/>
            </a:ext>
          </a:extLst>
        </xdr:cNvPr>
        <xdr:cNvSpPr/>
      </xdr:nvSpPr>
      <xdr:spPr>
        <a:xfrm rot="10800000">
          <a:off x="3695700" y="6922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379</xdr:row>
      <xdr:rowOff>0</xdr:rowOff>
    </xdr:from>
    <xdr:to>
      <xdr:col>5</xdr:col>
      <xdr:colOff>83820</xdr:colOff>
      <xdr:row>379</xdr:row>
      <xdr:rowOff>114300</xdr:rowOff>
    </xdr:to>
    <xdr:sp macro="" textlink="">
      <xdr:nvSpPr>
        <xdr:cNvPr id="2923" name="Arrow: Down 2922">
          <a:extLst>
            <a:ext uri="{FF2B5EF4-FFF2-40B4-BE49-F238E27FC236}">
              <a16:creationId xmlns:a16="http://schemas.microsoft.com/office/drawing/2014/main" id="{F47F5D51-3536-459E-83EB-05B88A00F3DB}"/>
            </a:ext>
          </a:extLst>
        </xdr:cNvPr>
        <xdr:cNvSpPr/>
      </xdr:nvSpPr>
      <xdr:spPr>
        <a:xfrm rot="10800000">
          <a:off x="1927860" y="6922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379</xdr:row>
      <xdr:rowOff>0</xdr:rowOff>
    </xdr:from>
    <xdr:to>
      <xdr:col>24</xdr:col>
      <xdr:colOff>83820</xdr:colOff>
      <xdr:row>379</xdr:row>
      <xdr:rowOff>114300</xdr:rowOff>
    </xdr:to>
    <xdr:sp macro="" textlink="">
      <xdr:nvSpPr>
        <xdr:cNvPr id="2926" name="Arrow: Down 2925">
          <a:extLst>
            <a:ext uri="{FF2B5EF4-FFF2-40B4-BE49-F238E27FC236}">
              <a16:creationId xmlns:a16="http://schemas.microsoft.com/office/drawing/2014/main" id="{B65217A5-CAF4-4021-ABA6-A9B9E5575E76}"/>
            </a:ext>
          </a:extLst>
        </xdr:cNvPr>
        <xdr:cNvSpPr/>
      </xdr:nvSpPr>
      <xdr:spPr>
        <a:xfrm>
          <a:off x="8336280" y="6941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378</xdr:row>
      <xdr:rowOff>0</xdr:rowOff>
    </xdr:from>
    <xdr:to>
      <xdr:col>39</xdr:col>
      <xdr:colOff>83820</xdr:colOff>
      <xdr:row>378</xdr:row>
      <xdr:rowOff>114300</xdr:rowOff>
    </xdr:to>
    <xdr:sp macro="" textlink="">
      <xdr:nvSpPr>
        <xdr:cNvPr id="2927" name="Arrow: Down 2926">
          <a:extLst>
            <a:ext uri="{FF2B5EF4-FFF2-40B4-BE49-F238E27FC236}">
              <a16:creationId xmlns:a16="http://schemas.microsoft.com/office/drawing/2014/main" id="{C46EB123-271B-4C9D-BE21-6F6C60F1B706}"/>
            </a:ext>
          </a:extLst>
        </xdr:cNvPr>
        <xdr:cNvSpPr/>
      </xdr:nvSpPr>
      <xdr:spPr>
        <a:xfrm rot="10800000">
          <a:off x="1154430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379</xdr:row>
      <xdr:rowOff>0</xdr:rowOff>
    </xdr:from>
    <xdr:to>
      <xdr:col>39</xdr:col>
      <xdr:colOff>83820</xdr:colOff>
      <xdr:row>379</xdr:row>
      <xdr:rowOff>114300</xdr:rowOff>
    </xdr:to>
    <xdr:sp macro="" textlink="">
      <xdr:nvSpPr>
        <xdr:cNvPr id="2928" name="Arrow: Down 2927">
          <a:extLst>
            <a:ext uri="{FF2B5EF4-FFF2-40B4-BE49-F238E27FC236}">
              <a16:creationId xmlns:a16="http://schemas.microsoft.com/office/drawing/2014/main" id="{B658A8A9-A1AE-42DB-9866-F954E45170F4}"/>
            </a:ext>
          </a:extLst>
        </xdr:cNvPr>
        <xdr:cNvSpPr/>
      </xdr:nvSpPr>
      <xdr:spPr>
        <a:xfrm>
          <a:off x="1154430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379</xdr:row>
      <xdr:rowOff>0</xdr:rowOff>
    </xdr:from>
    <xdr:to>
      <xdr:col>60</xdr:col>
      <xdr:colOff>83820</xdr:colOff>
      <xdr:row>379</xdr:row>
      <xdr:rowOff>114300</xdr:rowOff>
    </xdr:to>
    <xdr:sp macro="" textlink="">
      <xdr:nvSpPr>
        <xdr:cNvPr id="2930" name="Arrow: Down 2929">
          <a:extLst>
            <a:ext uri="{FF2B5EF4-FFF2-40B4-BE49-F238E27FC236}">
              <a16:creationId xmlns:a16="http://schemas.microsoft.com/office/drawing/2014/main" id="{4677CC93-F4E0-4CAD-82A2-6D36FF3FF66E}"/>
            </a:ext>
          </a:extLst>
        </xdr:cNvPr>
        <xdr:cNvSpPr/>
      </xdr:nvSpPr>
      <xdr:spPr>
        <a:xfrm rot="10800000">
          <a:off x="1901952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380</xdr:row>
      <xdr:rowOff>0</xdr:rowOff>
    </xdr:from>
    <xdr:to>
      <xdr:col>45</xdr:col>
      <xdr:colOff>83820</xdr:colOff>
      <xdr:row>380</xdr:row>
      <xdr:rowOff>114300</xdr:rowOff>
    </xdr:to>
    <xdr:sp macro="" textlink="">
      <xdr:nvSpPr>
        <xdr:cNvPr id="2931" name="Arrow: Down 2930">
          <a:extLst>
            <a:ext uri="{FF2B5EF4-FFF2-40B4-BE49-F238E27FC236}">
              <a16:creationId xmlns:a16="http://schemas.microsoft.com/office/drawing/2014/main" id="{93B16779-9F85-469A-850B-C72027066081}"/>
            </a:ext>
          </a:extLst>
        </xdr:cNvPr>
        <xdr:cNvSpPr/>
      </xdr:nvSpPr>
      <xdr:spPr>
        <a:xfrm rot="10800000">
          <a:off x="13403580" y="6941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380</xdr:row>
      <xdr:rowOff>0</xdr:rowOff>
    </xdr:from>
    <xdr:to>
      <xdr:col>71</xdr:col>
      <xdr:colOff>83820</xdr:colOff>
      <xdr:row>380</xdr:row>
      <xdr:rowOff>114300</xdr:rowOff>
    </xdr:to>
    <xdr:sp macro="" textlink="">
      <xdr:nvSpPr>
        <xdr:cNvPr id="2932" name="Arrow: Down 2931">
          <a:extLst>
            <a:ext uri="{FF2B5EF4-FFF2-40B4-BE49-F238E27FC236}">
              <a16:creationId xmlns:a16="http://schemas.microsoft.com/office/drawing/2014/main" id="{9F9B8877-75AB-4DAF-8197-FE3E3D7262B1}"/>
            </a:ext>
          </a:extLst>
        </xdr:cNvPr>
        <xdr:cNvSpPr/>
      </xdr:nvSpPr>
      <xdr:spPr>
        <a:xfrm>
          <a:off x="21450300" y="6941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380</xdr:row>
      <xdr:rowOff>0</xdr:rowOff>
    </xdr:from>
    <xdr:to>
      <xdr:col>11</xdr:col>
      <xdr:colOff>83820</xdr:colOff>
      <xdr:row>380</xdr:row>
      <xdr:rowOff>114300</xdr:rowOff>
    </xdr:to>
    <xdr:sp macro="" textlink="">
      <xdr:nvSpPr>
        <xdr:cNvPr id="2933" name="Arrow: Down 2932">
          <a:extLst>
            <a:ext uri="{FF2B5EF4-FFF2-40B4-BE49-F238E27FC236}">
              <a16:creationId xmlns:a16="http://schemas.microsoft.com/office/drawing/2014/main" id="{0F96191A-87FD-4B54-95D5-680C32872A97}"/>
            </a:ext>
          </a:extLst>
        </xdr:cNvPr>
        <xdr:cNvSpPr/>
      </xdr:nvSpPr>
      <xdr:spPr>
        <a:xfrm rot="10800000">
          <a:off x="369570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380</xdr:row>
      <xdr:rowOff>0</xdr:rowOff>
    </xdr:from>
    <xdr:to>
      <xdr:col>5</xdr:col>
      <xdr:colOff>83820</xdr:colOff>
      <xdr:row>380</xdr:row>
      <xdr:rowOff>114300</xdr:rowOff>
    </xdr:to>
    <xdr:sp macro="" textlink="">
      <xdr:nvSpPr>
        <xdr:cNvPr id="2934" name="Arrow: Down 2933">
          <a:extLst>
            <a:ext uri="{FF2B5EF4-FFF2-40B4-BE49-F238E27FC236}">
              <a16:creationId xmlns:a16="http://schemas.microsoft.com/office/drawing/2014/main" id="{A557BC1C-C4D7-4763-AAB0-6B7D4A540EE0}"/>
            </a:ext>
          </a:extLst>
        </xdr:cNvPr>
        <xdr:cNvSpPr/>
      </xdr:nvSpPr>
      <xdr:spPr>
        <a:xfrm rot="10800000">
          <a:off x="192786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380</xdr:row>
      <xdr:rowOff>0</xdr:rowOff>
    </xdr:from>
    <xdr:to>
      <xdr:col>60</xdr:col>
      <xdr:colOff>83820</xdr:colOff>
      <xdr:row>380</xdr:row>
      <xdr:rowOff>114300</xdr:rowOff>
    </xdr:to>
    <xdr:sp macro="" textlink="">
      <xdr:nvSpPr>
        <xdr:cNvPr id="2937" name="Arrow: Down 2936">
          <a:extLst>
            <a:ext uri="{FF2B5EF4-FFF2-40B4-BE49-F238E27FC236}">
              <a16:creationId xmlns:a16="http://schemas.microsoft.com/office/drawing/2014/main" id="{095A9DF9-FC6B-4018-830F-C6504F12971E}"/>
            </a:ext>
          </a:extLst>
        </xdr:cNvPr>
        <xdr:cNvSpPr/>
      </xdr:nvSpPr>
      <xdr:spPr>
        <a:xfrm rot="10800000">
          <a:off x="1901952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380</xdr:row>
      <xdr:rowOff>0</xdr:rowOff>
    </xdr:from>
    <xdr:to>
      <xdr:col>24</xdr:col>
      <xdr:colOff>83820</xdr:colOff>
      <xdr:row>380</xdr:row>
      <xdr:rowOff>114300</xdr:rowOff>
    </xdr:to>
    <xdr:sp macro="" textlink="">
      <xdr:nvSpPr>
        <xdr:cNvPr id="2938" name="Arrow: Down 2937">
          <a:extLst>
            <a:ext uri="{FF2B5EF4-FFF2-40B4-BE49-F238E27FC236}">
              <a16:creationId xmlns:a16="http://schemas.microsoft.com/office/drawing/2014/main" id="{3B2CF485-83EE-4DDC-A409-49DAFFB72816}"/>
            </a:ext>
          </a:extLst>
        </xdr:cNvPr>
        <xdr:cNvSpPr/>
      </xdr:nvSpPr>
      <xdr:spPr>
        <a:xfrm rot="10800000">
          <a:off x="8336280" y="6959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380</xdr:row>
      <xdr:rowOff>0</xdr:rowOff>
    </xdr:from>
    <xdr:to>
      <xdr:col>39</xdr:col>
      <xdr:colOff>83820</xdr:colOff>
      <xdr:row>380</xdr:row>
      <xdr:rowOff>114300</xdr:rowOff>
    </xdr:to>
    <xdr:sp macro="" textlink="">
      <xdr:nvSpPr>
        <xdr:cNvPr id="2939" name="Arrow: Down 2938">
          <a:extLst>
            <a:ext uri="{FF2B5EF4-FFF2-40B4-BE49-F238E27FC236}">
              <a16:creationId xmlns:a16="http://schemas.microsoft.com/office/drawing/2014/main" id="{716573A4-03B9-483A-AF8F-AF4749920FBE}"/>
            </a:ext>
          </a:extLst>
        </xdr:cNvPr>
        <xdr:cNvSpPr/>
      </xdr:nvSpPr>
      <xdr:spPr>
        <a:xfrm rot="10800000">
          <a:off x="11544300" y="6959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381</xdr:row>
      <xdr:rowOff>0</xdr:rowOff>
    </xdr:from>
    <xdr:to>
      <xdr:col>45</xdr:col>
      <xdr:colOff>83820</xdr:colOff>
      <xdr:row>381</xdr:row>
      <xdr:rowOff>114300</xdr:rowOff>
    </xdr:to>
    <xdr:sp macro="" textlink="">
      <xdr:nvSpPr>
        <xdr:cNvPr id="2947" name="Arrow: Down 2946">
          <a:extLst>
            <a:ext uri="{FF2B5EF4-FFF2-40B4-BE49-F238E27FC236}">
              <a16:creationId xmlns:a16="http://schemas.microsoft.com/office/drawing/2014/main" id="{0BC28F3A-FC8C-4AC6-9ECC-BD92E43767D6}"/>
            </a:ext>
          </a:extLst>
        </xdr:cNvPr>
        <xdr:cNvSpPr/>
      </xdr:nvSpPr>
      <xdr:spPr>
        <a:xfrm rot="10800000">
          <a:off x="13403580" y="6959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381</xdr:row>
      <xdr:rowOff>0</xdr:rowOff>
    </xdr:from>
    <xdr:to>
      <xdr:col>71</xdr:col>
      <xdr:colOff>83820</xdr:colOff>
      <xdr:row>381</xdr:row>
      <xdr:rowOff>114300</xdr:rowOff>
    </xdr:to>
    <xdr:sp macro="" textlink="">
      <xdr:nvSpPr>
        <xdr:cNvPr id="2948" name="Arrow: Down 2947">
          <a:extLst>
            <a:ext uri="{FF2B5EF4-FFF2-40B4-BE49-F238E27FC236}">
              <a16:creationId xmlns:a16="http://schemas.microsoft.com/office/drawing/2014/main" id="{8063713F-C125-483A-A5C1-682147CA309E}"/>
            </a:ext>
          </a:extLst>
        </xdr:cNvPr>
        <xdr:cNvSpPr/>
      </xdr:nvSpPr>
      <xdr:spPr>
        <a:xfrm>
          <a:off x="21450300" y="6959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381</xdr:row>
      <xdr:rowOff>0</xdr:rowOff>
    </xdr:from>
    <xdr:to>
      <xdr:col>60</xdr:col>
      <xdr:colOff>83820</xdr:colOff>
      <xdr:row>381</xdr:row>
      <xdr:rowOff>114300</xdr:rowOff>
    </xdr:to>
    <xdr:sp macro="" textlink="">
      <xdr:nvSpPr>
        <xdr:cNvPr id="2954" name="Arrow: Down 2953">
          <a:extLst>
            <a:ext uri="{FF2B5EF4-FFF2-40B4-BE49-F238E27FC236}">
              <a16:creationId xmlns:a16="http://schemas.microsoft.com/office/drawing/2014/main" id="{0363CFFE-0DD6-496D-A878-7B5D0D5072E4}"/>
            </a:ext>
          </a:extLst>
        </xdr:cNvPr>
        <xdr:cNvSpPr/>
      </xdr:nvSpPr>
      <xdr:spPr>
        <a:xfrm>
          <a:off x="1901952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381</xdr:row>
      <xdr:rowOff>0</xdr:rowOff>
    </xdr:from>
    <xdr:to>
      <xdr:col>39</xdr:col>
      <xdr:colOff>83820</xdr:colOff>
      <xdr:row>381</xdr:row>
      <xdr:rowOff>114300</xdr:rowOff>
    </xdr:to>
    <xdr:sp macro="" textlink="">
      <xdr:nvSpPr>
        <xdr:cNvPr id="2955" name="Arrow: Down 2954">
          <a:extLst>
            <a:ext uri="{FF2B5EF4-FFF2-40B4-BE49-F238E27FC236}">
              <a16:creationId xmlns:a16="http://schemas.microsoft.com/office/drawing/2014/main" id="{0E2220FE-5BEA-4F0C-8137-CDB0E53DF3C9}"/>
            </a:ext>
          </a:extLst>
        </xdr:cNvPr>
        <xdr:cNvSpPr/>
      </xdr:nvSpPr>
      <xdr:spPr>
        <a:xfrm>
          <a:off x="11544300" y="6977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381</xdr:row>
      <xdr:rowOff>0</xdr:rowOff>
    </xdr:from>
    <xdr:to>
      <xdr:col>24</xdr:col>
      <xdr:colOff>83820</xdr:colOff>
      <xdr:row>381</xdr:row>
      <xdr:rowOff>114300</xdr:rowOff>
    </xdr:to>
    <xdr:sp macro="" textlink="">
      <xdr:nvSpPr>
        <xdr:cNvPr id="2956" name="Arrow: Down 2955">
          <a:extLst>
            <a:ext uri="{FF2B5EF4-FFF2-40B4-BE49-F238E27FC236}">
              <a16:creationId xmlns:a16="http://schemas.microsoft.com/office/drawing/2014/main" id="{4E173B28-B0AE-479B-A517-E3CC58754CC1}"/>
            </a:ext>
          </a:extLst>
        </xdr:cNvPr>
        <xdr:cNvSpPr/>
      </xdr:nvSpPr>
      <xdr:spPr>
        <a:xfrm>
          <a:off x="833628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381</xdr:row>
      <xdr:rowOff>0</xdr:rowOff>
    </xdr:from>
    <xdr:to>
      <xdr:col>11</xdr:col>
      <xdr:colOff>83820</xdr:colOff>
      <xdr:row>381</xdr:row>
      <xdr:rowOff>114300</xdr:rowOff>
    </xdr:to>
    <xdr:sp macro="" textlink="">
      <xdr:nvSpPr>
        <xdr:cNvPr id="2958" name="Arrow: Down 2957">
          <a:extLst>
            <a:ext uri="{FF2B5EF4-FFF2-40B4-BE49-F238E27FC236}">
              <a16:creationId xmlns:a16="http://schemas.microsoft.com/office/drawing/2014/main" id="{668B0580-AD26-4408-9F56-B528F29211A4}"/>
            </a:ext>
          </a:extLst>
        </xdr:cNvPr>
        <xdr:cNvSpPr/>
      </xdr:nvSpPr>
      <xdr:spPr>
        <a:xfrm>
          <a:off x="369570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381</xdr:row>
      <xdr:rowOff>0</xdr:rowOff>
    </xdr:from>
    <xdr:to>
      <xdr:col>5</xdr:col>
      <xdr:colOff>83820</xdr:colOff>
      <xdr:row>381</xdr:row>
      <xdr:rowOff>114300</xdr:rowOff>
    </xdr:to>
    <xdr:sp macro="" textlink="">
      <xdr:nvSpPr>
        <xdr:cNvPr id="2960" name="Arrow: Down 2959">
          <a:extLst>
            <a:ext uri="{FF2B5EF4-FFF2-40B4-BE49-F238E27FC236}">
              <a16:creationId xmlns:a16="http://schemas.microsoft.com/office/drawing/2014/main" id="{799840ED-DA61-4BCB-810C-2E429211E28B}"/>
            </a:ext>
          </a:extLst>
        </xdr:cNvPr>
        <xdr:cNvSpPr/>
      </xdr:nvSpPr>
      <xdr:spPr>
        <a:xfrm>
          <a:off x="192786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382</xdr:row>
      <xdr:rowOff>0</xdr:rowOff>
    </xdr:from>
    <xdr:to>
      <xdr:col>45</xdr:col>
      <xdr:colOff>83820</xdr:colOff>
      <xdr:row>382</xdr:row>
      <xdr:rowOff>114300</xdr:rowOff>
    </xdr:to>
    <xdr:sp macro="" textlink="">
      <xdr:nvSpPr>
        <xdr:cNvPr id="2961" name="Arrow: Down 2960">
          <a:extLst>
            <a:ext uri="{FF2B5EF4-FFF2-40B4-BE49-F238E27FC236}">
              <a16:creationId xmlns:a16="http://schemas.microsoft.com/office/drawing/2014/main" id="{7E9B67FF-3A9B-4460-A53E-927434C9F92E}"/>
            </a:ext>
          </a:extLst>
        </xdr:cNvPr>
        <xdr:cNvSpPr/>
      </xdr:nvSpPr>
      <xdr:spPr>
        <a:xfrm rot="10800000">
          <a:off x="1340358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382</xdr:row>
      <xdr:rowOff>0</xdr:rowOff>
    </xdr:from>
    <xdr:to>
      <xdr:col>71</xdr:col>
      <xdr:colOff>83820</xdr:colOff>
      <xdr:row>382</xdr:row>
      <xdr:rowOff>114300</xdr:rowOff>
    </xdr:to>
    <xdr:sp macro="" textlink="">
      <xdr:nvSpPr>
        <xdr:cNvPr id="2962" name="Arrow: Down 2961">
          <a:extLst>
            <a:ext uri="{FF2B5EF4-FFF2-40B4-BE49-F238E27FC236}">
              <a16:creationId xmlns:a16="http://schemas.microsoft.com/office/drawing/2014/main" id="{71A26C09-12DD-4F9F-98DA-11245DE044DB}"/>
            </a:ext>
          </a:extLst>
        </xdr:cNvPr>
        <xdr:cNvSpPr/>
      </xdr:nvSpPr>
      <xdr:spPr>
        <a:xfrm>
          <a:off x="2145030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382</xdr:row>
      <xdr:rowOff>0</xdr:rowOff>
    </xdr:from>
    <xdr:to>
      <xdr:col>60</xdr:col>
      <xdr:colOff>83820</xdr:colOff>
      <xdr:row>382</xdr:row>
      <xdr:rowOff>114300</xdr:rowOff>
    </xdr:to>
    <xdr:sp macro="" textlink="">
      <xdr:nvSpPr>
        <xdr:cNvPr id="2963" name="Arrow: Down 2962">
          <a:extLst>
            <a:ext uri="{FF2B5EF4-FFF2-40B4-BE49-F238E27FC236}">
              <a16:creationId xmlns:a16="http://schemas.microsoft.com/office/drawing/2014/main" id="{6C611342-14EB-449E-8868-96092B8ED18E}"/>
            </a:ext>
          </a:extLst>
        </xdr:cNvPr>
        <xdr:cNvSpPr/>
      </xdr:nvSpPr>
      <xdr:spPr>
        <a:xfrm>
          <a:off x="1901952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382</xdr:row>
      <xdr:rowOff>0</xdr:rowOff>
    </xdr:from>
    <xdr:to>
      <xdr:col>24</xdr:col>
      <xdr:colOff>83820</xdr:colOff>
      <xdr:row>382</xdr:row>
      <xdr:rowOff>114300</xdr:rowOff>
    </xdr:to>
    <xdr:sp macro="" textlink="">
      <xdr:nvSpPr>
        <xdr:cNvPr id="2965" name="Arrow: Down 2964">
          <a:extLst>
            <a:ext uri="{FF2B5EF4-FFF2-40B4-BE49-F238E27FC236}">
              <a16:creationId xmlns:a16="http://schemas.microsoft.com/office/drawing/2014/main" id="{7D9294B8-8ADE-43C8-A489-2317C1D26E0C}"/>
            </a:ext>
          </a:extLst>
        </xdr:cNvPr>
        <xdr:cNvSpPr/>
      </xdr:nvSpPr>
      <xdr:spPr>
        <a:xfrm>
          <a:off x="833628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382</xdr:row>
      <xdr:rowOff>0</xdr:rowOff>
    </xdr:from>
    <xdr:to>
      <xdr:col>11</xdr:col>
      <xdr:colOff>83820</xdr:colOff>
      <xdr:row>382</xdr:row>
      <xdr:rowOff>114300</xdr:rowOff>
    </xdr:to>
    <xdr:sp macro="" textlink="">
      <xdr:nvSpPr>
        <xdr:cNvPr id="2966" name="Arrow: Down 2965">
          <a:extLst>
            <a:ext uri="{FF2B5EF4-FFF2-40B4-BE49-F238E27FC236}">
              <a16:creationId xmlns:a16="http://schemas.microsoft.com/office/drawing/2014/main" id="{359106F3-9B96-4F7D-ADFB-82A8C4FF8DE9}"/>
            </a:ext>
          </a:extLst>
        </xdr:cNvPr>
        <xdr:cNvSpPr/>
      </xdr:nvSpPr>
      <xdr:spPr>
        <a:xfrm>
          <a:off x="369570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382</xdr:row>
      <xdr:rowOff>0</xdr:rowOff>
    </xdr:from>
    <xdr:to>
      <xdr:col>5</xdr:col>
      <xdr:colOff>83820</xdr:colOff>
      <xdr:row>382</xdr:row>
      <xdr:rowOff>114300</xdr:rowOff>
    </xdr:to>
    <xdr:sp macro="" textlink="">
      <xdr:nvSpPr>
        <xdr:cNvPr id="2967" name="Arrow: Down 2966">
          <a:extLst>
            <a:ext uri="{FF2B5EF4-FFF2-40B4-BE49-F238E27FC236}">
              <a16:creationId xmlns:a16="http://schemas.microsoft.com/office/drawing/2014/main" id="{40DFD1C6-A3A0-4782-93BE-FFDB01C0645E}"/>
            </a:ext>
          </a:extLst>
        </xdr:cNvPr>
        <xdr:cNvSpPr/>
      </xdr:nvSpPr>
      <xdr:spPr>
        <a:xfrm>
          <a:off x="192786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382</xdr:row>
      <xdr:rowOff>0</xdr:rowOff>
    </xdr:from>
    <xdr:to>
      <xdr:col>39</xdr:col>
      <xdr:colOff>83820</xdr:colOff>
      <xdr:row>382</xdr:row>
      <xdr:rowOff>114300</xdr:rowOff>
    </xdr:to>
    <xdr:sp macro="" textlink="">
      <xdr:nvSpPr>
        <xdr:cNvPr id="2969" name="Arrow: Down 2968">
          <a:extLst>
            <a:ext uri="{FF2B5EF4-FFF2-40B4-BE49-F238E27FC236}">
              <a16:creationId xmlns:a16="http://schemas.microsoft.com/office/drawing/2014/main" id="{EF699A89-9C0B-4AFA-BD19-DC1C47245DB6}"/>
            </a:ext>
          </a:extLst>
        </xdr:cNvPr>
        <xdr:cNvSpPr/>
      </xdr:nvSpPr>
      <xdr:spPr>
        <a:xfrm>
          <a:off x="11544300" y="6995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383</xdr:row>
      <xdr:rowOff>0</xdr:rowOff>
    </xdr:from>
    <xdr:to>
      <xdr:col>45</xdr:col>
      <xdr:colOff>83820</xdr:colOff>
      <xdr:row>383</xdr:row>
      <xdr:rowOff>114300</xdr:rowOff>
    </xdr:to>
    <xdr:sp macro="" textlink="">
      <xdr:nvSpPr>
        <xdr:cNvPr id="2709" name="Arrow: Down 2708">
          <a:extLst>
            <a:ext uri="{FF2B5EF4-FFF2-40B4-BE49-F238E27FC236}">
              <a16:creationId xmlns:a16="http://schemas.microsoft.com/office/drawing/2014/main" id="{FE9A4D4B-F436-42A7-8EB4-0B27F54A7BD6}"/>
            </a:ext>
          </a:extLst>
        </xdr:cNvPr>
        <xdr:cNvSpPr/>
      </xdr:nvSpPr>
      <xdr:spPr>
        <a:xfrm rot="10800000">
          <a:off x="13403580" y="6995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383</xdr:row>
      <xdr:rowOff>0</xdr:rowOff>
    </xdr:from>
    <xdr:to>
      <xdr:col>71</xdr:col>
      <xdr:colOff>83820</xdr:colOff>
      <xdr:row>383</xdr:row>
      <xdr:rowOff>114300</xdr:rowOff>
    </xdr:to>
    <xdr:sp macro="" textlink="">
      <xdr:nvSpPr>
        <xdr:cNvPr id="2722" name="Arrow: Down 2721">
          <a:extLst>
            <a:ext uri="{FF2B5EF4-FFF2-40B4-BE49-F238E27FC236}">
              <a16:creationId xmlns:a16="http://schemas.microsoft.com/office/drawing/2014/main" id="{6B475074-6839-4334-968F-FAEBCDF09B41}"/>
            </a:ext>
          </a:extLst>
        </xdr:cNvPr>
        <xdr:cNvSpPr/>
      </xdr:nvSpPr>
      <xdr:spPr>
        <a:xfrm>
          <a:off x="21450300" y="6995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383</xdr:row>
      <xdr:rowOff>0</xdr:rowOff>
    </xdr:from>
    <xdr:to>
      <xdr:col>60</xdr:col>
      <xdr:colOff>83820</xdr:colOff>
      <xdr:row>383</xdr:row>
      <xdr:rowOff>114300</xdr:rowOff>
    </xdr:to>
    <xdr:sp macro="" textlink="">
      <xdr:nvSpPr>
        <xdr:cNvPr id="2727" name="Arrow: Down 2726">
          <a:extLst>
            <a:ext uri="{FF2B5EF4-FFF2-40B4-BE49-F238E27FC236}">
              <a16:creationId xmlns:a16="http://schemas.microsoft.com/office/drawing/2014/main" id="{32EFBB80-186F-4D1B-85E7-EC4631C0646B}"/>
            </a:ext>
          </a:extLst>
        </xdr:cNvPr>
        <xdr:cNvSpPr/>
      </xdr:nvSpPr>
      <xdr:spPr>
        <a:xfrm>
          <a:off x="19019520" y="6995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383</xdr:row>
      <xdr:rowOff>0</xdr:rowOff>
    </xdr:from>
    <xdr:to>
      <xdr:col>39</xdr:col>
      <xdr:colOff>83820</xdr:colOff>
      <xdr:row>383</xdr:row>
      <xdr:rowOff>114300</xdr:rowOff>
    </xdr:to>
    <xdr:sp macro="" textlink="">
      <xdr:nvSpPr>
        <xdr:cNvPr id="2753" name="Arrow: Down 2752">
          <a:extLst>
            <a:ext uri="{FF2B5EF4-FFF2-40B4-BE49-F238E27FC236}">
              <a16:creationId xmlns:a16="http://schemas.microsoft.com/office/drawing/2014/main" id="{4DC9C91A-2E5F-4C51-AA51-2E49951A6E72}"/>
            </a:ext>
          </a:extLst>
        </xdr:cNvPr>
        <xdr:cNvSpPr/>
      </xdr:nvSpPr>
      <xdr:spPr>
        <a:xfrm rot="10800000">
          <a:off x="11544300" y="7014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383</xdr:row>
      <xdr:rowOff>0</xdr:rowOff>
    </xdr:from>
    <xdr:to>
      <xdr:col>24</xdr:col>
      <xdr:colOff>83820</xdr:colOff>
      <xdr:row>383</xdr:row>
      <xdr:rowOff>114300</xdr:rowOff>
    </xdr:to>
    <xdr:sp macro="" textlink="">
      <xdr:nvSpPr>
        <xdr:cNvPr id="2758" name="Arrow: Down 2757">
          <a:extLst>
            <a:ext uri="{FF2B5EF4-FFF2-40B4-BE49-F238E27FC236}">
              <a16:creationId xmlns:a16="http://schemas.microsoft.com/office/drawing/2014/main" id="{4518431F-6F45-4F22-A00E-D0258B51696C}"/>
            </a:ext>
          </a:extLst>
        </xdr:cNvPr>
        <xdr:cNvSpPr/>
      </xdr:nvSpPr>
      <xdr:spPr>
        <a:xfrm rot="10800000">
          <a:off x="833628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383</xdr:row>
      <xdr:rowOff>0</xdr:rowOff>
    </xdr:from>
    <xdr:to>
      <xdr:col>11</xdr:col>
      <xdr:colOff>83820</xdr:colOff>
      <xdr:row>383</xdr:row>
      <xdr:rowOff>114300</xdr:rowOff>
    </xdr:to>
    <xdr:sp macro="" textlink="">
      <xdr:nvSpPr>
        <xdr:cNvPr id="2764" name="Arrow: Down 2763">
          <a:extLst>
            <a:ext uri="{FF2B5EF4-FFF2-40B4-BE49-F238E27FC236}">
              <a16:creationId xmlns:a16="http://schemas.microsoft.com/office/drawing/2014/main" id="{8394BB6F-7FC6-4AE9-BF1B-3009F7EA3ACD}"/>
            </a:ext>
          </a:extLst>
        </xdr:cNvPr>
        <xdr:cNvSpPr/>
      </xdr:nvSpPr>
      <xdr:spPr>
        <a:xfrm rot="10800000">
          <a:off x="369570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83820</xdr:colOff>
      <xdr:row>383</xdr:row>
      <xdr:rowOff>114300</xdr:rowOff>
    </xdr:to>
    <xdr:sp macro="" textlink="">
      <xdr:nvSpPr>
        <xdr:cNvPr id="2765" name="Arrow: Down 2764">
          <a:extLst>
            <a:ext uri="{FF2B5EF4-FFF2-40B4-BE49-F238E27FC236}">
              <a16:creationId xmlns:a16="http://schemas.microsoft.com/office/drawing/2014/main" id="{6FEC4202-86E3-4F39-9A4B-5501EAB3F936}"/>
            </a:ext>
          </a:extLst>
        </xdr:cNvPr>
        <xdr:cNvSpPr/>
      </xdr:nvSpPr>
      <xdr:spPr>
        <a:xfrm rot="10800000">
          <a:off x="192786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384</xdr:row>
      <xdr:rowOff>0</xdr:rowOff>
    </xdr:from>
    <xdr:to>
      <xdr:col>45</xdr:col>
      <xdr:colOff>83820</xdr:colOff>
      <xdr:row>384</xdr:row>
      <xdr:rowOff>114300</xdr:rowOff>
    </xdr:to>
    <xdr:sp macro="" textlink="">
      <xdr:nvSpPr>
        <xdr:cNvPr id="2768" name="Arrow: Down 2767">
          <a:extLst>
            <a:ext uri="{FF2B5EF4-FFF2-40B4-BE49-F238E27FC236}">
              <a16:creationId xmlns:a16="http://schemas.microsoft.com/office/drawing/2014/main" id="{A438D782-6019-43CE-9107-B983DE5F7FC0}"/>
            </a:ext>
          </a:extLst>
        </xdr:cNvPr>
        <xdr:cNvSpPr/>
      </xdr:nvSpPr>
      <xdr:spPr>
        <a:xfrm rot="10800000">
          <a:off x="13403580" y="7014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384</xdr:row>
      <xdr:rowOff>0</xdr:rowOff>
    </xdr:from>
    <xdr:to>
      <xdr:col>71</xdr:col>
      <xdr:colOff>83820</xdr:colOff>
      <xdr:row>384</xdr:row>
      <xdr:rowOff>114300</xdr:rowOff>
    </xdr:to>
    <xdr:sp macro="" textlink="">
      <xdr:nvSpPr>
        <xdr:cNvPr id="2775" name="Arrow: Down 2774">
          <a:extLst>
            <a:ext uri="{FF2B5EF4-FFF2-40B4-BE49-F238E27FC236}">
              <a16:creationId xmlns:a16="http://schemas.microsoft.com/office/drawing/2014/main" id="{37CA5B61-23D2-4EB3-96AA-CA712101C61E}"/>
            </a:ext>
          </a:extLst>
        </xdr:cNvPr>
        <xdr:cNvSpPr/>
      </xdr:nvSpPr>
      <xdr:spPr>
        <a:xfrm>
          <a:off x="21450300" y="7014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384</xdr:row>
      <xdr:rowOff>0</xdr:rowOff>
    </xdr:from>
    <xdr:to>
      <xdr:col>24</xdr:col>
      <xdr:colOff>83820</xdr:colOff>
      <xdr:row>384</xdr:row>
      <xdr:rowOff>114300</xdr:rowOff>
    </xdr:to>
    <xdr:sp macro="" textlink="">
      <xdr:nvSpPr>
        <xdr:cNvPr id="2784" name="Arrow: Down 2783">
          <a:extLst>
            <a:ext uri="{FF2B5EF4-FFF2-40B4-BE49-F238E27FC236}">
              <a16:creationId xmlns:a16="http://schemas.microsoft.com/office/drawing/2014/main" id="{5D3CF6E3-02EE-47F4-AB2F-DEC061EC7FA7}"/>
            </a:ext>
          </a:extLst>
        </xdr:cNvPr>
        <xdr:cNvSpPr/>
      </xdr:nvSpPr>
      <xdr:spPr>
        <a:xfrm rot="10800000">
          <a:off x="833628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384</xdr:row>
      <xdr:rowOff>0</xdr:rowOff>
    </xdr:from>
    <xdr:to>
      <xdr:col>11</xdr:col>
      <xdr:colOff>83820</xdr:colOff>
      <xdr:row>384</xdr:row>
      <xdr:rowOff>114300</xdr:rowOff>
    </xdr:to>
    <xdr:sp macro="" textlink="">
      <xdr:nvSpPr>
        <xdr:cNvPr id="2792" name="Arrow: Down 2791">
          <a:extLst>
            <a:ext uri="{FF2B5EF4-FFF2-40B4-BE49-F238E27FC236}">
              <a16:creationId xmlns:a16="http://schemas.microsoft.com/office/drawing/2014/main" id="{93F98197-0F4A-4F10-A72E-286E66A3E502}"/>
            </a:ext>
          </a:extLst>
        </xdr:cNvPr>
        <xdr:cNvSpPr/>
      </xdr:nvSpPr>
      <xdr:spPr>
        <a:xfrm rot="10800000">
          <a:off x="369570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384</xdr:row>
      <xdr:rowOff>0</xdr:rowOff>
    </xdr:from>
    <xdr:to>
      <xdr:col>5</xdr:col>
      <xdr:colOff>83820</xdr:colOff>
      <xdr:row>384</xdr:row>
      <xdr:rowOff>114300</xdr:rowOff>
    </xdr:to>
    <xdr:sp macro="" textlink="">
      <xdr:nvSpPr>
        <xdr:cNvPr id="2798" name="Arrow: Down 2797">
          <a:extLst>
            <a:ext uri="{FF2B5EF4-FFF2-40B4-BE49-F238E27FC236}">
              <a16:creationId xmlns:a16="http://schemas.microsoft.com/office/drawing/2014/main" id="{451C2140-4204-4A03-86AF-2D69ED8D7964}"/>
            </a:ext>
          </a:extLst>
        </xdr:cNvPr>
        <xdr:cNvSpPr/>
      </xdr:nvSpPr>
      <xdr:spPr>
        <a:xfrm rot="10800000">
          <a:off x="192786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384</xdr:row>
      <xdr:rowOff>0</xdr:rowOff>
    </xdr:from>
    <xdr:to>
      <xdr:col>39</xdr:col>
      <xdr:colOff>83820</xdr:colOff>
      <xdr:row>384</xdr:row>
      <xdr:rowOff>114300</xdr:rowOff>
    </xdr:to>
    <xdr:sp macro="" textlink="">
      <xdr:nvSpPr>
        <xdr:cNvPr id="2799" name="Arrow: Down 2798">
          <a:extLst>
            <a:ext uri="{FF2B5EF4-FFF2-40B4-BE49-F238E27FC236}">
              <a16:creationId xmlns:a16="http://schemas.microsoft.com/office/drawing/2014/main" id="{25724795-F4A5-461D-9534-175DDE54F8C9}"/>
            </a:ext>
          </a:extLst>
        </xdr:cNvPr>
        <xdr:cNvSpPr/>
      </xdr:nvSpPr>
      <xdr:spPr>
        <a:xfrm>
          <a:off x="1154430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384</xdr:row>
      <xdr:rowOff>0</xdr:rowOff>
    </xdr:from>
    <xdr:to>
      <xdr:col>60</xdr:col>
      <xdr:colOff>83820</xdr:colOff>
      <xdr:row>384</xdr:row>
      <xdr:rowOff>114300</xdr:rowOff>
    </xdr:to>
    <xdr:sp macro="" textlink="">
      <xdr:nvSpPr>
        <xdr:cNvPr id="2801" name="Arrow: Down 2800">
          <a:extLst>
            <a:ext uri="{FF2B5EF4-FFF2-40B4-BE49-F238E27FC236}">
              <a16:creationId xmlns:a16="http://schemas.microsoft.com/office/drawing/2014/main" id="{EC2E8D7B-4120-47C2-ACF5-DDE21075AA6F}"/>
            </a:ext>
          </a:extLst>
        </xdr:cNvPr>
        <xdr:cNvSpPr/>
      </xdr:nvSpPr>
      <xdr:spPr>
        <a:xfrm rot="10800000">
          <a:off x="1901952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385</xdr:row>
      <xdr:rowOff>0</xdr:rowOff>
    </xdr:from>
    <xdr:to>
      <xdr:col>45</xdr:col>
      <xdr:colOff>83820</xdr:colOff>
      <xdr:row>385</xdr:row>
      <xdr:rowOff>114300</xdr:rowOff>
    </xdr:to>
    <xdr:sp macro="" textlink="">
      <xdr:nvSpPr>
        <xdr:cNvPr id="2814" name="Arrow: Down 2813">
          <a:extLst>
            <a:ext uri="{FF2B5EF4-FFF2-40B4-BE49-F238E27FC236}">
              <a16:creationId xmlns:a16="http://schemas.microsoft.com/office/drawing/2014/main" id="{3EEC69F0-AA18-430C-B32A-F6E36E542CBB}"/>
            </a:ext>
          </a:extLst>
        </xdr:cNvPr>
        <xdr:cNvSpPr/>
      </xdr:nvSpPr>
      <xdr:spPr>
        <a:xfrm rot="10800000">
          <a:off x="13403580" y="7032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385</xdr:row>
      <xdr:rowOff>0</xdr:rowOff>
    </xdr:from>
    <xdr:to>
      <xdr:col>71</xdr:col>
      <xdr:colOff>83820</xdr:colOff>
      <xdr:row>385</xdr:row>
      <xdr:rowOff>114300</xdr:rowOff>
    </xdr:to>
    <xdr:sp macro="" textlink="">
      <xdr:nvSpPr>
        <xdr:cNvPr id="2815" name="Arrow: Down 2814">
          <a:extLst>
            <a:ext uri="{FF2B5EF4-FFF2-40B4-BE49-F238E27FC236}">
              <a16:creationId xmlns:a16="http://schemas.microsoft.com/office/drawing/2014/main" id="{AE4F116E-7B42-420C-B130-608E5888674B}"/>
            </a:ext>
          </a:extLst>
        </xdr:cNvPr>
        <xdr:cNvSpPr/>
      </xdr:nvSpPr>
      <xdr:spPr>
        <a:xfrm>
          <a:off x="21450300" y="7032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385</xdr:row>
      <xdr:rowOff>0</xdr:rowOff>
    </xdr:from>
    <xdr:to>
      <xdr:col>24</xdr:col>
      <xdr:colOff>83820</xdr:colOff>
      <xdr:row>385</xdr:row>
      <xdr:rowOff>114300</xdr:rowOff>
    </xdr:to>
    <xdr:sp macro="" textlink="">
      <xdr:nvSpPr>
        <xdr:cNvPr id="2816" name="Arrow: Down 2815">
          <a:extLst>
            <a:ext uri="{FF2B5EF4-FFF2-40B4-BE49-F238E27FC236}">
              <a16:creationId xmlns:a16="http://schemas.microsoft.com/office/drawing/2014/main" id="{634722EC-DDB6-4541-B0B2-28EC14415EE2}"/>
            </a:ext>
          </a:extLst>
        </xdr:cNvPr>
        <xdr:cNvSpPr/>
      </xdr:nvSpPr>
      <xdr:spPr>
        <a:xfrm rot="10800000">
          <a:off x="833628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385</xdr:row>
      <xdr:rowOff>0</xdr:rowOff>
    </xdr:from>
    <xdr:to>
      <xdr:col>11</xdr:col>
      <xdr:colOff>83820</xdr:colOff>
      <xdr:row>385</xdr:row>
      <xdr:rowOff>114300</xdr:rowOff>
    </xdr:to>
    <xdr:sp macro="" textlink="">
      <xdr:nvSpPr>
        <xdr:cNvPr id="2817" name="Arrow: Down 2816">
          <a:extLst>
            <a:ext uri="{FF2B5EF4-FFF2-40B4-BE49-F238E27FC236}">
              <a16:creationId xmlns:a16="http://schemas.microsoft.com/office/drawing/2014/main" id="{CC454150-CCFA-461A-BDA3-CDCD25AEEF99}"/>
            </a:ext>
          </a:extLst>
        </xdr:cNvPr>
        <xdr:cNvSpPr/>
      </xdr:nvSpPr>
      <xdr:spPr>
        <a:xfrm rot="10800000">
          <a:off x="369570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385</xdr:row>
      <xdr:rowOff>0</xdr:rowOff>
    </xdr:from>
    <xdr:to>
      <xdr:col>5</xdr:col>
      <xdr:colOff>83820</xdr:colOff>
      <xdr:row>385</xdr:row>
      <xdr:rowOff>114300</xdr:rowOff>
    </xdr:to>
    <xdr:sp macro="" textlink="">
      <xdr:nvSpPr>
        <xdr:cNvPr id="2827" name="Arrow: Down 2826">
          <a:extLst>
            <a:ext uri="{FF2B5EF4-FFF2-40B4-BE49-F238E27FC236}">
              <a16:creationId xmlns:a16="http://schemas.microsoft.com/office/drawing/2014/main" id="{18728C39-8DE1-4AC7-91CA-80FCC970ED9B}"/>
            </a:ext>
          </a:extLst>
        </xdr:cNvPr>
        <xdr:cNvSpPr/>
      </xdr:nvSpPr>
      <xdr:spPr>
        <a:xfrm rot="10800000">
          <a:off x="192786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385</xdr:row>
      <xdr:rowOff>0</xdr:rowOff>
    </xdr:from>
    <xdr:to>
      <xdr:col>39</xdr:col>
      <xdr:colOff>83820</xdr:colOff>
      <xdr:row>385</xdr:row>
      <xdr:rowOff>114300</xdr:rowOff>
    </xdr:to>
    <xdr:sp macro="" textlink="">
      <xdr:nvSpPr>
        <xdr:cNvPr id="2828" name="Arrow: Down 2827">
          <a:extLst>
            <a:ext uri="{FF2B5EF4-FFF2-40B4-BE49-F238E27FC236}">
              <a16:creationId xmlns:a16="http://schemas.microsoft.com/office/drawing/2014/main" id="{3B4A7896-5391-481D-BFAE-CA2B6C186514}"/>
            </a:ext>
          </a:extLst>
        </xdr:cNvPr>
        <xdr:cNvSpPr/>
      </xdr:nvSpPr>
      <xdr:spPr>
        <a:xfrm>
          <a:off x="1154430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385</xdr:row>
      <xdr:rowOff>0</xdr:rowOff>
    </xdr:from>
    <xdr:to>
      <xdr:col>60</xdr:col>
      <xdr:colOff>83820</xdr:colOff>
      <xdr:row>385</xdr:row>
      <xdr:rowOff>114300</xdr:rowOff>
    </xdr:to>
    <xdr:sp macro="" textlink="">
      <xdr:nvSpPr>
        <xdr:cNvPr id="2832" name="Arrow: Down 2831">
          <a:extLst>
            <a:ext uri="{FF2B5EF4-FFF2-40B4-BE49-F238E27FC236}">
              <a16:creationId xmlns:a16="http://schemas.microsoft.com/office/drawing/2014/main" id="{CCCE8258-BD88-44A5-B537-61B5736FE37E}"/>
            </a:ext>
          </a:extLst>
        </xdr:cNvPr>
        <xdr:cNvSpPr/>
      </xdr:nvSpPr>
      <xdr:spPr>
        <a:xfrm rot="10800000">
          <a:off x="1901952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386</xdr:row>
      <xdr:rowOff>0</xdr:rowOff>
    </xdr:from>
    <xdr:to>
      <xdr:col>45</xdr:col>
      <xdr:colOff>83820</xdr:colOff>
      <xdr:row>386</xdr:row>
      <xdr:rowOff>114300</xdr:rowOff>
    </xdr:to>
    <xdr:sp macro="" textlink="">
      <xdr:nvSpPr>
        <xdr:cNvPr id="2853" name="Arrow: Down 2852">
          <a:extLst>
            <a:ext uri="{FF2B5EF4-FFF2-40B4-BE49-F238E27FC236}">
              <a16:creationId xmlns:a16="http://schemas.microsoft.com/office/drawing/2014/main" id="{8481413F-4BE1-4B81-BC4D-9C541B855418}"/>
            </a:ext>
          </a:extLst>
        </xdr:cNvPr>
        <xdr:cNvSpPr/>
      </xdr:nvSpPr>
      <xdr:spPr>
        <a:xfrm rot="10800000">
          <a:off x="13403580" y="7050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386</xdr:row>
      <xdr:rowOff>0</xdr:rowOff>
    </xdr:from>
    <xdr:to>
      <xdr:col>71</xdr:col>
      <xdr:colOff>83820</xdr:colOff>
      <xdr:row>386</xdr:row>
      <xdr:rowOff>114300</xdr:rowOff>
    </xdr:to>
    <xdr:sp macro="" textlink="">
      <xdr:nvSpPr>
        <xdr:cNvPr id="2857" name="Arrow: Down 2856">
          <a:extLst>
            <a:ext uri="{FF2B5EF4-FFF2-40B4-BE49-F238E27FC236}">
              <a16:creationId xmlns:a16="http://schemas.microsoft.com/office/drawing/2014/main" id="{CA9D2A3C-51F3-4D33-B763-3A7E234ED008}"/>
            </a:ext>
          </a:extLst>
        </xdr:cNvPr>
        <xdr:cNvSpPr/>
      </xdr:nvSpPr>
      <xdr:spPr>
        <a:xfrm>
          <a:off x="21450300" y="7050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386</xdr:row>
      <xdr:rowOff>0</xdr:rowOff>
    </xdr:from>
    <xdr:to>
      <xdr:col>39</xdr:col>
      <xdr:colOff>83820</xdr:colOff>
      <xdr:row>386</xdr:row>
      <xdr:rowOff>114300</xdr:rowOff>
    </xdr:to>
    <xdr:sp macro="" textlink="">
      <xdr:nvSpPr>
        <xdr:cNvPr id="2861" name="Arrow: Down 2860">
          <a:extLst>
            <a:ext uri="{FF2B5EF4-FFF2-40B4-BE49-F238E27FC236}">
              <a16:creationId xmlns:a16="http://schemas.microsoft.com/office/drawing/2014/main" id="{E8263DD0-4E4A-4C04-BDC6-2A393913BC6C}"/>
            </a:ext>
          </a:extLst>
        </xdr:cNvPr>
        <xdr:cNvSpPr/>
      </xdr:nvSpPr>
      <xdr:spPr>
        <a:xfrm>
          <a:off x="11544300" y="7050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386</xdr:row>
      <xdr:rowOff>0</xdr:rowOff>
    </xdr:from>
    <xdr:to>
      <xdr:col>24</xdr:col>
      <xdr:colOff>83820</xdr:colOff>
      <xdr:row>386</xdr:row>
      <xdr:rowOff>114300</xdr:rowOff>
    </xdr:to>
    <xdr:sp macro="" textlink="">
      <xdr:nvSpPr>
        <xdr:cNvPr id="2866" name="Arrow: Down 2865">
          <a:extLst>
            <a:ext uri="{FF2B5EF4-FFF2-40B4-BE49-F238E27FC236}">
              <a16:creationId xmlns:a16="http://schemas.microsoft.com/office/drawing/2014/main" id="{7CD0526F-964A-4D83-9EBA-B64F4EA5C57B}"/>
            </a:ext>
          </a:extLst>
        </xdr:cNvPr>
        <xdr:cNvSpPr/>
      </xdr:nvSpPr>
      <xdr:spPr>
        <a:xfrm>
          <a:off x="833628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386</xdr:row>
      <xdr:rowOff>0</xdr:rowOff>
    </xdr:from>
    <xdr:to>
      <xdr:col>5</xdr:col>
      <xdr:colOff>83820</xdr:colOff>
      <xdr:row>386</xdr:row>
      <xdr:rowOff>114300</xdr:rowOff>
    </xdr:to>
    <xdr:sp macro="" textlink="">
      <xdr:nvSpPr>
        <xdr:cNvPr id="2867" name="Arrow: Down 2866">
          <a:extLst>
            <a:ext uri="{FF2B5EF4-FFF2-40B4-BE49-F238E27FC236}">
              <a16:creationId xmlns:a16="http://schemas.microsoft.com/office/drawing/2014/main" id="{8EBCF836-EE9C-49FF-8D38-DFB6939DA7B1}"/>
            </a:ext>
          </a:extLst>
        </xdr:cNvPr>
        <xdr:cNvSpPr/>
      </xdr:nvSpPr>
      <xdr:spPr>
        <a:xfrm>
          <a:off x="192786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386</xdr:row>
      <xdr:rowOff>0</xdr:rowOff>
    </xdr:from>
    <xdr:to>
      <xdr:col>11</xdr:col>
      <xdr:colOff>83820</xdr:colOff>
      <xdr:row>386</xdr:row>
      <xdr:rowOff>114300</xdr:rowOff>
    </xdr:to>
    <xdr:sp macro="" textlink="">
      <xdr:nvSpPr>
        <xdr:cNvPr id="2869" name="Arrow: Down 2868">
          <a:extLst>
            <a:ext uri="{FF2B5EF4-FFF2-40B4-BE49-F238E27FC236}">
              <a16:creationId xmlns:a16="http://schemas.microsoft.com/office/drawing/2014/main" id="{2D8842C3-24F7-4B36-88A7-167ED251D84C}"/>
            </a:ext>
          </a:extLst>
        </xdr:cNvPr>
        <xdr:cNvSpPr/>
      </xdr:nvSpPr>
      <xdr:spPr>
        <a:xfrm>
          <a:off x="369570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386</xdr:row>
      <xdr:rowOff>0</xdr:rowOff>
    </xdr:from>
    <xdr:to>
      <xdr:col>60</xdr:col>
      <xdr:colOff>83820</xdr:colOff>
      <xdr:row>386</xdr:row>
      <xdr:rowOff>114300</xdr:rowOff>
    </xdr:to>
    <xdr:sp macro="" textlink="">
      <xdr:nvSpPr>
        <xdr:cNvPr id="2870" name="Arrow: Down 2869">
          <a:extLst>
            <a:ext uri="{FF2B5EF4-FFF2-40B4-BE49-F238E27FC236}">
              <a16:creationId xmlns:a16="http://schemas.microsoft.com/office/drawing/2014/main" id="{9FD15354-230A-47B3-82E0-CD53377E3965}"/>
            </a:ext>
          </a:extLst>
        </xdr:cNvPr>
        <xdr:cNvSpPr/>
      </xdr:nvSpPr>
      <xdr:spPr>
        <a:xfrm>
          <a:off x="1901952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387</xdr:row>
      <xdr:rowOff>0</xdr:rowOff>
    </xdr:from>
    <xdr:to>
      <xdr:col>45</xdr:col>
      <xdr:colOff>83820</xdr:colOff>
      <xdr:row>387</xdr:row>
      <xdr:rowOff>114300</xdr:rowOff>
    </xdr:to>
    <xdr:sp macro="" textlink="">
      <xdr:nvSpPr>
        <xdr:cNvPr id="2891" name="Arrow: Down 2890">
          <a:extLst>
            <a:ext uri="{FF2B5EF4-FFF2-40B4-BE49-F238E27FC236}">
              <a16:creationId xmlns:a16="http://schemas.microsoft.com/office/drawing/2014/main" id="{1208B61B-2CEE-4B8B-8C76-ED9D14BB0AE9}"/>
            </a:ext>
          </a:extLst>
        </xdr:cNvPr>
        <xdr:cNvSpPr/>
      </xdr:nvSpPr>
      <xdr:spPr>
        <a:xfrm rot="10800000">
          <a:off x="1340358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387</xdr:row>
      <xdr:rowOff>0</xdr:rowOff>
    </xdr:from>
    <xdr:to>
      <xdr:col>71</xdr:col>
      <xdr:colOff>83820</xdr:colOff>
      <xdr:row>387</xdr:row>
      <xdr:rowOff>114300</xdr:rowOff>
    </xdr:to>
    <xdr:sp macro="" textlink="">
      <xdr:nvSpPr>
        <xdr:cNvPr id="2892" name="Arrow: Down 2891">
          <a:extLst>
            <a:ext uri="{FF2B5EF4-FFF2-40B4-BE49-F238E27FC236}">
              <a16:creationId xmlns:a16="http://schemas.microsoft.com/office/drawing/2014/main" id="{FB99CC95-1945-48DC-952E-E84678B237A0}"/>
            </a:ext>
          </a:extLst>
        </xdr:cNvPr>
        <xdr:cNvSpPr/>
      </xdr:nvSpPr>
      <xdr:spPr>
        <a:xfrm>
          <a:off x="2145030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387</xdr:row>
      <xdr:rowOff>0</xdr:rowOff>
    </xdr:from>
    <xdr:to>
      <xdr:col>39</xdr:col>
      <xdr:colOff>83820</xdr:colOff>
      <xdr:row>387</xdr:row>
      <xdr:rowOff>114300</xdr:rowOff>
    </xdr:to>
    <xdr:sp macro="" textlink="">
      <xdr:nvSpPr>
        <xdr:cNvPr id="2893" name="Arrow: Down 2892">
          <a:extLst>
            <a:ext uri="{FF2B5EF4-FFF2-40B4-BE49-F238E27FC236}">
              <a16:creationId xmlns:a16="http://schemas.microsoft.com/office/drawing/2014/main" id="{01C8FC78-0EDB-4426-AD92-5AC412314D31}"/>
            </a:ext>
          </a:extLst>
        </xdr:cNvPr>
        <xdr:cNvSpPr/>
      </xdr:nvSpPr>
      <xdr:spPr>
        <a:xfrm>
          <a:off x="11544300" y="7069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387</xdr:row>
      <xdr:rowOff>0</xdr:rowOff>
    </xdr:from>
    <xdr:to>
      <xdr:col>11</xdr:col>
      <xdr:colOff>83820</xdr:colOff>
      <xdr:row>387</xdr:row>
      <xdr:rowOff>114300</xdr:rowOff>
    </xdr:to>
    <xdr:sp macro="" textlink="">
      <xdr:nvSpPr>
        <xdr:cNvPr id="2915" name="Arrow: Down 2914">
          <a:extLst>
            <a:ext uri="{FF2B5EF4-FFF2-40B4-BE49-F238E27FC236}">
              <a16:creationId xmlns:a16="http://schemas.microsoft.com/office/drawing/2014/main" id="{16B4B284-7F90-4E49-B475-942D6EB4C384}"/>
            </a:ext>
          </a:extLst>
        </xdr:cNvPr>
        <xdr:cNvSpPr/>
      </xdr:nvSpPr>
      <xdr:spPr>
        <a:xfrm rot="10800000">
          <a:off x="369570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387</xdr:row>
      <xdr:rowOff>0</xdr:rowOff>
    </xdr:from>
    <xdr:to>
      <xdr:col>5</xdr:col>
      <xdr:colOff>83820</xdr:colOff>
      <xdr:row>387</xdr:row>
      <xdr:rowOff>114300</xdr:rowOff>
    </xdr:to>
    <xdr:sp macro="" textlink="">
      <xdr:nvSpPr>
        <xdr:cNvPr id="2916" name="Arrow: Down 2915">
          <a:extLst>
            <a:ext uri="{FF2B5EF4-FFF2-40B4-BE49-F238E27FC236}">
              <a16:creationId xmlns:a16="http://schemas.microsoft.com/office/drawing/2014/main" id="{75BB86FD-AA18-4018-86F4-494607D51385}"/>
            </a:ext>
          </a:extLst>
        </xdr:cNvPr>
        <xdr:cNvSpPr/>
      </xdr:nvSpPr>
      <xdr:spPr>
        <a:xfrm rot="10800000">
          <a:off x="192786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387</xdr:row>
      <xdr:rowOff>0</xdr:rowOff>
    </xdr:from>
    <xdr:to>
      <xdr:col>24</xdr:col>
      <xdr:colOff>83820</xdr:colOff>
      <xdr:row>387</xdr:row>
      <xdr:rowOff>114300</xdr:rowOff>
    </xdr:to>
    <xdr:sp macro="" textlink="">
      <xdr:nvSpPr>
        <xdr:cNvPr id="2917" name="Arrow: Down 2916">
          <a:extLst>
            <a:ext uri="{FF2B5EF4-FFF2-40B4-BE49-F238E27FC236}">
              <a16:creationId xmlns:a16="http://schemas.microsoft.com/office/drawing/2014/main" id="{F1DB36B8-BCA7-40C8-83E4-E7616129D479}"/>
            </a:ext>
          </a:extLst>
        </xdr:cNvPr>
        <xdr:cNvSpPr/>
      </xdr:nvSpPr>
      <xdr:spPr>
        <a:xfrm rot="10800000">
          <a:off x="833628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388</xdr:row>
      <xdr:rowOff>0</xdr:rowOff>
    </xdr:from>
    <xdr:to>
      <xdr:col>45</xdr:col>
      <xdr:colOff>83820</xdr:colOff>
      <xdr:row>388</xdr:row>
      <xdr:rowOff>114300</xdr:rowOff>
    </xdr:to>
    <xdr:sp macro="" textlink="">
      <xdr:nvSpPr>
        <xdr:cNvPr id="2921" name="Arrow: Down 2920">
          <a:extLst>
            <a:ext uri="{FF2B5EF4-FFF2-40B4-BE49-F238E27FC236}">
              <a16:creationId xmlns:a16="http://schemas.microsoft.com/office/drawing/2014/main" id="{6679C619-2772-4B20-8193-BF269FAE9292}"/>
            </a:ext>
          </a:extLst>
        </xdr:cNvPr>
        <xdr:cNvSpPr/>
      </xdr:nvSpPr>
      <xdr:spPr>
        <a:xfrm rot="10800000">
          <a:off x="13403580" y="7087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388</xdr:row>
      <xdr:rowOff>0</xdr:rowOff>
    </xdr:from>
    <xdr:to>
      <xdr:col>71</xdr:col>
      <xdr:colOff>83820</xdr:colOff>
      <xdr:row>388</xdr:row>
      <xdr:rowOff>114300</xdr:rowOff>
    </xdr:to>
    <xdr:sp macro="" textlink="">
      <xdr:nvSpPr>
        <xdr:cNvPr id="2924" name="Arrow: Down 2923">
          <a:extLst>
            <a:ext uri="{FF2B5EF4-FFF2-40B4-BE49-F238E27FC236}">
              <a16:creationId xmlns:a16="http://schemas.microsoft.com/office/drawing/2014/main" id="{E57A5186-493A-4534-8256-19B91ADECFED}"/>
            </a:ext>
          </a:extLst>
        </xdr:cNvPr>
        <xdr:cNvSpPr/>
      </xdr:nvSpPr>
      <xdr:spPr>
        <a:xfrm>
          <a:off x="21450300" y="7087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388</xdr:row>
      <xdr:rowOff>0</xdr:rowOff>
    </xdr:from>
    <xdr:to>
      <xdr:col>5</xdr:col>
      <xdr:colOff>83820</xdr:colOff>
      <xdr:row>388</xdr:row>
      <xdr:rowOff>114300</xdr:rowOff>
    </xdr:to>
    <xdr:sp macro="" textlink="">
      <xdr:nvSpPr>
        <xdr:cNvPr id="2940" name="Arrow: Down 2939">
          <a:extLst>
            <a:ext uri="{FF2B5EF4-FFF2-40B4-BE49-F238E27FC236}">
              <a16:creationId xmlns:a16="http://schemas.microsoft.com/office/drawing/2014/main" id="{BF000C83-C09D-49FB-8515-D39373C4BB16}"/>
            </a:ext>
          </a:extLst>
        </xdr:cNvPr>
        <xdr:cNvSpPr/>
      </xdr:nvSpPr>
      <xdr:spPr>
        <a:xfrm>
          <a:off x="192786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388</xdr:row>
      <xdr:rowOff>0</xdr:rowOff>
    </xdr:from>
    <xdr:to>
      <xdr:col>11</xdr:col>
      <xdr:colOff>83820</xdr:colOff>
      <xdr:row>388</xdr:row>
      <xdr:rowOff>114300</xdr:rowOff>
    </xdr:to>
    <xdr:sp macro="" textlink="">
      <xdr:nvSpPr>
        <xdr:cNvPr id="2941" name="Arrow: Down 2940">
          <a:extLst>
            <a:ext uri="{FF2B5EF4-FFF2-40B4-BE49-F238E27FC236}">
              <a16:creationId xmlns:a16="http://schemas.microsoft.com/office/drawing/2014/main" id="{3C7965CA-C5CD-40A5-BDA9-2BC9A456A1D5}"/>
            </a:ext>
          </a:extLst>
        </xdr:cNvPr>
        <xdr:cNvSpPr/>
      </xdr:nvSpPr>
      <xdr:spPr>
        <a:xfrm>
          <a:off x="36957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388</xdr:row>
      <xdr:rowOff>0</xdr:rowOff>
    </xdr:from>
    <xdr:to>
      <xdr:col>24</xdr:col>
      <xdr:colOff>83820</xdr:colOff>
      <xdr:row>388</xdr:row>
      <xdr:rowOff>114300</xdr:rowOff>
    </xdr:to>
    <xdr:sp macro="" textlink="">
      <xdr:nvSpPr>
        <xdr:cNvPr id="2943" name="Arrow: Down 2942">
          <a:extLst>
            <a:ext uri="{FF2B5EF4-FFF2-40B4-BE49-F238E27FC236}">
              <a16:creationId xmlns:a16="http://schemas.microsoft.com/office/drawing/2014/main" id="{02AA16FF-975F-48EE-B38D-44ADC41A3778}"/>
            </a:ext>
          </a:extLst>
        </xdr:cNvPr>
        <xdr:cNvSpPr/>
      </xdr:nvSpPr>
      <xdr:spPr>
        <a:xfrm>
          <a:off x="833628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387</xdr:row>
      <xdr:rowOff>0</xdr:rowOff>
    </xdr:from>
    <xdr:to>
      <xdr:col>60</xdr:col>
      <xdr:colOff>83820</xdr:colOff>
      <xdr:row>387</xdr:row>
      <xdr:rowOff>114300</xdr:rowOff>
    </xdr:to>
    <xdr:sp macro="" textlink="">
      <xdr:nvSpPr>
        <xdr:cNvPr id="2945" name="Arrow: Down 2944">
          <a:extLst>
            <a:ext uri="{FF2B5EF4-FFF2-40B4-BE49-F238E27FC236}">
              <a16:creationId xmlns:a16="http://schemas.microsoft.com/office/drawing/2014/main" id="{596A2607-BC26-4F7C-8E75-D68F0D766654}"/>
            </a:ext>
          </a:extLst>
        </xdr:cNvPr>
        <xdr:cNvSpPr/>
      </xdr:nvSpPr>
      <xdr:spPr>
        <a:xfrm rot="10800000">
          <a:off x="1901952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389</xdr:row>
      <xdr:rowOff>0</xdr:rowOff>
    </xdr:from>
    <xdr:to>
      <xdr:col>45</xdr:col>
      <xdr:colOff>83820</xdr:colOff>
      <xdr:row>389</xdr:row>
      <xdr:rowOff>114300</xdr:rowOff>
    </xdr:to>
    <xdr:sp macro="" textlink="">
      <xdr:nvSpPr>
        <xdr:cNvPr id="2950" name="Arrow: Down 2949">
          <a:extLst>
            <a:ext uri="{FF2B5EF4-FFF2-40B4-BE49-F238E27FC236}">
              <a16:creationId xmlns:a16="http://schemas.microsoft.com/office/drawing/2014/main" id="{02C5507B-5E18-49AE-9510-6CF6542ADFC4}"/>
            </a:ext>
          </a:extLst>
        </xdr:cNvPr>
        <xdr:cNvSpPr/>
      </xdr:nvSpPr>
      <xdr:spPr>
        <a:xfrm rot="10800000">
          <a:off x="1340358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389</xdr:row>
      <xdr:rowOff>0</xdr:rowOff>
    </xdr:from>
    <xdr:to>
      <xdr:col>71</xdr:col>
      <xdr:colOff>83820</xdr:colOff>
      <xdr:row>389</xdr:row>
      <xdr:rowOff>114300</xdr:rowOff>
    </xdr:to>
    <xdr:sp macro="" textlink="">
      <xdr:nvSpPr>
        <xdr:cNvPr id="2951" name="Arrow: Down 2950">
          <a:extLst>
            <a:ext uri="{FF2B5EF4-FFF2-40B4-BE49-F238E27FC236}">
              <a16:creationId xmlns:a16="http://schemas.microsoft.com/office/drawing/2014/main" id="{E797069E-669B-4E3C-9AE5-35B426362BD0}"/>
            </a:ext>
          </a:extLst>
        </xdr:cNvPr>
        <xdr:cNvSpPr/>
      </xdr:nvSpPr>
      <xdr:spPr>
        <a:xfrm>
          <a:off x="214503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389</xdr:row>
      <xdr:rowOff>0</xdr:rowOff>
    </xdr:from>
    <xdr:to>
      <xdr:col>5</xdr:col>
      <xdr:colOff>83820</xdr:colOff>
      <xdr:row>389</xdr:row>
      <xdr:rowOff>114300</xdr:rowOff>
    </xdr:to>
    <xdr:sp macro="" textlink="">
      <xdr:nvSpPr>
        <xdr:cNvPr id="2952" name="Arrow: Down 2951">
          <a:extLst>
            <a:ext uri="{FF2B5EF4-FFF2-40B4-BE49-F238E27FC236}">
              <a16:creationId xmlns:a16="http://schemas.microsoft.com/office/drawing/2014/main" id="{0FE3081C-D47F-4C77-B0D0-5C697F707AA8}"/>
            </a:ext>
          </a:extLst>
        </xdr:cNvPr>
        <xdr:cNvSpPr/>
      </xdr:nvSpPr>
      <xdr:spPr>
        <a:xfrm>
          <a:off x="192786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389</xdr:row>
      <xdr:rowOff>0</xdr:rowOff>
    </xdr:from>
    <xdr:to>
      <xdr:col>11</xdr:col>
      <xdr:colOff>83820</xdr:colOff>
      <xdr:row>389</xdr:row>
      <xdr:rowOff>114300</xdr:rowOff>
    </xdr:to>
    <xdr:sp macro="" textlink="">
      <xdr:nvSpPr>
        <xdr:cNvPr id="2953" name="Arrow: Down 2952">
          <a:extLst>
            <a:ext uri="{FF2B5EF4-FFF2-40B4-BE49-F238E27FC236}">
              <a16:creationId xmlns:a16="http://schemas.microsoft.com/office/drawing/2014/main" id="{6B0C11EE-5F45-4788-AE24-6730D8462F0C}"/>
            </a:ext>
          </a:extLst>
        </xdr:cNvPr>
        <xdr:cNvSpPr/>
      </xdr:nvSpPr>
      <xdr:spPr>
        <a:xfrm>
          <a:off x="36957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389</xdr:row>
      <xdr:rowOff>0</xdr:rowOff>
    </xdr:from>
    <xdr:to>
      <xdr:col>24</xdr:col>
      <xdr:colOff>83820</xdr:colOff>
      <xdr:row>389</xdr:row>
      <xdr:rowOff>114300</xdr:rowOff>
    </xdr:to>
    <xdr:sp macro="" textlink="">
      <xdr:nvSpPr>
        <xdr:cNvPr id="2957" name="Arrow: Down 2956">
          <a:extLst>
            <a:ext uri="{FF2B5EF4-FFF2-40B4-BE49-F238E27FC236}">
              <a16:creationId xmlns:a16="http://schemas.microsoft.com/office/drawing/2014/main" id="{15BAA277-2475-4EEC-B91B-87BCA3900183}"/>
            </a:ext>
          </a:extLst>
        </xdr:cNvPr>
        <xdr:cNvSpPr/>
      </xdr:nvSpPr>
      <xdr:spPr>
        <a:xfrm>
          <a:off x="833628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388</xdr:row>
      <xdr:rowOff>0</xdr:rowOff>
    </xdr:from>
    <xdr:to>
      <xdr:col>60</xdr:col>
      <xdr:colOff>83820</xdr:colOff>
      <xdr:row>388</xdr:row>
      <xdr:rowOff>114300</xdr:rowOff>
    </xdr:to>
    <xdr:sp macro="" textlink="">
      <xdr:nvSpPr>
        <xdr:cNvPr id="2970" name="Arrow: Down 2969">
          <a:extLst>
            <a:ext uri="{FF2B5EF4-FFF2-40B4-BE49-F238E27FC236}">
              <a16:creationId xmlns:a16="http://schemas.microsoft.com/office/drawing/2014/main" id="{CF5B7154-1FFD-4E39-82F4-05653BD6D6DF}"/>
            </a:ext>
          </a:extLst>
        </xdr:cNvPr>
        <xdr:cNvSpPr/>
      </xdr:nvSpPr>
      <xdr:spPr>
        <a:xfrm>
          <a:off x="1901952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389</xdr:row>
      <xdr:rowOff>0</xdr:rowOff>
    </xdr:from>
    <xdr:to>
      <xdr:col>60</xdr:col>
      <xdr:colOff>83820</xdr:colOff>
      <xdr:row>389</xdr:row>
      <xdr:rowOff>114300</xdr:rowOff>
    </xdr:to>
    <xdr:sp macro="" textlink="">
      <xdr:nvSpPr>
        <xdr:cNvPr id="2971" name="Arrow: Down 2970">
          <a:extLst>
            <a:ext uri="{FF2B5EF4-FFF2-40B4-BE49-F238E27FC236}">
              <a16:creationId xmlns:a16="http://schemas.microsoft.com/office/drawing/2014/main" id="{08DC4055-6869-4F8B-A39E-6D295D4951FF}"/>
            </a:ext>
          </a:extLst>
        </xdr:cNvPr>
        <xdr:cNvSpPr/>
      </xdr:nvSpPr>
      <xdr:spPr>
        <a:xfrm>
          <a:off x="19019520" y="7123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390</xdr:row>
      <xdr:rowOff>0</xdr:rowOff>
    </xdr:from>
    <xdr:to>
      <xdr:col>45</xdr:col>
      <xdr:colOff>83820</xdr:colOff>
      <xdr:row>390</xdr:row>
      <xdr:rowOff>114300</xdr:rowOff>
    </xdr:to>
    <xdr:sp macro="" textlink="">
      <xdr:nvSpPr>
        <xdr:cNvPr id="2803" name="Arrow: Down 2802">
          <a:extLst>
            <a:ext uri="{FF2B5EF4-FFF2-40B4-BE49-F238E27FC236}">
              <a16:creationId xmlns:a16="http://schemas.microsoft.com/office/drawing/2014/main" id="{E97EF804-DC61-42C7-8771-D2EC87D39F7E}"/>
            </a:ext>
          </a:extLst>
        </xdr:cNvPr>
        <xdr:cNvSpPr/>
      </xdr:nvSpPr>
      <xdr:spPr>
        <a:xfrm rot="10800000">
          <a:off x="13403580" y="7123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390</xdr:row>
      <xdr:rowOff>0</xdr:rowOff>
    </xdr:from>
    <xdr:to>
      <xdr:col>71</xdr:col>
      <xdr:colOff>83820</xdr:colOff>
      <xdr:row>390</xdr:row>
      <xdr:rowOff>114300</xdr:rowOff>
    </xdr:to>
    <xdr:sp macro="" textlink="">
      <xdr:nvSpPr>
        <xdr:cNvPr id="2805" name="Arrow: Down 2804">
          <a:extLst>
            <a:ext uri="{FF2B5EF4-FFF2-40B4-BE49-F238E27FC236}">
              <a16:creationId xmlns:a16="http://schemas.microsoft.com/office/drawing/2014/main" id="{265AC9DB-8F81-4B87-A431-707BF62DFD06}"/>
            </a:ext>
          </a:extLst>
        </xdr:cNvPr>
        <xdr:cNvSpPr/>
      </xdr:nvSpPr>
      <xdr:spPr>
        <a:xfrm>
          <a:off x="21450300" y="7123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389</xdr:row>
      <xdr:rowOff>0</xdr:rowOff>
    </xdr:from>
    <xdr:to>
      <xdr:col>39</xdr:col>
      <xdr:colOff>83820</xdr:colOff>
      <xdr:row>389</xdr:row>
      <xdr:rowOff>114300</xdr:rowOff>
    </xdr:to>
    <xdr:sp macro="" textlink="">
      <xdr:nvSpPr>
        <xdr:cNvPr id="2839" name="Arrow: Down 2838">
          <a:extLst>
            <a:ext uri="{FF2B5EF4-FFF2-40B4-BE49-F238E27FC236}">
              <a16:creationId xmlns:a16="http://schemas.microsoft.com/office/drawing/2014/main" id="{2DBFBFB6-470C-4852-87EB-38608AA38706}"/>
            </a:ext>
          </a:extLst>
        </xdr:cNvPr>
        <xdr:cNvSpPr/>
      </xdr:nvSpPr>
      <xdr:spPr>
        <a:xfrm>
          <a:off x="11544300" y="7123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390</xdr:row>
      <xdr:rowOff>0</xdr:rowOff>
    </xdr:from>
    <xdr:to>
      <xdr:col>39</xdr:col>
      <xdr:colOff>83820</xdr:colOff>
      <xdr:row>390</xdr:row>
      <xdr:rowOff>114300</xdr:rowOff>
    </xdr:to>
    <xdr:sp macro="" textlink="">
      <xdr:nvSpPr>
        <xdr:cNvPr id="2847" name="Arrow: Down 2846">
          <a:extLst>
            <a:ext uri="{FF2B5EF4-FFF2-40B4-BE49-F238E27FC236}">
              <a16:creationId xmlns:a16="http://schemas.microsoft.com/office/drawing/2014/main" id="{35F268C5-FFB4-4FA9-B873-91E5A24B99A1}"/>
            </a:ext>
          </a:extLst>
        </xdr:cNvPr>
        <xdr:cNvSpPr/>
      </xdr:nvSpPr>
      <xdr:spPr>
        <a:xfrm rot="10800000">
          <a:off x="11544300" y="7142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388</xdr:row>
      <xdr:rowOff>0</xdr:rowOff>
    </xdr:from>
    <xdr:to>
      <xdr:col>39</xdr:col>
      <xdr:colOff>83820</xdr:colOff>
      <xdr:row>388</xdr:row>
      <xdr:rowOff>114300</xdr:rowOff>
    </xdr:to>
    <xdr:sp macro="" textlink="">
      <xdr:nvSpPr>
        <xdr:cNvPr id="2850" name="Arrow: Down 2849">
          <a:extLst>
            <a:ext uri="{FF2B5EF4-FFF2-40B4-BE49-F238E27FC236}">
              <a16:creationId xmlns:a16="http://schemas.microsoft.com/office/drawing/2014/main" id="{695BFC6C-2333-480A-A3A2-6E05A50256EA}"/>
            </a:ext>
          </a:extLst>
        </xdr:cNvPr>
        <xdr:cNvSpPr/>
      </xdr:nvSpPr>
      <xdr:spPr>
        <a:xfrm rot="10800000">
          <a:off x="115443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390</xdr:row>
      <xdr:rowOff>0</xdr:rowOff>
    </xdr:from>
    <xdr:to>
      <xdr:col>5</xdr:col>
      <xdr:colOff>83820</xdr:colOff>
      <xdr:row>390</xdr:row>
      <xdr:rowOff>114300</xdr:rowOff>
    </xdr:to>
    <xdr:sp macro="" textlink="">
      <xdr:nvSpPr>
        <xdr:cNvPr id="2858" name="Arrow: Down 2857">
          <a:extLst>
            <a:ext uri="{FF2B5EF4-FFF2-40B4-BE49-F238E27FC236}">
              <a16:creationId xmlns:a16="http://schemas.microsoft.com/office/drawing/2014/main" id="{A99EE9F4-3CAB-47C4-9AD0-6E5C3FADC91C}"/>
            </a:ext>
          </a:extLst>
        </xdr:cNvPr>
        <xdr:cNvSpPr/>
      </xdr:nvSpPr>
      <xdr:spPr>
        <a:xfrm rot="10800000">
          <a:off x="192786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390</xdr:row>
      <xdr:rowOff>0</xdr:rowOff>
    </xdr:from>
    <xdr:to>
      <xdr:col>11</xdr:col>
      <xdr:colOff>83820</xdr:colOff>
      <xdr:row>390</xdr:row>
      <xdr:rowOff>114300</xdr:rowOff>
    </xdr:to>
    <xdr:sp macro="" textlink="">
      <xdr:nvSpPr>
        <xdr:cNvPr id="2860" name="Arrow: Down 2859">
          <a:extLst>
            <a:ext uri="{FF2B5EF4-FFF2-40B4-BE49-F238E27FC236}">
              <a16:creationId xmlns:a16="http://schemas.microsoft.com/office/drawing/2014/main" id="{4533118A-DCD1-4D25-915E-BF60DED91F37}"/>
            </a:ext>
          </a:extLst>
        </xdr:cNvPr>
        <xdr:cNvSpPr/>
      </xdr:nvSpPr>
      <xdr:spPr>
        <a:xfrm rot="10800000">
          <a:off x="369570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390</xdr:row>
      <xdr:rowOff>0</xdr:rowOff>
    </xdr:from>
    <xdr:to>
      <xdr:col>24</xdr:col>
      <xdr:colOff>83820</xdr:colOff>
      <xdr:row>390</xdr:row>
      <xdr:rowOff>114300</xdr:rowOff>
    </xdr:to>
    <xdr:sp macro="" textlink="">
      <xdr:nvSpPr>
        <xdr:cNvPr id="2863" name="Arrow: Down 2862">
          <a:extLst>
            <a:ext uri="{FF2B5EF4-FFF2-40B4-BE49-F238E27FC236}">
              <a16:creationId xmlns:a16="http://schemas.microsoft.com/office/drawing/2014/main" id="{F4042FDE-3412-4826-99B9-11DB70C618D9}"/>
            </a:ext>
          </a:extLst>
        </xdr:cNvPr>
        <xdr:cNvSpPr/>
      </xdr:nvSpPr>
      <xdr:spPr>
        <a:xfrm rot="10800000">
          <a:off x="833628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390</xdr:row>
      <xdr:rowOff>0</xdr:rowOff>
    </xdr:from>
    <xdr:to>
      <xdr:col>60</xdr:col>
      <xdr:colOff>83820</xdr:colOff>
      <xdr:row>390</xdr:row>
      <xdr:rowOff>114300</xdr:rowOff>
    </xdr:to>
    <xdr:sp macro="" textlink="">
      <xdr:nvSpPr>
        <xdr:cNvPr id="2881" name="Arrow: Down 2880">
          <a:extLst>
            <a:ext uri="{FF2B5EF4-FFF2-40B4-BE49-F238E27FC236}">
              <a16:creationId xmlns:a16="http://schemas.microsoft.com/office/drawing/2014/main" id="{24731850-5856-40BF-A2CA-6B93468FD518}"/>
            </a:ext>
          </a:extLst>
        </xdr:cNvPr>
        <xdr:cNvSpPr/>
      </xdr:nvSpPr>
      <xdr:spPr>
        <a:xfrm rot="10800000">
          <a:off x="1901952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391</xdr:row>
      <xdr:rowOff>0</xdr:rowOff>
    </xdr:from>
    <xdr:to>
      <xdr:col>45</xdr:col>
      <xdr:colOff>83820</xdr:colOff>
      <xdr:row>391</xdr:row>
      <xdr:rowOff>114300</xdr:rowOff>
    </xdr:to>
    <xdr:sp macro="" textlink="">
      <xdr:nvSpPr>
        <xdr:cNvPr id="2903" name="Arrow: Down 2902">
          <a:extLst>
            <a:ext uri="{FF2B5EF4-FFF2-40B4-BE49-F238E27FC236}">
              <a16:creationId xmlns:a16="http://schemas.microsoft.com/office/drawing/2014/main" id="{5863D671-5CDB-4642-86A0-A1761595218F}"/>
            </a:ext>
          </a:extLst>
        </xdr:cNvPr>
        <xdr:cNvSpPr/>
      </xdr:nvSpPr>
      <xdr:spPr>
        <a:xfrm rot="10800000">
          <a:off x="13403580" y="7142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391</xdr:row>
      <xdr:rowOff>0</xdr:rowOff>
    </xdr:from>
    <xdr:to>
      <xdr:col>71</xdr:col>
      <xdr:colOff>83820</xdr:colOff>
      <xdr:row>391</xdr:row>
      <xdr:rowOff>114300</xdr:rowOff>
    </xdr:to>
    <xdr:sp macro="" textlink="">
      <xdr:nvSpPr>
        <xdr:cNvPr id="2908" name="Arrow: Down 2907">
          <a:extLst>
            <a:ext uri="{FF2B5EF4-FFF2-40B4-BE49-F238E27FC236}">
              <a16:creationId xmlns:a16="http://schemas.microsoft.com/office/drawing/2014/main" id="{2964DD3E-2276-49A3-99B3-2BE7C533B4B6}"/>
            </a:ext>
          </a:extLst>
        </xdr:cNvPr>
        <xdr:cNvSpPr/>
      </xdr:nvSpPr>
      <xdr:spPr>
        <a:xfrm>
          <a:off x="21450300" y="7142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391</xdr:row>
      <xdr:rowOff>0</xdr:rowOff>
    </xdr:from>
    <xdr:to>
      <xdr:col>5</xdr:col>
      <xdr:colOff>83820</xdr:colOff>
      <xdr:row>391</xdr:row>
      <xdr:rowOff>114300</xdr:rowOff>
    </xdr:to>
    <xdr:sp macro="" textlink="">
      <xdr:nvSpPr>
        <xdr:cNvPr id="2929" name="Arrow: Down 2928">
          <a:extLst>
            <a:ext uri="{FF2B5EF4-FFF2-40B4-BE49-F238E27FC236}">
              <a16:creationId xmlns:a16="http://schemas.microsoft.com/office/drawing/2014/main" id="{174CE4F0-0638-4304-9D44-526C78B6422B}"/>
            </a:ext>
          </a:extLst>
        </xdr:cNvPr>
        <xdr:cNvSpPr/>
      </xdr:nvSpPr>
      <xdr:spPr>
        <a:xfrm rot="10800000">
          <a:off x="192786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391</xdr:row>
      <xdr:rowOff>0</xdr:rowOff>
    </xdr:from>
    <xdr:to>
      <xdr:col>11</xdr:col>
      <xdr:colOff>83820</xdr:colOff>
      <xdr:row>391</xdr:row>
      <xdr:rowOff>114300</xdr:rowOff>
    </xdr:to>
    <xdr:sp macro="" textlink="">
      <xdr:nvSpPr>
        <xdr:cNvPr id="2935" name="Arrow: Down 2934">
          <a:extLst>
            <a:ext uri="{FF2B5EF4-FFF2-40B4-BE49-F238E27FC236}">
              <a16:creationId xmlns:a16="http://schemas.microsoft.com/office/drawing/2014/main" id="{827F0A01-AF6E-4D14-B435-82A38E962B2F}"/>
            </a:ext>
          </a:extLst>
        </xdr:cNvPr>
        <xdr:cNvSpPr/>
      </xdr:nvSpPr>
      <xdr:spPr>
        <a:xfrm rot="10800000">
          <a:off x="369570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391</xdr:row>
      <xdr:rowOff>0</xdr:rowOff>
    </xdr:from>
    <xdr:to>
      <xdr:col>24</xdr:col>
      <xdr:colOff>83820</xdr:colOff>
      <xdr:row>391</xdr:row>
      <xdr:rowOff>114300</xdr:rowOff>
    </xdr:to>
    <xdr:sp macro="" textlink="">
      <xdr:nvSpPr>
        <xdr:cNvPr id="2936" name="Arrow: Down 2935">
          <a:extLst>
            <a:ext uri="{FF2B5EF4-FFF2-40B4-BE49-F238E27FC236}">
              <a16:creationId xmlns:a16="http://schemas.microsoft.com/office/drawing/2014/main" id="{0BF0F6D7-879B-49B9-BED6-0D310B3D9A29}"/>
            </a:ext>
          </a:extLst>
        </xdr:cNvPr>
        <xdr:cNvSpPr/>
      </xdr:nvSpPr>
      <xdr:spPr>
        <a:xfrm rot="10800000">
          <a:off x="833628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391</xdr:row>
      <xdr:rowOff>0</xdr:rowOff>
    </xdr:from>
    <xdr:to>
      <xdr:col>60</xdr:col>
      <xdr:colOff>83820</xdr:colOff>
      <xdr:row>391</xdr:row>
      <xdr:rowOff>114300</xdr:rowOff>
    </xdr:to>
    <xdr:sp macro="" textlink="">
      <xdr:nvSpPr>
        <xdr:cNvPr id="2942" name="Arrow: Down 2941">
          <a:extLst>
            <a:ext uri="{FF2B5EF4-FFF2-40B4-BE49-F238E27FC236}">
              <a16:creationId xmlns:a16="http://schemas.microsoft.com/office/drawing/2014/main" id="{3ED6F99C-D1BE-4383-AC8D-15C369BAA831}"/>
            </a:ext>
          </a:extLst>
        </xdr:cNvPr>
        <xdr:cNvSpPr/>
      </xdr:nvSpPr>
      <xdr:spPr>
        <a:xfrm rot="10800000">
          <a:off x="1901952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391</xdr:row>
      <xdr:rowOff>0</xdr:rowOff>
    </xdr:from>
    <xdr:to>
      <xdr:col>39</xdr:col>
      <xdr:colOff>83820</xdr:colOff>
      <xdr:row>391</xdr:row>
      <xdr:rowOff>114300</xdr:rowOff>
    </xdr:to>
    <xdr:sp macro="" textlink="">
      <xdr:nvSpPr>
        <xdr:cNvPr id="2949" name="Arrow: Down 2948">
          <a:extLst>
            <a:ext uri="{FF2B5EF4-FFF2-40B4-BE49-F238E27FC236}">
              <a16:creationId xmlns:a16="http://schemas.microsoft.com/office/drawing/2014/main" id="{46168AC0-825D-4134-B1D6-3E9CD5960C49}"/>
            </a:ext>
          </a:extLst>
        </xdr:cNvPr>
        <xdr:cNvSpPr/>
      </xdr:nvSpPr>
      <xdr:spPr>
        <a:xfrm>
          <a:off x="1154430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392</xdr:row>
      <xdr:rowOff>0</xdr:rowOff>
    </xdr:from>
    <xdr:to>
      <xdr:col>45</xdr:col>
      <xdr:colOff>83820</xdr:colOff>
      <xdr:row>392</xdr:row>
      <xdr:rowOff>114300</xdr:rowOff>
    </xdr:to>
    <xdr:sp macro="" textlink="">
      <xdr:nvSpPr>
        <xdr:cNvPr id="2964" name="Arrow: Down 2963">
          <a:extLst>
            <a:ext uri="{FF2B5EF4-FFF2-40B4-BE49-F238E27FC236}">
              <a16:creationId xmlns:a16="http://schemas.microsoft.com/office/drawing/2014/main" id="{325B479E-059C-4C19-A252-E6BCD5697A22}"/>
            </a:ext>
          </a:extLst>
        </xdr:cNvPr>
        <xdr:cNvSpPr/>
      </xdr:nvSpPr>
      <xdr:spPr>
        <a:xfrm rot="10800000">
          <a:off x="13403580" y="7160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392</xdr:row>
      <xdr:rowOff>0</xdr:rowOff>
    </xdr:from>
    <xdr:to>
      <xdr:col>71</xdr:col>
      <xdr:colOff>83820</xdr:colOff>
      <xdr:row>392</xdr:row>
      <xdr:rowOff>114300</xdr:rowOff>
    </xdr:to>
    <xdr:sp macro="" textlink="">
      <xdr:nvSpPr>
        <xdr:cNvPr id="2968" name="Arrow: Down 2967">
          <a:extLst>
            <a:ext uri="{FF2B5EF4-FFF2-40B4-BE49-F238E27FC236}">
              <a16:creationId xmlns:a16="http://schemas.microsoft.com/office/drawing/2014/main" id="{4D869323-FB6F-4642-85DC-517FC3684FA1}"/>
            </a:ext>
          </a:extLst>
        </xdr:cNvPr>
        <xdr:cNvSpPr/>
      </xdr:nvSpPr>
      <xdr:spPr>
        <a:xfrm>
          <a:off x="21450300" y="7160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392</xdr:row>
      <xdr:rowOff>0</xdr:rowOff>
    </xdr:from>
    <xdr:to>
      <xdr:col>5</xdr:col>
      <xdr:colOff>83820</xdr:colOff>
      <xdr:row>392</xdr:row>
      <xdr:rowOff>114300</xdr:rowOff>
    </xdr:to>
    <xdr:sp macro="" textlink="">
      <xdr:nvSpPr>
        <xdr:cNvPr id="2972" name="Arrow: Down 2971">
          <a:extLst>
            <a:ext uri="{FF2B5EF4-FFF2-40B4-BE49-F238E27FC236}">
              <a16:creationId xmlns:a16="http://schemas.microsoft.com/office/drawing/2014/main" id="{3EB2288C-C6D0-4D16-BDAA-7F7700749D3A}"/>
            </a:ext>
          </a:extLst>
        </xdr:cNvPr>
        <xdr:cNvSpPr/>
      </xdr:nvSpPr>
      <xdr:spPr>
        <a:xfrm rot="10800000">
          <a:off x="192786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392</xdr:row>
      <xdr:rowOff>0</xdr:rowOff>
    </xdr:from>
    <xdr:to>
      <xdr:col>11</xdr:col>
      <xdr:colOff>83820</xdr:colOff>
      <xdr:row>392</xdr:row>
      <xdr:rowOff>114300</xdr:rowOff>
    </xdr:to>
    <xdr:sp macro="" textlink="">
      <xdr:nvSpPr>
        <xdr:cNvPr id="2973" name="Arrow: Down 2972">
          <a:extLst>
            <a:ext uri="{FF2B5EF4-FFF2-40B4-BE49-F238E27FC236}">
              <a16:creationId xmlns:a16="http://schemas.microsoft.com/office/drawing/2014/main" id="{44214D23-002B-4DBF-BA76-60750950265D}"/>
            </a:ext>
          </a:extLst>
        </xdr:cNvPr>
        <xdr:cNvSpPr/>
      </xdr:nvSpPr>
      <xdr:spPr>
        <a:xfrm rot="10800000">
          <a:off x="369570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392</xdr:row>
      <xdr:rowOff>0</xdr:rowOff>
    </xdr:from>
    <xdr:to>
      <xdr:col>60</xdr:col>
      <xdr:colOff>83820</xdr:colOff>
      <xdr:row>392</xdr:row>
      <xdr:rowOff>114300</xdr:rowOff>
    </xdr:to>
    <xdr:sp macro="" textlink="">
      <xdr:nvSpPr>
        <xdr:cNvPr id="2975" name="Arrow: Down 2974">
          <a:extLst>
            <a:ext uri="{FF2B5EF4-FFF2-40B4-BE49-F238E27FC236}">
              <a16:creationId xmlns:a16="http://schemas.microsoft.com/office/drawing/2014/main" id="{8C853907-C4BB-4861-9B8E-DBFEE8E18534}"/>
            </a:ext>
          </a:extLst>
        </xdr:cNvPr>
        <xdr:cNvSpPr/>
      </xdr:nvSpPr>
      <xdr:spPr>
        <a:xfrm rot="10800000">
          <a:off x="1901952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392</xdr:row>
      <xdr:rowOff>0</xdr:rowOff>
    </xdr:from>
    <xdr:to>
      <xdr:col>24</xdr:col>
      <xdr:colOff>83820</xdr:colOff>
      <xdr:row>392</xdr:row>
      <xdr:rowOff>114300</xdr:rowOff>
    </xdr:to>
    <xdr:sp macro="" textlink="">
      <xdr:nvSpPr>
        <xdr:cNvPr id="2977" name="Arrow: Down 2976">
          <a:extLst>
            <a:ext uri="{FF2B5EF4-FFF2-40B4-BE49-F238E27FC236}">
              <a16:creationId xmlns:a16="http://schemas.microsoft.com/office/drawing/2014/main" id="{847AA998-84AE-4123-B2CE-97BAE1049C75}"/>
            </a:ext>
          </a:extLst>
        </xdr:cNvPr>
        <xdr:cNvSpPr/>
      </xdr:nvSpPr>
      <xdr:spPr>
        <a:xfrm>
          <a:off x="833628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392</xdr:row>
      <xdr:rowOff>0</xdr:rowOff>
    </xdr:from>
    <xdr:to>
      <xdr:col>39</xdr:col>
      <xdr:colOff>83820</xdr:colOff>
      <xdr:row>392</xdr:row>
      <xdr:rowOff>114300</xdr:rowOff>
    </xdr:to>
    <xdr:sp macro="" textlink="">
      <xdr:nvSpPr>
        <xdr:cNvPr id="2979" name="Arrow: Down 2978">
          <a:extLst>
            <a:ext uri="{FF2B5EF4-FFF2-40B4-BE49-F238E27FC236}">
              <a16:creationId xmlns:a16="http://schemas.microsoft.com/office/drawing/2014/main" id="{7E0983DD-8252-4D8E-8BD1-46BB87F28894}"/>
            </a:ext>
          </a:extLst>
        </xdr:cNvPr>
        <xdr:cNvSpPr/>
      </xdr:nvSpPr>
      <xdr:spPr>
        <a:xfrm rot="10800000">
          <a:off x="1154430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393</xdr:row>
      <xdr:rowOff>0</xdr:rowOff>
    </xdr:from>
    <xdr:to>
      <xdr:col>45</xdr:col>
      <xdr:colOff>83820</xdr:colOff>
      <xdr:row>393</xdr:row>
      <xdr:rowOff>114300</xdr:rowOff>
    </xdr:to>
    <xdr:sp macro="" textlink="">
      <xdr:nvSpPr>
        <xdr:cNvPr id="2980" name="Arrow: Down 2979">
          <a:extLst>
            <a:ext uri="{FF2B5EF4-FFF2-40B4-BE49-F238E27FC236}">
              <a16:creationId xmlns:a16="http://schemas.microsoft.com/office/drawing/2014/main" id="{C1FEE1F8-582E-4A9C-AC5C-37210CB5E251}"/>
            </a:ext>
          </a:extLst>
        </xdr:cNvPr>
        <xdr:cNvSpPr/>
      </xdr:nvSpPr>
      <xdr:spPr>
        <a:xfrm rot="10800000">
          <a:off x="1340358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393</xdr:row>
      <xdr:rowOff>0</xdr:rowOff>
    </xdr:from>
    <xdr:to>
      <xdr:col>71</xdr:col>
      <xdr:colOff>83820</xdr:colOff>
      <xdr:row>393</xdr:row>
      <xdr:rowOff>114300</xdr:rowOff>
    </xdr:to>
    <xdr:sp macro="" textlink="">
      <xdr:nvSpPr>
        <xdr:cNvPr id="2981" name="Arrow: Down 2980">
          <a:extLst>
            <a:ext uri="{FF2B5EF4-FFF2-40B4-BE49-F238E27FC236}">
              <a16:creationId xmlns:a16="http://schemas.microsoft.com/office/drawing/2014/main" id="{FD624D35-FDC7-470E-ADF8-B037FA6D6DC9}"/>
            </a:ext>
          </a:extLst>
        </xdr:cNvPr>
        <xdr:cNvSpPr/>
      </xdr:nvSpPr>
      <xdr:spPr>
        <a:xfrm>
          <a:off x="2145030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393</xdr:row>
      <xdr:rowOff>0</xdr:rowOff>
    </xdr:from>
    <xdr:to>
      <xdr:col>5</xdr:col>
      <xdr:colOff>83820</xdr:colOff>
      <xdr:row>393</xdr:row>
      <xdr:rowOff>114300</xdr:rowOff>
    </xdr:to>
    <xdr:sp macro="" textlink="">
      <xdr:nvSpPr>
        <xdr:cNvPr id="2982" name="Arrow: Down 2981">
          <a:extLst>
            <a:ext uri="{FF2B5EF4-FFF2-40B4-BE49-F238E27FC236}">
              <a16:creationId xmlns:a16="http://schemas.microsoft.com/office/drawing/2014/main" id="{9F600C35-5FB8-414A-9F6E-6505F020E87C}"/>
            </a:ext>
          </a:extLst>
        </xdr:cNvPr>
        <xdr:cNvSpPr/>
      </xdr:nvSpPr>
      <xdr:spPr>
        <a:xfrm rot="10800000">
          <a:off x="1927860" y="7178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393</xdr:row>
      <xdr:rowOff>0</xdr:rowOff>
    </xdr:from>
    <xdr:to>
      <xdr:col>11</xdr:col>
      <xdr:colOff>83820</xdr:colOff>
      <xdr:row>393</xdr:row>
      <xdr:rowOff>114300</xdr:rowOff>
    </xdr:to>
    <xdr:sp macro="" textlink="">
      <xdr:nvSpPr>
        <xdr:cNvPr id="2983" name="Arrow: Down 2982">
          <a:extLst>
            <a:ext uri="{FF2B5EF4-FFF2-40B4-BE49-F238E27FC236}">
              <a16:creationId xmlns:a16="http://schemas.microsoft.com/office/drawing/2014/main" id="{0B1E98CB-E73E-48D2-B228-03154EB8CE3F}"/>
            </a:ext>
          </a:extLst>
        </xdr:cNvPr>
        <xdr:cNvSpPr/>
      </xdr:nvSpPr>
      <xdr:spPr>
        <a:xfrm rot="10800000">
          <a:off x="3695700" y="7178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393</xdr:row>
      <xdr:rowOff>0</xdr:rowOff>
    </xdr:from>
    <xdr:to>
      <xdr:col>24</xdr:col>
      <xdr:colOff>83820</xdr:colOff>
      <xdr:row>393</xdr:row>
      <xdr:rowOff>114300</xdr:rowOff>
    </xdr:to>
    <xdr:sp macro="" textlink="">
      <xdr:nvSpPr>
        <xdr:cNvPr id="2987" name="Arrow: Down 2986">
          <a:extLst>
            <a:ext uri="{FF2B5EF4-FFF2-40B4-BE49-F238E27FC236}">
              <a16:creationId xmlns:a16="http://schemas.microsoft.com/office/drawing/2014/main" id="{C295AB2C-A469-45A8-A5E1-7CFB450AFF1F}"/>
            </a:ext>
          </a:extLst>
        </xdr:cNvPr>
        <xdr:cNvSpPr/>
      </xdr:nvSpPr>
      <xdr:spPr>
        <a:xfrm rot="10800000">
          <a:off x="833628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393</xdr:row>
      <xdr:rowOff>0</xdr:rowOff>
    </xdr:from>
    <xdr:to>
      <xdr:col>39</xdr:col>
      <xdr:colOff>83820</xdr:colOff>
      <xdr:row>393</xdr:row>
      <xdr:rowOff>114300</xdr:rowOff>
    </xdr:to>
    <xdr:sp macro="" textlink="">
      <xdr:nvSpPr>
        <xdr:cNvPr id="2988" name="Arrow: Down 2987">
          <a:extLst>
            <a:ext uri="{FF2B5EF4-FFF2-40B4-BE49-F238E27FC236}">
              <a16:creationId xmlns:a16="http://schemas.microsoft.com/office/drawing/2014/main" id="{B01C4612-592A-4181-9042-448EEAE8F53F}"/>
            </a:ext>
          </a:extLst>
        </xdr:cNvPr>
        <xdr:cNvSpPr/>
      </xdr:nvSpPr>
      <xdr:spPr>
        <a:xfrm>
          <a:off x="1154430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393</xdr:row>
      <xdr:rowOff>0</xdr:rowOff>
    </xdr:from>
    <xdr:to>
      <xdr:col>60</xdr:col>
      <xdr:colOff>83820</xdr:colOff>
      <xdr:row>393</xdr:row>
      <xdr:rowOff>114300</xdr:rowOff>
    </xdr:to>
    <xdr:sp macro="" textlink="">
      <xdr:nvSpPr>
        <xdr:cNvPr id="2990" name="Arrow: Down 2989">
          <a:extLst>
            <a:ext uri="{FF2B5EF4-FFF2-40B4-BE49-F238E27FC236}">
              <a16:creationId xmlns:a16="http://schemas.microsoft.com/office/drawing/2014/main" id="{4D749D7F-FDA7-452B-8572-872939643780}"/>
            </a:ext>
          </a:extLst>
        </xdr:cNvPr>
        <xdr:cNvSpPr/>
      </xdr:nvSpPr>
      <xdr:spPr>
        <a:xfrm>
          <a:off x="19019520" y="7197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394</xdr:row>
      <xdr:rowOff>0</xdr:rowOff>
    </xdr:from>
    <xdr:to>
      <xdr:col>45</xdr:col>
      <xdr:colOff>83820</xdr:colOff>
      <xdr:row>394</xdr:row>
      <xdr:rowOff>114300</xdr:rowOff>
    </xdr:to>
    <xdr:sp macro="" textlink="">
      <xdr:nvSpPr>
        <xdr:cNvPr id="2998" name="Arrow: Down 2997">
          <a:extLst>
            <a:ext uri="{FF2B5EF4-FFF2-40B4-BE49-F238E27FC236}">
              <a16:creationId xmlns:a16="http://schemas.microsoft.com/office/drawing/2014/main" id="{6E1A9172-0A18-479E-A327-6FE5963B90A6}"/>
            </a:ext>
          </a:extLst>
        </xdr:cNvPr>
        <xdr:cNvSpPr/>
      </xdr:nvSpPr>
      <xdr:spPr>
        <a:xfrm rot="10800000">
          <a:off x="13403580" y="7197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394</xdr:row>
      <xdr:rowOff>0</xdr:rowOff>
    </xdr:from>
    <xdr:to>
      <xdr:col>71</xdr:col>
      <xdr:colOff>83820</xdr:colOff>
      <xdr:row>394</xdr:row>
      <xdr:rowOff>114300</xdr:rowOff>
    </xdr:to>
    <xdr:sp macro="" textlink="">
      <xdr:nvSpPr>
        <xdr:cNvPr id="2999" name="Arrow: Down 2998">
          <a:extLst>
            <a:ext uri="{FF2B5EF4-FFF2-40B4-BE49-F238E27FC236}">
              <a16:creationId xmlns:a16="http://schemas.microsoft.com/office/drawing/2014/main" id="{1E39E829-7783-40E1-A932-3844A1E6539A}"/>
            </a:ext>
          </a:extLst>
        </xdr:cNvPr>
        <xdr:cNvSpPr/>
      </xdr:nvSpPr>
      <xdr:spPr>
        <a:xfrm>
          <a:off x="21450300" y="7197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394</xdr:row>
      <xdr:rowOff>0</xdr:rowOff>
    </xdr:from>
    <xdr:to>
      <xdr:col>5</xdr:col>
      <xdr:colOff>83820</xdr:colOff>
      <xdr:row>394</xdr:row>
      <xdr:rowOff>114300</xdr:rowOff>
    </xdr:to>
    <xdr:sp macro="" textlink="">
      <xdr:nvSpPr>
        <xdr:cNvPr id="3000" name="Arrow: Down 2999">
          <a:extLst>
            <a:ext uri="{FF2B5EF4-FFF2-40B4-BE49-F238E27FC236}">
              <a16:creationId xmlns:a16="http://schemas.microsoft.com/office/drawing/2014/main" id="{7F4DE4A9-62CD-4ECF-B389-17E96A524BA6}"/>
            </a:ext>
          </a:extLst>
        </xdr:cNvPr>
        <xdr:cNvSpPr/>
      </xdr:nvSpPr>
      <xdr:spPr>
        <a:xfrm rot="10800000">
          <a:off x="192786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394</xdr:row>
      <xdr:rowOff>0</xdr:rowOff>
    </xdr:from>
    <xdr:to>
      <xdr:col>11</xdr:col>
      <xdr:colOff>83820</xdr:colOff>
      <xdr:row>394</xdr:row>
      <xdr:rowOff>114300</xdr:rowOff>
    </xdr:to>
    <xdr:sp macro="" textlink="">
      <xdr:nvSpPr>
        <xdr:cNvPr id="3001" name="Arrow: Down 3000">
          <a:extLst>
            <a:ext uri="{FF2B5EF4-FFF2-40B4-BE49-F238E27FC236}">
              <a16:creationId xmlns:a16="http://schemas.microsoft.com/office/drawing/2014/main" id="{EDEE3605-8BFB-429F-A068-E00A448930A4}"/>
            </a:ext>
          </a:extLst>
        </xdr:cNvPr>
        <xdr:cNvSpPr/>
      </xdr:nvSpPr>
      <xdr:spPr>
        <a:xfrm rot="10800000">
          <a:off x="369570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394</xdr:row>
      <xdr:rowOff>0</xdr:rowOff>
    </xdr:from>
    <xdr:to>
      <xdr:col>24</xdr:col>
      <xdr:colOff>83820</xdr:colOff>
      <xdr:row>394</xdr:row>
      <xdr:rowOff>114300</xdr:rowOff>
    </xdr:to>
    <xdr:sp macro="" textlink="">
      <xdr:nvSpPr>
        <xdr:cNvPr id="3005" name="Arrow: Down 3004">
          <a:extLst>
            <a:ext uri="{FF2B5EF4-FFF2-40B4-BE49-F238E27FC236}">
              <a16:creationId xmlns:a16="http://schemas.microsoft.com/office/drawing/2014/main" id="{D3A251D9-6D91-4C79-B98F-55F7066FD2FC}"/>
            </a:ext>
          </a:extLst>
        </xdr:cNvPr>
        <xdr:cNvSpPr/>
      </xdr:nvSpPr>
      <xdr:spPr>
        <a:xfrm>
          <a:off x="833628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394</xdr:row>
      <xdr:rowOff>0</xdr:rowOff>
    </xdr:from>
    <xdr:to>
      <xdr:col>39</xdr:col>
      <xdr:colOff>83820</xdr:colOff>
      <xdr:row>394</xdr:row>
      <xdr:rowOff>114300</xdr:rowOff>
    </xdr:to>
    <xdr:sp macro="" textlink="">
      <xdr:nvSpPr>
        <xdr:cNvPr id="3007" name="Arrow: Down 3006">
          <a:extLst>
            <a:ext uri="{FF2B5EF4-FFF2-40B4-BE49-F238E27FC236}">
              <a16:creationId xmlns:a16="http://schemas.microsoft.com/office/drawing/2014/main" id="{53007220-E526-45A3-8BD7-40C789CFA907}"/>
            </a:ext>
          </a:extLst>
        </xdr:cNvPr>
        <xdr:cNvSpPr/>
      </xdr:nvSpPr>
      <xdr:spPr>
        <a:xfrm rot="10800000">
          <a:off x="1154430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394</xdr:row>
      <xdr:rowOff>0</xdr:rowOff>
    </xdr:from>
    <xdr:to>
      <xdr:col>60</xdr:col>
      <xdr:colOff>83820</xdr:colOff>
      <xdr:row>394</xdr:row>
      <xdr:rowOff>114300</xdr:rowOff>
    </xdr:to>
    <xdr:sp macro="" textlink="">
      <xdr:nvSpPr>
        <xdr:cNvPr id="3008" name="Arrow: Down 3007">
          <a:extLst>
            <a:ext uri="{FF2B5EF4-FFF2-40B4-BE49-F238E27FC236}">
              <a16:creationId xmlns:a16="http://schemas.microsoft.com/office/drawing/2014/main" id="{8D904F1E-6C5B-496E-B058-A4C5AFDE1F28}"/>
            </a:ext>
          </a:extLst>
        </xdr:cNvPr>
        <xdr:cNvSpPr/>
      </xdr:nvSpPr>
      <xdr:spPr>
        <a:xfrm rot="10800000">
          <a:off x="19019520" y="7215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395</xdr:row>
      <xdr:rowOff>0</xdr:rowOff>
    </xdr:from>
    <xdr:to>
      <xdr:col>45</xdr:col>
      <xdr:colOff>83820</xdr:colOff>
      <xdr:row>395</xdr:row>
      <xdr:rowOff>114300</xdr:rowOff>
    </xdr:to>
    <xdr:sp macro="" textlink="">
      <xdr:nvSpPr>
        <xdr:cNvPr id="2800" name="Arrow: Down 2799">
          <a:extLst>
            <a:ext uri="{FF2B5EF4-FFF2-40B4-BE49-F238E27FC236}">
              <a16:creationId xmlns:a16="http://schemas.microsoft.com/office/drawing/2014/main" id="{76B67F44-C390-459A-B1E5-711ABD2AFFBC}"/>
            </a:ext>
          </a:extLst>
        </xdr:cNvPr>
        <xdr:cNvSpPr/>
      </xdr:nvSpPr>
      <xdr:spPr>
        <a:xfrm rot="10800000">
          <a:off x="1340358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395</xdr:row>
      <xdr:rowOff>0</xdr:rowOff>
    </xdr:from>
    <xdr:to>
      <xdr:col>71</xdr:col>
      <xdr:colOff>83820</xdr:colOff>
      <xdr:row>395</xdr:row>
      <xdr:rowOff>114300</xdr:rowOff>
    </xdr:to>
    <xdr:sp macro="" textlink="">
      <xdr:nvSpPr>
        <xdr:cNvPr id="2802" name="Arrow: Down 2801">
          <a:extLst>
            <a:ext uri="{FF2B5EF4-FFF2-40B4-BE49-F238E27FC236}">
              <a16:creationId xmlns:a16="http://schemas.microsoft.com/office/drawing/2014/main" id="{66E53DE3-32D0-450C-9BAE-AB3C70D82A31}"/>
            </a:ext>
          </a:extLst>
        </xdr:cNvPr>
        <xdr:cNvSpPr/>
      </xdr:nvSpPr>
      <xdr:spPr>
        <a:xfrm>
          <a:off x="2145030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395</xdr:row>
      <xdr:rowOff>0</xdr:rowOff>
    </xdr:from>
    <xdr:to>
      <xdr:col>24</xdr:col>
      <xdr:colOff>83820</xdr:colOff>
      <xdr:row>395</xdr:row>
      <xdr:rowOff>114300</xdr:rowOff>
    </xdr:to>
    <xdr:sp macro="" textlink="">
      <xdr:nvSpPr>
        <xdr:cNvPr id="2812" name="Arrow: Down 2811">
          <a:extLst>
            <a:ext uri="{FF2B5EF4-FFF2-40B4-BE49-F238E27FC236}">
              <a16:creationId xmlns:a16="http://schemas.microsoft.com/office/drawing/2014/main" id="{0B70B466-8887-41E4-9956-9C491C201521}"/>
            </a:ext>
          </a:extLst>
        </xdr:cNvPr>
        <xdr:cNvSpPr/>
      </xdr:nvSpPr>
      <xdr:spPr>
        <a:xfrm>
          <a:off x="833628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395</xdr:row>
      <xdr:rowOff>0</xdr:rowOff>
    </xdr:from>
    <xdr:to>
      <xdr:col>39</xdr:col>
      <xdr:colOff>83820</xdr:colOff>
      <xdr:row>395</xdr:row>
      <xdr:rowOff>114300</xdr:rowOff>
    </xdr:to>
    <xdr:sp macro="" textlink="">
      <xdr:nvSpPr>
        <xdr:cNvPr id="2813" name="Arrow: Down 2812">
          <a:extLst>
            <a:ext uri="{FF2B5EF4-FFF2-40B4-BE49-F238E27FC236}">
              <a16:creationId xmlns:a16="http://schemas.microsoft.com/office/drawing/2014/main" id="{1F8B34F8-44ED-437C-AD6D-61B5EC372574}"/>
            </a:ext>
          </a:extLst>
        </xdr:cNvPr>
        <xdr:cNvSpPr/>
      </xdr:nvSpPr>
      <xdr:spPr>
        <a:xfrm rot="10800000">
          <a:off x="1154430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395</xdr:row>
      <xdr:rowOff>0</xdr:rowOff>
    </xdr:from>
    <xdr:to>
      <xdr:col>60</xdr:col>
      <xdr:colOff>83820</xdr:colOff>
      <xdr:row>395</xdr:row>
      <xdr:rowOff>114300</xdr:rowOff>
    </xdr:to>
    <xdr:sp macro="" textlink="">
      <xdr:nvSpPr>
        <xdr:cNvPr id="2848" name="Arrow: Down 2847">
          <a:extLst>
            <a:ext uri="{FF2B5EF4-FFF2-40B4-BE49-F238E27FC236}">
              <a16:creationId xmlns:a16="http://schemas.microsoft.com/office/drawing/2014/main" id="{B921E48E-A7E0-41BB-B200-799F569C1214}"/>
            </a:ext>
          </a:extLst>
        </xdr:cNvPr>
        <xdr:cNvSpPr/>
      </xdr:nvSpPr>
      <xdr:spPr>
        <a:xfrm>
          <a:off x="1901952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395</xdr:row>
      <xdr:rowOff>0</xdr:rowOff>
    </xdr:from>
    <xdr:to>
      <xdr:col>5</xdr:col>
      <xdr:colOff>83820</xdr:colOff>
      <xdr:row>395</xdr:row>
      <xdr:rowOff>114300</xdr:rowOff>
    </xdr:to>
    <xdr:sp macro="" textlink="">
      <xdr:nvSpPr>
        <xdr:cNvPr id="2859" name="Arrow: Down 2858">
          <a:extLst>
            <a:ext uri="{FF2B5EF4-FFF2-40B4-BE49-F238E27FC236}">
              <a16:creationId xmlns:a16="http://schemas.microsoft.com/office/drawing/2014/main" id="{26AEF63B-24B9-4A7F-8491-412BACEE912C}"/>
            </a:ext>
          </a:extLst>
        </xdr:cNvPr>
        <xdr:cNvSpPr/>
      </xdr:nvSpPr>
      <xdr:spPr>
        <a:xfrm>
          <a:off x="192786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395</xdr:row>
      <xdr:rowOff>0</xdr:rowOff>
    </xdr:from>
    <xdr:to>
      <xdr:col>11</xdr:col>
      <xdr:colOff>83820</xdr:colOff>
      <xdr:row>395</xdr:row>
      <xdr:rowOff>114300</xdr:rowOff>
    </xdr:to>
    <xdr:sp macro="" textlink="">
      <xdr:nvSpPr>
        <xdr:cNvPr id="2874" name="Arrow: Down 2873">
          <a:extLst>
            <a:ext uri="{FF2B5EF4-FFF2-40B4-BE49-F238E27FC236}">
              <a16:creationId xmlns:a16="http://schemas.microsoft.com/office/drawing/2014/main" id="{F917FB14-588B-4CCB-89C5-FE485C7FCB34}"/>
            </a:ext>
          </a:extLst>
        </xdr:cNvPr>
        <xdr:cNvSpPr/>
      </xdr:nvSpPr>
      <xdr:spPr>
        <a:xfrm>
          <a:off x="369570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396</xdr:row>
      <xdr:rowOff>0</xdr:rowOff>
    </xdr:from>
    <xdr:to>
      <xdr:col>45</xdr:col>
      <xdr:colOff>83820</xdr:colOff>
      <xdr:row>396</xdr:row>
      <xdr:rowOff>114300</xdr:rowOff>
    </xdr:to>
    <xdr:sp macro="" textlink="">
      <xdr:nvSpPr>
        <xdr:cNvPr id="2882" name="Arrow: Down 2881">
          <a:extLst>
            <a:ext uri="{FF2B5EF4-FFF2-40B4-BE49-F238E27FC236}">
              <a16:creationId xmlns:a16="http://schemas.microsoft.com/office/drawing/2014/main" id="{BCB12626-B894-4642-AB46-541C9F465B6B}"/>
            </a:ext>
          </a:extLst>
        </xdr:cNvPr>
        <xdr:cNvSpPr/>
      </xdr:nvSpPr>
      <xdr:spPr>
        <a:xfrm rot="10800000">
          <a:off x="1340358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396</xdr:row>
      <xdr:rowOff>0</xdr:rowOff>
    </xdr:from>
    <xdr:to>
      <xdr:col>71</xdr:col>
      <xdr:colOff>83820</xdr:colOff>
      <xdr:row>396</xdr:row>
      <xdr:rowOff>114300</xdr:rowOff>
    </xdr:to>
    <xdr:sp macro="" textlink="">
      <xdr:nvSpPr>
        <xdr:cNvPr id="2883" name="Arrow: Down 2882">
          <a:extLst>
            <a:ext uri="{FF2B5EF4-FFF2-40B4-BE49-F238E27FC236}">
              <a16:creationId xmlns:a16="http://schemas.microsoft.com/office/drawing/2014/main" id="{953CD838-5452-423B-9921-B88C6E21615E}"/>
            </a:ext>
          </a:extLst>
        </xdr:cNvPr>
        <xdr:cNvSpPr/>
      </xdr:nvSpPr>
      <xdr:spPr>
        <a:xfrm>
          <a:off x="2145030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396</xdr:row>
      <xdr:rowOff>0</xdr:rowOff>
    </xdr:from>
    <xdr:to>
      <xdr:col>24</xdr:col>
      <xdr:colOff>83820</xdr:colOff>
      <xdr:row>396</xdr:row>
      <xdr:rowOff>114300</xdr:rowOff>
    </xdr:to>
    <xdr:sp macro="" textlink="">
      <xdr:nvSpPr>
        <xdr:cNvPr id="2885" name="Arrow: Down 2884">
          <a:extLst>
            <a:ext uri="{FF2B5EF4-FFF2-40B4-BE49-F238E27FC236}">
              <a16:creationId xmlns:a16="http://schemas.microsoft.com/office/drawing/2014/main" id="{EF48C335-C354-46B2-A308-F84B80DF9764}"/>
            </a:ext>
          </a:extLst>
        </xdr:cNvPr>
        <xdr:cNvSpPr/>
      </xdr:nvSpPr>
      <xdr:spPr>
        <a:xfrm>
          <a:off x="833628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396</xdr:row>
      <xdr:rowOff>0</xdr:rowOff>
    </xdr:from>
    <xdr:to>
      <xdr:col>60</xdr:col>
      <xdr:colOff>83820</xdr:colOff>
      <xdr:row>396</xdr:row>
      <xdr:rowOff>114300</xdr:rowOff>
    </xdr:to>
    <xdr:sp macro="" textlink="">
      <xdr:nvSpPr>
        <xdr:cNvPr id="2890" name="Arrow: Down 2889">
          <a:extLst>
            <a:ext uri="{FF2B5EF4-FFF2-40B4-BE49-F238E27FC236}">
              <a16:creationId xmlns:a16="http://schemas.microsoft.com/office/drawing/2014/main" id="{8DBA3E55-9045-4549-9829-6B42B3B797F0}"/>
            </a:ext>
          </a:extLst>
        </xdr:cNvPr>
        <xdr:cNvSpPr/>
      </xdr:nvSpPr>
      <xdr:spPr>
        <a:xfrm>
          <a:off x="1901952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396</xdr:row>
      <xdr:rowOff>0</xdr:rowOff>
    </xdr:from>
    <xdr:to>
      <xdr:col>5</xdr:col>
      <xdr:colOff>83820</xdr:colOff>
      <xdr:row>396</xdr:row>
      <xdr:rowOff>114300</xdr:rowOff>
    </xdr:to>
    <xdr:sp macro="" textlink="">
      <xdr:nvSpPr>
        <xdr:cNvPr id="2894" name="Arrow: Down 2893">
          <a:extLst>
            <a:ext uri="{FF2B5EF4-FFF2-40B4-BE49-F238E27FC236}">
              <a16:creationId xmlns:a16="http://schemas.microsoft.com/office/drawing/2014/main" id="{F9657FCD-9434-4FCE-8898-C4D681C4D2E9}"/>
            </a:ext>
          </a:extLst>
        </xdr:cNvPr>
        <xdr:cNvSpPr/>
      </xdr:nvSpPr>
      <xdr:spPr>
        <a:xfrm>
          <a:off x="192786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396</xdr:row>
      <xdr:rowOff>0</xdr:rowOff>
    </xdr:from>
    <xdr:to>
      <xdr:col>11</xdr:col>
      <xdr:colOff>83820</xdr:colOff>
      <xdr:row>396</xdr:row>
      <xdr:rowOff>114300</xdr:rowOff>
    </xdr:to>
    <xdr:sp macro="" textlink="">
      <xdr:nvSpPr>
        <xdr:cNvPr id="2902" name="Arrow: Down 2901">
          <a:extLst>
            <a:ext uri="{FF2B5EF4-FFF2-40B4-BE49-F238E27FC236}">
              <a16:creationId xmlns:a16="http://schemas.microsoft.com/office/drawing/2014/main" id="{568BB6BB-E587-4ED5-AD72-27DDC7BB75DE}"/>
            </a:ext>
          </a:extLst>
        </xdr:cNvPr>
        <xdr:cNvSpPr/>
      </xdr:nvSpPr>
      <xdr:spPr>
        <a:xfrm>
          <a:off x="369570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396</xdr:row>
      <xdr:rowOff>0</xdr:rowOff>
    </xdr:from>
    <xdr:to>
      <xdr:col>39</xdr:col>
      <xdr:colOff>83820</xdr:colOff>
      <xdr:row>396</xdr:row>
      <xdr:rowOff>114300</xdr:rowOff>
    </xdr:to>
    <xdr:sp macro="" textlink="">
      <xdr:nvSpPr>
        <xdr:cNvPr id="2944" name="Arrow: Down 2943">
          <a:extLst>
            <a:ext uri="{FF2B5EF4-FFF2-40B4-BE49-F238E27FC236}">
              <a16:creationId xmlns:a16="http://schemas.microsoft.com/office/drawing/2014/main" id="{161429C7-1052-43B9-B6E4-6D7E700E35A0}"/>
            </a:ext>
          </a:extLst>
        </xdr:cNvPr>
        <xdr:cNvSpPr/>
      </xdr:nvSpPr>
      <xdr:spPr>
        <a:xfrm>
          <a:off x="11544300" y="7251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397</xdr:row>
      <xdr:rowOff>0</xdr:rowOff>
    </xdr:from>
    <xdr:to>
      <xdr:col>45</xdr:col>
      <xdr:colOff>83820</xdr:colOff>
      <xdr:row>397</xdr:row>
      <xdr:rowOff>114300</xdr:rowOff>
    </xdr:to>
    <xdr:sp macro="" textlink="">
      <xdr:nvSpPr>
        <xdr:cNvPr id="2925" name="Arrow: Down 2924">
          <a:extLst>
            <a:ext uri="{FF2B5EF4-FFF2-40B4-BE49-F238E27FC236}">
              <a16:creationId xmlns:a16="http://schemas.microsoft.com/office/drawing/2014/main" id="{90F3E637-FC84-4F32-A27E-CA6E2102E149}"/>
            </a:ext>
          </a:extLst>
        </xdr:cNvPr>
        <xdr:cNvSpPr/>
      </xdr:nvSpPr>
      <xdr:spPr>
        <a:xfrm rot="10800000">
          <a:off x="13403580" y="7251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397</xdr:row>
      <xdr:rowOff>0</xdr:rowOff>
    </xdr:from>
    <xdr:to>
      <xdr:col>71</xdr:col>
      <xdr:colOff>83820</xdr:colOff>
      <xdr:row>397</xdr:row>
      <xdr:rowOff>114300</xdr:rowOff>
    </xdr:to>
    <xdr:sp macro="" textlink="">
      <xdr:nvSpPr>
        <xdr:cNvPr id="2946" name="Arrow: Down 2945">
          <a:extLst>
            <a:ext uri="{FF2B5EF4-FFF2-40B4-BE49-F238E27FC236}">
              <a16:creationId xmlns:a16="http://schemas.microsoft.com/office/drawing/2014/main" id="{88F844CD-7D1B-4D05-9DD0-FD143DDF140D}"/>
            </a:ext>
          </a:extLst>
        </xdr:cNvPr>
        <xdr:cNvSpPr/>
      </xdr:nvSpPr>
      <xdr:spPr>
        <a:xfrm>
          <a:off x="21450300" y="7251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397</xdr:row>
      <xdr:rowOff>0</xdr:rowOff>
    </xdr:from>
    <xdr:to>
      <xdr:col>60</xdr:col>
      <xdr:colOff>83820</xdr:colOff>
      <xdr:row>397</xdr:row>
      <xdr:rowOff>114300</xdr:rowOff>
    </xdr:to>
    <xdr:sp macro="" textlink="">
      <xdr:nvSpPr>
        <xdr:cNvPr id="2974" name="Arrow: Down 2973">
          <a:extLst>
            <a:ext uri="{FF2B5EF4-FFF2-40B4-BE49-F238E27FC236}">
              <a16:creationId xmlns:a16="http://schemas.microsoft.com/office/drawing/2014/main" id="{634397C8-840D-418A-8890-D758909986F7}"/>
            </a:ext>
          </a:extLst>
        </xdr:cNvPr>
        <xdr:cNvSpPr/>
      </xdr:nvSpPr>
      <xdr:spPr>
        <a:xfrm>
          <a:off x="19019520" y="7251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397</xdr:row>
      <xdr:rowOff>0</xdr:rowOff>
    </xdr:from>
    <xdr:to>
      <xdr:col>5</xdr:col>
      <xdr:colOff>83820</xdr:colOff>
      <xdr:row>397</xdr:row>
      <xdr:rowOff>114300</xdr:rowOff>
    </xdr:to>
    <xdr:sp macro="" textlink="">
      <xdr:nvSpPr>
        <xdr:cNvPr id="2986" name="Arrow: Down 2985">
          <a:extLst>
            <a:ext uri="{FF2B5EF4-FFF2-40B4-BE49-F238E27FC236}">
              <a16:creationId xmlns:a16="http://schemas.microsoft.com/office/drawing/2014/main" id="{205852F7-6E27-4451-8DF5-1A3E5A2371ED}"/>
            </a:ext>
          </a:extLst>
        </xdr:cNvPr>
        <xdr:cNvSpPr/>
      </xdr:nvSpPr>
      <xdr:spPr>
        <a:xfrm rot="10800000">
          <a:off x="192786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397</xdr:row>
      <xdr:rowOff>0</xdr:rowOff>
    </xdr:from>
    <xdr:to>
      <xdr:col>11</xdr:col>
      <xdr:colOff>83820</xdr:colOff>
      <xdr:row>397</xdr:row>
      <xdr:rowOff>114300</xdr:rowOff>
    </xdr:to>
    <xdr:sp macro="" textlink="">
      <xdr:nvSpPr>
        <xdr:cNvPr id="2991" name="Arrow: Down 2990">
          <a:extLst>
            <a:ext uri="{FF2B5EF4-FFF2-40B4-BE49-F238E27FC236}">
              <a16:creationId xmlns:a16="http://schemas.microsoft.com/office/drawing/2014/main" id="{4304A382-5E6B-479E-B753-0CF393EE16F4}"/>
            </a:ext>
          </a:extLst>
        </xdr:cNvPr>
        <xdr:cNvSpPr/>
      </xdr:nvSpPr>
      <xdr:spPr>
        <a:xfrm rot="10800000">
          <a:off x="369570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397</xdr:row>
      <xdr:rowOff>0</xdr:rowOff>
    </xdr:from>
    <xdr:to>
      <xdr:col>24</xdr:col>
      <xdr:colOff>83820</xdr:colOff>
      <xdr:row>397</xdr:row>
      <xdr:rowOff>114300</xdr:rowOff>
    </xdr:to>
    <xdr:sp macro="" textlink="">
      <xdr:nvSpPr>
        <xdr:cNvPr id="2992" name="Arrow: Down 2991">
          <a:extLst>
            <a:ext uri="{FF2B5EF4-FFF2-40B4-BE49-F238E27FC236}">
              <a16:creationId xmlns:a16="http://schemas.microsoft.com/office/drawing/2014/main" id="{16033D6D-97C1-41A1-8FD5-BC457FDE0167}"/>
            </a:ext>
          </a:extLst>
        </xdr:cNvPr>
        <xdr:cNvSpPr/>
      </xdr:nvSpPr>
      <xdr:spPr>
        <a:xfrm rot="10800000">
          <a:off x="833628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398</xdr:row>
      <xdr:rowOff>0</xdr:rowOff>
    </xdr:from>
    <xdr:to>
      <xdr:col>45</xdr:col>
      <xdr:colOff>83820</xdr:colOff>
      <xdr:row>398</xdr:row>
      <xdr:rowOff>114300</xdr:rowOff>
    </xdr:to>
    <xdr:sp macro="" textlink="">
      <xdr:nvSpPr>
        <xdr:cNvPr id="3004" name="Arrow: Down 3003">
          <a:extLst>
            <a:ext uri="{FF2B5EF4-FFF2-40B4-BE49-F238E27FC236}">
              <a16:creationId xmlns:a16="http://schemas.microsoft.com/office/drawing/2014/main" id="{D17A7CCE-F64A-4A9A-8B88-646597BC2FFF}"/>
            </a:ext>
          </a:extLst>
        </xdr:cNvPr>
        <xdr:cNvSpPr/>
      </xdr:nvSpPr>
      <xdr:spPr>
        <a:xfrm rot="10800000">
          <a:off x="13403580" y="7270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398</xdr:row>
      <xdr:rowOff>0</xdr:rowOff>
    </xdr:from>
    <xdr:to>
      <xdr:col>71</xdr:col>
      <xdr:colOff>83820</xdr:colOff>
      <xdr:row>398</xdr:row>
      <xdr:rowOff>114300</xdr:rowOff>
    </xdr:to>
    <xdr:sp macro="" textlink="">
      <xdr:nvSpPr>
        <xdr:cNvPr id="3006" name="Arrow: Down 3005">
          <a:extLst>
            <a:ext uri="{FF2B5EF4-FFF2-40B4-BE49-F238E27FC236}">
              <a16:creationId xmlns:a16="http://schemas.microsoft.com/office/drawing/2014/main" id="{FC834CF3-8BCB-4922-9003-7B2A0A8EC674}"/>
            </a:ext>
          </a:extLst>
        </xdr:cNvPr>
        <xdr:cNvSpPr/>
      </xdr:nvSpPr>
      <xdr:spPr>
        <a:xfrm>
          <a:off x="21450300" y="7270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398</xdr:row>
      <xdr:rowOff>0</xdr:rowOff>
    </xdr:from>
    <xdr:to>
      <xdr:col>39</xdr:col>
      <xdr:colOff>83820</xdr:colOff>
      <xdr:row>398</xdr:row>
      <xdr:rowOff>114300</xdr:rowOff>
    </xdr:to>
    <xdr:sp macro="" textlink="">
      <xdr:nvSpPr>
        <xdr:cNvPr id="3010" name="Arrow: Down 3009">
          <a:extLst>
            <a:ext uri="{FF2B5EF4-FFF2-40B4-BE49-F238E27FC236}">
              <a16:creationId xmlns:a16="http://schemas.microsoft.com/office/drawing/2014/main" id="{ADE8CCC2-CDBE-4B12-B884-1B9B35A1328F}"/>
            </a:ext>
          </a:extLst>
        </xdr:cNvPr>
        <xdr:cNvSpPr/>
      </xdr:nvSpPr>
      <xdr:spPr>
        <a:xfrm>
          <a:off x="1154430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398</xdr:row>
      <xdr:rowOff>0</xdr:rowOff>
    </xdr:from>
    <xdr:to>
      <xdr:col>5</xdr:col>
      <xdr:colOff>83820</xdr:colOff>
      <xdr:row>398</xdr:row>
      <xdr:rowOff>114300</xdr:rowOff>
    </xdr:to>
    <xdr:sp macro="" textlink="">
      <xdr:nvSpPr>
        <xdr:cNvPr id="3011" name="Arrow: Down 3010">
          <a:extLst>
            <a:ext uri="{FF2B5EF4-FFF2-40B4-BE49-F238E27FC236}">
              <a16:creationId xmlns:a16="http://schemas.microsoft.com/office/drawing/2014/main" id="{74BFEF5B-A778-42FA-B9E7-9333160F878C}"/>
            </a:ext>
          </a:extLst>
        </xdr:cNvPr>
        <xdr:cNvSpPr/>
      </xdr:nvSpPr>
      <xdr:spPr>
        <a:xfrm rot="10800000">
          <a:off x="192786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398</xdr:row>
      <xdr:rowOff>0</xdr:rowOff>
    </xdr:from>
    <xdr:to>
      <xdr:col>11</xdr:col>
      <xdr:colOff>83820</xdr:colOff>
      <xdr:row>398</xdr:row>
      <xdr:rowOff>114300</xdr:rowOff>
    </xdr:to>
    <xdr:sp macro="" textlink="">
      <xdr:nvSpPr>
        <xdr:cNvPr id="3012" name="Arrow: Down 3011">
          <a:extLst>
            <a:ext uri="{FF2B5EF4-FFF2-40B4-BE49-F238E27FC236}">
              <a16:creationId xmlns:a16="http://schemas.microsoft.com/office/drawing/2014/main" id="{7759D96A-C72B-4904-9023-F33E65064B71}"/>
            </a:ext>
          </a:extLst>
        </xdr:cNvPr>
        <xdr:cNvSpPr/>
      </xdr:nvSpPr>
      <xdr:spPr>
        <a:xfrm rot="10800000">
          <a:off x="369570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398</xdr:row>
      <xdr:rowOff>0</xdr:rowOff>
    </xdr:from>
    <xdr:to>
      <xdr:col>24</xdr:col>
      <xdr:colOff>83820</xdr:colOff>
      <xdr:row>398</xdr:row>
      <xdr:rowOff>114300</xdr:rowOff>
    </xdr:to>
    <xdr:sp macro="" textlink="">
      <xdr:nvSpPr>
        <xdr:cNvPr id="3013" name="Arrow: Down 3012">
          <a:extLst>
            <a:ext uri="{FF2B5EF4-FFF2-40B4-BE49-F238E27FC236}">
              <a16:creationId xmlns:a16="http://schemas.microsoft.com/office/drawing/2014/main" id="{5C5199B6-1361-4918-8C00-95AF03B210FE}"/>
            </a:ext>
          </a:extLst>
        </xdr:cNvPr>
        <xdr:cNvSpPr/>
      </xdr:nvSpPr>
      <xdr:spPr>
        <a:xfrm rot="10800000">
          <a:off x="833628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397</xdr:row>
      <xdr:rowOff>0</xdr:rowOff>
    </xdr:from>
    <xdr:to>
      <xdr:col>39</xdr:col>
      <xdr:colOff>83820</xdr:colOff>
      <xdr:row>397</xdr:row>
      <xdr:rowOff>114300</xdr:rowOff>
    </xdr:to>
    <xdr:sp macro="" textlink="">
      <xdr:nvSpPr>
        <xdr:cNvPr id="3015" name="Arrow: Down 3014">
          <a:extLst>
            <a:ext uri="{FF2B5EF4-FFF2-40B4-BE49-F238E27FC236}">
              <a16:creationId xmlns:a16="http://schemas.microsoft.com/office/drawing/2014/main" id="{A4E7BB85-6944-4070-937C-788474D9D053}"/>
            </a:ext>
          </a:extLst>
        </xdr:cNvPr>
        <xdr:cNvSpPr/>
      </xdr:nvSpPr>
      <xdr:spPr>
        <a:xfrm rot="10800000">
          <a:off x="11544300" y="7270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398</xdr:row>
      <xdr:rowOff>0</xdr:rowOff>
    </xdr:from>
    <xdr:to>
      <xdr:col>60</xdr:col>
      <xdr:colOff>83820</xdr:colOff>
      <xdr:row>398</xdr:row>
      <xdr:rowOff>114300</xdr:rowOff>
    </xdr:to>
    <xdr:sp macro="" textlink="">
      <xdr:nvSpPr>
        <xdr:cNvPr id="3017" name="Arrow: Down 3016">
          <a:extLst>
            <a:ext uri="{FF2B5EF4-FFF2-40B4-BE49-F238E27FC236}">
              <a16:creationId xmlns:a16="http://schemas.microsoft.com/office/drawing/2014/main" id="{EB432024-6DCF-491F-95D4-3F63163F7C31}"/>
            </a:ext>
          </a:extLst>
        </xdr:cNvPr>
        <xdr:cNvSpPr/>
      </xdr:nvSpPr>
      <xdr:spPr>
        <a:xfrm rot="10800000">
          <a:off x="1901952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399</xdr:row>
      <xdr:rowOff>0</xdr:rowOff>
    </xdr:from>
    <xdr:to>
      <xdr:col>45</xdr:col>
      <xdr:colOff>83820</xdr:colOff>
      <xdr:row>399</xdr:row>
      <xdr:rowOff>114300</xdr:rowOff>
    </xdr:to>
    <xdr:sp macro="" textlink="">
      <xdr:nvSpPr>
        <xdr:cNvPr id="3025" name="Arrow: Down 3024">
          <a:extLst>
            <a:ext uri="{FF2B5EF4-FFF2-40B4-BE49-F238E27FC236}">
              <a16:creationId xmlns:a16="http://schemas.microsoft.com/office/drawing/2014/main" id="{7BF1CECE-EBA0-45F9-AD8A-D47611B6F94E}"/>
            </a:ext>
          </a:extLst>
        </xdr:cNvPr>
        <xdr:cNvSpPr/>
      </xdr:nvSpPr>
      <xdr:spPr>
        <a:xfrm rot="10800000">
          <a:off x="13403580" y="7288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399</xdr:row>
      <xdr:rowOff>0</xdr:rowOff>
    </xdr:from>
    <xdr:to>
      <xdr:col>71</xdr:col>
      <xdr:colOff>83820</xdr:colOff>
      <xdr:row>399</xdr:row>
      <xdr:rowOff>114300</xdr:rowOff>
    </xdr:to>
    <xdr:sp macro="" textlink="">
      <xdr:nvSpPr>
        <xdr:cNvPr id="3026" name="Arrow: Down 3025">
          <a:extLst>
            <a:ext uri="{FF2B5EF4-FFF2-40B4-BE49-F238E27FC236}">
              <a16:creationId xmlns:a16="http://schemas.microsoft.com/office/drawing/2014/main" id="{48AB8716-D363-4B33-85D7-13E84F1F5DEE}"/>
            </a:ext>
          </a:extLst>
        </xdr:cNvPr>
        <xdr:cNvSpPr/>
      </xdr:nvSpPr>
      <xdr:spPr>
        <a:xfrm>
          <a:off x="21450300" y="7288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399</xdr:row>
      <xdr:rowOff>0</xdr:rowOff>
    </xdr:from>
    <xdr:to>
      <xdr:col>5</xdr:col>
      <xdr:colOff>83820</xdr:colOff>
      <xdr:row>399</xdr:row>
      <xdr:rowOff>114300</xdr:rowOff>
    </xdr:to>
    <xdr:sp macro="" textlink="">
      <xdr:nvSpPr>
        <xdr:cNvPr id="3028" name="Arrow: Down 3027">
          <a:extLst>
            <a:ext uri="{FF2B5EF4-FFF2-40B4-BE49-F238E27FC236}">
              <a16:creationId xmlns:a16="http://schemas.microsoft.com/office/drawing/2014/main" id="{8D3E2EFD-6F19-40DA-8362-5F6DE6CB5027}"/>
            </a:ext>
          </a:extLst>
        </xdr:cNvPr>
        <xdr:cNvSpPr/>
      </xdr:nvSpPr>
      <xdr:spPr>
        <a:xfrm rot="10800000">
          <a:off x="192786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399</xdr:row>
      <xdr:rowOff>0</xdr:rowOff>
    </xdr:from>
    <xdr:to>
      <xdr:col>11</xdr:col>
      <xdr:colOff>83820</xdr:colOff>
      <xdr:row>399</xdr:row>
      <xdr:rowOff>114300</xdr:rowOff>
    </xdr:to>
    <xdr:sp macro="" textlink="">
      <xdr:nvSpPr>
        <xdr:cNvPr id="3029" name="Arrow: Down 3028">
          <a:extLst>
            <a:ext uri="{FF2B5EF4-FFF2-40B4-BE49-F238E27FC236}">
              <a16:creationId xmlns:a16="http://schemas.microsoft.com/office/drawing/2014/main" id="{E2DA0066-F70D-43BF-8C2A-CE32FA0F9A19}"/>
            </a:ext>
          </a:extLst>
        </xdr:cNvPr>
        <xdr:cNvSpPr/>
      </xdr:nvSpPr>
      <xdr:spPr>
        <a:xfrm rot="10800000">
          <a:off x="369570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399</xdr:row>
      <xdr:rowOff>0</xdr:rowOff>
    </xdr:from>
    <xdr:to>
      <xdr:col>24</xdr:col>
      <xdr:colOff>83820</xdr:colOff>
      <xdr:row>399</xdr:row>
      <xdr:rowOff>114300</xdr:rowOff>
    </xdr:to>
    <xdr:sp macro="" textlink="">
      <xdr:nvSpPr>
        <xdr:cNvPr id="3030" name="Arrow: Down 3029">
          <a:extLst>
            <a:ext uri="{FF2B5EF4-FFF2-40B4-BE49-F238E27FC236}">
              <a16:creationId xmlns:a16="http://schemas.microsoft.com/office/drawing/2014/main" id="{3B6FC074-DB45-4426-9792-71870B1244FF}"/>
            </a:ext>
          </a:extLst>
        </xdr:cNvPr>
        <xdr:cNvSpPr/>
      </xdr:nvSpPr>
      <xdr:spPr>
        <a:xfrm rot="10800000">
          <a:off x="833628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399</xdr:row>
      <xdr:rowOff>0</xdr:rowOff>
    </xdr:from>
    <xdr:to>
      <xdr:col>60</xdr:col>
      <xdr:colOff>83820</xdr:colOff>
      <xdr:row>399</xdr:row>
      <xdr:rowOff>114300</xdr:rowOff>
    </xdr:to>
    <xdr:sp macro="" textlink="">
      <xdr:nvSpPr>
        <xdr:cNvPr id="3031" name="Arrow: Down 3030">
          <a:extLst>
            <a:ext uri="{FF2B5EF4-FFF2-40B4-BE49-F238E27FC236}">
              <a16:creationId xmlns:a16="http://schemas.microsoft.com/office/drawing/2014/main" id="{CDF15F77-DA3F-471B-82FA-A003DBBBD5ED}"/>
            </a:ext>
          </a:extLst>
        </xdr:cNvPr>
        <xdr:cNvSpPr/>
      </xdr:nvSpPr>
      <xdr:spPr>
        <a:xfrm rot="10800000">
          <a:off x="1901952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399</xdr:row>
      <xdr:rowOff>0</xdr:rowOff>
    </xdr:from>
    <xdr:to>
      <xdr:col>39</xdr:col>
      <xdr:colOff>83820</xdr:colOff>
      <xdr:row>399</xdr:row>
      <xdr:rowOff>114300</xdr:rowOff>
    </xdr:to>
    <xdr:sp macro="" textlink="">
      <xdr:nvSpPr>
        <xdr:cNvPr id="3033" name="Arrow: Down 3032">
          <a:extLst>
            <a:ext uri="{FF2B5EF4-FFF2-40B4-BE49-F238E27FC236}">
              <a16:creationId xmlns:a16="http://schemas.microsoft.com/office/drawing/2014/main" id="{DB3BA00B-9480-47D8-BDC1-49E86FDBCB35}"/>
            </a:ext>
          </a:extLst>
        </xdr:cNvPr>
        <xdr:cNvSpPr/>
      </xdr:nvSpPr>
      <xdr:spPr>
        <a:xfrm rot="10800000">
          <a:off x="1154430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400</xdr:row>
      <xdr:rowOff>0</xdr:rowOff>
    </xdr:from>
    <xdr:to>
      <xdr:col>45</xdr:col>
      <xdr:colOff>83820</xdr:colOff>
      <xdr:row>400</xdr:row>
      <xdr:rowOff>114300</xdr:rowOff>
    </xdr:to>
    <xdr:sp macro="" textlink="">
      <xdr:nvSpPr>
        <xdr:cNvPr id="3041" name="Arrow: Down 3040">
          <a:extLst>
            <a:ext uri="{FF2B5EF4-FFF2-40B4-BE49-F238E27FC236}">
              <a16:creationId xmlns:a16="http://schemas.microsoft.com/office/drawing/2014/main" id="{8710FB4B-4D5A-4E0F-A4EE-66404E689402}"/>
            </a:ext>
          </a:extLst>
        </xdr:cNvPr>
        <xdr:cNvSpPr/>
      </xdr:nvSpPr>
      <xdr:spPr>
        <a:xfrm rot="10800000">
          <a:off x="1340358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400</xdr:row>
      <xdr:rowOff>0</xdr:rowOff>
    </xdr:from>
    <xdr:to>
      <xdr:col>71</xdr:col>
      <xdr:colOff>83820</xdr:colOff>
      <xdr:row>400</xdr:row>
      <xdr:rowOff>114300</xdr:rowOff>
    </xdr:to>
    <xdr:sp macro="" textlink="">
      <xdr:nvSpPr>
        <xdr:cNvPr id="3042" name="Arrow: Down 3041">
          <a:extLst>
            <a:ext uri="{FF2B5EF4-FFF2-40B4-BE49-F238E27FC236}">
              <a16:creationId xmlns:a16="http://schemas.microsoft.com/office/drawing/2014/main" id="{F5631EEE-3C8D-49B6-A131-A5A97517A42C}"/>
            </a:ext>
          </a:extLst>
        </xdr:cNvPr>
        <xdr:cNvSpPr/>
      </xdr:nvSpPr>
      <xdr:spPr>
        <a:xfrm>
          <a:off x="2145030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400</xdr:row>
      <xdr:rowOff>0</xdr:rowOff>
    </xdr:from>
    <xdr:to>
      <xdr:col>39</xdr:col>
      <xdr:colOff>83820</xdr:colOff>
      <xdr:row>400</xdr:row>
      <xdr:rowOff>114300</xdr:rowOff>
    </xdr:to>
    <xdr:sp macro="" textlink="">
      <xdr:nvSpPr>
        <xdr:cNvPr id="3047" name="Arrow: Down 3046">
          <a:extLst>
            <a:ext uri="{FF2B5EF4-FFF2-40B4-BE49-F238E27FC236}">
              <a16:creationId xmlns:a16="http://schemas.microsoft.com/office/drawing/2014/main" id="{5C9CE2EF-2207-44FE-9543-DF563F3F7A47}"/>
            </a:ext>
          </a:extLst>
        </xdr:cNvPr>
        <xdr:cNvSpPr/>
      </xdr:nvSpPr>
      <xdr:spPr>
        <a:xfrm rot="10800000">
          <a:off x="1154430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400</xdr:row>
      <xdr:rowOff>0</xdr:rowOff>
    </xdr:from>
    <xdr:to>
      <xdr:col>60</xdr:col>
      <xdr:colOff>83820</xdr:colOff>
      <xdr:row>400</xdr:row>
      <xdr:rowOff>114300</xdr:rowOff>
    </xdr:to>
    <xdr:sp macro="" textlink="">
      <xdr:nvSpPr>
        <xdr:cNvPr id="3049" name="Arrow: Down 3048">
          <a:extLst>
            <a:ext uri="{FF2B5EF4-FFF2-40B4-BE49-F238E27FC236}">
              <a16:creationId xmlns:a16="http://schemas.microsoft.com/office/drawing/2014/main" id="{A0276F06-4245-4199-8254-0ABED41DBCE2}"/>
            </a:ext>
          </a:extLst>
        </xdr:cNvPr>
        <xdr:cNvSpPr/>
      </xdr:nvSpPr>
      <xdr:spPr>
        <a:xfrm>
          <a:off x="1901952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400</xdr:row>
      <xdr:rowOff>0</xdr:rowOff>
    </xdr:from>
    <xdr:to>
      <xdr:col>24</xdr:col>
      <xdr:colOff>83820</xdr:colOff>
      <xdr:row>400</xdr:row>
      <xdr:rowOff>114300</xdr:rowOff>
    </xdr:to>
    <xdr:sp macro="" textlink="">
      <xdr:nvSpPr>
        <xdr:cNvPr id="3050" name="Arrow: Down 3049">
          <a:extLst>
            <a:ext uri="{FF2B5EF4-FFF2-40B4-BE49-F238E27FC236}">
              <a16:creationId xmlns:a16="http://schemas.microsoft.com/office/drawing/2014/main" id="{C7441CD2-A41A-45AF-B6CE-5D67BDE5EF7D}"/>
            </a:ext>
          </a:extLst>
        </xdr:cNvPr>
        <xdr:cNvSpPr/>
      </xdr:nvSpPr>
      <xdr:spPr>
        <a:xfrm>
          <a:off x="833628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400</xdr:row>
      <xdr:rowOff>0</xdr:rowOff>
    </xdr:from>
    <xdr:to>
      <xdr:col>5</xdr:col>
      <xdr:colOff>83820</xdr:colOff>
      <xdr:row>400</xdr:row>
      <xdr:rowOff>114300</xdr:rowOff>
    </xdr:to>
    <xdr:sp macro="" textlink="">
      <xdr:nvSpPr>
        <xdr:cNvPr id="3051" name="Arrow: Down 3050">
          <a:extLst>
            <a:ext uri="{FF2B5EF4-FFF2-40B4-BE49-F238E27FC236}">
              <a16:creationId xmlns:a16="http://schemas.microsoft.com/office/drawing/2014/main" id="{D7DA03E5-7982-41F1-9F66-FEBE4F4E014E}"/>
            </a:ext>
          </a:extLst>
        </xdr:cNvPr>
        <xdr:cNvSpPr/>
      </xdr:nvSpPr>
      <xdr:spPr>
        <a:xfrm>
          <a:off x="192786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401</xdr:row>
      <xdr:rowOff>0</xdr:rowOff>
    </xdr:from>
    <xdr:to>
      <xdr:col>45</xdr:col>
      <xdr:colOff>83820</xdr:colOff>
      <xdr:row>401</xdr:row>
      <xdr:rowOff>114300</xdr:rowOff>
    </xdr:to>
    <xdr:sp macro="" textlink="">
      <xdr:nvSpPr>
        <xdr:cNvPr id="3052" name="Arrow: Down 3051">
          <a:extLst>
            <a:ext uri="{FF2B5EF4-FFF2-40B4-BE49-F238E27FC236}">
              <a16:creationId xmlns:a16="http://schemas.microsoft.com/office/drawing/2014/main" id="{B27F019C-208E-4138-82CD-EC99C49902E4}"/>
            </a:ext>
          </a:extLst>
        </xdr:cNvPr>
        <xdr:cNvSpPr/>
      </xdr:nvSpPr>
      <xdr:spPr>
        <a:xfrm rot="10800000">
          <a:off x="1340358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401</xdr:row>
      <xdr:rowOff>0</xdr:rowOff>
    </xdr:from>
    <xdr:to>
      <xdr:col>71</xdr:col>
      <xdr:colOff>83820</xdr:colOff>
      <xdr:row>401</xdr:row>
      <xdr:rowOff>114300</xdr:rowOff>
    </xdr:to>
    <xdr:sp macro="" textlink="">
      <xdr:nvSpPr>
        <xdr:cNvPr id="3053" name="Arrow: Down 3052">
          <a:extLst>
            <a:ext uri="{FF2B5EF4-FFF2-40B4-BE49-F238E27FC236}">
              <a16:creationId xmlns:a16="http://schemas.microsoft.com/office/drawing/2014/main" id="{E211F56F-217A-443E-A69C-0D0CFD3C56C7}"/>
            </a:ext>
          </a:extLst>
        </xdr:cNvPr>
        <xdr:cNvSpPr/>
      </xdr:nvSpPr>
      <xdr:spPr>
        <a:xfrm>
          <a:off x="2145030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400</xdr:row>
      <xdr:rowOff>0</xdr:rowOff>
    </xdr:from>
    <xdr:to>
      <xdr:col>11</xdr:col>
      <xdr:colOff>83820</xdr:colOff>
      <xdr:row>400</xdr:row>
      <xdr:rowOff>114300</xdr:rowOff>
    </xdr:to>
    <xdr:sp macro="" textlink="">
      <xdr:nvSpPr>
        <xdr:cNvPr id="3058" name="Arrow: Down 3057">
          <a:extLst>
            <a:ext uri="{FF2B5EF4-FFF2-40B4-BE49-F238E27FC236}">
              <a16:creationId xmlns:a16="http://schemas.microsoft.com/office/drawing/2014/main" id="{1C5138B5-F428-45A3-ACF3-119986421D49}"/>
            </a:ext>
          </a:extLst>
        </xdr:cNvPr>
        <xdr:cNvSpPr/>
      </xdr:nvSpPr>
      <xdr:spPr>
        <a:xfrm>
          <a:off x="369570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401</xdr:row>
      <xdr:rowOff>0</xdr:rowOff>
    </xdr:from>
    <xdr:to>
      <xdr:col>5</xdr:col>
      <xdr:colOff>83820</xdr:colOff>
      <xdr:row>401</xdr:row>
      <xdr:rowOff>114300</xdr:rowOff>
    </xdr:to>
    <xdr:sp macro="" textlink="">
      <xdr:nvSpPr>
        <xdr:cNvPr id="3059" name="Arrow: Down 3058">
          <a:extLst>
            <a:ext uri="{FF2B5EF4-FFF2-40B4-BE49-F238E27FC236}">
              <a16:creationId xmlns:a16="http://schemas.microsoft.com/office/drawing/2014/main" id="{F415ECB6-56D1-406A-B320-E531F92E15FC}"/>
            </a:ext>
          </a:extLst>
        </xdr:cNvPr>
        <xdr:cNvSpPr/>
      </xdr:nvSpPr>
      <xdr:spPr>
        <a:xfrm rot="10800000">
          <a:off x="192786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401</xdr:row>
      <xdr:rowOff>0</xdr:rowOff>
    </xdr:from>
    <xdr:to>
      <xdr:col>11</xdr:col>
      <xdr:colOff>83820</xdr:colOff>
      <xdr:row>401</xdr:row>
      <xdr:rowOff>114300</xdr:rowOff>
    </xdr:to>
    <xdr:sp macro="" textlink="">
      <xdr:nvSpPr>
        <xdr:cNvPr id="3061" name="Arrow: Down 3060">
          <a:extLst>
            <a:ext uri="{FF2B5EF4-FFF2-40B4-BE49-F238E27FC236}">
              <a16:creationId xmlns:a16="http://schemas.microsoft.com/office/drawing/2014/main" id="{88A7297B-00B1-4BF1-A573-D58969130995}"/>
            </a:ext>
          </a:extLst>
        </xdr:cNvPr>
        <xdr:cNvSpPr/>
      </xdr:nvSpPr>
      <xdr:spPr>
        <a:xfrm rot="10800000">
          <a:off x="369570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401</xdr:row>
      <xdr:rowOff>0</xdr:rowOff>
    </xdr:from>
    <xdr:to>
      <xdr:col>24</xdr:col>
      <xdr:colOff>83820</xdr:colOff>
      <xdr:row>401</xdr:row>
      <xdr:rowOff>114300</xdr:rowOff>
    </xdr:to>
    <xdr:sp macro="" textlink="">
      <xdr:nvSpPr>
        <xdr:cNvPr id="3063" name="Arrow: Down 3062">
          <a:extLst>
            <a:ext uri="{FF2B5EF4-FFF2-40B4-BE49-F238E27FC236}">
              <a16:creationId xmlns:a16="http://schemas.microsoft.com/office/drawing/2014/main" id="{D1E26CF7-E315-46A9-9F76-2E65F43DE4C7}"/>
            </a:ext>
          </a:extLst>
        </xdr:cNvPr>
        <xdr:cNvSpPr/>
      </xdr:nvSpPr>
      <xdr:spPr>
        <a:xfrm rot="10800000">
          <a:off x="833628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401</xdr:row>
      <xdr:rowOff>0</xdr:rowOff>
    </xdr:from>
    <xdr:to>
      <xdr:col>39</xdr:col>
      <xdr:colOff>83820</xdr:colOff>
      <xdr:row>401</xdr:row>
      <xdr:rowOff>114300</xdr:rowOff>
    </xdr:to>
    <xdr:sp macro="" textlink="">
      <xdr:nvSpPr>
        <xdr:cNvPr id="3065" name="Arrow: Down 3064">
          <a:extLst>
            <a:ext uri="{FF2B5EF4-FFF2-40B4-BE49-F238E27FC236}">
              <a16:creationId xmlns:a16="http://schemas.microsoft.com/office/drawing/2014/main" id="{030120EE-55D8-4EAB-B958-4AE1D04E4BE9}"/>
            </a:ext>
          </a:extLst>
        </xdr:cNvPr>
        <xdr:cNvSpPr/>
      </xdr:nvSpPr>
      <xdr:spPr>
        <a:xfrm>
          <a:off x="1154430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402</xdr:row>
      <xdr:rowOff>0</xdr:rowOff>
    </xdr:from>
    <xdr:to>
      <xdr:col>45</xdr:col>
      <xdr:colOff>83820</xdr:colOff>
      <xdr:row>402</xdr:row>
      <xdr:rowOff>114300</xdr:rowOff>
    </xdr:to>
    <xdr:sp macro="" textlink="">
      <xdr:nvSpPr>
        <xdr:cNvPr id="3068" name="Arrow: Down 3067">
          <a:extLst>
            <a:ext uri="{FF2B5EF4-FFF2-40B4-BE49-F238E27FC236}">
              <a16:creationId xmlns:a16="http://schemas.microsoft.com/office/drawing/2014/main" id="{C4C51A4D-E3BD-4077-8DCA-9B8E2E3960EA}"/>
            </a:ext>
          </a:extLst>
        </xdr:cNvPr>
        <xdr:cNvSpPr/>
      </xdr:nvSpPr>
      <xdr:spPr>
        <a:xfrm rot="10800000">
          <a:off x="13403580" y="7343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402</xdr:row>
      <xdr:rowOff>0</xdr:rowOff>
    </xdr:from>
    <xdr:to>
      <xdr:col>71</xdr:col>
      <xdr:colOff>83820</xdr:colOff>
      <xdr:row>402</xdr:row>
      <xdr:rowOff>114300</xdr:rowOff>
    </xdr:to>
    <xdr:sp macro="" textlink="">
      <xdr:nvSpPr>
        <xdr:cNvPr id="3069" name="Arrow: Down 3068">
          <a:extLst>
            <a:ext uri="{FF2B5EF4-FFF2-40B4-BE49-F238E27FC236}">
              <a16:creationId xmlns:a16="http://schemas.microsoft.com/office/drawing/2014/main" id="{CD3604C9-0E9F-4E31-8342-A4F604BCE07B}"/>
            </a:ext>
          </a:extLst>
        </xdr:cNvPr>
        <xdr:cNvSpPr/>
      </xdr:nvSpPr>
      <xdr:spPr>
        <a:xfrm>
          <a:off x="21450300" y="7343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402</xdr:row>
      <xdr:rowOff>0</xdr:rowOff>
    </xdr:from>
    <xdr:to>
      <xdr:col>5</xdr:col>
      <xdr:colOff>83820</xdr:colOff>
      <xdr:row>402</xdr:row>
      <xdr:rowOff>114300</xdr:rowOff>
    </xdr:to>
    <xdr:sp macro="" textlink="">
      <xdr:nvSpPr>
        <xdr:cNvPr id="3075" name="Arrow: Down 3074">
          <a:extLst>
            <a:ext uri="{FF2B5EF4-FFF2-40B4-BE49-F238E27FC236}">
              <a16:creationId xmlns:a16="http://schemas.microsoft.com/office/drawing/2014/main" id="{E01DB3B9-18AC-49D1-8E63-2B6402307C62}"/>
            </a:ext>
          </a:extLst>
        </xdr:cNvPr>
        <xdr:cNvSpPr/>
      </xdr:nvSpPr>
      <xdr:spPr>
        <a:xfrm>
          <a:off x="192786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402</xdr:row>
      <xdr:rowOff>0</xdr:rowOff>
    </xdr:from>
    <xdr:to>
      <xdr:col>11</xdr:col>
      <xdr:colOff>83820</xdr:colOff>
      <xdr:row>402</xdr:row>
      <xdr:rowOff>114300</xdr:rowOff>
    </xdr:to>
    <xdr:sp macro="" textlink="">
      <xdr:nvSpPr>
        <xdr:cNvPr id="3077" name="Arrow: Down 3076">
          <a:extLst>
            <a:ext uri="{FF2B5EF4-FFF2-40B4-BE49-F238E27FC236}">
              <a16:creationId xmlns:a16="http://schemas.microsoft.com/office/drawing/2014/main" id="{C230EAD5-9405-4ED1-A5A1-4907078A3AA4}"/>
            </a:ext>
          </a:extLst>
        </xdr:cNvPr>
        <xdr:cNvSpPr/>
      </xdr:nvSpPr>
      <xdr:spPr>
        <a:xfrm>
          <a:off x="36957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402</xdr:row>
      <xdr:rowOff>0</xdr:rowOff>
    </xdr:from>
    <xdr:to>
      <xdr:col>24</xdr:col>
      <xdr:colOff>83820</xdr:colOff>
      <xdr:row>402</xdr:row>
      <xdr:rowOff>114300</xdr:rowOff>
    </xdr:to>
    <xdr:sp macro="" textlink="">
      <xdr:nvSpPr>
        <xdr:cNvPr id="3079" name="Arrow: Down 3078">
          <a:extLst>
            <a:ext uri="{FF2B5EF4-FFF2-40B4-BE49-F238E27FC236}">
              <a16:creationId xmlns:a16="http://schemas.microsoft.com/office/drawing/2014/main" id="{945FE666-50B3-4AC5-B0FB-2C7AEB295F1B}"/>
            </a:ext>
          </a:extLst>
        </xdr:cNvPr>
        <xdr:cNvSpPr/>
      </xdr:nvSpPr>
      <xdr:spPr>
        <a:xfrm>
          <a:off x="833628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402</xdr:row>
      <xdr:rowOff>0</xdr:rowOff>
    </xdr:from>
    <xdr:to>
      <xdr:col>39</xdr:col>
      <xdr:colOff>83820</xdr:colOff>
      <xdr:row>402</xdr:row>
      <xdr:rowOff>114300</xdr:rowOff>
    </xdr:to>
    <xdr:sp macro="" textlink="">
      <xdr:nvSpPr>
        <xdr:cNvPr id="3080" name="Arrow: Down 3079">
          <a:extLst>
            <a:ext uri="{FF2B5EF4-FFF2-40B4-BE49-F238E27FC236}">
              <a16:creationId xmlns:a16="http://schemas.microsoft.com/office/drawing/2014/main" id="{5E317226-57E2-4847-9DE2-A2AE46724B12}"/>
            </a:ext>
          </a:extLst>
        </xdr:cNvPr>
        <xdr:cNvSpPr/>
      </xdr:nvSpPr>
      <xdr:spPr>
        <a:xfrm rot="10800000">
          <a:off x="115443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401</xdr:row>
      <xdr:rowOff>0</xdr:rowOff>
    </xdr:from>
    <xdr:to>
      <xdr:col>60</xdr:col>
      <xdr:colOff>83820</xdr:colOff>
      <xdr:row>401</xdr:row>
      <xdr:rowOff>114300</xdr:rowOff>
    </xdr:to>
    <xdr:sp macro="" textlink="">
      <xdr:nvSpPr>
        <xdr:cNvPr id="3082" name="Arrow: Down 3081">
          <a:extLst>
            <a:ext uri="{FF2B5EF4-FFF2-40B4-BE49-F238E27FC236}">
              <a16:creationId xmlns:a16="http://schemas.microsoft.com/office/drawing/2014/main" id="{61ECBFEF-1416-4C25-B138-9392B96E6DB2}"/>
            </a:ext>
          </a:extLst>
        </xdr:cNvPr>
        <xdr:cNvSpPr/>
      </xdr:nvSpPr>
      <xdr:spPr>
        <a:xfrm>
          <a:off x="19019520" y="7343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402</xdr:row>
      <xdr:rowOff>0</xdr:rowOff>
    </xdr:from>
    <xdr:to>
      <xdr:col>60</xdr:col>
      <xdr:colOff>83820</xdr:colOff>
      <xdr:row>402</xdr:row>
      <xdr:rowOff>114300</xdr:rowOff>
    </xdr:to>
    <xdr:sp macro="" textlink="">
      <xdr:nvSpPr>
        <xdr:cNvPr id="3084" name="Arrow: Down 3083">
          <a:extLst>
            <a:ext uri="{FF2B5EF4-FFF2-40B4-BE49-F238E27FC236}">
              <a16:creationId xmlns:a16="http://schemas.microsoft.com/office/drawing/2014/main" id="{D681FF60-64F3-4885-9BDF-BB4B96F94A98}"/>
            </a:ext>
          </a:extLst>
        </xdr:cNvPr>
        <xdr:cNvSpPr/>
      </xdr:nvSpPr>
      <xdr:spPr>
        <a:xfrm>
          <a:off x="1901952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403</xdr:row>
      <xdr:rowOff>0</xdr:rowOff>
    </xdr:from>
    <xdr:to>
      <xdr:col>45</xdr:col>
      <xdr:colOff>83820</xdr:colOff>
      <xdr:row>403</xdr:row>
      <xdr:rowOff>114300</xdr:rowOff>
    </xdr:to>
    <xdr:sp macro="" textlink="">
      <xdr:nvSpPr>
        <xdr:cNvPr id="3092" name="Arrow: Down 3091">
          <a:extLst>
            <a:ext uri="{FF2B5EF4-FFF2-40B4-BE49-F238E27FC236}">
              <a16:creationId xmlns:a16="http://schemas.microsoft.com/office/drawing/2014/main" id="{90E97A5B-4AC0-48E1-9365-6582AB5026F1}"/>
            </a:ext>
          </a:extLst>
        </xdr:cNvPr>
        <xdr:cNvSpPr/>
      </xdr:nvSpPr>
      <xdr:spPr>
        <a:xfrm rot="10800000">
          <a:off x="1340358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403</xdr:row>
      <xdr:rowOff>0</xdr:rowOff>
    </xdr:from>
    <xdr:to>
      <xdr:col>71</xdr:col>
      <xdr:colOff>83820</xdr:colOff>
      <xdr:row>403</xdr:row>
      <xdr:rowOff>114300</xdr:rowOff>
    </xdr:to>
    <xdr:sp macro="" textlink="">
      <xdr:nvSpPr>
        <xdr:cNvPr id="3093" name="Arrow: Down 3092">
          <a:extLst>
            <a:ext uri="{FF2B5EF4-FFF2-40B4-BE49-F238E27FC236}">
              <a16:creationId xmlns:a16="http://schemas.microsoft.com/office/drawing/2014/main" id="{270BB4D7-8ED9-4A4F-92CE-97D0CF161403}"/>
            </a:ext>
          </a:extLst>
        </xdr:cNvPr>
        <xdr:cNvSpPr/>
      </xdr:nvSpPr>
      <xdr:spPr>
        <a:xfrm>
          <a:off x="214503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403</xdr:row>
      <xdr:rowOff>0</xdr:rowOff>
    </xdr:from>
    <xdr:to>
      <xdr:col>5</xdr:col>
      <xdr:colOff>83820</xdr:colOff>
      <xdr:row>403</xdr:row>
      <xdr:rowOff>114300</xdr:rowOff>
    </xdr:to>
    <xdr:sp macro="" textlink="">
      <xdr:nvSpPr>
        <xdr:cNvPr id="3094" name="Arrow: Down 3093">
          <a:extLst>
            <a:ext uri="{FF2B5EF4-FFF2-40B4-BE49-F238E27FC236}">
              <a16:creationId xmlns:a16="http://schemas.microsoft.com/office/drawing/2014/main" id="{DD35F167-4D26-49AF-B419-197C9F65D728}"/>
            </a:ext>
          </a:extLst>
        </xdr:cNvPr>
        <xdr:cNvSpPr/>
      </xdr:nvSpPr>
      <xdr:spPr>
        <a:xfrm>
          <a:off x="192786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403</xdr:row>
      <xdr:rowOff>0</xdr:rowOff>
    </xdr:from>
    <xdr:to>
      <xdr:col>11</xdr:col>
      <xdr:colOff>83820</xdr:colOff>
      <xdr:row>403</xdr:row>
      <xdr:rowOff>114300</xdr:rowOff>
    </xdr:to>
    <xdr:sp macro="" textlink="">
      <xdr:nvSpPr>
        <xdr:cNvPr id="3095" name="Arrow: Down 3094">
          <a:extLst>
            <a:ext uri="{FF2B5EF4-FFF2-40B4-BE49-F238E27FC236}">
              <a16:creationId xmlns:a16="http://schemas.microsoft.com/office/drawing/2014/main" id="{9AFAC34A-56DA-4071-8879-D1C951693D8E}"/>
            </a:ext>
          </a:extLst>
        </xdr:cNvPr>
        <xdr:cNvSpPr/>
      </xdr:nvSpPr>
      <xdr:spPr>
        <a:xfrm>
          <a:off x="36957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403</xdr:row>
      <xdr:rowOff>0</xdr:rowOff>
    </xdr:from>
    <xdr:to>
      <xdr:col>24</xdr:col>
      <xdr:colOff>83820</xdr:colOff>
      <xdr:row>403</xdr:row>
      <xdr:rowOff>114300</xdr:rowOff>
    </xdr:to>
    <xdr:sp macro="" textlink="">
      <xdr:nvSpPr>
        <xdr:cNvPr id="3096" name="Arrow: Down 3095">
          <a:extLst>
            <a:ext uri="{FF2B5EF4-FFF2-40B4-BE49-F238E27FC236}">
              <a16:creationId xmlns:a16="http://schemas.microsoft.com/office/drawing/2014/main" id="{06DE8269-9141-41BC-8C3B-D156545A0B6A}"/>
            </a:ext>
          </a:extLst>
        </xdr:cNvPr>
        <xdr:cNvSpPr/>
      </xdr:nvSpPr>
      <xdr:spPr>
        <a:xfrm>
          <a:off x="833628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403</xdr:row>
      <xdr:rowOff>0</xdr:rowOff>
    </xdr:from>
    <xdr:to>
      <xdr:col>60</xdr:col>
      <xdr:colOff>83820</xdr:colOff>
      <xdr:row>403</xdr:row>
      <xdr:rowOff>114300</xdr:rowOff>
    </xdr:to>
    <xdr:sp macro="" textlink="">
      <xdr:nvSpPr>
        <xdr:cNvPr id="3098" name="Arrow: Down 3097">
          <a:extLst>
            <a:ext uri="{FF2B5EF4-FFF2-40B4-BE49-F238E27FC236}">
              <a16:creationId xmlns:a16="http://schemas.microsoft.com/office/drawing/2014/main" id="{6099A246-E92E-4D78-B4DA-D7B1DC3C3A02}"/>
            </a:ext>
          </a:extLst>
        </xdr:cNvPr>
        <xdr:cNvSpPr/>
      </xdr:nvSpPr>
      <xdr:spPr>
        <a:xfrm>
          <a:off x="1901952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403</xdr:row>
      <xdr:rowOff>0</xdr:rowOff>
    </xdr:from>
    <xdr:to>
      <xdr:col>39</xdr:col>
      <xdr:colOff>83820</xdr:colOff>
      <xdr:row>403</xdr:row>
      <xdr:rowOff>114300</xdr:rowOff>
    </xdr:to>
    <xdr:sp macro="" textlink="">
      <xdr:nvSpPr>
        <xdr:cNvPr id="3099" name="Arrow: Down 3098">
          <a:extLst>
            <a:ext uri="{FF2B5EF4-FFF2-40B4-BE49-F238E27FC236}">
              <a16:creationId xmlns:a16="http://schemas.microsoft.com/office/drawing/2014/main" id="{97D1B169-0052-4FD3-8678-BBF53C94E8C3}"/>
            </a:ext>
          </a:extLst>
        </xdr:cNvPr>
        <xdr:cNvSpPr/>
      </xdr:nvSpPr>
      <xdr:spPr>
        <a:xfrm>
          <a:off x="11544300" y="7379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404</xdr:row>
      <xdr:rowOff>0</xdr:rowOff>
    </xdr:from>
    <xdr:to>
      <xdr:col>45</xdr:col>
      <xdr:colOff>83820</xdr:colOff>
      <xdr:row>404</xdr:row>
      <xdr:rowOff>114300</xdr:rowOff>
    </xdr:to>
    <xdr:sp macro="" textlink="">
      <xdr:nvSpPr>
        <xdr:cNvPr id="3100" name="Arrow: Down 3099">
          <a:extLst>
            <a:ext uri="{FF2B5EF4-FFF2-40B4-BE49-F238E27FC236}">
              <a16:creationId xmlns:a16="http://schemas.microsoft.com/office/drawing/2014/main" id="{529B1C0C-2671-45A9-B44D-21245F093EE3}"/>
            </a:ext>
          </a:extLst>
        </xdr:cNvPr>
        <xdr:cNvSpPr/>
      </xdr:nvSpPr>
      <xdr:spPr>
        <a:xfrm rot="10800000">
          <a:off x="13403580" y="7379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404</xdr:row>
      <xdr:rowOff>0</xdr:rowOff>
    </xdr:from>
    <xdr:to>
      <xdr:col>71</xdr:col>
      <xdr:colOff>83820</xdr:colOff>
      <xdr:row>404</xdr:row>
      <xdr:rowOff>114300</xdr:rowOff>
    </xdr:to>
    <xdr:sp macro="" textlink="">
      <xdr:nvSpPr>
        <xdr:cNvPr id="3101" name="Arrow: Down 3100">
          <a:extLst>
            <a:ext uri="{FF2B5EF4-FFF2-40B4-BE49-F238E27FC236}">
              <a16:creationId xmlns:a16="http://schemas.microsoft.com/office/drawing/2014/main" id="{B23B12E2-0E67-43C1-A80E-27375EF02113}"/>
            </a:ext>
          </a:extLst>
        </xdr:cNvPr>
        <xdr:cNvSpPr/>
      </xdr:nvSpPr>
      <xdr:spPr>
        <a:xfrm>
          <a:off x="21450300" y="7379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404</xdr:row>
      <xdr:rowOff>0</xdr:rowOff>
    </xdr:from>
    <xdr:to>
      <xdr:col>60</xdr:col>
      <xdr:colOff>83820</xdr:colOff>
      <xdr:row>404</xdr:row>
      <xdr:rowOff>114300</xdr:rowOff>
    </xdr:to>
    <xdr:sp macro="" textlink="">
      <xdr:nvSpPr>
        <xdr:cNvPr id="3105" name="Arrow: Down 3104">
          <a:extLst>
            <a:ext uri="{FF2B5EF4-FFF2-40B4-BE49-F238E27FC236}">
              <a16:creationId xmlns:a16="http://schemas.microsoft.com/office/drawing/2014/main" id="{4F684A2C-4F8D-4D75-8F7D-D436B88D6DAA}"/>
            </a:ext>
          </a:extLst>
        </xdr:cNvPr>
        <xdr:cNvSpPr/>
      </xdr:nvSpPr>
      <xdr:spPr>
        <a:xfrm>
          <a:off x="19019520" y="7379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404</xdr:row>
      <xdr:rowOff>0</xdr:rowOff>
    </xdr:from>
    <xdr:to>
      <xdr:col>39</xdr:col>
      <xdr:colOff>83820</xdr:colOff>
      <xdr:row>404</xdr:row>
      <xdr:rowOff>114300</xdr:rowOff>
    </xdr:to>
    <xdr:sp macro="" textlink="">
      <xdr:nvSpPr>
        <xdr:cNvPr id="3107" name="Arrow: Down 3106">
          <a:extLst>
            <a:ext uri="{FF2B5EF4-FFF2-40B4-BE49-F238E27FC236}">
              <a16:creationId xmlns:a16="http://schemas.microsoft.com/office/drawing/2014/main" id="{EA7E324D-BDE8-4059-B7EB-5DDEF28BE3D9}"/>
            </a:ext>
          </a:extLst>
        </xdr:cNvPr>
        <xdr:cNvSpPr/>
      </xdr:nvSpPr>
      <xdr:spPr>
        <a:xfrm rot="10800000">
          <a:off x="11544300" y="7398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404</xdr:row>
      <xdr:rowOff>0</xdr:rowOff>
    </xdr:from>
    <xdr:to>
      <xdr:col>24</xdr:col>
      <xdr:colOff>83820</xdr:colOff>
      <xdr:row>404</xdr:row>
      <xdr:rowOff>114300</xdr:rowOff>
    </xdr:to>
    <xdr:sp macro="" textlink="">
      <xdr:nvSpPr>
        <xdr:cNvPr id="3108" name="Arrow: Down 3107">
          <a:extLst>
            <a:ext uri="{FF2B5EF4-FFF2-40B4-BE49-F238E27FC236}">
              <a16:creationId xmlns:a16="http://schemas.microsoft.com/office/drawing/2014/main" id="{BBA756E3-824F-4C02-8257-A994BE1DA8D0}"/>
            </a:ext>
          </a:extLst>
        </xdr:cNvPr>
        <xdr:cNvSpPr/>
      </xdr:nvSpPr>
      <xdr:spPr>
        <a:xfrm rot="10800000">
          <a:off x="833628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404</xdr:row>
      <xdr:rowOff>0</xdr:rowOff>
    </xdr:from>
    <xdr:to>
      <xdr:col>11</xdr:col>
      <xdr:colOff>83820</xdr:colOff>
      <xdr:row>404</xdr:row>
      <xdr:rowOff>114300</xdr:rowOff>
    </xdr:to>
    <xdr:sp macro="" textlink="">
      <xdr:nvSpPr>
        <xdr:cNvPr id="3110" name="Arrow: Down 3109">
          <a:extLst>
            <a:ext uri="{FF2B5EF4-FFF2-40B4-BE49-F238E27FC236}">
              <a16:creationId xmlns:a16="http://schemas.microsoft.com/office/drawing/2014/main" id="{95B4D214-4040-4741-B548-574738B2C0AE}"/>
            </a:ext>
          </a:extLst>
        </xdr:cNvPr>
        <xdr:cNvSpPr/>
      </xdr:nvSpPr>
      <xdr:spPr>
        <a:xfrm rot="10800000">
          <a:off x="369570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404</xdr:row>
      <xdr:rowOff>0</xdr:rowOff>
    </xdr:from>
    <xdr:to>
      <xdr:col>5</xdr:col>
      <xdr:colOff>83820</xdr:colOff>
      <xdr:row>404</xdr:row>
      <xdr:rowOff>114300</xdr:rowOff>
    </xdr:to>
    <xdr:sp macro="" textlink="">
      <xdr:nvSpPr>
        <xdr:cNvPr id="3111" name="Arrow: Down 3110">
          <a:extLst>
            <a:ext uri="{FF2B5EF4-FFF2-40B4-BE49-F238E27FC236}">
              <a16:creationId xmlns:a16="http://schemas.microsoft.com/office/drawing/2014/main" id="{D4CC520C-2998-4B19-8AF8-F33BC2D412BC}"/>
            </a:ext>
          </a:extLst>
        </xdr:cNvPr>
        <xdr:cNvSpPr/>
      </xdr:nvSpPr>
      <xdr:spPr>
        <a:xfrm rot="10800000">
          <a:off x="192786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405</xdr:row>
      <xdr:rowOff>0</xdr:rowOff>
    </xdr:from>
    <xdr:to>
      <xdr:col>45</xdr:col>
      <xdr:colOff>83820</xdr:colOff>
      <xdr:row>405</xdr:row>
      <xdr:rowOff>114300</xdr:rowOff>
    </xdr:to>
    <xdr:sp macro="" textlink="">
      <xdr:nvSpPr>
        <xdr:cNvPr id="3119" name="Arrow: Down 3118">
          <a:extLst>
            <a:ext uri="{FF2B5EF4-FFF2-40B4-BE49-F238E27FC236}">
              <a16:creationId xmlns:a16="http://schemas.microsoft.com/office/drawing/2014/main" id="{78B354DB-2A9D-439E-B8E8-239B935B4DFC}"/>
            </a:ext>
          </a:extLst>
        </xdr:cNvPr>
        <xdr:cNvSpPr/>
      </xdr:nvSpPr>
      <xdr:spPr>
        <a:xfrm rot="10800000">
          <a:off x="13403580" y="7398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405</xdr:row>
      <xdr:rowOff>0</xdr:rowOff>
    </xdr:from>
    <xdr:to>
      <xdr:col>71</xdr:col>
      <xdr:colOff>83820</xdr:colOff>
      <xdr:row>405</xdr:row>
      <xdr:rowOff>114300</xdr:rowOff>
    </xdr:to>
    <xdr:sp macro="" textlink="">
      <xdr:nvSpPr>
        <xdr:cNvPr id="3120" name="Arrow: Down 3119">
          <a:extLst>
            <a:ext uri="{FF2B5EF4-FFF2-40B4-BE49-F238E27FC236}">
              <a16:creationId xmlns:a16="http://schemas.microsoft.com/office/drawing/2014/main" id="{65359E89-615C-4193-AAC6-C37B0CD8FCF0}"/>
            </a:ext>
          </a:extLst>
        </xdr:cNvPr>
        <xdr:cNvSpPr/>
      </xdr:nvSpPr>
      <xdr:spPr>
        <a:xfrm>
          <a:off x="21450300" y="7398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405</xdr:row>
      <xdr:rowOff>0</xdr:rowOff>
    </xdr:from>
    <xdr:to>
      <xdr:col>24</xdr:col>
      <xdr:colOff>83820</xdr:colOff>
      <xdr:row>405</xdr:row>
      <xdr:rowOff>114300</xdr:rowOff>
    </xdr:to>
    <xdr:sp macro="" textlink="">
      <xdr:nvSpPr>
        <xdr:cNvPr id="3123" name="Arrow: Down 3122">
          <a:extLst>
            <a:ext uri="{FF2B5EF4-FFF2-40B4-BE49-F238E27FC236}">
              <a16:creationId xmlns:a16="http://schemas.microsoft.com/office/drawing/2014/main" id="{BDDC55A4-E6D9-415A-B122-737BA05F86E3}"/>
            </a:ext>
          </a:extLst>
        </xdr:cNvPr>
        <xdr:cNvSpPr/>
      </xdr:nvSpPr>
      <xdr:spPr>
        <a:xfrm rot="10800000">
          <a:off x="833628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405</xdr:row>
      <xdr:rowOff>0</xdr:rowOff>
    </xdr:from>
    <xdr:to>
      <xdr:col>11</xdr:col>
      <xdr:colOff>83820</xdr:colOff>
      <xdr:row>405</xdr:row>
      <xdr:rowOff>114300</xdr:rowOff>
    </xdr:to>
    <xdr:sp macro="" textlink="">
      <xdr:nvSpPr>
        <xdr:cNvPr id="3124" name="Arrow: Down 3123">
          <a:extLst>
            <a:ext uri="{FF2B5EF4-FFF2-40B4-BE49-F238E27FC236}">
              <a16:creationId xmlns:a16="http://schemas.microsoft.com/office/drawing/2014/main" id="{F6BBF9F7-BBDE-4BF9-A8DB-C7E20B3029DB}"/>
            </a:ext>
          </a:extLst>
        </xdr:cNvPr>
        <xdr:cNvSpPr/>
      </xdr:nvSpPr>
      <xdr:spPr>
        <a:xfrm rot="10800000">
          <a:off x="369570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405</xdr:row>
      <xdr:rowOff>0</xdr:rowOff>
    </xdr:from>
    <xdr:to>
      <xdr:col>5</xdr:col>
      <xdr:colOff>83820</xdr:colOff>
      <xdr:row>405</xdr:row>
      <xdr:rowOff>114300</xdr:rowOff>
    </xdr:to>
    <xdr:sp macro="" textlink="">
      <xdr:nvSpPr>
        <xdr:cNvPr id="3125" name="Arrow: Down 3124">
          <a:extLst>
            <a:ext uri="{FF2B5EF4-FFF2-40B4-BE49-F238E27FC236}">
              <a16:creationId xmlns:a16="http://schemas.microsoft.com/office/drawing/2014/main" id="{A6C1230F-8572-4A1E-ABF0-0413AE1D5D15}"/>
            </a:ext>
          </a:extLst>
        </xdr:cNvPr>
        <xdr:cNvSpPr/>
      </xdr:nvSpPr>
      <xdr:spPr>
        <a:xfrm rot="10800000">
          <a:off x="192786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405</xdr:row>
      <xdr:rowOff>0</xdr:rowOff>
    </xdr:from>
    <xdr:to>
      <xdr:col>39</xdr:col>
      <xdr:colOff>83820</xdr:colOff>
      <xdr:row>405</xdr:row>
      <xdr:rowOff>114300</xdr:rowOff>
    </xdr:to>
    <xdr:sp macro="" textlink="">
      <xdr:nvSpPr>
        <xdr:cNvPr id="3126" name="Arrow: Down 3125">
          <a:extLst>
            <a:ext uri="{FF2B5EF4-FFF2-40B4-BE49-F238E27FC236}">
              <a16:creationId xmlns:a16="http://schemas.microsoft.com/office/drawing/2014/main" id="{A874047F-930A-4BBB-873D-932A53B96D21}"/>
            </a:ext>
          </a:extLst>
        </xdr:cNvPr>
        <xdr:cNvSpPr/>
      </xdr:nvSpPr>
      <xdr:spPr>
        <a:xfrm>
          <a:off x="1154430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405</xdr:row>
      <xdr:rowOff>0</xdr:rowOff>
    </xdr:from>
    <xdr:to>
      <xdr:col>60</xdr:col>
      <xdr:colOff>83820</xdr:colOff>
      <xdr:row>405</xdr:row>
      <xdr:rowOff>114300</xdr:rowOff>
    </xdr:to>
    <xdr:sp macro="" textlink="">
      <xdr:nvSpPr>
        <xdr:cNvPr id="3127" name="Arrow: Down 3126">
          <a:extLst>
            <a:ext uri="{FF2B5EF4-FFF2-40B4-BE49-F238E27FC236}">
              <a16:creationId xmlns:a16="http://schemas.microsoft.com/office/drawing/2014/main" id="{55019972-81D0-47BA-A455-8580759A0CFB}"/>
            </a:ext>
          </a:extLst>
        </xdr:cNvPr>
        <xdr:cNvSpPr/>
      </xdr:nvSpPr>
      <xdr:spPr>
        <a:xfrm rot="10800000">
          <a:off x="1901952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406</xdr:row>
      <xdr:rowOff>0</xdr:rowOff>
    </xdr:from>
    <xdr:to>
      <xdr:col>45</xdr:col>
      <xdr:colOff>83820</xdr:colOff>
      <xdr:row>406</xdr:row>
      <xdr:rowOff>114300</xdr:rowOff>
    </xdr:to>
    <xdr:sp macro="" textlink="">
      <xdr:nvSpPr>
        <xdr:cNvPr id="2862" name="Arrow: Down 2861">
          <a:extLst>
            <a:ext uri="{FF2B5EF4-FFF2-40B4-BE49-F238E27FC236}">
              <a16:creationId xmlns:a16="http://schemas.microsoft.com/office/drawing/2014/main" id="{7DE853BE-6583-44AB-91D6-46E5336D939A}"/>
            </a:ext>
          </a:extLst>
        </xdr:cNvPr>
        <xdr:cNvSpPr/>
      </xdr:nvSpPr>
      <xdr:spPr>
        <a:xfrm rot="10800000">
          <a:off x="13403580" y="7416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406</xdr:row>
      <xdr:rowOff>0</xdr:rowOff>
    </xdr:from>
    <xdr:to>
      <xdr:col>71</xdr:col>
      <xdr:colOff>83820</xdr:colOff>
      <xdr:row>406</xdr:row>
      <xdr:rowOff>114300</xdr:rowOff>
    </xdr:to>
    <xdr:sp macro="" textlink="">
      <xdr:nvSpPr>
        <xdr:cNvPr id="2889" name="Arrow: Down 2888">
          <a:extLst>
            <a:ext uri="{FF2B5EF4-FFF2-40B4-BE49-F238E27FC236}">
              <a16:creationId xmlns:a16="http://schemas.microsoft.com/office/drawing/2014/main" id="{05989293-EDA5-47DB-B359-B3A61DA007BB}"/>
            </a:ext>
          </a:extLst>
        </xdr:cNvPr>
        <xdr:cNvSpPr/>
      </xdr:nvSpPr>
      <xdr:spPr>
        <a:xfrm>
          <a:off x="21450300" y="7416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406</xdr:row>
      <xdr:rowOff>0</xdr:rowOff>
    </xdr:from>
    <xdr:to>
      <xdr:col>11</xdr:col>
      <xdr:colOff>83820</xdr:colOff>
      <xdr:row>406</xdr:row>
      <xdr:rowOff>114300</xdr:rowOff>
    </xdr:to>
    <xdr:sp macro="" textlink="">
      <xdr:nvSpPr>
        <xdr:cNvPr id="2976" name="Arrow: Down 2975">
          <a:extLst>
            <a:ext uri="{FF2B5EF4-FFF2-40B4-BE49-F238E27FC236}">
              <a16:creationId xmlns:a16="http://schemas.microsoft.com/office/drawing/2014/main" id="{25082139-7DCF-42C3-88E4-77E8F300744D}"/>
            </a:ext>
          </a:extLst>
        </xdr:cNvPr>
        <xdr:cNvSpPr/>
      </xdr:nvSpPr>
      <xdr:spPr>
        <a:xfrm rot="10800000">
          <a:off x="369570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406</xdr:row>
      <xdr:rowOff>0</xdr:rowOff>
    </xdr:from>
    <xdr:to>
      <xdr:col>5</xdr:col>
      <xdr:colOff>83820</xdr:colOff>
      <xdr:row>406</xdr:row>
      <xdr:rowOff>114300</xdr:rowOff>
    </xdr:to>
    <xdr:sp macro="" textlink="">
      <xdr:nvSpPr>
        <xdr:cNvPr id="2978" name="Arrow: Down 2977">
          <a:extLst>
            <a:ext uri="{FF2B5EF4-FFF2-40B4-BE49-F238E27FC236}">
              <a16:creationId xmlns:a16="http://schemas.microsoft.com/office/drawing/2014/main" id="{CDFA1C44-4906-46E9-B2DB-B584F28801A3}"/>
            </a:ext>
          </a:extLst>
        </xdr:cNvPr>
        <xdr:cNvSpPr/>
      </xdr:nvSpPr>
      <xdr:spPr>
        <a:xfrm rot="10800000">
          <a:off x="192786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406</xdr:row>
      <xdr:rowOff>0</xdr:rowOff>
    </xdr:from>
    <xdr:to>
      <xdr:col>24</xdr:col>
      <xdr:colOff>83820</xdr:colOff>
      <xdr:row>406</xdr:row>
      <xdr:rowOff>114300</xdr:rowOff>
    </xdr:to>
    <xdr:sp macro="" textlink="">
      <xdr:nvSpPr>
        <xdr:cNvPr id="2989" name="Arrow: Down 2988">
          <a:extLst>
            <a:ext uri="{FF2B5EF4-FFF2-40B4-BE49-F238E27FC236}">
              <a16:creationId xmlns:a16="http://schemas.microsoft.com/office/drawing/2014/main" id="{D1B398D0-C93A-4864-8693-37F9D96D40C5}"/>
            </a:ext>
          </a:extLst>
        </xdr:cNvPr>
        <xdr:cNvSpPr/>
      </xdr:nvSpPr>
      <xdr:spPr>
        <a:xfrm>
          <a:off x="833628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406</xdr:row>
      <xdr:rowOff>0</xdr:rowOff>
    </xdr:from>
    <xdr:to>
      <xdr:col>39</xdr:col>
      <xdr:colOff>83820</xdr:colOff>
      <xdr:row>406</xdr:row>
      <xdr:rowOff>114300</xdr:rowOff>
    </xdr:to>
    <xdr:sp macro="" textlink="">
      <xdr:nvSpPr>
        <xdr:cNvPr id="2993" name="Arrow: Down 2992">
          <a:extLst>
            <a:ext uri="{FF2B5EF4-FFF2-40B4-BE49-F238E27FC236}">
              <a16:creationId xmlns:a16="http://schemas.microsoft.com/office/drawing/2014/main" id="{73CB0D4F-3358-4F7C-98DC-9FCB9A7DA22D}"/>
            </a:ext>
          </a:extLst>
        </xdr:cNvPr>
        <xdr:cNvSpPr/>
      </xdr:nvSpPr>
      <xdr:spPr>
        <a:xfrm rot="10800000">
          <a:off x="1154430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406</xdr:row>
      <xdr:rowOff>0</xdr:rowOff>
    </xdr:from>
    <xdr:to>
      <xdr:col>60</xdr:col>
      <xdr:colOff>83820</xdr:colOff>
      <xdr:row>406</xdr:row>
      <xdr:rowOff>114300</xdr:rowOff>
    </xdr:to>
    <xdr:sp macro="" textlink="">
      <xdr:nvSpPr>
        <xdr:cNvPr id="2994" name="Arrow: Down 2993">
          <a:extLst>
            <a:ext uri="{FF2B5EF4-FFF2-40B4-BE49-F238E27FC236}">
              <a16:creationId xmlns:a16="http://schemas.microsoft.com/office/drawing/2014/main" id="{6F3C4357-4756-4ABC-BEEB-44365333B6AE}"/>
            </a:ext>
          </a:extLst>
        </xdr:cNvPr>
        <xdr:cNvSpPr/>
      </xdr:nvSpPr>
      <xdr:spPr>
        <a:xfrm>
          <a:off x="1901952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407</xdr:row>
      <xdr:rowOff>0</xdr:rowOff>
    </xdr:from>
    <xdr:to>
      <xdr:col>45</xdr:col>
      <xdr:colOff>83820</xdr:colOff>
      <xdr:row>407</xdr:row>
      <xdr:rowOff>114300</xdr:rowOff>
    </xdr:to>
    <xdr:sp macro="" textlink="">
      <xdr:nvSpPr>
        <xdr:cNvPr id="2995" name="Arrow: Down 2994">
          <a:extLst>
            <a:ext uri="{FF2B5EF4-FFF2-40B4-BE49-F238E27FC236}">
              <a16:creationId xmlns:a16="http://schemas.microsoft.com/office/drawing/2014/main" id="{A504E158-ACB2-4A29-B5EA-16D941DF80CB}"/>
            </a:ext>
          </a:extLst>
        </xdr:cNvPr>
        <xdr:cNvSpPr/>
      </xdr:nvSpPr>
      <xdr:spPr>
        <a:xfrm rot="10800000">
          <a:off x="1340358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407</xdr:row>
      <xdr:rowOff>0</xdr:rowOff>
    </xdr:from>
    <xdr:to>
      <xdr:col>71</xdr:col>
      <xdr:colOff>83820</xdr:colOff>
      <xdr:row>407</xdr:row>
      <xdr:rowOff>114300</xdr:rowOff>
    </xdr:to>
    <xdr:sp macro="" textlink="">
      <xdr:nvSpPr>
        <xdr:cNvPr id="2996" name="Arrow: Down 2995">
          <a:extLst>
            <a:ext uri="{FF2B5EF4-FFF2-40B4-BE49-F238E27FC236}">
              <a16:creationId xmlns:a16="http://schemas.microsoft.com/office/drawing/2014/main" id="{F6259CF0-2258-4FB3-9307-77CA851002C3}"/>
            </a:ext>
          </a:extLst>
        </xdr:cNvPr>
        <xdr:cNvSpPr/>
      </xdr:nvSpPr>
      <xdr:spPr>
        <a:xfrm>
          <a:off x="2145030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407</xdr:row>
      <xdr:rowOff>0</xdr:rowOff>
    </xdr:from>
    <xdr:to>
      <xdr:col>11</xdr:col>
      <xdr:colOff>83820</xdr:colOff>
      <xdr:row>407</xdr:row>
      <xdr:rowOff>114300</xdr:rowOff>
    </xdr:to>
    <xdr:sp macro="" textlink="">
      <xdr:nvSpPr>
        <xdr:cNvPr id="2997" name="Arrow: Down 2996">
          <a:extLst>
            <a:ext uri="{FF2B5EF4-FFF2-40B4-BE49-F238E27FC236}">
              <a16:creationId xmlns:a16="http://schemas.microsoft.com/office/drawing/2014/main" id="{C79A0C60-54BF-4FF6-A9CE-F3D6BF353DCE}"/>
            </a:ext>
          </a:extLst>
        </xdr:cNvPr>
        <xdr:cNvSpPr/>
      </xdr:nvSpPr>
      <xdr:spPr>
        <a:xfrm rot="10800000">
          <a:off x="3695700" y="7434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407</xdr:row>
      <xdr:rowOff>0</xdr:rowOff>
    </xdr:from>
    <xdr:to>
      <xdr:col>5</xdr:col>
      <xdr:colOff>83820</xdr:colOff>
      <xdr:row>407</xdr:row>
      <xdr:rowOff>114300</xdr:rowOff>
    </xdr:to>
    <xdr:sp macro="" textlink="">
      <xdr:nvSpPr>
        <xdr:cNvPr id="3002" name="Arrow: Down 3001">
          <a:extLst>
            <a:ext uri="{FF2B5EF4-FFF2-40B4-BE49-F238E27FC236}">
              <a16:creationId xmlns:a16="http://schemas.microsoft.com/office/drawing/2014/main" id="{C739CED6-1BA2-48D0-991B-68096F32C7C6}"/>
            </a:ext>
          </a:extLst>
        </xdr:cNvPr>
        <xdr:cNvSpPr/>
      </xdr:nvSpPr>
      <xdr:spPr>
        <a:xfrm rot="10800000">
          <a:off x="1927860" y="7434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407</xdr:row>
      <xdr:rowOff>0</xdr:rowOff>
    </xdr:from>
    <xdr:to>
      <xdr:col>60</xdr:col>
      <xdr:colOff>83820</xdr:colOff>
      <xdr:row>407</xdr:row>
      <xdr:rowOff>114300</xdr:rowOff>
    </xdr:to>
    <xdr:sp macro="" textlink="">
      <xdr:nvSpPr>
        <xdr:cNvPr id="3014" name="Arrow: Down 3013">
          <a:extLst>
            <a:ext uri="{FF2B5EF4-FFF2-40B4-BE49-F238E27FC236}">
              <a16:creationId xmlns:a16="http://schemas.microsoft.com/office/drawing/2014/main" id="{BA76AA64-43DC-416A-B880-96B4479C98E2}"/>
            </a:ext>
          </a:extLst>
        </xdr:cNvPr>
        <xdr:cNvSpPr/>
      </xdr:nvSpPr>
      <xdr:spPr>
        <a:xfrm>
          <a:off x="1901952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407</xdr:row>
      <xdr:rowOff>0</xdr:rowOff>
    </xdr:from>
    <xdr:to>
      <xdr:col>24</xdr:col>
      <xdr:colOff>83820</xdr:colOff>
      <xdr:row>407</xdr:row>
      <xdr:rowOff>114300</xdr:rowOff>
    </xdr:to>
    <xdr:sp macro="" textlink="">
      <xdr:nvSpPr>
        <xdr:cNvPr id="3016" name="Arrow: Down 3015">
          <a:extLst>
            <a:ext uri="{FF2B5EF4-FFF2-40B4-BE49-F238E27FC236}">
              <a16:creationId xmlns:a16="http://schemas.microsoft.com/office/drawing/2014/main" id="{3E51ED83-4AE1-41FB-B3FA-38A52BC85278}"/>
            </a:ext>
          </a:extLst>
        </xdr:cNvPr>
        <xdr:cNvSpPr/>
      </xdr:nvSpPr>
      <xdr:spPr>
        <a:xfrm rot="10800000">
          <a:off x="8336280" y="7453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407</xdr:row>
      <xdr:rowOff>0</xdr:rowOff>
    </xdr:from>
    <xdr:to>
      <xdr:col>39</xdr:col>
      <xdr:colOff>83820</xdr:colOff>
      <xdr:row>407</xdr:row>
      <xdr:rowOff>114300</xdr:rowOff>
    </xdr:to>
    <xdr:sp macro="" textlink="">
      <xdr:nvSpPr>
        <xdr:cNvPr id="3019" name="Arrow: Down 3018">
          <a:extLst>
            <a:ext uri="{FF2B5EF4-FFF2-40B4-BE49-F238E27FC236}">
              <a16:creationId xmlns:a16="http://schemas.microsoft.com/office/drawing/2014/main" id="{1FB9B636-0210-4CEE-AB9E-8C2E23A449F7}"/>
            </a:ext>
          </a:extLst>
        </xdr:cNvPr>
        <xdr:cNvSpPr/>
      </xdr:nvSpPr>
      <xdr:spPr>
        <a:xfrm>
          <a:off x="11544300" y="7453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408</xdr:row>
      <xdr:rowOff>0</xdr:rowOff>
    </xdr:from>
    <xdr:to>
      <xdr:col>45</xdr:col>
      <xdr:colOff>83820</xdr:colOff>
      <xdr:row>408</xdr:row>
      <xdr:rowOff>114300</xdr:rowOff>
    </xdr:to>
    <xdr:sp macro="" textlink="">
      <xdr:nvSpPr>
        <xdr:cNvPr id="3034" name="Arrow: Down 3033">
          <a:extLst>
            <a:ext uri="{FF2B5EF4-FFF2-40B4-BE49-F238E27FC236}">
              <a16:creationId xmlns:a16="http://schemas.microsoft.com/office/drawing/2014/main" id="{92F946E5-5DC5-4C6E-BCB2-1B4C21A42FDE}"/>
            </a:ext>
          </a:extLst>
        </xdr:cNvPr>
        <xdr:cNvSpPr/>
      </xdr:nvSpPr>
      <xdr:spPr>
        <a:xfrm rot="10800000">
          <a:off x="13403580" y="7453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408</xdr:row>
      <xdr:rowOff>0</xdr:rowOff>
    </xdr:from>
    <xdr:to>
      <xdr:col>71</xdr:col>
      <xdr:colOff>83820</xdr:colOff>
      <xdr:row>408</xdr:row>
      <xdr:rowOff>114300</xdr:rowOff>
    </xdr:to>
    <xdr:sp macro="" textlink="">
      <xdr:nvSpPr>
        <xdr:cNvPr id="3035" name="Arrow: Down 3034">
          <a:extLst>
            <a:ext uri="{FF2B5EF4-FFF2-40B4-BE49-F238E27FC236}">
              <a16:creationId xmlns:a16="http://schemas.microsoft.com/office/drawing/2014/main" id="{2829585A-5C3A-42FE-A351-38071EB7A4A3}"/>
            </a:ext>
          </a:extLst>
        </xdr:cNvPr>
        <xdr:cNvSpPr/>
      </xdr:nvSpPr>
      <xdr:spPr>
        <a:xfrm>
          <a:off x="21450300" y="7453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408</xdr:row>
      <xdr:rowOff>0</xdr:rowOff>
    </xdr:from>
    <xdr:to>
      <xdr:col>60</xdr:col>
      <xdr:colOff>83820</xdr:colOff>
      <xdr:row>408</xdr:row>
      <xdr:rowOff>114300</xdr:rowOff>
    </xdr:to>
    <xdr:sp macro="" textlink="">
      <xdr:nvSpPr>
        <xdr:cNvPr id="3043" name="Arrow: Down 3042">
          <a:extLst>
            <a:ext uri="{FF2B5EF4-FFF2-40B4-BE49-F238E27FC236}">
              <a16:creationId xmlns:a16="http://schemas.microsoft.com/office/drawing/2014/main" id="{EF164FC8-5AAB-40ED-BDC6-A12E8723C90E}"/>
            </a:ext>
          </a:extLst>
        </xdr:cNvPr>
        <xdr:cNvSpPr/>
      </xdr:nvSpPr>
      <xdr:spPr>
        <a:xfrm rot="10800000">
          <a:off x="19019520" y="7471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408</xdr:row>
      <xdr:rowOff>0</xdr:rowOff>
    </xdr:from>
    <xdr:to>
      <xdr:col>39</xdr:col>
      <xdr:colOff>83820</xdr:colOff>
      <xdr:row>408</xdr:row>
      <xdr:rowOff>114300</xdr:rowOff>
    </xdr:to>
    <xdr:sp macro="" textlink="">
      <xdr:nvSpPr>
        <xdr:cNvPr id="3045" name="Arrow: Down 3044">
          <a:extLst>
            <a:ext uri="{FF2B5EF4-FFF2-40B4-BE49-F238E27FC236}">
              <a16:creationId xmlns:a16="http://schemas.microsoft.com/office/drawing/2014/main" id="{0D0064B0-8EB9-470D-BECD-CC841DD3109C}"/>
            </a:ext>
          </a:extLst>
        </xdr:cNvPr>
        <xdr:cNvSpPr/>
      </xdr:nvSpPr>
      <xdr:spPr>
        <a:xfrm rot="10800000">
          <a:off x="115443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408</xdr:row>
      <xdr:rowOff>0</xdr:rowOff>
    </xdr:from>
    <xdr:to>
      <xdr:col>24</xdr:col>
      <xdr:colOff>83820</xdr:colOff>
      <xdr:row>408</xdr:row>
      <xdr:rowOff>114300</xdr:rowOff>
    </xdr:to>
    <xdr:sp macro="" textlink="">
      <xdr:nvSpPr>
        <xdr:cNvPr id="3048" name="Arrow: Down 3047">
          <a:extLst>
            <a:ext uri="{FF2B5EF4-FFF2-40B4-BE49-F238E27FC236}">
              <a16:creationId xmlns:a16="http://schemas.microsoft.com/office/drawing/2014/main" id="{33510A21-A548-497D-906B-9447452DC5C4}"/>
            </a:ext>
          </a:extLst>
        </xdr:cNvPr>
        <xdr:cNvSpPr/>
      </xdr:nvSpPr>
      <xdr:spPr>
        <a:xfrm>
          <a:off x="833628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83820</xdr:colOff>
      <xdr:row>408</xdr:row>
      <xdr:rowOff>114300</xdr:rowOff>
    </xdr:to>
    <xdr:sp macro="" textlink="">
      <xdr:nvSpPr>
        <xdr:cNvPr id="3055" name="Arrow: Down 3054">
          <a:extLst>
            <a:ext uri="{FF2B5EF4-FFF2-40B4-BE49-F238E27FC236}">
              <a16:creationId xmlns:a16="http://schemas.microsoft.com/office/drawing/2014/main" id="{11364C07-93BC-43DF-AC0A-7A496F5F22BF}"/>
            </a:ext>
          </a:extLst>
        </xdr:cNvPr>
        <xdr:cNvSpPr/>
      </xdr:nvSpPr>
      <xdr:spPr>
        <a:xfrm>
          <a:off x="192786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408</xdr:row>
      <xdr:rowOff>0</xdr:rowOff>
    </xdr:from>
    <xdr:to>
      <xdr:col>11</xdr:col>
      <xdr:colOff>83820</xdr:colOff>
      <xdr:row>408</xdr:row>
      <xdr:rowOff>114300</xdr:rowOff>
    </xdr:to>
    <xdr:sp macro="" textlink="">
      <xdr:nvSpPr>
        <xdr:cNvPr id="3057" name="Arrow: Down 3056">
          <a:extLst>
            <a:ext uri="{FF2B5EF4-FFF2-40B4-BE49-F238E27FC236}">
              <a16:creationId xmlns:a16="http://schemas.microsoft.com/office/drawing/2014/main" id="{BF086131-CB41-4F15-960D-DB080D1F5C25}"/>
            </a:ext>
          </a:extLst>
        </xdr:cNvPr>
        <xdr:cNvSpPr/>
      </xdr:nvSpPr>
      <xdr:spPr>
        <a:xfrm>
          <a:off x="36957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409</xdr:row>
      <xdr:rowOff>0</xdr:rowOff>
    </xdr:from>
    <xdr:to>
      <xdr:col>45</xdr:col>
      <xdr:colOff>83820</xdr:colOff>
      <xdr:row>409</xdr:row>
      <xdr:rowOff>114300</xdr:rowOff>
    </xdr:to>
    <xdr:sp macro="" textlink="">
      <xdr:nvSpPr>
        <xdr:cNvPr id="3072" name="Arrow: Down 3071">
          <a:extLst>
            <a:ext uri="{FF2B5EF4-FFF2-40B4-BE49-F238E27FC236}">
              <a16:creationId xmlns:a16="http://schemas.microsoft.com/office/drawing/2014/main" id="{26A13A16-0417-4851-ACD5-9DD7F6C334E2}"/>
            </a:ext>
          </a:extLst>
        </xdr:cNvPr>
        <xdr:cNvSpPr/>
      </xdr:nvSpPr>
      <xdr:spPr>
        <a:xfrm rot="10800000">
          <a:off x="1340358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409</xdr:row>
      <xdr:rowOff>0</xdr:rowOff>
    </xdr:from>
    <xdr:to>
      <xdr:col>71</xdr:col>
      <xdr:colOff>83820</xdr:colOff>
      <xdr:row>409</xdr:row>
      <xdr:rowOff>114300</xdr:rowOff>
    </xdr:to>
    <xdr:sp macro="" textlink="">
      <xdr:nvSpPr>
        <xdr:cNvPr id="3073" name="Arrow: Down 3072">
          <a:extLst>
            <a:ext uri="{FF2B5EF4-FFF2-40B4-BE49-F238E27FC236}">
              <a16:creationId xmlns:a16="http://schemas.microsoft.com/office/drawing/2014/main" id="{BE5B0707-1E89-4F95-9C68-F6C0A259D11C}"/>
            </a:ext>
          </a:extLst>
        </xdr:cNvPr>
        <xdr:cNvSpPr/>
      </xdr:nvSpPr>
      <xdr:spPr>
        <a:xfrm>
          <a:off x="214503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409</xdr:row>
      <xdr:rowOff>0</xdr:rowOff>
    </xdr:from>
    <xdr:to>
      <xdr:col>24</xdr:col>
      <xdr:colOff>83820</xdr:colOff>
      <xdr:row>409</xdr:row>
      <xdr:rowOff>114300</xdr:rowOff>
    </xdr:to>
    <xdr:sp macro="" textlink="">
      <xdr:nvSpPr>
        <xdr:cNvPr id="3078" name="Arrow: Down 3077">
          <a:extLst>
            <a:ext uri="{FF2B5EF4-FFF2-40B4-BE49-F238E27FC236}">
              <a16:creationId xmlns:a16="http://schemas.microsoft.com/office/drawing/2014/main" id="{59B47097-CFF1-4C3D-B2E2-0E0C28BC9D2C}"/>
            </a:ext>
          </a:extLst>
        </xdr:cNvPr>
        <xdr:cNvSpPr/>
      </xdr:nvSpPr>
      <xdr:spPr>
        <a:xfrm>
          <a:off x="833628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409</xdr:row>
      <xdr:rowOff>0</xdr:rowOff>
    </xdr:from>
    <xdr:to>
      <xdr:col>5</xdr:col>
      <xdr:colOff>83820</xdr:colOff>
      <xdr:row>409</xdr:row>
      <xdr:rowOff>114300</xdr:rowOff>
    </xdr:to>
    <xdr:sp macro="" textlink="">
      <xdr:nvSpPr>
        <xdr:cNvPr id="3081" name="Arrow: Down 3080">
          <a:extLst>
            <a:ext uri="{FF2B5EF4-FFF2-40B4-BE49-F238E27FC236}">
              <a16:creationId xmlns:a16="http://schemas.microsoft.com/office/drawing/2014/main" id="{53192E06-4665-41EF-933F-84768E02CA02}"/>
            </a:ext>
          </a:extLst>
        </xdr:cNvPr>
        <xdr:cNvSpPr/>
      </xdr:nvSpPr>
      <xdr:spPr>
        <a:xfrm>
          <a:off x="192786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409</xdr:row>
      <xdr:rowOff>0</xdr:rowOff>
    </xdr:from>
    <xdr:to>
      <xdr:col>11</xdr:col>
      <xdr:colOff>83820</xdr:colOff>
      <xdr:row>409</xdr:row>
      <xdr:rowOff>114300</xdr:rowOff>
    </xdr:to>
    <xdr:sp macro="" textlink="">
      <xdr:nvSpPr>
        <xdr:cNvPr id="3083" name="Arrow: Down 3082">
          <a:extLst>
            <a:ext uri="{FF2B5EF4-FFF2-40B4-BE49-F238E27FC236}">
              <a16:creationId xmlns:a16="http://schemas.microsoft.com/office/drawing/2014/main" id="{F3D251CB-2723-4D24-BC2D-0BE43AD41FDB}"/>
            </a:ext>
          </a:extLst>
        </xdr:cNvPr>
        <xdr:cNvSpPr/>
      </xdr:nvSpPr>
      <xdr:spPr>
        <a:xfrm>
          <a:off x="36957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409</xdr:row>
      <xdr:rowOff>0</xdr:rowOff>
    </xdr:from>
    <xdr:to>
      <xdr:col>39</xdr:col>
      <xdr:colOff>83820</xdr:colOff>
      <xdr:row>409</xdr:row>
      <xdr:rowOff>114300</xdr:rowOff>
    </xdr:to>
    <xdr:sp macro="" textlink="">
      <xdr:nvSpPr>
        <xdr:cNvPr id="3085" name="Arrow: Down 3084">
          <a:extLst>
            <a:ext uri="{FF2B5EF4-FFF2-40B4-BE49-F238E27FC236}">
              <a16:creationId xmlns:a16="http://schemas.microsoft.com/office/drawing/2014/main" id="{EAF001A6-2B1D-40FD-BF3B-E07C973DED70}"/>
            </a:ext>
          </a:extLst>
        </xdr:cNvPr>
        <xdr:cNvSpPr/>
      </xdr:nvSpPr>
      <xdr:spPr>
        <a:xfrm>
          <a:off x="11544300" y="7489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409</xdr:row>
      <xdr:rowOff>0</xdr:rowOff>
    </xdr:from>
    <xdr:to>
      <xdr:col>60</xdr:col>
      <xdr:colOff>83820</xdr:colOff>
      <xdr:row>409</xdr:row>
      <xdr:rowOff>114300</xdr:rowOff>
    </xdr:to>
    <xdr:sp macro="" textlink="">
      <xdr:nvSpPr>
        <xdr:cNvPr id="3087" name="Arrow: Down 3086">
          <a:extLst>
            <a:ext uri="{FF2B5EF4-FFF2-40B4-BE49-F238E27FC236}">
              <a16:creationId xmlns:a16="http://schemas.microsoft.com/office/drawing/2014/main" id="{6D505FD6-C126-40AF-A6D5-DAC87C49AF0A}"/>
            </a:ext>
          </a:extLst>
        </xdr:cNvPr>
        <xdr:cNvSpPr/>
      </xdr:nvSpPr>
      <xdr:spPr>
        <a:xfrm>
          <a:off x="1901952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410</xdr:row>
      <xdr:rowOff>0</xdr:rowOff>
    </xdr:from>
    <xdr:to>
      <xdr:col>45</xdr:col>
      <xdr:colOff>83820</xdr:colOff>
      <xdr:row>410</xdr:row>
      <xdr:rowOff>114300</xdr:rowOff>
    </xdr:to>
    <xdr:sp macro="" textlink="">
      <xdr:nvSpPr>
        <xdr:cNvPr id="3088" name="Arrow: Down 3087">
          <a:extLst>
            <a:ext uri="{FF2B5EF4-FFF2-40B4-BE49-F238E27FC236}">
              <a16:creationId xmlns:a16="http://schemas.microsoft.com/office/drawing/2014/main" id="{D55AF6C9-77F7-41D1-ACBA-8D06CF3F0D09}"/>
            </a:ext>
          </a:extLst>
        </xdr:cNvPr>
        <xdr:cNvSpPr/>
      </xdr:nvSpPr>
      <xdr:spPr>
        <a:xfrm rot="10800000">
          <a:off x="1340358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410</xdr:row>
      <xdr:rowOff>0</xdr:rowOff>
    </xdr:from>
    <xdr:to>
      <xdr:col>71</xdr:col>
      <xdr:colOff>83820</xdr:colOff>
      <xdr:row>410</xdr:row>
      <xdr:rowOff>114300</xdr:rowOff>
    </xdr:to>
    <xdr:sp macro="" textlink="">
      <xdr:nvSpPr>
        <xdr:cNvPr id="3089" name="Arrow: Down 3088">
          <a:extLst>
            <a:ext uri="{FF2B5EF4-FFF2-40B4-BE49-F238E27FC236}">
              <a16:creationId xmlns:a16="http://schemas.microsoft.com/office/drawing/2014/main" id="{A0318453-CD0E-477C-B1C7-9271123907E6}"/>
            </a:ext>
          </a:extLst>
        </xdr:cNvPr>
        <xdr:cNvSpPr/>
      </xdr:nvSpPr>
      <xdr:spPr>
        <a:xfrm>
          <a:off x="2145030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83820</xdr:colOff>
      <xdr:row>410</xdr:row>
      <xdr:rowOff>114300</xdr:rowOff>
    </xdr:to>
    <xdr:sp macro="" textlink="">
      <xdr:nvSpPr>
        <xdr:cNvPr id="3090" name="Arrow: Down 3089">
          <a:extLst>
            <a:ext uri="{FF2B5EF4-FFF2-40B4-BE49-F238E27FC236}">
              <a16:creationId xmlns:a16="http://schemas.microsoft.com/office/drawing/2014/main" id="{512B0DC0-114E-461F-A1AF-41FE9A3E54F4}"/>
            </a:ext>
          </a:extLst>
        </xdr:cNvPr>
        <xdr:cNvSpPr/>
      </xdr:nvSpPr>
      <xdr:spPr>
        <a:xfrm>
          <a:off x="833628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83820</xdr:colOff>
      <xdr:row>410</xdr:row>
      <xdr:rowOff>114300</xdr:rowOff>
    </xdr:to>
    <xdr:sp macro="" textlink="">
      <xdr:nvSpPr>
        <xdr:cNvPr id="3091" name="Arrow: Down 3090">
          <a:extLst>
            <a:ext uri="{FF2B5EF4-FFF2-40B4-BE49-F238E27FC236}">
              <a16:creationId xmlns:a16="http://schemas.microsoft.com/office/drawing/2014/main" id="{354DE53E-55DF-4D18-987E-896159AB1E15}"/>
            </a:ext>
          </a:extLst>
        </xdr:cNvPr>
        <xdr:cNvSpPr/>
      </xdr:nvSpPr>
      <xdr:spPr>
        <a:xfrm>
          <a:off x="192786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410</xdr:row>
      <xdr:rowOff>0</xdr:rowOff>
    </xdr:from>
    <xdr:to>
      <xdr:col>11</xdr:col>
      <xdr:colOff>83820</xdr:colOff>
      <xdr:row>410</xdr:row>
      <xdr:rowOff>114300</xdr:rowOff>
    </xdr:to>
    <xdr:sp macro="" textlink="">
      <xdr:nvSpPr>
        <xdr:cNvPr id="3097" name="Arrow: Down 3096">
          <a:extLst>
            <a:ext uri="{FF2B5EF4-FFF2-40B4-BE49-F238E27FC236}">
              <a16:creationId xmlns:a16="http://schemas.microsoft.com/office/drawing/2014/main" id="{3A505DF2-CE16-4E51-BE54-A5C0211868C3}"/>
            </a:ext>
          </a:extLst>
        </xdr:cNvPr>
        <xdr:cNvSpPr/>
      </xdr:nvSpPr>
      <xdr:spPr>
        <a:xfrm>
          <a:off x="369570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410</xdr:row>
      <xdr:rowOff>0</xdr:rowOff>
    </xdr:from>
    <xdr:to>
      <xdr:col>39</xdr:col>
      <xdr:colOff>83820</xdr:colOff>
      <xdr:row>410</xdr:row>
      <xdr:rowOff>114300</xdr:rowOff>
    </xdr:to>
    <xdr:sp macro="" textlink="">
      <xdr:nvSpPr>
        <xdr:cNvPr id="3102" name="Arrow: Down 3101">
          <a:extLst>
            <a:ext uri="{FF2B5EF4-FFF2-40B4-BE49-F238E27FC236}">
              <a16:creationId xmlns:a16="http://schemas.microsoft.com/office/drawing/2014/main" id="{BC2E5D36-8E24-4A90-8A8A-D3AD6CE5CCFC}"/>
            </a:ext>
          </a:extLst>
        </xdr:cNvPr>
        <xdr:cNvSpPr/>
      </xdr:nvSpPr>
      <xdr:spPr>
        <a:xfrm>
          <a:off x="11544300" y="7489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410</xdr:row>
      <xdr:rowOff>0</xdr:rowOff>
    </xdr:from>
    <xdr:to>
      <xdr:col>60</xdr:col>
      <xdr:colOff>83820</xdr:colOff>
      <xdr:row>410</xdr:row>
      <xdr:rowOff>114300</xdr:rowOff>
    </xdr:to>
    <xdr:sp macro="" textlink="">
      <xdr:nvSpPr>
        <xdr:cNvPr id="3103" name="Arrow: Down 3102">
          <a:extLst>
            <a:ext uri="{FF2B5EF4-FFF2-40B4-BE49-F238E27FC236}">
              <a16:creationId xmlns:a16="http://schemas.microsoft.com/office/drawing/2014/main" id="{E2E1ECBA-965D-480F-A88F-36432980367D}"/>
            </a:ext>
          </a:extLst>
        </xdr:cNvPr>
        <xdr:cNvSpPr/>
      </xdr:nvSpPr>
      <xdr:spPr>
        <a:xfrm>
          <a:off x="1901952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411</xdr:row>
      <xdr:rowOff>0</xdr:rowOff>
    </xdr:from>
    <xdr:to>
      <xdr:col>45</xdr:col>
      <xdr:colOff>83820</xdr:colOff>
      <xdr:row>411</xdr:row>
      <xdr:rowOff>114300</xdr:rowOff>
    </xdr:to>
    <xdr:sp macro="" textlink="">
      <xdr:nvSpPr>
        <xdr:cNvPr id="3104" name="Arrow: Down 3103">
          <a:extLst>
            <a:ext uri="{FF2B5EF4-FFF2-40B4-BE49-F238E27FC236}">
              <a16:creationId xmlns:a16="http://schemas.microsoft.com/office/drawing/2014/main" id="{DCA3F42A-7430-4316-A0FC-CB4525CDA140}"/>
            </a:ext>
          </a:extLst>
        </xdr:cNvPr>
        <xdr:cNvSpPr/>
      </xdr:nvSpPr>
      <xdr:spPr>
        <a:xfrm rot="10800000">
          <a:off x="13403580" y="7507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411</xdr:row>
      <xdr:rowOff>0</xdr:rowOff>
    </xdr:from>
    <xdr:to>
      <xdr:col>71</xdr:col>
      <xdr:colOff>83820</xdr:colOff>
      <xdr:row>411</xdr:row>
      <xdr:rowOff>114300</xdr:rowOff>
    </xdr:to>
    <xdr:sp macro="" textlink="">
      <xdr:nvSpPr>
        <xdr:cNvPr id="3106" name="Arrow: Down 3105">
          <a:extLst>
            <a:ext uri="{FF2B5EF4-FFF2-40B4-BE49-F238E27FC236}">
              <a16:creationId xmlns:a16="http://schemas.microsoft.com/office/drawing/2014/main" id="{CB22125E-4840-4575-A165-776C3D92D59D}"/>
            </a:ext>
          </a:extLst>
        </xdr:cNvPr>
        <xdr:cNvSpPr/>
      </xdr:nvSpPr>
      <xdr:spPr>
        <a:xfrm>
          <a:off x="21450300" y="7507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411</xdr:row>
      <xdr:rowOff>0</xdr:rowOff>
    </xdr:from>
    <xdr:to>
      <xdr:col>60</xdr:col>
      <xdr:colOff>83820</xdr:colOff>
      <xdr:row>411</xdr:row>
      <xdr:rowOff>114300</xdr:rowOff>
    </xdr:to>
    <xdr:sp macro="" textlink="">
      <xdr:nvSpPr>
        <xdr:cNvPr id="3115" name="Arrow: Down 3114">
          <a:extLst>
            <a:ext uri="{FF2B5EF4-FFF2-40B4-BE49-F238E27FC236}">
              <a16:creationId xmlns:a16="http://schemas.microsoft.com/office/drawing/2014/main" id="{8B7DC6B0-9B4B-460D-86C6-851DDEAD5325}"/>
            </a:ext>
          </a:extLst>
        </xdr:cNvPr>
        <xdr:cNvSpPr/>
      </xdr:nvSpPr>
      <xdr:spPr>
        <a:xfrm>
          <a:off x="19019520" y="7507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411</xdr:row>
      <xdr:rowOff>0</xdr:rowOff>
    </xdr:from>
    <xdr:to>
      <xdr:col>5</xdr:col>
      <xdr:colOff>83820</xdr:colOff>
      <xdr:row>411</xdr:row>
      <xdr:rowOff>114300</xdr:rowOff>
    </xdr:to>
    <xdr:sp macro="" textlink="">
      <xdr:nvSpPr>
        <xdr:cNvPr id="3116" name="Arrow: Down 3115">
          <a:extLst>
            <a:ext uri="{FF2B5EF4-FFF2-40B4-BE49-F238E27FC236}">
              <a16:creationId xmlns:a16="http://schemas.microsoft.com/office/drawing/2014/main" id="{13583928-3FF7-48BA-B29E-7A96A101B333}"/>
            </a:ext>
          </a:extLst>
        </xdr:cNvPr>
        <xdr:cNvSpPr/>
      </xdr:nvSpPr>
      <xdr:spPr>
        <a:xfrm rot="10800000">
          <a:off x="192786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411</xdr:row>
      <xdr:rowOff>0</xdr:rowOff>
    </xdr:from>
    <xdr:to>
      <xdr:col>11</xdr:col>
      <xdr:colOff>83820</xdr:colOff>
      <xdr:row>411</xdr:row>
      <xdr:rowOff>114300</xdr:rowOff>
    </xdr:to>
    <xdr:sp macro="" textlink="">
      <xdr:nvSpPr>
        <xdr:cNvPr id="3118" name="Arrow: Down 3117">
          <a:extLst>
            <a:ext uri="{FF2B5EF4-FFF2-40B4-BE49-F238E27FC236}">
              <a16:creationId xmlns:a16="http://schemas.microsoft.com/office/drawing/2014/main" id="{3FA0D595-6B84-4D98-B9E7-2239250AC480}"/>
            </a:ext>
          </a:extLst>
        </xdr:cNvPr>
        <xdr:cNvSpPr/>
      </xdr:nvSpPr>
      <xdr:spPr>
        <a:xfrm rot="10800000">
          <a:off x="369570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411</xdr:row>
      <xdr:rowOff>0</xdr:rowOff>
    </xdr:from>
    <xdr:to>
      <xdr:col>24</xdr:col>
      <xdr:colOff>83820</xdr:colOff>
      <xdr:row>411</xdr:row>
      <xdr:rowOff>114300</xdr:rowOff>
    </xdr:to>
    <xdr:sp macro="" textlink="">
      <xdr:nvSpPr>
        <xdr:cNvPr id="3121" name="Arrow: Down 3120">
          <a:extLst>
            <a:ext uri="{FF2B5EF4-FFF2-40B4-BE49-F238E27FC236}">
              <a16:creationId xmlns:a16="http://schemas.microsoft.com/office/drawing/2014/main" id="{F03921B9-5922-4FDC-AE57-7F7979F0418B}"/>
            </a:ext>
          </a:extLst>
        </xdr:cNvPr>
        <xdr:cNvSpPr/>
      </xdr:nvSpPr>
      <xdr:spPr>
        <a:xfrm rot="10800000">
          <a:off x="833628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412</xdr:row>
      <xdr:rowOff>0</xdr:rowOff>
    </xdr:from>
    <xdr:to>
      <xdr:col>45</xdr:col>
      <xdr:colOff>83820</xdr:colOff>
      <xdr:row>412</xdr:row>
      <xdr:rowOff>114300</xdr:rowOff>
    </xdr:to>
    <xdr:sp macro="" textlink="">
      <xdr:nvSpPr>
        <xdr:cNvPr id="3128" name="Arrow: Down 3127">
          <a:extLst>
            <a:ext uri="{FF2B5EF4-FFF2-40B4-BE49-F238E27FC236}">
              <a16:creationId xmlns:a16="http://schemas.microsoft.com/office/drawing/2014/main" id="{EBF320FE-95AF-4A55-AC2B-06F0904669F1}"/>
            </a:ext>
          </a:extLst>
        </xdr:cNvPr>
        <xdr:cNvSpPr/>
      </xdr:nvSpPr>
      <xdr:spPr>
        <a:xfrm rot="10800000">
          <a:off x="13403580" y="7526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412</xdr:row>
      <xdr:rowOff>0</xdr:rowOff>
    </xdr:from>
    <xdr:to>
      <xdr:col>71</xdr:col>
      <xdr:colOff>83820</xdr:colOff>
      <xdr:row>412</xdr:row>
      <xdr:rowOff>114300</xdr:rowOff>
    </xdr:to>
    <xdr:sp macro="" textlink="">
      <xdr:nvSpPr>
        <xdr:cNvPr id="3129" name="Arrow: Down 3128">
          <a:extLst>
            <a:ext uri="{FF2B5EF4-FFF2-40B4-BE49-F238E27FC236}">
              <a16:creationId xmlns:a16="http://schemas.microsoft.com/office/drawing/2014/main" id="{696B31BE-8F8C-4E09-8C00-61E157177347}"/>
            </a:ext>
          </a:extLst>
        </xdr:cNvPr>
        <xdr:cNvSpPr/>
      </xdr:nvSpPr>
      <xdr:spPr>
        <a:xfrm>
          <a:off x="21450300" y="7526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412</xdr:row>
      <xdr:rowOff>0</xdr:rowOff>
    </xdr:from>
    <xdr:to>
      <xdr:col>5</xdr:col>
      <xdr:colOff>83820</xdr:colOff>
      <xdr:row>412</xdr:row>
      <xdr:rowOff>114300</xdr:rowOff>
    </xdr:to>
    <xdr:sp macro="" textlink="">
      <xdr:nvSpPr>
        <xdr:cNvPr id="3131" name="Arrow: Down 3130">
          <a:extLst>
            <a:ext uri="{FF2B5EF4-FFF2-40B4-BE49-F238E27FC236}">
              <a16:creationId xmlns:a16="http://schemas.microsoft.com/office/drawing/2014/main" id="{CBF03FC6-F054-4F3D-BAE9-0BC54DC25CCB}"/>
            </a:ext>
          </a:extLst>
        </xdr:cNvPr>
        <xdr:cNvSpPr/>
      </xdr:nvSpPr>
      <xdr:spPr>
        <a:xfrm rot="10800000">
          <a:off x="192786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412</xdr:row>
      <xdr:rowOff>0</xdr:rowOff>
    </xdr:from>
    <xdr:to>
      <xdr:col>11</xdr:col>
      <xdr:colOff>83820</xdr:colOff>
      <xdr:row>412</xdr:row>
      <xdr:rowOff>114300</xdr:rowOff>
    </xdr:to>
    <xdr:sp macro="" textlink="">
      <xdr:nvSpPr>
        <xdr:cNvPr id="3132" name="Arrow: Down 3131">
          <a:extLst>
            <a:ext uri="{FF2B5EF4-FFF2-40B4-BE49-F238E27FC236}">
              <a16:creationId xmlns:a16="http://schemas.microsoft.com/office/drawing/2014/main" id="{FEC30F9B-9B64-4809-9DAE-BCDEF2B2F73A}"/>
            </a:ext>
          </a:extLst>
        </xdr:cNvPr>
        <xdr:cNvSpPr/>
      </xdr:nvSpPr>
      <xdr:spPr>
        <a:xfrm rot="10800000">
          <a:off x="369570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412</xdr:row>
      <xdr:rowOff>0</xdr:rowOff>
    </xdr:from>
    <xdr:to>
      <xdr:col>24</xdr:col>
      <xdr:colOff>83820</xdr:colOff>
      <xdr:row>412</xdr:row>
      <xdr:rowOff>114300</xdr:rowOff>
    </xdr:to>
    <xdr:sp macro="" textlink="">
      <xdr:nvSpPr>
        <xdr:cNvPr id="3133" name="Arrow: Down 3132">
          <a:extLst>
            <a:ext uri="{FF2B5EF4-FFF2-40B4-BE49-F238E27FC236}">
              <a16:creationId xmlns:a16="http://schemas.microsoft.com/office/drawing/2014/main" id="{C37E6FAA-4B0F-4A80-B381-23180310D1E0}"/>
            </a:ext>
          </a:extLst>
        </xdr:cNvPr>
        <xdr:cNvSpPr/>
      </xdr:nvSpPr>
      <xdr:spPr>
        <a:xfrm rot="10800000">
          <a:off x="833628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412</xdr:row>
      <xdr:rowOff>0</xdr:rowOff>
    </xdr:from>
    <xdr:to>
      <xdr:col>60</xdr:col>
      <xdr:colOff>83820</xdr:colOff>
      <xdr:row>412</xdr:row>
      <xdr:rowOff>114300</xdr:rowOff>
    </xdr:to>
    <xdr:sp macro="" textlink="">
      <xdr:nvSpPr>
        <xdr:cNvPr id="3136" name="Arrow: Down 3135">
          <a:extLst>
            <a:ext uri="{FF2B5EF4-FFF2-40B4-BE49-F238E27FC236}">
              <a16:creationId xmlns:a16="http://schemas.microsoft.com/office/drawing/2014/main" id="{2D0CEFDF-94CD-4608-8C81-C7A32DFA416A}"/>
            </a:ext>
          </a:extLst>
        </xdr:cNvPr>
        <xdr:cNvSpPr/>
      </xdr:nvSpPr>
      <xdr:spPr>
        <a:xfrm rot="10800000">
          <a:off x="1901952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411</xdr:row>
      <xdr:rowOff>0</xdr:rowOff>
    </xdr:from>
    <xdr:to>
      <xdr:col>39</xdr:col>
      <xdr:colOff>83820</xdr:colOff>
      <xdr:row>411</xdr:row>
      <xdr:rowOff>114300</xdr:rowOff>
    </xdr:to>
    <xdr:sp macro="" textlink="">
      <xdr:nvSpPr>
        <xdr:cNvPr id="3137" name="Arrow: Down 3136">
          <a:extLst>
            <a:ext uri="{FF2B5EF4-FFF2-40B4-BE49-F238E27FC236}">
              <a16:creationId xmlns:a16="http://schemas.microsoft.com/office/drawing/2014/main" id="{023C919F-F693-4E43-87D9-6BB421275E93}"/>
            </a:ext>
          </a:extLst>
        </xdr:cNvPr>
        <xdr:cNvSpPr/>
      </xdr:nvSpPr>
      <xdr:spPr>
        <a:xfrm rot="10800000">
          <a:off x="11544300" y="7526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412</xdr:row>
      <xdr:rowOff>0</xdr:rowOff>
    </xdr:from>
    <xdr:to>
      <xdr:col>39</xdr:col>
      <xdr:colOff>83820</xdr:colOff>
      <xdr:row>412</xdr:row>
      <xdr:rowOff>114300</xdr:rowOff>
    </xdr:to>
    <xdr:sp macro="" textlink="">
      <xdr:nvSpPr>
        <xdr:cNvPr id="3138" name="Arrow: Down 3137">
          <a:extLst>
            <a:ext uri="{FF2B5EF4-FFF2-40B4-BE49-F238E27FC236}">
              <a16:creationId xmlns:a16="http://schemas.microsoft.com/office/drawing/2014/main" id="{BB41880C-FC2C-4C15-9815-9063ED9059D7}"/>
            </a:ext>
          </a:extLst>
        </xdr:cNvPr>
        <xdr:cNvSpPr/>
      </xdr:nvSpPr>
      <xdr:spPr>
        <a:xfrm>
          <a:off x="1154430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413</xdr:row>
      <xdr:rowOff>0</xdr:rowOff>
    </xdr:from>
    <xdr:to>
      <xdr:col>45</xdr:col>
      <xdr:colOff>83820</xdr:colOff>
      <xdr:row>413</xdr:row>
      <xdr:rowOff>114300</xdr:rowOff>
    </xdr:to>
    <xdr:sp macro="" textlink="">
      <xdr:nvSpPr>
        <xdr:cNvPr id="3139" name="Arrow: Down 3138">
          <a:extLst>
            <a:ext uri="{FF2B5EF4-FFF2-40B4-BE49-F238E27FC236}">
              <a16:creationId xmlns:a16="http://schemas.microsoft.com/office/drawing/2014/main" id="{A6F7814F-5035-450F-952B-7EA599D6F41D}"/>
            </a:ext>
          </a:extLst>
        </xdr:cNvPr>
        <xdr:cNvSpPr/>
      </xdr:nvSpPr>
      <xdr:spPr>
        <a:xfrm rot="10800000">
          <a:off x="13403580" y="7544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413</xdr:row>
      <xdr:rowOff>0</xdr:rowOff>
    </xdr:from>
    <xdr:to>
      <xdr:col>71</xdr:col>
      <xdr:colOff>83820</xdr:colOff>
      <xdr:row>413</xdr:row>
      <xdr:rowOff>114300</xdr:rowOff>
    </xdr:to>
    <xdr:sp macro="" textlink="">
      <xdr:nvSpPr>
        <xdr:cNvPr id="3140" name="Arrow: Down 3139">
          <a:extLst>
            <a:ext uri="{FF2B5EF4-FFF2-40B4-BE49-F238E27FC236}">
              <a16:creationId xmlns:a16="http://schemas.microsoft.com/office/drawing/2014/main" id="{48837642-E6CD-48CA-9AB2-969418C8ADBB}"/>
            </a:ext>
          </a:extLst>
        </xdr:cNvPr>
        <xdr:cNvSpPr/>
      </xdr:nvSpPr>
      <xdr:spPr>
        <a:xfrm>
          <a:off x="21450300" y="7544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413</xdr:row>
      <xdr:rowOff>0</xdr:rowOff>
    </xdr:from>
    <xdr:to>
      <xdr:col>5</xdr:col>
      <xdr:colOff>83820</xdr:colOff>
      <xdr:row>413</xdr:row>
      <xdr:rowOff>114300</xdr:rowOff>
    </xdr:to>
    <xdr:sp macro="" textlink="">
      <xdr:nvSpPr>
        <xdr:cNvPr id="3141" name="Arrow: Down 3140">
          <a:extLst>
            <a:ext uri="{FF2B5EF4-FFF2-40B4-BE49-F238E27FC236}">
              <a16:creationId xmlns:a16="http://schemas.microsoft.com/office/drawing/2014/main" id="{B62554BA-FE28-447A-BEAD-F1B3E5EA34AC}"/>
            </a:ext>
          </a:extLst>
        </xdr:cNvPr>
        <xdr:cNvSpPr/>
      </xdr:nvSpPr>
      <xdr:spPr>
        <a:xfrm rot="10800000">
          <a:off x="192786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413</xdr:row>
      <xdr:rowOff>0</xdr:rowOff>
    </xdr:from>
    <xdr:to>
      <xdr:col>11</xdr:col>
      <xdr:colOff>83820</xdr:colOff>
      <xdr:row>413</xdr:row>
      <xdr:rowOff>114300</xdr:rowOff>
    </xdr:to>
    <xdr:sp macro="" textlink="">
      <xdr:nvSpPr>
        <xdr:cNvPr id="3142" name="Arrow: Down 3141">
          <a:extLst>
            <a:ext uri="{FF2B5EF4-FFF2-40B4-BE49-F238E27FC236}">
              <a16:creationId xmlns:a16="http://schemas.microsoft.com/office/drawing/2014/main" id="{B38134D6-5F15-45CD-B81E-D52B17D4A1E6}"/>
            </a:ext>
          </a:extLst>
        </xdr:cNvPr>
        <xdr:cNvSpPr/>
      </xdr:nvSpPr>
      <xdr:spPr>
        <a:xfrm rot="10800000">
          <a:off x="369570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83820</xdr:colOff>
      <xdr:row>413</xdr:row>
      <xdr:rowOff>114300</xdr:rowOff>
    </xdr:to>
    <xdr:sp macro="" textlink="">
      <xdr:nvSpPr>
        <xdr:cNvPr id="3143" name="Arrow: Down 3142">
          <a:extLst>
            <a:ext uri="{FF2B5EF4-FFF2-40B4-BE49-F238E27FC236}">
              <a16:creationId xmlns:a16="http://schemas.microsoft.com/office/drawing/2014/main" id="{42152A4E-3CF2-48A0-9FD8-8FE7CFF0151D}"/>
            </a:ext>
          </a:extLst>
        </xdr:cNvPr>
        <xdr:cNvSpPr/>
      </xdr:nvSpPr>
      <xdr:spPr>
        <a:xfrm rot="10800000">
          <a:off x="833628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413</xdr:row>
      <xdr:rowOff>0</xdr:rowOff>
    </xdr:from>
    <xdr:to>
      <xdr:col>39</xdr:col>
      <xdr:colOff>83820</xdr:colOff>
      <xdr:row>413</xdr:row>
      <xdr:rowOff>114300</xdr:rowOff>
    </xdr:to>
    <xdr:sp macro="" textlink="">
      <xdr:nvSpPr>
        <xdr:cNvPr id="3146" name="Arrow: Down 3145">
          <a:extLst>
            <a:ext uri="{FF2B5EF4-FFF2-40B4-BE49-F238E27FC236}">
              <a16:creationId xmlns:a16="http://schemas.microsoft.com/office/drawing/2014/main" id="{18648370-7D02-4F1F-9384-F51DB30A7819}"/>
            </a:ext>
          </a:extLst>
        </xdr:cNvPr>
        <xdr:cNvSpPr/>
      </xdr:nvSpPr>
      <xdr:spPr>
        <a:xfrm rot="10800000">
          <a:off x="1154430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413</xdr:row>
      <xdr:rowOff>0</xdr:rowOff>
    </xdr:from>
    <xdr:to>
      <xdr:col>60</xdr:col>
      <xdr:colOff>83820</xdr:colOff>
      <xdr:row>413</xdr:row>
      <xdr:rowOff>114300</xdr:rowOff>
    </xdr:to>
    <xdr:sp macro="" textlink="">
      <xdr:nvSpPr>
        <xdr:cNvPr id="3147" name="Arrow: Down 3146">
          <a:extLst>
            <a:ext uri="{FF2B5EF4-FFF2-40B4-BE49-F238E27FC236}">
              <a16:creationId xmlns:a16="http://schemas.microsoft.com/office/drawing/2014/main" id="{CC8B8A17-1709-4298-B771-CAC78C114E63}"/>
            </a:ext>
          </a:extLst>
        </xdr:cNvPr>
        <xdr:cNvSpPr/>
      </xdr:nvSpPr>
      <xdr:spPr>
        <a:xfrm>
          <a:off x="1901952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414</xdr:row>
      <xdr:rowOff>0</xdr:rowOff>
    </xdr:from>
    <xdr:to>
      <xdr:col>45</xdr:col>
      <xdr:colOff>83820</xdr:colOff>
      <xdr:row>414</xdr:row>
      <xdr:rowOff>114300</xdr:rowOff>
    </xdr:to>
    <xdr:sp macro="" textlink="">
      <xdr:nvSpPr>
        <xdr:cNvPr id="3148" name="Arrow: Down 3147">
          <a:extLst>
            <a:ext uri="{FF2B5EF4-FFF2-40B4-BE49-F238E27FC236}">
              <a16:creationId xmlns:a16="http://schemas.microsoft.com/office/drawing/2014/main" id="{892475BA-0EA2-4C57-91F2-9D88C11E5DDF}"/>
            </a:ext>
          </a:extLst>
        </xdr:cNvPr>
        <xdr:cNvSpPr/>
      </xdr:nvSpPr>
      <xdr:spPr>
        <a:xfrm rot="10800000">
          <a:off x="1340358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414</xdr:row>
      <xdr:rowOff>0</xdr:rowOff>
    </xdr:from>
    <xdr:to>
      <xdr:col>71</xdr:col>
      <xdr:colOff>83820</xdr:colOff>
      <xdr:row>414</xdr:row>
      <xdr:rowOff>114300</xdr:rowOff>
    </xdr:to>
    <xdr:sp macro="" textlink="">
      <xdr:nvSpPr>
        <xdr:cNvPr id="3149" name="Arrow: Down 3148">
          <a:extLst>
            <a:ext uri="{FF2B5EF4-FFF2-40B4-BE49-F238E27FC236}">
              <a16:creationId xmlns:a16="http://schemas.microsoft.com/office/drawing/2014/main" id="{4E6CEC85-0A4E-4499-9023-05D412016092}"/>
            </a:ext>
          </a:extLst>
        </xdr:cNvPr>
        <xdr:cNvSpPr/>
      </xdr:nvSpPr>
      <xdr:spPr>
        <a:xfrm>
          <a:off x="2145030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414</xdr:row>
      <xdr:rowOff>0</xdr:rowOff>
    </xdr:from>
    <xdr:to>
      <xdr:col>5</xdr:col>
      <xdr:colOff>83820</xdr:colOff>
      <xdr:row>414</xdr:row>
      <xdr:rowOff>114300</xdr:rowOff>
    </xdr:to>
    <xdr:sp macro="" textlink="">
      <xdr:nvSpPr>
        <xdr:cNvPr id="3150" name="Arrow: Down 3149">
          <a:extLst>
            <a:ext uri="{FF2B5EF4-FFF2-40B4-BE49-F238E27FC236}">
              <a16:creationId xmlns:a16="http://schemas.microsoft.com/office/drawing/2014/main" id="{4214C301-B6D1-47F0-801A-DB3A8A4ED206}"/>
            </a:ext>
          </a:extLst>
        </xdr:cNvPr>
        <xdr:cNvSpPr/>
      </xdr:nvSpPr>
      <xdr:spPr>
        <a:xfrm rot="10800000">
          <a:off x="1927860" y="7562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414</xdr:row>
      <xdr:rowOff>0</xdr:rowOff>
    </xdr:from>
    <xdr:to>
      <xdr:col>11</xdr:col>
      <xdr:colOff>83820</xdr:colOff>
      <xdr:row>414</xdr:row>
      <xdr:rowOff>114300</xdr:rowOff>
    </xdr:to>
    <xdr:sp macro="" textlink="">
      <xdr:nvSpPr>
        <xdr:cNvPr id="3151" name="Arrow: Down 3150">
          <a:extLst>
            <a:ext uri="{FF2B5EF4-FFF2-40B4-BE49-F238E27FC236}">
              <a16:creationId xmlns:a16="http://schemas.microsoft.com/office/drawing/2014/main" id="{8E8F15C3-57B8-453F-8E26-7647CAC408AA}"/>
            </a:ext>
          </a:extLst>
        </xdr:cNvPr>
        <xdr:cNvSpPr/>
      </xdr:nvSpPr>
      <xdr:spPr>
        <a:xfrm rot="10800000">
          <a:off x="3695700" y="7562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414</xdr:row>
      <xdr:rowOff>0</xdr:rowOff>
    </xdr:from>
    <xdr:to>
      <xdr:col>60</xdr:col>
      <xdr:colOff>83820</xdr:colOff>
      <xdr:row>414</xdr:row>
      <xdr:rowOff>114300</xdr:rowOff>
    </xdr:to>
    <xdr:sp macro="" textlink="">
      <xdr:nvSpPr>
        <xdr:cNvPr id="3156" name="Arrow: Down 3155">
          <a:extLst>
            <a:ext uri="{FF2B5EF4-FFF2-40B4-BE49-F238E27FC236}">
              <a16:creationId xmlns:a16="http://schemas.microsoft.com/office/drawing/2014/main" id="{79E87624-118D-4CFA-97A5-89CDB93DA344}"/>
            </a:ext>
          </a:extLst>
        </xdr:cNvPr>
        <xdr:cNvSpPr/>
      </xdr:nvSpPr>
      <xdr:spPr>
        <a:xfrm rot="10800000">
          <a:off x="1901952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414</xdr:row>
      <xdr:rowOff>0</xdr:rowOff>
    </xdr:from>
    <xdr:to>
      <xdr:col>39</xdr:col>
      <xdr:colOff>83820</xdr:colOff>
      <xdr:row>414</xdr:row>
      <xdr:rowOff>114300</xdr:rowOff>
    </xdr:to>
    <xdr:sp macro="" textlink="">
      <xdr:nvSpPr>
        <xdr:cNvPr id="3158" name="Arrow: Down 3157">
          <a:extLst>
            <a:ext uri="{FF2B5EF4-FFF2-40B4-BE49-F238E27FC236}">
              <a16:creationId xmlns:a16="http://schemas.microsoft.com/office/drawing/2014/main" id="{2607625E-14EB-458B-B106-26EC5FF8655E}"/>
            </a:ext>
          </a:extLst>
        </xdr:cNvPr>
        <xdr:cNvSpPr/>
      </xdr:nvSpPr>
      <xdr:spPr>
        <a:xfrm>
          <a:off x="1154430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414</xdr:row>
      <xdr:rowOff>0</xdr:rowOff>
    </xdr:from>
    <xdr:to>
      <xdr:col>24</xdr:col>
      <xdr:colOff>83820</xdr:colOff>
      <xdr:row>414</xdr:row>
      <xdr:rowOff>114300</xdr:rowOff>
    </xdr:to>
    <xdr:sp macro="" textlink="">
      <xdr:nvSpPr>
        <xdr:cNvPr id="3159" name="Arrow: Down 3158">
          <a:extLst>
            <a:ext uri="{FF2B5EF4-FFF2-40B4-BE49-F238E27FC236}">
              <a16:creationId xmlns:a16="http://schemas.microsoft.com/office/drawing/2014/main" id="{898DD6E1-21A6-426F-B6F8-D80DE8ED5B8D}"/>
            </a:ext>
          </a:extLst>
        </xdr:cNvPr>
        <xdr:cNvSpPr/>
      </xdr:nvSpPr>
      <xdr:spPr>
        <a:xfrm>
          <a:off x="833628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415</xdr:row>
      <xdr:rowOff>0</xdr:rowOff>
    </xdr:from>
    <xdr:to>
      <xdr:col>45</xdr:col>
      <xdr:colOff>83820</xdr:colOff>
      <xdr:row>415</xdr:row>
      <xdr:rowOff>114300</xdr:rowOff>
    </xdr:to>
    <xdr:sp macro="" textlink="">
      <xdr:nvSpPr>
        <xdr:cNvPr id="3160" name="Arrow: Down 3159">
          <a:extLst>
            <a:ext uri="{FF2B5EF4-FFF2-40B4-BE49-F238E27FC236}">
              <a16:creationId xmlns:a16="http://schemas.microsoft.com/office/drawing/2014/main" id="{BAAC4567-865C-4340-8E04-8F67E10EFE51}"/>
            </a:ext>
          </a:extLst>
        </xdr:cNvPr>
        <xdr:cNvSpPr/>
      </xdr:nvSpPr>
      <xdr:spPr>
        <a:xfrm rot="10800000">
          <a:off x="1340358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415</xdr:row>
      <xdr:rowOff>0</xdr:rowOff>
    </xdr:from>
    <xdr:to>
      <xdr:col>71</xdr:col>
      <xdr:colOff>83820</xdr:colOff>
      <xdr:row>415</xdr:row>
      <xdr:rowOff>114300</xdr:rowOff>
    </xdr:to>
    <xdr:sp macro="" textlink="">
      <xdr:nvSpPr>
        <xdr:cNvPr id="3161" name="Arrow: Down 3160">
          <a:extLst>
            <a:ext uri="{FF2B5EF4-FFF2-40B4-BE49-F238E27FC236}">
              <a16:creationId xmlns:a16="http://schemas.microsoft.com/office/drawing/2014/main" id="{03B6923D-C454-4714-BF2C-59AAEC283AE1}"/>
            </a:ext>
          </a:extLst>
        </xdr:cNvPr>
        <xdr:cNvSpPr/>
      </xdr:nvSpPr>
      <xdr:spPr>
        <a:xfrm>
          <a:off x="2145030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415</xdr:row>
      <xdr:rowOff>0</xdr:rowOff>
    </xdr:from>
    <xdr:to>
      <xdr:col>5</xdr:col>
      <xdr:colOff>83820</xdr:colOff>
      <xdr:row>415</xdr:row>
      <xdr:rowOff>114300</xdr:rowOff>
    </xdr:to>
    <xdr:sp macro="" textlink="">
      <xdr:nvSpPr>
        <xdr:cNvPr id="3162" name="Arrow: Down 3161">
          <a:extLst>
            <a:ext uri="{FF2B5EF4-FFF2-40B4-BE49-F238E27FC236}">
              <a16:creationId xmlns:a16="http://schemas.microsoft.com/office/drawing/2014/main" id="{E7A63403-82EA-4077-80A9-FE913CE0BF54}"/>
            </a:ext>
          </a:extLst>
        </xdr:cNvPr>
        <xdr:cNvSpPr/>
      </xdr:nvSpPr>
      <xdr:spPr>
        <a:xfrm rot="10800000">
          <a:off x="192786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415</xdr:row>
      <xdr:rowOff>0</xdr:rowOff>
    </xdr:from>
    <xdr:to>
      <xdr:col>11</xdr:col>
      <xdr:colOff>83820</xdr:colOff>
      <xdr:row>415</xdr:row>
      <xdr:rowOff>114300</xdr:rowOff>
    </xdr:to>
    <xdr:sp macro="" textlink="">
      <xdr:nvSpPr>
        <xdr:cNvPr id="3163" name="Arrow: Down 3162">
          <a:extLst>
            <a:ext uri="{FF2B5EF4-FFF2-40B4-BE49-F238E27FC236}">
              <a16:creationId xmlns:a16="http://schemas.microsoft.com/office/drawing/2014/main" id="{9E71946E-DE24-48E4-AE30-FA3FFD0B1291}"/>
            </a:ext>
          </a:extLst>
        </xdr:cNvPr>
        <xdr:cNvSpPr/>
      </xdr:nvSpPr>
      <xdr:spPr>
        <a:xfrm rot="10800000">
          <a:off x="369570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415</xdr:row>
      <xdr:rowOff>0</xdr:rowOff>
    </xdr:from>
    <xdr:to>
      <xdr:col>24</xdr:col>
      <xdr:colOff>83820</xdr:colOff>
      <xdr:row>415</xdr:row>
      <xdr:rowOff>114300</xdr:rowOff>
    </xdr:to>
    <xdr:sp macro="" textlink="">
      <xdr:nvSpPr>
        <xdr:cNvPr id="3166" name="Arrow: Down 3165">
          <a:extLst>
            <a:ext uri="{FF2B5EF4-FFF2-40B4-BE49-F238E27FC236}">
              <a16:creationId xmlns:a16="http://schemas.microsoft.com/office/drawing/2014/main" id="{3AB06CF5-83DB-478C-B7BA-A8C6BDECE5F5}"/>
            </a:ext>
          </a:extLst>
        </xdr:cNvPr>
        <xdr:cNvSpPr/>
      </xdr:nvSpPr>
      <xdr:spPr>
        <a:xfrm>
          <a:off x="833628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415</xdr:row>
      <xdr:rowOff>0</xdr:rowOff>
    </xdr:from>
    <xdr:to>
      <xdr:col>60</xdr:col>
      <xdr:colOff>83820</xdr:colOff>
      <xdr:row>415</xdr:row>
      <xdr:rowOff>114300</xdr:rowOff>
    </xdr:to>
    <xdr:sp macro="" textlink="">
      <xdr:nvSpPr>
        <xdr:cNvPr id="3168" name="Arrow: Down 3167">
          <a:extLst>
            <a:ext uri="{FF2B5EF4-FFF2-40B4-BE49-F238E27FC236}">
              <a16:creationId xmlns:a16="http://schemas.microsoft.com/office/drawing/2014/main" id="{29270E54-2ACF-4131-A294-55B9B0A45268}"/>
            </a:ext>
          </a:extLst>
        </xdr:cNvPr>
        <xdr:cNvSpPr/>
      </xdr:nvSpPr>
      <xdr:spPr>
        <a:xfrm>
          <a:off x="1901952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415</xdr:row>
      <xdr:rowOff>0</xdr:rowOff>
    </xdr:from>
    <xdr:to>
      <xdr:col>39</xdr:col>
      <xdr:colOff>83820</xdr:colOff>
      <xdr:row>415</xdr:row>
      <xdr:rowOff>114300</xdr:rowOff>
    </xdr:to>
    <xdr:sp macro="" textlink="">
      <xdr:nvSpPr>
        <xdr:cNvPr id="3170" name="Arrow: Down 3169">
          <a:extLst>
            <a:ext uri="{FF2B5EF4-FFF2-40B4-BE49-F238E27FC236}">
              <a16:creationId xmlns:a16="http://schemas.microsoft.com/office/drawing/2014/main" id="{27D7B3D8-3C5A-4E85-AAA0-F4E4F7C13A90}"/>
            </a:ext>
          </a:extLst>
        </xdr:cNvPr>
        <xdr:cNvSpPr/>
      </xdr:nvSpPr>
      <xdr:spPr>
        <a:xfrm rot="10800000">
          <a:off x="1154430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416</xdr:row>
      <xdr:rowOff>0</xdr:rowOff>
    </xdr:from>
    <xdr:to>
      <xdr:col>45</xdr:col>
      <xdr:colOff>83820</xdr:colOff>
      <xdr:row>416</xdr:row>
      <xdr:rowOff>114300</xdr:rowOff>
    </xdr:to>
    <xdr:sp macro="" textlink="">
      <xdr:nvSpPr>
        <xdr:cNvPr id="3178" name="Arrow: Down 3177">
          <a:extLst>
            <a:ext uri="{FF2B5EF4-FFF2-40B4-BE49-F238E27FC236}">
              <a16:creationId xmlns:a16="http://schemas.microsoft.com/office/drawing/2014/main" id="{118101DF-6317-47E4-8DB9-A46E0D0619F6}"/>
            </a:ext>
          </a:extLst>
        </xdr:cNvPr>
        <xdr:cNvSpPr/>
      </xdr:nvSpPr>
      <xdr:spPr>
        <a:xfrm rot="10800000">
          <a:off x="1340358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416</xdr:row>
      <xdr:rowOff>0</xdr:rowOff>
    </xdr:from>
    <xdr:to>
      <xdr:col>71</xdr:col>
      <xdr:colOff>83820</xdr:colOff>
      <xdr:row>416</xdr:row>
      <xdr:rowOff>114300</xdr:rowOff>
    </xdr:to>
    <xdr:sp macro="" textlink="">
      <xdr:nvSpPr>
        <xdr:cNvPr id="3179" name="Arrow: Down 3178">
          <a:extLst>
            <a:ext uri="{FF2B5EF4-FFF2-40B4-BE49-F238E27FC236}">
              <a16:creationId xmlns:a16="http://schemas.microsoft.com/office/drawing/2014/main" id="{D6FDA42B-8CFC-4B90-A949-1BCE880072EC}"/>
            </a:ext>
          </a:extLst>
        </xdr:cNvPr>
        <xdr:cNvSpPr/>
      </xdr:nvSpPr>
      <xdr:spPr>
        <a:xfrm>
          <a:off x="2145030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416</xdr:row>
      <xdr:rowOff>0</xdr:rowOff>
    </xdr:from>
    <xdr:to>
      <xdr:col>24</xdr:col>
      <xdr:colOff>83820</xdr:colOff>
      <xdr:row>416</xdr:row>
      <xdr:rowOff>114300</xdr:rowOff>
    </xdr:to>
    <xdr:sp macro="" textlink="">
      <xdr:nvSpPr>
        <xdr:cNvPr id="3182" name="Arrow: Down 3181">
          <a:extLst>
            <a:ext uri="{FF2B5EF4-FFF2-40B4-BE49-F238E27FC236}">
              <a16:creationId xmlns:a16="http://schemas.microsoft.com/office/drawing/2014/main" id="{CA385410-53C8-4511-B33D-DC20B00E4F74}"/>
            </a:ext>
          </a:extLst>
        </xdr:cNvPr>
        <xdr:cNvSpPr/>
      </xdr:nvSpPr>
      <xdr:spPr>
        <a:xfrm>
          <a:off x="833628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416</xdr:row>
      <xdr:rowOff>0</xdr:rowOff>
    </xdr:from>
    <xdr:to>
      <xdr:col>60</xdr:col>
      <xdr:colOff>83820</xdr:colOff>
      <xdr:row>416</xdr:row>
      <xdr:rowOff>114300</xdr:rowOff>
    </xdr:to>
    <xdr:sp macro="" textlink="">
      <xdr:nvSpPr>
        <xdr:cNvPr id="3183" name="Arrow: Down 3182">
          <a:extLst>
            <a:ext uri="{FF2B5EF4-FFF2-40B4-BE49-F238E27FC236}">
              <a16:creationId xmlns:a16="http://schemas.microsoft.com/office/drawing/2014/main" id="{C6950782-630D-4D7E-962A-591284857198}"/>
            </a:ext>
          </a:extLst>
        </xdr:cNvPr>
        <xdr:cNvSpPr/>
      </xdr:nvSpPr>
      <xdr:spPr>
        <a:xfrm>
          <a:off x="1901952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416</xdr:row>
      <xdr:rowOff>0</xdr:rowOff>
    </xdr:from>
    <xdr:to>
      <xdr:col>39</xdr:col>
      <xdr:colOff>83820</xdr:colOff>
      <xdr:row>416</xdr:row>
      <xdr:rowOff>114300</xdr:rowOff>
    </xdr:to>
    <xdr:sp macro="" textlink="">
      <xdr:nvSpPr>
        <xdr:cNvPr id="3185" name="Arrow: Down 3184">
          <a:extLst>
            <a:ext uri="{FF2B5EF4-FFF2-40B4-BE49-F238E27FC236}">
              <a16:creationId xmlns:a16="http://schemas.microsoft.com/office/drawing/2014/main" id="{43B88837-C3ED-4A7B-855D-B1BBE8F0A956}"/>
            </a:ext>
          </a:extLst>
        </xdr:cNvPr>
        <xdr:cNvSpPr/>
      </xdr:nvSpPr>
      <xdr:spPr>
        <a:xfrm>
          <a:off x="11544300" y="7617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416</xdr:row>
      <xdr:rowOff>0</xdr:rowOff>
    </xdr:from>
    <xdr:to>
      <xdr:col>5</xdr:col>
      <xdr:colOff>83820</xdr:colOff>
      <xdr:row>416</xdr:row>
      <xdr:rowOff>114300</xdr:rowOff>
    </xdr:to>
    <xdr:sp macro="" textlink="">
      <xdr:nvSpPr>
        <xdr:cNvPr id="3187" name="Arrow: Down 3186">
          <a:extLst>
            <a:ext uri="{FF2B5EF4-FFF2-40B4-BE49-F238E27FC236}">
              <a16:creationId xmlns:a16="http://schemas.microsoft.com/office/drawing/2014/main" id="{32AD62D2-F493-4315-A438-E8B74B8A5747}"/>
            </a:ext>
          </a:extLst>
        </xdr:cNvPr>
        <xdr:cNvSpPr/>
      </xdr:nvSpPr>
      <xdr:spPr>
        <a:xfrm>
          <a:off x="192786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416</xdr:row>
      <xdr:rowOff>0</xdr:rowOff>
    </xdr:from>
    <xdr:to>
      <xdr:col>11</xdr:col>
      <xdr:colOff>83820</xdr:colOff>
      <xdr:row>416</xdr:row>
      <xdr:rowOff>114300</xdr:rowOff>
    </xdr:to>
    <xdr:sp macro="" textlink="">
      <xdr:nvSpPr>
        <xdr:cNvPr id="3188" name="Arrow: Down 3187">
          <a:extLst>
            <a:ext uri="{FF2B5EF4-FFF2-40B4-BE49-F238E27FC236}">
              <a16:creationId xmlns:a16="http://schemas.microsoft.com/office/drawing/2014/main" id="{5470D337-2B54-42CF-93AE-3CA365CAFE5C}"/>
            </a:ext>
          </a:extLst>
        </xdr:cNvPr>
        <xdr:cNvSpPr/>
      </xdr:nvSpPr>
      <xdr:spPr>
        <a:xfrm>
          <a:off x="369570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417</xdr:row>
      <xdr:rowOff>0</xdr:rowOff>
    </xdr:from>
    <xdr:to>
      <xdr:col>45</xdr:col>
      <xdr:colOff>83820</xdr:colOff>
      <xdr:row>417</xdr:row>
      <xdr:rowOff>114300</xdr:rowOff>
    </xdr:to>
    <xdr:sp macro="" textlink="">
      <xdr:nvSpPr>
        <xdr:cNvPr id="3189" name="Arrow: Down 3188">
          <a:extLst>
            <a:ext uri="{FF2B5EF4-FFF2-40B4-BE49-F238E27FC236}">
              <a16:creationId xmlns:a16="http://schemas.microsoft.com/office/drawing/2014/main" id="{4BE2623F-DCEC-4319-A0E9-7E81AEEA4B9E}"/>
            </a:ext>
          </a:extLst>
        </xdr:cNvPr>
        <xdr:cNvSpPr/>
      </xdr:nvSpPr>
      <xdr:spPr>
        <a:xfrm rot="10800000">
          <a:off x="1340358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417</xdr:row>
      <xdr:rowOff>0</xdr:rowOff>
    </xdr:from>
    <xdr:to>
      <xdr:col>71</xdr:col>
      <xdr:colOff>83820</xdr:colOff>
      <xdr:row>417</xdr:row>
      <xdr:rowOff>114300</xdr:rowOff>
    </xdr:to>
    <xdr:sp macro="" textlink="">
      <xdr:nvSpPr>
        <xdr:cNvPr id="3190" name="Arrow: Down 3189">
          <a:extLst>
            <a:ext uri="{FF2B5EF4-FFF2-40B4-BE49-F238E27FC236}">
              <a16:creationId xmlns:a16="http://schemas.microsoft.com/office/drawing/2014/main" id="{631E0DEC-4F79-4B78-B997-D0FBD09E2219}"/>
            </a:ext>
          </a:extLst>
        </xdr:cNvPr>
        <xdr:cNvSpPr/>
      </xdr:nvSpPr>
      <xdr:spPr>
        <a:xfrm>
          <a:off x="2145030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417</xdr:row>
      <xdr:rowOff>0</xdr:rowOff>
    </xdr:from>
    <xdr:to>
      <xdr:col>24</xdr:col>
      <xdr:colOff>83820</xdr:colOff>
      <xdr:row>417</xdr:row>
      <xdr:rowOff>114300</xdr:rowOff>
    </xdr:to>
    <xdr:sp macro="" textlink="">
      <xdr:nvSpPr>
        <xdr:cNvPr id="3191" name="Arrow: Down 3190">
          <a:extLst>
            <a:ext uri="{FF2B5EF4-FFF2-40B4-BE49-F238E27FC236}">
              <a16:creationId xmlns:a16="http://schemas.microsoft.com/office/drawing/2014/main" id="{C802F57C-E19E-4E5E-92C4-ABBD0D515F12}"/>
            </a:ext>
          </a:extLst>
        </xdr:cNvPr>
        <xdr:cNvSpPr/>
      </xdr:nvSpPr>
      <xdr:spPr>
        <a:xfrm>
          <a:off x="833628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417</xdr:row>
      <xdr:rowOff>0</xdr:rowOff>
    </xdr:from>
    <xdr:to>
      <xdr:col>60</xdr:col>
      <xdr:colOff>83820</xdr:colOff>
      <xdr:row>417</xdr:row>
      <xdr:rowOff>114300</xdr:rowOff>
    </xdr:to>
    <xdr:sp macro="" textlink="">
      <xdr:nvSpPr>
        <xdr:cNvPr id="3192" name="Arrow: Down 3191">
          <a:extLst>
            <a:ext uri="{FF2B5EF4-FFF2-40B4-BE49-F238E27FC236}">
              <a16:creationId xmlns:a16="http://schemas.microsoft.com/office/drawing/2014/main" id="{F1CA5E6C-B3B7-4536-A4E4-1090D0864FD7}"/>
            </a:ext>
          </a:extLst>
        </xdr:cNvPr>
        <xdr:cNvSpPr/>
      </xdr:nvSpPr>
      <xdr:spPr>
        <a:xfrm>
          <a:off x="1901952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417</xdr:row>
      <xdr:rowOff>0</xdr:rowOff>
    </xdr:from>
    <xdr:to>
      <xdr:col>39</xdr:col>
      <xdr:colOff>83820</xdr:colOff>
      <xdr:row>417</xdr:row>
      <xdr:rowOff>114300</xdr:rowOff>
    </xdr:to>
    <xdr:sp macro="" textlink="">
      <xdr:nvSpPr>
        <xdr:cNvPr id="3193" name="Arrow: Down 3192">
          <a:extLst>
            <a:ext uri="{FF2B5EF4-FFF2-40B4-BE49-F238E27FC236}">
              <a16:creationId xmlns:a16="http://schemas.microsoft.com/office/drawing/2014/main" id="{D22C48B4-BE81-4F33-911D-D0CB06C96A06}"/>
            </a:ext>
          </a:extLst>
        </xdr:cNvPr>
        <xdr:cNvSpPr/>
      </xdr:nvSpPr>
      <xdr:spPr>
        <a:xfrm>
          <a:off x="11544300" y="7617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417</xdr:row>
      <xdr:rowOff>0</xdr:rowOff>
    </xdr:from>
    <xdr:to>
      <xdr:col>5</xdr:col>
      <xdr:colOff>83820</xdr:colOff>
      <xdr:row>417</xdr:row>
      <xdr:rowOff>114300</xdr:rowOff>
    </xdr:to>
    <xdr:sp macro="" textlink="">
      <xdr:nvSpPr>
        <xdr:cNvPr id="3194" name="Arrow: Down 3193">
          <a:extLst>
            <a:ext uri="{FF2B5EF4-FFF2-40B4-BE49-F238E27FC236}">
              <a16:creationId xmlns:a16="http://schemas.microsoft.com/office/drawing/2014/main" id="{1FBB5592-9AF6-427F-AC10-5A35736A3594}"/>
            </a:ext>
          </a:extLst>
        </xdr:cNvPr>
        <xdr:cNvSpPr/>
      </xdr:nvSpPr>
      <xdr:spPr>
        <a:xfrm>
          <a:off x="192786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417</xdr:row>
      <xdr:rowOff>0</xdr:rowOff>
    </xdr:from>
    <xdr:to>
      <xdr:col>11</xdr:col>
      <xdr:colOff>83820</xdr:colOff>
      <xdr:row>417</xdr:row>
      <xdr:rowOff>114300</xdr:rowOff>
    </xdr:to>
    <xdr:sp macro="" textlink="">
      <xdr:nvSpPr>
        <xdr:cNvPr id="3195" name="Arrow: Down 3194">
          <a:extLst>
            <a:ext uri="{FF2B5EF4-FFF2-40B4-BE49-F238E27FC236}">
              <a16:creationId xmlns:a16="http://schemas.microsoft.com/office/drawing/2014/main" id="{EEFA24AB-04CD-4ECB-92D1-3DEE1A9224BC}"/>
            </a:ext>
          </a:extLst>
        </xdr:cNvPr>
        <xdr:cNvSpPr/>
      </xdr:nvSpPr>
      <xdr:spPr>
        <a:xfrm>
          <a:off x="369570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418</xdr:row>
      <xdr:rowOff>0</xdr:rowOff>
    </xdr:from>
    <xdr:to>
      <xdr:col>45</xdr:col>
      <xdr:colOff>83820</xdr:colOff>
      <xdr:row>418</xdr:row>
      <xdr:rowOff>114300</xdr:rowOff>
    </xdr:to>
    <xdr:sp macro="" textlink="">
      <xdr:nvSpPr>
        <xdr:cNvPr id="2959" name="Arrow: Down 2958">
          <a:extLst>
            <a:ext uri="{FF2B5EF4-FFF2-40B4-BE49-F238E27FC236}">
              <a16:creationId xmlns:a16="http://schemas.microsoft.com/office/drawing/2014/main" id="{466055B1-2322-4F71-9A3B-6458414D41AE}"/>
            </a:ext>
          </a:extLst>
        </xdr:cNvPr>
        <xdr:cNvSpPr/>
      </xdr:nvSpPr>
      <xdr:spPr>
        <a:xfrm rot="10800000">
          <a:off x="13403580" y="7636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418</xdr:row>
      <xdr:rowOff>0</xdr:rowOff>
    </xdr:from>
    <xdr:to>
      <xdr:col>71</xdr:col>
      <xdr:colOff>83820</xdr:colOff>
      <xdr:row>418</xdr:row>
      <xdr:rowOff>114300</xdr:rowOff>
    </xdr:to>
    <xdr:sp macro="" textlink="">
      <xdr:nvSpPr>
        <xdr:cNvPr id="2984" name="Arrow: Down 2983">
          <a:extLst>
            <a:ext uri="{FF2B5EF4-FFF2-40B4-BE49-F238E27FC236}">
              <a16:creationId xmlns:a16="http://schemas.microsoft.com/office/drawing/2014/main" id="{7CD0315C-1A21-4824-9E67-0734A71A3CFA}"/>
            </a:ext>
          </a:extLst>
        </xdr:cNvPr>
        <xdr:cNvSpPr/>
      </xdr:nvSpPr>
      <xdr:spPr>
        <a:xfrm>
          <a:off x="21572220" y="7636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418</xdr:row>
      <xdr:rowOff>0</xdr:rowOff>
    </xdr:from>
    <xdr:to>
      <xdr:col>5</xdr:col>
      <xdr:colOff>83820</xdr:colOff>
      <xdr:row>418</xdr:row>
      <xdr:rowOff>114300</xdr:rowOff>
    </xdr:to>
    <xdr:sp macro="" textlink="">
      <xdr:nvSpPr>
        <xdr:cNvPr id="3021" name="Arrow: Down 3020">
          <a:extLst>
            <a:ext uri="{FF2B5EF4-FFF2-40B4-BE49-F238E27FC236}">
              <a16:creationId xmlns:a16="http://schemas.microsoft.com/office/drawing/2014/main" id="{8F474394-04C8-4B66-A23F-CDF995AF5F82}"/>
            </a:ext>
          </a:extLst>
        </xdr:cNvPr>
        <xdr:cNvSpPr/>
      </xdr:nvSpPr>
      <xdr:spPr>
        <a:xfrm rot="10800000">
          <a:off x="192786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418</xdr:row>
      <xdr:rowOff>0</xdr:rowOff>
    </xdr:from>
    <xdr:to>
      <xdr:col>11</xdr:col>
      <xdr:colOff>83820</xdr:colOff>
      <xdr:row>418</xdr:row>
      <xdr:rowOff>114300</xdr:rowOff>
    </xdr:to>
    <xdr:sp macro="" textlink="">
      <xdr:nvSpPr>
        <xdr:cNvPr id="3022" name="Arrow: Down 3021">
          <a:extLst>
            <a:ext uri="{FF2B5EF4-FFF2-40B4-BE49-F238E27FC236}">
              <a16:creationId xmlns:a16="http://schemas.microsoft.com/office/drawing/2014/main" id="{6B09770B-5646-4511-8E93-C2EDB53031CB}"/>
            </a:ext>
          </a:extLst>
        </xdr:cNvPr>
        <xdr:cNvSpPr/>
      </xdr:nvSpPr>
      <xdr:spPr>
        <a:xfrm rot="10800000">
          <a:off x="369570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418</xdr:row>
      <xdr:rowOff>0</xdr:rowOff>
    </xdr:from>
    <xdr:to>
      <xdr:col>24</xdr:col>
      <xdr:colOff>83820</xdr:colOff>
      <xdr:row>418</xdr:row>
      <xdr:rowOff>114300</xdr:rowOff>
    </xdr:to>
    <xdr:sp macro="" textlink="">
      <xdr:nvSpPr>
        <xdr:cNvPr id="3024" name="Arrow: Down 3023">
          <a:extLst>
            <a:ext uri="{FF2B5EF4-FFF2-40B4-BE49-F238E27FC236}">
              <a16:creationId xmlns:a16="http://schemas.microsoft.com/office/drawing/2014/main" id="{FBB9B69B-B240-46A8-B518-13E475B4C031}"/>
            </a:ext>
          </a:extLst>
        </xdr:cNvPr>
        <xdr:cNvSpPr/>
      </xdr:nvSpPr>
      <xdr:spPr>
        <a:xfrm rot="10800000">
          <a:off x="833628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418</xdr:row>
      <xdr:rowOff>0</xdr:rowOff>
    </xdr:from>
    <xdr:to>
      <xdr:col>39</xdr:col>
      <xdr:colOff>83820</xdr:colOff>
      <xdr:row>418</xdr:row>
      <xdr:rowOff>114300</xdr:rowOff>
    </xdr:to>
    <xdr:sp macro="" textlink="">
      <xdr:nvSpPr>
        <xdr:cNvPr id="3032" name="Arrow: Down 3031">
          <a:extLst>
            <a:ext uri="{FF2B5EF4-FFF2-40B4-BE49-F238E27FC236}">
              <a16:creationId xmlns:a16="http://schemas.microsoft.com/office/drawing/2014/main" id="{74DA0F0F-A1ED-4DE2-9DED-6595973A534D}"/>
            </a:ext>
          </a:extLst>
        </xdr:cNvPr>
        <xdr:cNvSpPr/>
      </xdr:nvSpPr>
      <xdr:spPr>
        <a:xfrm rot="10800000">
          <a:off x="11544300" y="7654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418</xdr:row>
      <xdr:rowOff>0</xdr:rowOff>
    </xdr:from>
    <xdr:to>
      <xdr:col>60</xdr:col>
      <xdr:colOff>83820</xdr:colOff>
      <xdr:row>418</xdr:row>
      <xdr:rowOff>114300</xdr:rowOff>
    </xdr:to>
    <xdr:sp macro="" textlink="">
      <xdr:nvSpPr>
        <xdr:cNvPr id="3036" name="Arrow: Down 3035">
          <a:extLst>
            <a:ext uri="{FF2B5EF4-FFF2-40B4-BE49-F238E27FC236}">
              <a16:creationId xmlns:a16="http://schemas.microsoft.com/office/drawing/2014/main" id="{4A210503-EF94-4A77-B8CB-603F743C3F7A}"/>
            </a:ext>
          </a:extLst>
        </xdr:cNvPr>
        <xdr:cNvSpPr/>
      </xdr:nvSpPr>
      <xdr:spPr>
        <a:xfrm rot="10800000">
          <a:off x="1901952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419</xdr:row>
      <xdr:rowOff>0</xdr:rowOff>
    </xdr:from>
    <xdr:to>
      <xdr:col>45</xdr:col>
      <xdr:colOff>83820</xdr:colOff>
      <xdr:row>419</xdr:row>
      <xdr:rowOff>114300</xdr:rowOff>
    </xdr:to>
    <xdr:sp macro="" textlink="">
      <xdr:nvSpPr>
        <xdr:cNvPr id="3037" name="Arrow: Down 3036">
          <a:extLst>
            <a:ext uri="{FF2B5EF4-FFF2-40B4-BE49-F238E27FC236}">
              <a16:creationId xmlns:a16="http://schemas.microsoft.com/office/drawing/2014/main" id="{50B6DAF4-5BE1-45D4-BC50-E6EC44BA6209}"/>
            </a:ext>
          </a:extLst>
        </xdr:cNvPr>
        <xdr:cNvSpPr/>
      </xdr:nvSpPr>
      <xdr:spPr>
        <a:xfrm rot="10800000">
          <a:off x="13403580" y="7654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419</xdr:row>
      <xdr:rowOff>0</xdr:rowOff>
    </xdr:from>
    <xdr:to>
      <xdr:col>71</xdr:col>
      <xdr:colOff>83820</xdr:colOff>
      <xdr:row>419</xdr:row>
      <xdr:rowOff>114300</xdr:rowOff>
    </xdr:to>
    <xdr:sp macro="" textlink="">
      <xdr:nvSpPr>
        <xdr:cNvPr id="3038" name="Arrow: Down 3037">
          <a:extLst>
            <a:ext uri="{FF2B5EF4-FFF2-40B4-BE49-F238E27FC236}">
              <a16:creationId xmlns:a16="http://schemas.microsoft.com/office/drawing/2014/main" id="{70E37247-15BC-4028-A75E-CAF8EE0D8E4A}"/>
            </a:ext>
          </a:extLst>
        </xdr:cNvPr>
        <xdr:cNvSpPr/>
      </xdr:nvSpPr>
      <xdr:spPr>
        <a:xfrm>
          <a:off x="21572220" y="7654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419</xdr:row>
      <xdr:rowOff>0</xdr:rowOff>
    </xdr:from>
    <xdr:to>
      <xdr:col>5</xdr:col>
      <xdr:colOff>83820</xdr:colOff>
      <xdr:row>419</xdr:row>
      <xdr:rowOff>114300</xdr:rowOff>
    </xdr:to>
    <xdr:sp macro="" textlink="">
      <xdr:nvSpPr>
        <xdr:cNvPr id="3039" name="Arrow: Down 3038">
          <a:extLst>
            <a:ext uri="{FF2B5EF4-FFF2-40B4-BE49-F238E27FC236}">
              <a16:creationId xmlns:a16="http://schemas.microsoft.com/office/drawing/2014/main" id="{571360A2-8AD1-4846-A3DA-EAA6E9179DFB}"/>
            </a:ext>
          </a:extLst>
        </xdr:cNvPr>
        <xdr:cNvSpPr/>
      </xdr:nvSpPr>
      <xdr:spPr>
        <a:xfrm rot="10800000">
          <a:off x="192786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419</xdr:row>
      <xdr:rowOff>0</xdr:rowOff>
    </xdr:from>
    <xdr:to>
      <xdr:col>11</xdr:col>
      <xdr:colOff>83820</xdr:colOff>
      <xdr:row>419</xdr:row>
      <xdr:rowOff>114300</xdr:rowOff>
    </xdr:to>
    <xdr:sp macro="" textlink="">
      <xdr:nvSpPr>
        <xdr:cNvPr id="3040" name="Arrow: Down 3039">
          <a:extLst>
            <a:ext uri="{FF2B5EF4-FFF2-40B4-BE49-F238E27FC236}">
              <a16:creationId xmlns:a16="http://schemas.microsoft.com/office/drawing/2014/main" id="{41661617-EC52-4ACF-A56B-19F891DC9A10}"/>
            </a:ext>
          </a:extLst>
        </xdr:cNvPr>
        <xdr:cNvSpPr/>
      </xdr:nvSpPr>
      <xdr:spPr>
        <a:xfrm rot="10800000">
          <a:off x="369570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419</xdr:row>
      <xdr:rowOff>0</xdr:rowOff>
    </xdr:from>
    <xdr:to>
      <xdr:col>24</xdr:col>
      <xdr:colOff>83820</xdr:colOff>
      <xdr:row>419</xdr:row>
      <xdr:rowOff>114300</xdr:rowOff>
    </xdr:to>
    <xdr:sp macro="" textlink="">
      <xdr:nvSpPr>
        <xdr:cNvPr id="3044" name="Arrow: Down 3043">
          <a:extLst>
            <a:ext uri="{FF2B5EF4-FFF2-40B4-BE49-F238E27FC236}">
              <a16:creationId xmlns:a16="http://schemas.microsoft.com/office/drawing/2014/main" id="{BABAFDD8-493C-4CC8-A210-D6BD717FC87B}"/>
            </a:ext>
          </a:extLst>
        </xdr:cNvPr>
        <xdr:cNvSpPr/>
      </xdr:nvSpPr>
      <xdr:spPr>
        <a:xfrm rot="10800000">
          <a:off x="833628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419</xdr:row>
      <xdr:rowOff>0</xdr:rowOff>
    </xdr:from>
    <xdr:to>
      <xdr:col>60</xdr:col>
      <xdr:colOff>83820</xdr:colOff>
      <xdr:row>419</xdr:row>
      <xdr:rowOff>114300</xdr:rowOff>
    </xdr:to>
    <xdr:sp macro="" textlink="">
      <xdr:nvSpPr>
        <xdr:cNvPr id="3054" name="Arrow: Down 3053">
          <a:extLst>
            <a:ext uri="{FF2B5EF4-FFF2-40B4-BE49-F238E27FC236}">
              <a16:creationId xmlns:a16="http://schemas.microsoft.com/office/drawing/2014/main" id="{E501EF5D-5D25-4A53-AAC6-45C9D4DE8A20}"/>
            </a:ext>
          </a:extLst>
        </xdr:cNvPr>
        <xdr:cNvSpPr/>
      </xdr:nvSpPr>
      <xdr:spPr>
        <a:xfrm rot="10800000">
          <a:off x="1901952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419</xdr:row>
      <xdr:rowOff>0</xdr:rowOff>
    </xdr:from>
    <xdr:to>
      <xdr:col>39</xdr:col>
      <xdr:colOff>83820</xdr:colOff>
      <xdr:row>419</xdr:row>
      <xdr:rowOff>114300</xdr:rowOff>
    </xdr:to>
    <xdr:sp macro="" textlink="">
      <xdr:nvSpPr>
        <xdr:cNvPr id="3060" name="Arrow: Down 3059">
          <a:extLst>
            <a:ext uri="{FF2B5EF4-FFF2-40B4-BE49-F238E27FC236}">
              <a16:creationId xmlns:a16="http://schemas.microsoft.com/office/drawing/2014/main" id="{B96353C5-B03A-4E12-81AE-4B6F46CC92CF}"/>
            </a:ext>
          </a:extLst>
        </xdr:cNvPr>
        <xdr:cNvSpPr/>
      </xdr:nvSpPr>
      <xdr:spPr>
        <a:xfrm>
          <a:off x="11544300" y="7672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420</xdr:row>
      <xdr:rowOff>0</xdr:rowOff>
    </xdr:from>
    <xdr:to>
      <xdr:col>45</xdr:col>
      <xdr:colOff>83820</xdr:colOff>
      <xdr:row>420</xdr:row>
      <xdr:rowOff>114300</xdr:rowOff>
    </xdr:to>
    <xdr:sp macro="" textlink="">
      <xdr:nvSpPr>
        <xdr:cNvPr id="3076" name="Arrow: Down 3075">
          <a:extLst>
            <a:ext uri="{FF2B5EF4-FFF2-40B4-BE49-F238E27FC236}">
              <a16:creationId xmlns:a16="http://schemas.microsoft.com/office/drawing/2014/main" id="{1A4CDD47-0222-47C1-8285-4AB2A2B950A9}"/>
            </a:ext>
          </a:extLst>
        </xdr:cNvPr>
        <xdr:cNvSpPr/>
      </xdr:nvSpPr>
      <xdr:spPr>
        <a:xfrm rot="10800000">
          <a:off x="13403580" y="7672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420</xdr:row>
      <xdr:rowOff>0</xdr:rowOff>
    </xdr:from>
    <xdr:to>
      <xdr:col>71</xdr:col>
      <xdr:colOff>83820</xdr:colOff>
      <xdr:row>420</xdr:row>
      <xdr:rowOff>114300</xdr:rowOff>
    </xdr:to>
    <xdr:sp macro="" textlink="">
      <xdr:nvSpPr>
        <xdr:cNvPr id="3086" name="Arrow: Down 3085">
          <a:extLst>
            <a:ext uri="{FF2B5EF4-FFF2-40B4-BE49-F238E27FC236}">
              <a16:creationId xmlns:a16="http://schemas.microsoft.com/office/drawing/2014/main" id="{DD873584-FA23-41CE-A710-14533382D968}"/>
            </a:ext>
          </a:extLst>
        </xdr:cNvPr>
        <xdr:cNvSpPr/>
      </xdr:nvSpPr>
      <xdr:spPr>
        <a:xfrm>
          <a:off x="21572220" y="7672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420</xdr:row>
      <xdr:rowOff>0</xdr:rowOff>
    </xdr:from>
    <xdr:to>
      <xdr:col>5</xdr:col>
      <xdr:colOff>83820</xdr:colOff>
      <xdr:row>420</xdr:row>
      <xdr:rowOff>114300</xdr:rowOff>
    </xdr:to>
    <xdr:sp macro="" textlink="">
      <xdr:nvSpPr>
        <xdr:cNvPr id="3109" name="Arrow: Down 3108">
          <a:extLst>
            <a:ext uri="{FF2B5EF4-FFF2-40B4-BE49-F238E27FC236}">
              <a16:creationId xmlns:a16="http://schemas.microsoft.com/office/drawing/2014/main" id="{BD5FF9B5-1F33-4CBF-A395-C587BDED666A}"/>
            </a:ext>
          </a:extLst>
        </xdr:cNvPr>
        <xdr:cNvSpPr/>
      </xdr:nvSpPr>
      <xdr:spPr>
        <a:xfrm rot="10800000">
          <a:off x="1927860" y="7672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420</xdr:row>
      <xdr:rowOff>0</xdr:rowOff>
    </xdr:from>
    <xdr:to>
      <xdr:col>11</xdr:col>
      <xdr:colOff>83820</xdr:colOff>
      <xdr:row>420</xdr:row>
      <xdr:rowOff>114300</xdr:rowOff>
    </xdr:to>
    <xdr:sp macro="" textlink="">
      <xdr:nvSpPr>
        <xdr:cNvPr id="3112" name="Arrow: Down 3111">
          <a:extLst>
            <a:ext uri="{FF2B5EF4-FFF2-40B4-BE49-F238E27FC236}">
              <a16:creationId xmlns:a16="http://schemas.microsoft.com/office/drawing/2014/main" id="{9CF0A268-98EF-4419-96A4-9917002D5B39}"/>
            </a:ext>
          </a:extLst>
        </xdr:cNvPr>
        <xdr:cNvSpPr/>
      </xdr:nvSpPr>
      <xdr:spPr>
        <a:xfrm rot="10800000">
          <a:off x="3695700" y="7672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420</xdr:row>
      <xdr:rowOff>0</xdr:rowOff>
    </xdr:from>
    <xdr:to>
      <xdr:col>24</xdr:col>
      <xdr:colOff>83820</xdr:colOff>
      <xdr:row>420</xdr:row>
      <xdr:rowOff>114300</xdr:rowOff>
    </xdr:to>
    <xdr:sp macro="" textlink="">
      <xdr:nvSpPr>
        <xdr:cNvPr id="3122" name="Arrow: Down 3121">
          <a:extLst>
            <a:ext uri="{FF2B5EF4-FFF2-40B4-BE49-F238E27FC236}">
              <a16:creationId xmlns:a16="http://schemas.microsoft.com/office/drawing/2014/main" id="{C4338FD5-6741-4828-B827-AE02FBB84718}"/>
            </a:ext>
          </a:extLst>
        </xdr:cNvPr>
        <xdr:cNvSpPr/>
      </xdr:nvSpPr>
      <xdr:spPr>
        <a:xfrm>
          <a:off x="833628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420</xdr:row>
      <xdr:rowOff>0</xdr:rowOff>
    </xdr:from>
    <xdr:to>
      <xdr:col>39</xdr:col>
      <xdr:colOff>83820</xdr:colOff>
      <xdr:row>420</xdr:row>
      <xdr:rowOff>114300</xdr:rowOff>
    </xdr:to>
    <xdr:sp macro="" textlink="">
      <xdr:nvSpPr>
        <xdr:cNvPr id="3130" name="Arrow: Down 3129">
          <a:extLst>
            <a:ext uri="{FF2B5EF4-FFF2-40B4-BE49-F238E27FC236}">
              <a16:creationId xmlns:a16="http://schemas.microsoft.com/office/drawing/2014/main" id="{22AAC006-1C2F-4B4F-BE8B-485A7A5E565A}"/>
            </a:ext>
          </a:extLst>
        </xdr:cNvPr>
        <xdr:cNvSpPr/>
      </xdr:nvSpPr>
      <xdr:spPr>
        <a:xfrm rot="10800000">
          <a:off x="1154430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420</xdr:row>
      <xdr:rowOff>0</xdr:rowOff>
    </xdr:from>
    <xdr:to>
      <xdr:col>60</xdr:col>
      <xdr:colOff>83820</xdr:colOff>
      <xdr:row>420</xdr:row>
      <xdr:rowOff>114300</xdr:rowOff>
    </xdr:to>
    <xdr:sp macro="" textlink="">
      <xdr:nvSpPr>
        <xdr:cNvPr id="3134" name="Arrow: Down 3133">
          <a:extLst>
            <a:ext uri="{FF2B5EF4-FFF2-40B4-BE49-F238E27FC236}">
              <a16:creationId xmlns:a16="http://schemas.microsoft.com/office/drawing/2014/main" id="{504AA3E3-F02F-4320-B93F-B974EB624186}"/>
            </a:ext>
          </a:extLst>
        </xdr:cNvPr>
        <xdr:cNvSpPr/>
      </xdr:nvSpPr>
      <xdr:spPr>
        <a:xfrm>
          <a:off x="1901952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421</xdr:row>
      <xdr:rowOff>0</xdr:rowOff>
    </xdr:from>
    <xdr:to>
      <xdr:col>45</xdr:col>
      <xdr:colOff>83820</xdr:colOff>
      <xdr:row>421</xdr:row>
      <xdr:rowOff>114300</xdr:rowOff>
    </xdr:to>
    <xdr:sp macro="" textlink="">
      <xdr:nvSpPr>
        <xdr:cNvPr id="3157" name="Arrow: Down 3156">
          <a:extLst>
            <a:ext uri="{FF2B5EF4-FFF2-40B4-BE49-F238E27FC236}">
              <a16:creationId xmlns:a16="http://schemas.microsoft.com/office/drawing/2014/main" id="{48EBA2C3-A1BC-41DC-BD3C-233BF8A678F1}"/>
            </a:ext>
          </a:extLst>
        </xdr:cNvPr>
        <xdr:cNvSpPr/>
      </xdr:nvSpPr>
      <xdr:spPr>
        <a:xfrm rot="10800000">
          <a:off x="1340358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421</xdr:row>
      <xdr:rowOff>0</xdr:rowOff>
    </xdr:from>
    <xdr:to>
      <xdr:col>71</xdr:col>
      <xdr:colOff>83820</xdr:colOff>
      <xdr:row>421</xdr:row>
      <xdr:rowOff>114300</xdr:rowOff>
    </xdr:to>
    <xdr:sp macro="" textlink="">
      <xdr:nvSpPr>
        <xdr:cNvPr id="3164" name="Arrow: Down 3163">
          <a:extLst>
            <a:ext uri="{FF2B5EF4-FFF2-40B4-BE49-F238E27FC236}">
              <a16:creationId xmlns:a16="http://schemas.microsoft.com/office/drawing/2014/main" id="{E62F23D9-145A-47FE-B9ED-4399B18DF1EB}"/>
            </a:ext>
          </a:extLst>
        </xdr:cNvPr>
        <xdr:cNvSpPr/>
      </xdr:nvSpPr>
      <xdr:spPr>
        <a:xfrm>
          <a:off x="2157222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83820</xdr:colOff>
      <xdr:row>421</xdr:row>
      <xdr:rowOff>114300</xdr:rowOff>
    </xdr:to>
    <xdr:sp macro="" textlink="">
      <xdr:nvSpPr>
        <xdr:cNvPr id="3165" name="Arrow: Down 3164">
          <a:extLst>
            <a:ext uri="{FF2B5EF4-FFF2-40B4-BE49-F238E27FC236}">
              <a16:creationId xmlns:a16="http://schemas.microsoft.com/office/drawing/2014/main" id="{1D54DECF-2237-42DB-B6B6-68319F027DE1}"/>
            </a:ext>
          </a:extLst>
        </xdr:cNvPr>
        <xdr:cNvSpPr/>
      </xdr:nvSpPr>
      <xdr:spPr>
        <a:xfrm rot="10800000">
          <a:off x="1927860" y="7690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421</xdr:row>
      <xdr:rowOff>0</xdr:rowOff>
    </xdr:from>
    <xdr:to>
      <xdr:col>11</xdr:col>
      <xdr:colOff>83820</xdr:colOff>
      <xdr:row>421</xdr:row>
      <xdr:rowOff>114300</xdr:rowOff>
    </xdr:to>
    <xdr:sp macro="" textlink="">
      <xdr:nvSpPr>
        <xdr:cNvPr id="3167" name="Arrow: Down 3166">
          <a:extLst>
            <a:ext uri="{FF2B5EF4-FFF2-40B4-BE49-F238E27FC236}">
              <a16:creationId xmlns:a16="http://schemas.microsoft.com/office/drawing/2014/main" id="{F312633F-C12E-4C87-8BED-0FD6361EB6EC}"/>
            </a:ext>
          </a:extLst>
        </xdr:cNvPr>
        <xdr:cNvSpPr/>
      </xdr:nvSpPr>
      <xdr:spPr>
        <a:xfrm rot="10800000">
          <a:off x="3695700" y="7690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421</xdr:row>
      <xdr:rowOff>0</xdr:rowOff>
    </xdr:from>
    <xdr:to>
      <xdr:col>39</xdr:col>
      <xdr:colOff>83820</xdr:colOff>
      <xdr:row>421</xdr:row>
      <xdr:rowOff>114300</xdr:rowOff>
    </xdr:to>
    <xdr:sp macro="" textlink="">
      <xdr:nvSpPr>
        <xdr:cNvPr id="3171" name="Arrow: Down 3170">
          <a:extLst>
            <a:ext uri="{FF2B5EF4-FFF2-40B4-BE49-F238E27FC236}">
              <a16:creationId xmlns:a16="http://schemas.microsoft.com/office/drawing/2014/main" id="{98C7A4BC-73E8-406B-A0E3-7B9BAFD8E324}"/>
            </a:ext>
          </a:extLst>
        </xdr:cNvPr>
        <xdr:cNvSpPr/>
      </xdr:nvSpPr>
      <xdr:spPr>
        <a:xfrm rot="10800000">
          <a:off x="1154430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422</xdr:row>
      <xdr:rowOff>0</xdr:rowOff>
    </xdr:from>
    <xdr:to>
      <xdr:col>45</xdr:col>
      <xdr:colOff>83820</xdr:colOff>
      <xdr:row>422</xdr:row>
      <xdr:rowOff>114300</xdr:rowOff>
    </xdr:to>
    <xdr:sp macro="" textlink="">
      <xdr:nvSpPr>
        <xdr:cNvPr id="3173" name="Arrow: Down 3172">
          <a:extLst>
            <a:ext uri="{FF2B5EF4-FFF2-40B4-BE49-F238E27FC236}">
              <a16:creationId xmlns:a16="http://schemas.microsoft.com/office/drawing/2014/main" id="{02052430-16DB-4F6A-965F-BEEDADE98FB9}"/>
            </a:ext>
          </a:extLst>
        </xdr:cNvPr>
        <xdr:cNvSpPr/>
      </xdr:nvSpPr>
      <xdr:spPr>
        <a:xfrm rot="10800000">
          <a:off x="1340358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422</xdr:row>
      <xdr:rowOff>0</xdr:rowOff>
    </xdr:from>
    <xdr:to>
      <xdr:col>71</xdr:col>
      <xdr:colOff>83820</xdr:colOff>
      <xdr:row>422</xdr:row>
      <xdr:rowOff>114300</xdr:rowOff>
    </xdr:to>
    <xdr:sp macro="" textlink="">
      <xdr:nvSpPr>
        <xdr:cNvPr id="3174" name="Arrow: Down 3173">
          <a:extLst>
            <a:ext uri="{FF2B5EF4-FFF2-40B4-BE49-F238E27FC236}">
              <a16:creationId xmlns:a16="http://schemas.microsoft.com/office/drawing/2014/main" id="{CA18D3F6-0AC7-4152-9BE2-52EF32A62951}"/>
            </a:ext>
          </a:extLst>
        </xdr:cNvPr>
        <xdr:cNvSpPr/>
      </xdr:nvSpPr>
      <xdr:spPr>
        <a:xfrm>
          <a:off x="2157222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422</xdr:row>
      <xdr:rowOff>0</xdr:rowOff>
    </xdr:from>
    <xdr:to>
      <xdr:col>5</xdr:col>
      <xdr:colOff>83820</xdr:colOff>
      <xdr:row>422</xdr:row>
      <xdr:rowOff>114300</xdr:rowOff>
    </xdr:to>
    <xdr:sp macro="" textlink="">
      <xdr:nvSpPr>
        <xdr:cNvPr id="3175" name="Arrow: Down 3174">
          <a:extLst>
            <a:ext uri="{FF2B5EF4-FFF2-40B4-BE49-F238E27FC236}">
              <a16:creationId xmlns:a16="http://schemas.microsoft.com/office/drawing/2014/main" id="{CB4B1914-B6E0-40A6-8FDD-1DC42931DAF7}"/>
            </a:ext>
          </a:extLst>
        </xdr:cNvPr>
        <xdr:cNvSpPr/>
      </xdr:nvSpPr>
      <xdr:spPr>
        <a:xfrm rot="10800000">
          <a:off x="192786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422</xdr:row>
      <xdr:rowOff>0</xdr:rowOff>
    </xdr:from>
    <xdr:to>
      <xdr:col>11</xdr:col>
      <xdr:colOff>83820</xdr:colOff>
      <xdr:row>422</xdr:row>
      <xdr:rowOff>114300</xdr:rowOff>
    </xdr:to>
    <xdr:sp macro="" textlink="">
      <xdr:nvSpPr>
        <xdr:cNvPr id="3176" name="Arrow: Down 3175">
          <a:extLst>
            <a:ext uri="{FF2B5EF4-FFF2-40B4-BE49-F238E27FC236}">
              <a16:creationId xmlns:a16="http://schemas.microsoft.com/office/drawing/2014/main" id="{CBC903BF-253F-4C25-A589-3B9FCA72D72B}"/>
            </a:ext>
          </a:extLst>
        </xdr:cNvPr>
        <xdr:cNvSpPr/>
      </xdr:nvSpPr>
      <xdr:spPr>
        <a:xfrm rot="10800000">
          <a:off x="369570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422</xdr:row>
      <xdr:rowOff>0</xdr:rowOff>
    </xdr:from>
    <xdr:to>
      <xdr:col>24</xdr:col>
      <xdr:colOff>83820</xdr:colOff>
      <xdr:row>422</xdr:row>
      <xdr:rowOff>114300</xdr:rowOff>
    </xdr:to>
    <xdr:sp macro="" textlink="">
      <xdr:nvSpPr>
        <xdr:cNvPr id="3177" name="Arrow: Down 3176">
          <a:extLst>
            <a:ext uri="{FF2B5EF4-FFF2-40B4-BE49-F238E27FC236}">
              <a16:creationId xmlns:a16="http://schemas.microsoft.com/office/drawing/2014/main" id="{F1EEE46B-8A03-4024-B5EB-80C2BDE1A75B}"/>
            </a:ext>
          </a:extLst>
        </xdr:cNvPr>
        <xdr:cNvSpPr/>
      </xdr:nvSpPr>
      <xdr:spPr>
        <a:xfrm>
          <a:off x="833628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422</xdr:row>
      <xdr:rowOff>0</xdr:rowOff>
    </xdr:from>
    <xdr:to>
      <xdr:col>39</xdr:col>
      <xdr:colOff>83820</xdr:colOff>
      <xdr:row>422</xdr:row>
      <xdr:rowOff>114300</xdr:rowOff>
    </xdr:to>
    <xdr:sp macro="" textlink="">
      <xdr:nvSpPr>
        <xdr:cNvPr id="3180" name="Arrow: Down 3179">
          <a:extLst>
            <a:ext uri="{FF2B5EF4-FFF2-40B4-BE49-F238E27FC236}">
              <a16:creationId xmlns:a16="http://schemas.microsoft.com/office/drawing/2014/main" id="{BF404BC7-F4B8-446F-9F28-7C53A95778E1}"/>
            </a:ext>
          </a:extLst>
        </xdr:cNvPr>
        <xdr:cNvSpPr/>
      </xdr:nvSpPr>
      <xdr:spPr>
        <a:xfrm rot="10800000">
          <a:off x="1154430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422</xdr:row>
      <xdr:rowOff>0</xdr:rowOff>
    </xdr:from>
    <xdr:to>
      <xdr:col>60</xdr:col>
      <xdr:colOff>83820</xdr:colOff>
      <xdr:row>422</xdr:row>
      <xdr:rowOff>114300</xdr:rowOff>
    </xdr:to>
    <xdr:sp macro="" textlink="">
      <xdr:nvSpPr>
        <xdr:cNvPr id="3181" name="Arrow: Down 3180">
          <a:extLst>
            <a:ext uri="{FF2B5EF4-FFF2-40B4-BE49-F238E27FC236}">
              <a16:creationId xmlns:a16="http://schemas.microsoft.com/office/drawing/2014/main" id="{38984BAE-8C8D-454C-BE33-B129C24F83F7}"/>
            </a:ext>
          </a:extLst>
        </xdr:cNvPr>
        <xdr:cNvSpPr/>
      </xdr:nvSpPr>
      <xdr:spPr>
        <a:xfrm>
          <a:off x="1901952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421</xdr:row>
      <xdr:rowOff>0</xdr:rowOff>
    </xdr:from>
    <xdr:to>
      <xdr:col>60</xdr:col>
      <xdr:colOff>83820</xdr:colOff>
      <xdr:row>421</xdr:row>
      <xdr:rowOff>114300</xdr:rowOff>
    </xdr:to>
    <xdr:sp macro="" textlink="">
      <xdr:nvSpPr>
        <xdr:cNvPr id="3184" name="Arrow: Down 3183">
          <a:extLst>
            <a:ext uri="{FF2B5EF4-FFF2-40B4-BE49-F238E27FC236}">
              <a16:creationId xmlns:a16="http://schemas.microsoft.com/office/drawing/2014/main" id="{02317DF1-F6A3-4EA3-8F7E-0028C3B5E83A}"/>
            </a:ext>
          </a:extLst>
        </xdr:cNvPr>
        <xdr:cNvSpPr/>
      </xdr:nvSpPr>
      <xdr:spPr>
        <a:xfrm rot="10800000">
          <a:off x="1901952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421</xdr:row>
      <xdr:rowOff>0</xdr:rowOff>
    </xdr:from>
    <xdr:to>
      <xdr:col>24</xdr:col>
      <xdr:colOff>83820</xdr:colOff>
      <xdr:row>421</xdr:row>
      <xdr:rowOff>114300</xdr:rowOff>
    </xdr:to>
    <xdr:sp macro="" textlink="">
      <xdr:nvSpPr>
        <xdr:cNvPr id="3196" name="Arrow: Down 3195">
          <a:extLst>
            <a:ext uri="{FF2B5EF4-FFF2-40B4-BE49-F238E27FC236}">
              <a16:creationId xmlns:a16="http://schemas.microsoft.com/office/drawing/2014/main" id="{4A91EC7F-1405-4BB7-B77F-14CE92D28A0D}"/>
            </a:ext>
          </a:extLst>
        </xdr:cNvPr>
        <xdr:cNvSpPr/>
      </xdr:nvSpPr>
      <xdr:spPr>
        <a:xfrm rot="10800000">
          <a:off x="833628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423</xdr:row>
      <xdr:rowOff>0</xdr:rowOff>
    </xdr:from>
    <xdr:to>
      <xdr:col>45</xdr:col>
      <xdr:colOff>83820</xdr:colOff>
      <xdr:row>423</xdr:row>
      <xdr:rowOff>114300</xdr:rowOff>
    </xdr:to>
    <xdr:sp macro="" textlink="">
      <xdr:nvSpPr>
        <xdr:cNvPr id="3204" name="Arrow: Down 3203">
          <a:extLst>
            <a:ext uri="{FF2B5EF4-FFF2-40B4-BE49-F238E27FC236}">
              <a16:creationId xmlns:a16="http://schemas.microsoft.com/office/drawing/2014/main" id="{B7CFBE4E-39B4-4ACB-9822-BEFD47456106}"/>
            </a:ext>
          </a:extLst>
        </xdr:cNvPr>
        <xdr:cNvSpPr/>
      </xdr:nvSpPr>
      <xdr:spPr>
        <a:xfrm rot="10800000">
          <a:off x="1340358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423</xdr:row>
      <xdr:rowOff>0</xdr:rowOff>
    </xdr:from>
    <xdr:to>
      <xdr:col>71</xdr:col>
      <xdr:colOff>83820</xdr:colOff>
      <xdr:row>423</xdr:row>
      <xdr:rowOff>114300</xdr:rowOff>
    </xdr:to>
    <xdr:sp macro="" textlink="">
      <xdr:nvSpPr>
        <xdr:cNvPr id="3205" name="Arrow: Down 3204">
          <a:extLst>
            <a:ext uri="{FF2B5EF4-FFF2-40B4-BE49-F238E27FC236}">
              <a16:creationId xmlns:a16="http://schemas.microsoft.com/office/drawing/2014/main" id="{BB3A3589-16B9-4FCC-8C6E-3B8C990D85DE}"/>
            </a:ext>
          </a:extLst>
        </xdr:cNvPr>
        <xdr:cNvSpPr/>
      </xdr:nvSpPr>
      <xdr:spPr>
        <a:xfrm>
          <a:off x="2157222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423</xdr:row>
      <xdr:rowOff>0</xdr:rowOff>
    </xdr:from>
    <xdr:to>
      <xdr:col>24</xdr:col>
      <xdr:colOff>83820</xdr:colOff>
      <xdr:row>423</xdr:row>
      <xdr:rowOff>114300</xdr:rowOff>
    </xdr:to>
    <xdr:sp macro="" textlink="">
      <xdr:nvSpPr>
        <xdr:cNvPr id="3208" name="Arrow: Down 3207">
          <a:extLst>
            <a:ext uri="{FF2B5EF4-FFF2-40B4-BE49-F238E27FC236}">
              <a16:creationId xmlns:a16="http://schemas.microsoft.com/office/drawing/2014/main" id="{93E4C938-30D2-47BC-8709-C0185D9B9AFC}"/>
            </a:ext>
          </a:extLst>
        </xdr:cNvPr>
        <xdr:cNvSpPr/>
      </xdr:nvSpPr>
      <xdr:spPr>
        <a:xfrm>
          <a:off x="833628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423</xdr:row>
      <xdr:rowOff>0</xdr:rowOff>
    </xdr:from>
    <xdr:to>
      <xdr:col>60</xdr:col>
      <xdr:colOff>83820</xdr:colOff>
      <xdr:row>423</xdr:row>
      <xdr:rowOff>114300</xdr:rowOff>
    </xdr:to>
    <xdr:sp macro="" textlink="">
      <xdr:nvSpPr>
        <xdr:cNvPr id="3210" name="Arrow: Down 3209">
          <a:extLst>
            <a:ext uri="{FF2B5EF4-FFF2-40B4-BE49-F238E27FC236}">
              <a16:creationId xmlns:a16="http://schemas.microsoft.com/office/drawing/2014/main" id="{1D8B7283-9644-41E9-B956-5CB09C6BDFEB}"/>
            </a:ext>
          </a:extLst>
        </xdr:cNvPr>
        <xdr:cNvSpPr/>
      </xdr:nvSpPr>
      <xdr:spPr>
        <a:xfrm>
          <a:off x="1901952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423</xdr:row>
      <xdr:rowOff>0</xdr:rowOff>
    </xdr:from>
    <xdr:to>
      <xdr:col>39</xdr:col>
      <xdr:colOff>83820</xdr:colOff>
      <xdr:row>423</xdr:row>
      <xdr:rowOff>114300</xdr:rowOff>
    </xdr:to>
    <xdr:sp macro="" textlink="">
      <xdr:nvSpPr>
        <xdr:cNvPr id="3211" name="Arrow: Down 3210">
          <a:extLst>
            <a:ext uri="{FF2B5EF4-FFF2-40B4-BE49-F238E27FC236}">
              <a16:creationId xmlns:a16="http://schemas.microsoft.com/office/drawing/2014/main" id="{0A7115F5-D279-4E20-895A-DD02492523C2}"/>
            </a:ext>
          </a:extLst>
        </xdr:cNvPr>
        <xdr:cNvSpPr/>
      </xdr:nvSpPr>
      <xdr:spPr>
        <a:xfrm>
          <a:off x="11544300" y="7745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423</xdr:row>
      <xdr:rowOff>0</xdr:rowOff>
    </xdr:from>
    <xdr:to>
      <xdr:col>5</xdr:col>
      <xdr:colOff>83820</xdr:colOff>
      <xdr:row>423</xdr:row>
      <xdr:rowOff>114300</xdr:rowOff>
    </xdr:to>
    <xdr:sp macro="" textlink="">
      <xdr:nvSpPr>
        <xdr:cNvPr id="3212" name="Arrow: Down 3211">
          <a:extLst>
            <a:ext uri="{FF2B5EF4-FFF2-40B4-BE49-F238E27FC236}">
              <a16:creationId xmlns:a16="http://schemas.microsoft.com/office/drawing/2014/main" id="{0574EF8E-E3FD-4323-8C69-71B9EF9890E8}"/>
            </a:ext>
          </a:extLst>
        </xdr:cNvPr>
        <xdr:cNvSpPr/>
      </xdr:nvSpPr>
      <xdr:spPr>
        <a:xfrm>
          <a:off x="192786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423</xdr:row>
      <xdr:rowOff>0</xdr:rowOff>
    </xdr:from>
    <xdr:to>
      <xdr:col>11</xdr:col>
      <xdr:colOff>83820</xdr:colOff>
      <xdr:row>423</xdr:row>
      <xdr:rowOff>114300</xdr:rowOff>
    </xdr:to>
    <xdr:sp macro="" textlink="">
      <xdr:nvSpPr>
        <xdr:cNvPr id="3213" name="Arrow: Down 3212">
          <a:extLst>
            <a:ext uri="{FF2B5EF4-FFF2-40B4-BE49-F238E27FC236}">
              <a16:creationId xmlns:a16="http://schemas.microsoft.com/office/drawing/2014/main" id="{A490E6D3-869B-4E41-9A2F-97C30F670989}"/>
            </a:ext>
          </a:extLst>
        </xdr:cNvPr>
        <xdr:cNvSpPr/>
      </xdr:nvSpPr>
      <xdr:spPr>
        <a:xfrm>
          <a:off x="369570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424</xdr:row>
      <xdr:rowOff>0</xdr:rowOff>
    </xdr:from>
    <xdr:to>
      <xdr:col>45</xdr:col>
      <xdr:colOff>83820</xdr:colOff>
      <xdr:row>424</xdr:row>
      <xdr:rowOff>114300</xdr:rowOff>
    </xdr:to>
    <xdr:sp macro="" textlink="">
      <xdr:nvSpPr>
        <xdr:cNvPr id="3214" name="Arrow: Down 3213">
          <a:extLst>
            <a:ext uri="{FF2B5EF4-FFF2-40B4-BE49-F238E27FC236}">
              <a16:creationId xmlns:a16="http://schemas.microsoft.com/office/drawing/2014/main" id="{992B0550-3079-493D-8038-4617C403E46B}"/>
            </a:ext>
          </a:extLst>
        </xdr:cNvPr>
        <xdr:cNvSpPr/>
      </xdr:nvSpPr>
      <xdr:spPr>
        <a:xfrm rot="10800000">
          <a:off x="1340358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424</xdr:row>
      <xdr:rowOff>0</xdr:rowOff>
    </xdr:from>
    <xdr:to>
      <xdr:col>71</xdr:col>
      <xdr:colOff>83820</xdr:colOff>
      <xdr:row>424</xdr:row>
      <xdr:rowOff>114300</xdr:rowOff>
    </xdr:to>
    <xdr:sp macro="" textlink="">
      <xdr:nvSpPr>
        <xdr:cNvPr id="3215" name="Arrow: Down 3214">
          <a:extLst>
            <a:ext uri="{FF2B5EF4-FFF2-40B4-BE49-F238E27FC236}">
              <a16:creationId xmlns:a16="http://schemas.microsoft.com/office/drawing/2014/main" id="{7806024E-A3B3-4E46-802D-92D3C1AD84EA}"/>
            </a:ext>
          </a:extLst>
        </xdr:cNvPr>
        <xdr:cNvSpPr/>
      </xdr:nvSpPr>
      <xdr:spPr>
        <a:xfrm>
          <a:off x="2157222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424</xdr:row>
      <xdr:rowOff>0</xdr:rowOff>
    </xdr:from>
    <xdr:to>
      <xdr:col>24</xdr:col>
      <xdr:colOff>83820</xdr:colOff>
      <xdr:row>424</xdr:row>
      <xdr:rowOff>114300</xdr:rowOff>
    </xdr:to>
    <xdr:sp macro="" textlink="">
      <xdr:nvSpPr>
        <xdr:cNvPr id="3216" name="Arrow: Down 3215">
          <a:extLst>
            <a:ext uri="{FF2B5EF4-FFF2-40B4-BE49-F238E27FC236}">
              <a16:creationId xmlns:a16="http://schemas.microsoft.com/office/drawing/2014/main" id="{A5185581-8104-443C-8047-4FC39A933FDE}"/>
            </a:ext>
          </a:extLst>
        </xdr:cNvPr>
        <xdr:cNvSpPr/>
      </xdr:nvSpPr>
      <xdr:spPr>
        <a:xfrm>
          <a:off x="833628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424</xdr:row>
      <xdr:rowOff>0</xdr:rowOff>
    </xdr:from>
    <xdr:to>
      <xdr:col>60</xdr:col>
      <xdr:colOff>83820</xdr:colOff>
      <xdr:row>424</xdr:row>
      <xdr:rowOff>114300</xdr:rowOff>
    </xdr:to>
    <xdr:sp macro="" textlink="">
      <xdr:nvSpPr>
        <xdr:cNvPr id="3217" name="Arrow: Down 3216">
          <a:extLst>
            <a:ext uri="{FF2B5EF4-FFF2-40B4-BE49-F238E27FC236}">
              <a16:creationId xmlns:a16="http://schemas.microsoft.com/office/drawing/2014/main" id="{DF775A94-2447-41A9-8C43-2ADBD408092B}"/>
            </a:ext>
          </a:extLst>
        </xdr:cNvPr>
        <xdr:cNvSpPr/>
      </xdr:nvSpPr>
      <xdr:spPr>
        <a:xfrm>
          <a:off x="1901952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424</xdr:row>
      <xdr:rowOff>0</xdr:rowOff>
    </xdr:from>
    <xdr:to>
      <xdr:col>39</xdr:col>
      <xdr:colOff>83820</xdr:colOff>
      <xdr:row>424</xdr:row>
      <xdr:rowOff>114300</xdr:rowOff>
    </xdr:to>
    <xdr:sp macro="" textlink="">
      <xdr:nvSpPr>
        <xdr:cNvPr id="3218" name="Arrow: Down 3217">
          <a:extLst>
            <a:ext uri="{FF2B5EF4-FFF2-40B4-BE49-F238E27FC236}">
              <a16:creationId xmlns:a16="http://schemas.microsoft.com/office/drawing/2014/main" id="{80042575-9884-423F-B282-90D89CD0DD15}"/>
            </a:ext>
          </a:extLst>
        </xdr:cNvPr>
        <xdr:cNvSpPr/>
      </xdr:nvSpPr>
      <xdr:spPr>
        <a:xfrm>
          <a:off x="11544300" y="7745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424</xdr:row>
      <xdr:rowOff>0</xdr:rowOff>
    </xdr:from>
    <xdr:to>
      <xdr:col>5</xdr:col>
      <xdr:colOff>83820</xdr:colOff>
      <xdr:row>424</xdr:row>
      <xdr:rowOff>114300</xdr:rowOff>
    </xdr:to>
    <xdr:sp macro="" textlink="">
      <xdr:nvSpPr>
        <xdr:cNvPr id="3219" name="Arrow: Down 3218">
          <a:extLst>
            <a:ext uri="{FF2B5EF4-FFF2-40B4-BE49-F238E27FC236}">
              <a16:creationId xmlns:a16="http://schemas.microsoft.com/office/drawing/2014/main" id="{22AC19EF-0C9A-4417-87FA-E4F17CBCB28A}"/>
            </a:ext>
          </a:extLst>
        </xdr:cNvPr>
        <xdr:cNvSpPr/>
      </xdr:nvSpPr>
      <xdr:spPr>
        <a:xfrm>
          <a:off x="192786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424</xdr:row>
      <xdr:rowOff>0</xdr:rowOff>
    </xdr:from>
    <xdr:to>
      <xdr:col>11</xdr:col>
      <xdr:colOff>83820</xdr:colOff>
      <xdr:row>424</xdr:row>
      <xdr:rowOff>114300</xdr:rowOff>
    </xdr:to>
    <xdr:sp macro="" textlink="">
      <xdr:nvSpPr>
        <xdr:cNvPr id="3220" name="Arrow: Down 3219">
          <a:extLst>
            <a:ext uri="{FF2B5EF4-FFF2-40B4-BE49-F238E27FC236}">
              <a16:creationId xmlns:a16="http://schemas.microsoft.com/office/drawing/2014/main" id="{301DB0DF-E3C5-460B-834F-F06267965BF8}"/>
            </a:ext>
          </a:extLst>
        </xdr:cNvPr>
        <xdr:cNvSpPr/>
      </xdr:nvSpPr>
      <xdr:spPr>
        <a:xfrm>
          <a:off x="369570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425</xdr:row>
      <xdr:rowOff>0</xdr:rowOff>
    </xdr:from>
    <xdr:to>
      <xdr:col>45</xdr:col>
      <xdr:colOff>83820</xdr:colOff>
      <xdr:row>425</xdr:row>
      <xdr:rowOff>114300</xdr:rowOff>
    </xdr:to>
    <xdr:sp macro="" textlink="">
      <xdr:nvSpPr>
        <xdr:cNvPr id="3056" name="Arrow: Down 3055">
          <a:extLst>
            <a:ext uri="{FF2B5EF4-FFF2-40B4-BE49-F238E27FC236}">
              <a16:creationId xmlns:a16="http://schemas.microsoft.com/office/drawing/2014/main" id="{72A51514-AD99-4136-B8B7-76C149CCB521}"/>
            </a:ext>
          </a:extLst>
        </xdr:cNvPr>
        <xdr:cNvSpPr/>
      </xdr:nvSpPr>
      <xdr:spPr>
        <a:xfrm rot="10800000">
          <a:off x="13403580" y="7764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425</xdr:row>
      <xdr:rowOff>0</xdr:rowOff>
    </xdr:from>
    <xdr:to>
      <xdr:col>71</xdr:col>
      <xdr:colOff>83820</xdr:colOff>
      <xdr:row>425</xdr:row>
      <xdr:rowOff>114300</xdr:rowOff>
    </xdr:to>
    <xdr:sp macro="" textlink="">
      <xdr:nvSpPr>
        <xdr:cNvPr id="3062" name="Arrow: Down 3061">
          <a:extLst>
            <a:ext uri="{FF2B5EF4-FFF2-40B4-BE49-F238E27FC236}">
              <a16:creationId xmlns:a16="http://schemas.microsoft.com/office/drawing/2014/main" id="{EC25FF67-BDED-4177-A9CE-9E6733ECBAFB}"/>
            </a:ext>
          </a:extLst>
        </xdr:cNvPr>
        <xdr:cNvSpPr/>
      </xdr:nvSpPr>
      <xdr:spPr>
        <a:xfrm>
          <a:off x="21572220" y="7764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425</xdr:row>
      <xdr:rowOff>0</xdr:rowOff>
    </xdr:from>
    <xdr:to>
      <xdr:col>60</xdr:col>
      <xdr:colOff>83820</xdr:colOff>
      <xdr:row>425</xdr:row>
      <xdr:rowOff>114300</xdr:rowOff>
    </xdr:to>
    <xdr:sp macro="" textlink="">
      <xdr:nvSpPr>
        <xdr:cNvPr id="3066" name="Arrow: Down 3065">
          <a:extLst>
            <a:ext uri="{FF2B5EF4-FFF2-40B4-BE49-F238E27FC236}">
              <a16:creationId xmlns:a16="http://schemas.microsoft.com/office/drawing/2014/main" id="{C612E8E3-A5A6-4C48-A94B-8C137C13CAB0}"/>
            </a:ext>
          </a:extLst>
        </xdr:cNvPr>
        <xdr:cNvSpPr/>
      </xdr:nvSpPr>
      <xdr:spPr>
        <a:xfrm>
          <a:off x="19019520" y="7764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425</xdr:row>
      <xdr:rowOff>0</xdr:rowOff>
    </xdr:from>
    <xdr:to>
      <xdr:col>39</xdr:col>
      <xdr:colOff>83820</xdr:colOff>
      <xdr:row>425</xdr:row>
      <xdr:rowOff>114300</xdr:rowOff>
    </xdr:to>
    <xdr:sp macro="" textlink="">
      <xdr:nvSpPr>
        <xdr:cNvPr id="3113" name="Arrow: Down 3112">
          <a:extLst>
            <a:ext uri="{FF2B5EF4-FFF2-40B4-BE49-F238E27FC236}">
              <a16:creationId xmlns:a16="http://schemas.microsoft.com/office/drawing/2014/main" id="{363A4E70-48F8-4F2A-B72D-069F7AB9EEAD}"/>
            </a:ext>
          </a:extLst>
        </xdr:cNvPr>
        <xdr:cNvSpPr/>
      </xdr:nvSpPr>
      <xdr:spPr>
        <a:xfrm rot="10800000">
          <a:off x="11544300" y="7782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83820</xdr:colOff>
      <xdr:row>425</xdr:row>
      <xdr:rowOff>114300</xdr:rowOff>
    </xdr:to>
    <xdr:sp macro="" textlink="">
      <xdr:nvSpPr>
        <xdr:cNvPr id="3117" name="Arrow: Down 3116">
          <a:extLst>
            <a:ext uri="{FF2B5EF4-FFF2-40B4-BE49-F238E27FC236}">
              <a16:creationId xmlns:a16="http://schemas.microsoft.com/office/drawing/2014/main" id="{51CE7575-B0A0-4104-B9E9-7E1DA3B415D0}"/>
            </a:ext>
          </a:extLst>
        </xdr:cNvPr>
        <xdr:cNvSpPr/>
      </xdr:nvSpPr>
      <xdr:spPr>
        <a:xfrm rot="10800000">
          <a:off x="833628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83820</xdr:colOff>
      <xdr:row>425</xdr:row>
      <xdr:rowOff>114300</xdr:rowOff>
    </xdr:to>
    <xdr:sp macro="" textlink="">
      <xdr:nvSpPr>
        <xdr:cNvPr id="3135" name="Arrow: Down 3134">
          <a:extLst>
            <a:ext uri="{FF2B5EF4-FFF2-40B4-BE49-F238E27FC236}">
              <a16:creationId xmlns:a16="http://schemas.microsoft.com/office/drawing/2014/main" id="{D20BD275-B611-4FA9-BD76-8DA8D9E5D07E}"/>
            </a:ext>
          </a:extLst>
        </xdr:cNvPr>
        <xdr:cNvSpPr/>
      </xdr:nvSpPr>
      <xdr:spPr>
        <a:xfrm rot="10800000">
          <a:off x="192786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425</xdr:row>
      <xdr:rowOff>0</xdr:rowOff>
    </xdr:from>
    <xdr:to>
      <xdr:col>11</xdr:col>
      <xdr:colOff>83820</xdr:colOff>
      <xdr:row>425</xdr:row>
      <xdr:rowOff>114300</xdr:rowOff>
    </xdr:to>
    <xdr:sp macro="" textlink="">
      <xdr:nvSpPr>
        <xdr:cNvPr id="3145" name="Arrow: Down 3144">
          <a:extLst>
            <a:ext uri="{FF2B5EF4-FFF2-40B4-BE49-F238E27FC236}">
              <a16:creationId xmlns:a16="http://schemas.microsoft.com/office/drawing/2014/main" id="{9BEEB4C5-01AC-4EC0-9A55-663B5E905208}"/>
            </a:ext>
          </a:extLst>
        </xdr:cNvPr>
        <xdr:cNvSpPr/>
      </xdr:nvSpPr>
      <xdr:spPr>
        <a:xfrm rot="10800000">
          <a:off x="369570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426</xdr:row>
      <xdr:rowOff>0</xdr:rowOff>
    </xdr:from>
    <xdr:to>
      <xdr:col>45</xdr:col>
      <xdr:colOff>83820</xdr:colOff>
      <xdr:row>426</xdr:row>
      <xdr:rowOff>114300</xdr:rowOff>
    </xdr:to>
    <xdr:sp macro="" textlink="">
      <xdr:nvSpPr>
        <xdr:cNvPr id="3197" name="Arrow: Down 3196">
          <a:extLst>
            <a:ext uri="{FF2B5EF4-FFF2-40B4-BE49-F238E27FC236}">
              <a16:creationId xmlns:a16="http://schemas.microsoft.com/office/drawing/2014/main" id="{459460CE-EF00-4A44-AFAF-BB2BDC23D0E7}"/>
            </a:ext>
          </a:extLst>
        </xdr:cNvPr>
        <xdr:cNvSpPr/>
      </xdr:nvSpPr>
      <xdr:spPr>
        <a:xfrm rot="10800000">
          <a:off x="13403580" y="7782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426</xdr:row>
      <xdr:rowOff>0</xdr:rowOff>
    </xdr:from>
    <xdr:to>
      <xdr:col>71</xdr:col>
      <xdr:colOff>83820</xdr:colOff>
      <xdr:row>426</xdr:row>
      <xdr:rowOff>114300</xdr:rowOff>
    </xdr:to>
    <xdr:sp macro="" textlink="">
      <xdr:nvSpPr>
        <xdr:cNvPr id="3198" name="Arrow: Down 3197">
          <a:extLst>
            <a:ext uri="{FF2B5EF4-FFF2-40B4-BE49-F238E27FC236}">
              <a16:creationId xmlns:a16="http://schemas.microsoft.com/office/drawing/2014/main" id="{DE8131E8-0090-47DE-ADEF-1EA8FB0BD45E}"/>
            </a:ext>
          </a:extLst>
        </xdr:cNvPr>
        <xdr:cNvSpPr/>
      </xdr:nvSpPr>
      <xdr:spPr>
        <a:xfrm>
          <a:off x="21572220" y="7782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426</xdr:row>
      <xdr:rowOff>0</xdr:rowOff>
    </xdr:from>
    <xdr:to>
      <xdr:col>24</xdr:col>
      <xdr:colOff>83820</xdr:colOff>
      <xdr:row>426</xdr:row>
      <xdr:rowOff>114300</xdr:rowOff>
    </xdr:to>
    <xdr:sp macro="" textlink="">
      <xdr:nvSpPr>
        <xdr:cNvPr id="3201" name="Arrow: Down 3200">
          <a:extLst>
            <a:ext uri="{FF2B5EF4-FFF2-40B4-BE49-F238E27FC236}">
              <a16:creationId xmlns:a16="http://schemas.microsoft.com/office/drawing/2014/main" id="{990E2758-E27B-467F-A46A-17E27B41750F}"/>
            </a:ext>
          </a:extLst>
        </xdr:cNvPr>
        <xdr:cNvSpPr/>
      </xdr:nvSpPr>
      <xdr:spPr>
        <a:xfrm rot="10800000">
          <a:off x="833628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426</xdr:row>
      <xdr:rowOff>0</xdr:rowOff>
    </xdr:from>
    <xdr:to>
      <xdr:col>5</xdr:col>
      <xdr:colOff>83820</xdr:colOff>
      <xdr:row>426</xdr:row>
      <xdr:rowOff>114300</xdr:rowOff>
    </xdr:to>
    <xdr:sp macro="" textlink="">
      <xdr:nvSpPr>
        <xdr:cNvPr id="3202" name="Arrow: Down 3201">
          <a:extLst>
            <a:ext uri="{FF2B5EF4-FFF2-40B4-BE49-F238E27FC236}">
              <a16:creationId xmlns:a16="http://schemas.microsoft.com/office/drawing/2014/main" id="{E2DD6C07-4E09-4AFC-9EB5-392D93B2B2C9}"/>
            </a:ext>
          </a:extLst>
        </xdr:cNvPr>
        <xdr:cNvSpPr/>
      </xdr:nvSpPr>
      <xdr:spPr>
        <a:xfrm rot="10800000">
          <a:off x="192786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426</xdr:row>
      <xdr:rowOff>0</xdr:rowOff>
    </xdr:from>
    <xdr:to>
      <xdr:col>11</xdr:col>
      <xdr:colOff>83820</xdr:colOff>
      <xdr:row>426</xdr:row>
      <xdr:rowOff>114300</xdr:rowOff>
    </xdr:to>
    <xdr:sp macro="" textlink="">
      <xdr:nvSpPr>
        <xdr:cNvPr id="3203" name="Arrow: Down 3202">
          <a:extLst>
            <a:ext uri="{FF2B5EF4-FFF2-40B4-BE49-F238E27FC236}">
              <a16:creationId xmlns:a16="http://schemas.microsoft.com/office/drawing/2014/main" id="{1EFEAF86-7600-4C7F-AFD1-FE15E3EC0E4A}"/>
            </a:ext>
          </a:extLst>
        </xdr:cNvPr>
        <xdr:cNvSpPr/>
      </xdr:nvSpPr>
      <xdr:spPr>
        <a:xfrm rot="10800000">
          <a:off x="369570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426</xdr:row>
      <xdr:rowOff>0</xdr:rowOff>
    </xdr:from>
    <xdr:to>
      <xdr:col>39</xdr:col>
      <xdr:colOff>83820</xdr:colOff>
      <xdr:row>426</xdr:row>
      <xdr:rowOff>114300</xdr:rowOff>
    </xdr:to>
    <xdr:sp macro="" textlink="">
      <xdr:nvSpPr>
        <xdr:cNvPr id="3206" name="Arrow: Down 3205">
          <a:extLst>
            <a:ext uri="{FF2B5EF4-FFF2-40B4-BE49-F238E27FC236}">
              <a16:creationId xmlns:a16="http://schemas.microsoft.com/office/drawing/2014/main" id="{C792B500-BB79-4F70-B6DD-EE49EBAC751A}"/>
            </a:ext>
          </a:extLst>
        </xdr:cNvPr>
        <xdr:cNvSpPr/>
      </xdr:nvSpPr>
      <xdr:spPr>
        <a:xfrm>
          <a:off x="1154430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426</xdr:row>
      <xdr:rowOff>0</xdr:rowOff>
    </xdr:from>
    <xdr:to>
      <xdr:col>60</xdr:col>
      <xdr:colOff>83820</xdr:colOff>
      <xdr:row>426</xdr:row>
      <xdr:rowOff>114300</xdr:rowOff>
    </xdr:to>
    <xdr:sp macro="" textlink="">
      <xdr:nvSpPr>
        <xdr:cNvPr id="3207" name="Arrow: Down 3206">
          <a:extLst>
            <a:ext uri="{FF2B5EF4-FFF2-40B4-BE49-F238E27FC236}">
              <a16:creationId xmlns:a16="http://schemas.microsoft.com/office/drawing/2014/main" id="{B3DD0D17-A609-491D-B211-32CEF0A143D8}"/>
            </a:ext>
          </a:extLst>
        </xdr:cNvPr>
        <xdr:cNvSpPr/>
      </xdr:nvSpPr>
      <xdr:spPr>
        <a:xfrm rot="10800000">
          <a:off x="1901952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427</xdr:row>
      <xdr:rowOff>0</xdr:rowOff>
    </xdr:from>
    <xdr:to>
      <xdr:col>45</xdr:col>
      <xdr:colOff>83820</xdr:colOff>
      <xdr:row>427</xdr:row>
      <xdr:rowOff>114300</xdr:rowOff>
    </xdr:to>
    <xdr:sp macro="" textlink="">
      <xdr:nvSpPr>
        <xdr:cNvPr id="3209" name="Arrow: Down 3208">
          <a:extLst>
            <a:ext uri="{FF2B5EF4-FFF2-40B4-BE49-F238E27FC236}">
              <a16:creationId xmlns:a16="http://schemas.microsoft.com/office/drawing/2014/main" id="{0338404E-05CD-45F5-97E4-4E85F2A0213A}"/>
            </a:ext>
          </a:extLst>
        </xdr:cNvPr>
        <xdr:cNvSpPr/>
      </xdr:nvSpPr>
      <xdr:spPr>
        <a:xfrm rot="10800000">
          <a:off x="13403580" y="7800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427</xdr:row>
      <xdr:rowOff>0</xdr:rowOff>
    </xdr:from>
    <xdr:to>
      <xdr:col>71</xdr:col>
      <xdr:colOff>83820</xdr:colOff>
      <xdr:row>427</xdr:row>
      <xdr:rowOff>114300</xdr:rowOff>
    </xdr:to>
    <xdr:sp macro="" textlink="">
      <xdr:nvSpPr>
        <xdr:cNvPr id="3221" name="Arrow: Down 3220">
          <a:extLst>
            <a:ext uri="{FF2B5EF4-FFF2-40B4-BE49-F238E27FC236}">
              <a16:creationId xmlns:a16="http://schemas.microsoft.com/office/drawing/2014/main" id="{0383558A-AE86-4A61-BAB0-FF1A2719A8A1}"/>
            </a:ext>
          </a:extLst>
        </xdr:cNvPr>
        <xdr:cNvSpPr/>
      </xdr:nvSpPr>
      <xdr:spPr>
        <a:xfrm>
          <a:off x="21572220" y="7800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427</xdr:row>
      <xdr:rowOff>0</xdr:rowOff>
    </xdr:from>
    <xdr:to>
      <xdr:col>24</xdr:col>
      <xdr:colOff>83820</xdr:colOff>
      <xdr:row>427</xdr:row>
      <xdr:rowOff>114300</xdr:rowOff>
    </xdr:to>
    <xdr:sp macro="" textlink="">
      <xdr:nvSpPr>
        <xdr:cNvPr id="3222" name="Arrow: Down 3221">
          <a:extLst>
            <a:ext uri="{FF2B5EF4-FFF2-40B4-BE49-F238E27FC236}">
              <a16:creationId xmlns:a16="http://schemas.microsoft.com/office/drawing/2014/main" id="{A1207A8F-715B-4D97-8495-0C5074433871}"/>
            </a:ext>
          </a:extLst>
        </xdr:cNvPr>
        <xdr:cNvSpPr/>
      </xdr:nvSpPr>
      <xdr:spPr>
        <a:xfrm rot="10800000">
          <a:off x="833628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427</xdr:row>
      <xdr:rowOff>0</xdr:rowOff>
    </xdr:from>
    <xdr:to>
      <xdr:col>5</xdr:col>
      <xdr:colOff>83820</xdr:colOff>
      <xdr:row>427</xdr:row>
      <xdr:rowOff>114300</xdr:rowOff>
    </xdr:to>
    <xdr:sp macro="" textlink="">
      <xdr:nvSpPr>
        <xdr:cNvPr id="3223" name="Arrow: Down 3222">
          <a:extLst>
            <a:ext uri="{FF2B5EF4-FFF2-40B4-BE49-F238E27FC236}">
              <a16:creationId xmlns:a16="http://schemas.microsoft.com/office/drawing/2014/main" id="{FF62CA46-37A1-4EC4-A20F-9CDF0B4ABBF1}"/>
            </a:ext>
          </a:extLst>
        </xdr:cNvPr>
        <xdr:cNvSpPr/>
      </xdr:nvSpPr>
      <xdr:spPr>
        <a:xfrm rot="10800000">
          <a:off x="192786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427</xdr:row>
      <xdr:rowOff>0</xdr:rowOff>
    </xdr:from>
    <xdr:to>
      <xdr:col>11</xdr:col>
      <xdr:colOff>83820</xdr:colOff>
      <xdr:row>427</xdr:row>
      <xdr:rowOff>114300</xdr:rowOff>
    </xdr:to>
    <xdr:sp macro="" textlink="">
      <xdr:nvSpPr>
        <xdr:cNvPr id="3224" name="Arrow: Down 3223">
          <a:extLst>
            <a:ext uri="{FF2B5EF4-FFF2-40B4-BE49-F238E27FC236}">
              <a16:creationId xmlns:a16="http://schemas.microsoft.com/office/drawing/2014/main" id="{66320F3B-7F6D-485D-8855-41FF25AE81AD}"/>
            </a:ext>
          </a:extLst>
        </xdr:cNvPr>
        <xdr:cNvSpPr/>
      </xdr:nvSpPr>
      <xdr:spPr>
        <a:xfrm rot="10800000">
          <a:off x="369570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427</xdr:row>
      <xdr:rowOff>0</xdr:rowOff>
    </xdr:from>
    <xdr:to>
      <xdr:col>60</xdr:col>
      <xdr:colOff>83820</xdr:colOff>
      <xdr:row>427</xdr:row>
      <xdr:rowOff>114300</xdr:rowOff>
    </xdr:to>
    <xdr:sp macro="" textlink="">
      <xdr:nvSpPr>
        <xdr:cNvPr id="3228" name="Arrow: Down 3227">
          <a:extLst>
            <a:ext uri="{FF2B5EF4-FFF2-40B4-BE49-F238E27FC236}">
              <a16:creationId xmlns:a16="http://schemas.microsoft.com/office/drawing/2014/main" id="{8F51DB70-ED00-494D-801F-A125C1B066E7}"/>
            </a:ext>
          </a:extLst>
        </xdr:cNvPr>
        <xdr:cNvSpPr/>
      </xdr:nvSpPr>
      <xdr:spPr>
        <a:xfrm>
          <a:off x="1901952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427</xdr:row>
      <xdr:rowOff>0</xdr:rowOff>
    </xdr:from>
    <xdr:to>
      <xdr:col>39</xdr:col>
      <xdr:colOff>83820</xdr:colOff>
      <xdr:row>427</xdr:row>
      <xdr:rowOff>114300</xdr:rowOff>
    </xdr:to>
    <xdr:sp macro="" textlink="">
      <xdr:nvSpPr>
        <xdr:cNvPr id="3230" name="Arrow: Down 3229">
          <a:extLst>
            <a:ext uri="{FF2B5EF4-FFF2-40B4-BE49-F238E27FC236}">
              <a16:creationId xmlns:a16="http://schemas.microsoft.com/office/drawing/2014/main" id="{C193B725-20AF-4C48-AD1E-E75C62544486}"/>
            </a:ext>
          </a:extLst>
        </xdr:cNvPr>
        <xdr:cNvSpPr/>
      </xdr:nvSpPr>
      <xdr:spPr>
        <a:xfrm rot="10800000">
          <a:off x="1154430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428</xdr:row>
      <xdr:rowOff>0</xdr:rowOff>
    </xdr:from>
    <xdr:to>
      <xdr:col>45</xdr:col>
      <xdr:colOff>83820</xdr:colOff>
      <xdr:row>428</xdr:row>
      <xdr:rowOff>114300</xdr:rowOff>
    </xdr:to>
    <xdr:sp macro="" textlink="">
      <xdr:nvSpPr>
        <xdr:cNvPr id="3231" name="Arrow: Down 3230">
          <a:extLst>
            <a:ext uri="{FF2B5EF4-FFF2-40B4-BE49-F238E27FC236}">
              <a16:creationId xmlns:a16="http://schemas.microsoft.com/office/drawing/2014/main" id="{772982FF-047E-45B3-9D04-4514322857CB}"/>
            </a:ext>
          </a:extLst>
        </xdr:cNvPr>
        <xdr:cNvSpPr/>
      </xdr:nvSpPr>
      <xdr:spPr>
        <a:xfrm rot="10800000">
          <a:off x="1340358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428</xdr:row>
      <xdr:rowOff>0</xdr:rowOff>
    </xdr:from>
    <xdr:to>
      <xdr:col>71</xdr:col>
      <xdr:colOff>83820</xdr:colOff>
      <xdr:row>428</xdr:row>
      <xdr:rowOff>114300</xdr:rowOff>
    </xdr:to>
    <xdr:sp macro="" textlink="">
      <xdr:nvSpPr>
        <xdr:cNvPr id="3232" name="Arrow: Down 3231">
          <a:extLst>
            <a:ext uri="{FF2B5EF4-FFF2-40B4-BE49-F238E27FC236}">
              <a16:creationId xmlns:a16="http://schemas.microsoft.com/office/drawing/2014/main" id="{8B915F1D-9EDD-4E5E-96C5-273EABC643D8}"/>
            </a:ext>
          </a:extLst>
        </xdr:cNvPr>
        <xdr:cNvSpPr/>
      </xdr:nvSpPr>
      <xdr:spPr>
        <a:xfrm>
          <a:off x="2157222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428</xdr:row>
      <xdr:rowOff>0</xdr:rowOff>
    </xdr:from>
    <xdr:to>
      <xdr:col>5</xdr:col>
      <xdr:colOff>83820</xdr:colOff>
      <xdr:row>428</xdr:row>
      <xdr:rowOff>114300</xdr:rowOff>
    </xdr:to>
    <xdr:sp macro="" textlink="">
      <xdr:nvSpPr>
        <xdr:cNvPr id="3234" name="Arrow: Down 3233">
          <a:extLst>
            <a:ext uri="{FF2B5EF4-FFF2-40B4-BE49-F238E27FC236}">
              <a16:creationId xmlns:a16="http://schemas.microsoft.com/office/drawing/2014/main" id="{8FFCA40F-3491-4922-AFE3-020457340C9A}"/>
            </a:ext>
          </a:extLst>
        </xdr:cNvPr>
        <xdr:cNvSpPr/>
      </xdr:nvSpPr>
      <xdr:spPr>
        <a:xfrm rot="10800000">
          <a:off x="1927860" y="7818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428</xdr:row>
      <xdr:rowOff>0</xdr:rowOff>
    </xdr:from>
    <xdr:to>
      <xdr:col>11</xdr:col>
      <xdr:colOff>83820</xdr:colOff>
      <xdr:row>428</xdr:row>
      <xdr:rowOff>114300</xdr:rowOff>
    </xdr:to>
    <xdr:sp macro="" textlink="">
      <xdr:nvSpPr>
        <xdr:cNvPr id="3235" name="Arrow: Down 3234">
          <a:extLst>
            <a:ext uri="{FF2B5EF4-FFF2-40B4-BE49-F238E27FC236}">
              <a16:creationId xmlns:a16="http://schemas.microsoft.com/office/drawing/2014/main" id="{D8810B17-E5AF-4DF4-BD25-356992C2098B}"/>
            </a:ext>
          </a:extLst>
        </xdr:cNvPr>
        <xdr:cNvSpPr/>
      </xdr:nvSpPr>
      <xdr:spPr>
        <a:xfrm rot="10800000">
          <a:off x="3695700" y="7818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428</xdr:row>
      <xdr:rowOff>0</xdr:rowOff>
    </xdr:from>
    <xdr:to>
      <xdr:col>60</xdr:col>
      <xdr:colOff>83820</xdr:colOff>
      <xdr:row>428</xdr:row>
      <xdr:rowOff>114300</xdr:rowOff>
    </xdr:to>
    <xdr:sp macro="" textlink="">
      <xdr:nvSpPr>
        <xdr:cNvPr id="3236" name="Arrow: Down 3235">
          <a:extLst>
            <a:ext uri="{FF2B5EF4-FFF2-40B4-BE49-F238E27FC236}">
              <a16:creationId xmlns:a16="http://schemas.microsoft.com/office/drawing/2014/main" id="{0CF614AA-4FF8-4C1D-A412-2DBF5907AF2A}"/>
            </a:ext>
          </a:extLst>
        </xdr:cNvPr>
        <xdr:cNvSpPr/>
      </xdr:nvSpPr>
      <xdr:spPr>
        <a:xfrm>
          <a:off x="1901952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428</xdr:row>
      <xdr:rowOff>0</xdr:rowOff>
    </xdr:from>
    <xdr:to>
      <xdr:col>39</xdr:col>
      <xdr:colOff>83820</xdr:colOff>
      <xdr:row>428</xdr:row>
      <xdr:rowOff>114300</xdr:rowOff>
    </xdr:to>
    <xdr:sp macro="" textlink="">
      <xdr:nvSpPr>
        <xdr:cNvPr id="3238" name="Arrow: Down 3237">
          <a:extLst>
            <a:ext uri="{FF2B5EF4-FFF2-40B4-BE49-F238E27FC236}">
              <a16:creationId xmlns:a16="http://schemas.microsoft.com/office/drawing/2014/main" id="{86816868-1291-4CF9-A3EA-CA0A8B2CCFBF}"/>
            </a:ext>
          </a:extLst>
        </xdr:cNvPr>
        <xdr:cNvSpPr/>
      </xdr:nvSpPr>
      <xdr:spPr>
        <a:xfrm>
          <a:off x="11544300" y="7837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83820</xdr:colOff>
      <xdr:row>428</xdr:row>
      <xdr:rowOff>114300</xdr:rowOff>
    </xdr:to>
    <xdr:sp macro="" textlink="">
      <xdr:nvSpPr>
        <xdr:cNvPr id="3239" name="Arrow: Down 3238">
          <a:extLst>
            <a:ext uri="{FF2B5EF4-FFF2-40B4-BE49-F238E27FC236}">
              <a16:creationId xmlns:a16="http://schemas.microsoft.com/office/drawing/2014/main" id="{2BD30AB8-C16D-4739-8872-5A5421AB0DC4}"/>
            </a:ext>
          </a:extLst>
        </xdr:cNvPr>
        <xdr:cNvSpPr/>
      </xdr:nvSpPr>
      <xdr:spPr>
        <a:xfrm>
          <a:off x="833628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429</xdr:row>
      <xdr:rowOff>0</xdr:rowOff>
    </xdr:from>
    <xdr:to>
      <xdr:col>45</xdr:col>
      <xdr:colOff>83820</xdr:colOff>
      <xdr:row>429</xdr:row>
      <xdr:rowOff>114300</xdr:rowOff>
    </xdr:to>
    <xdr:sp macro="" textlink="">
      <xdr:nvSpPr>
        <xdr:cNvPr id="3240" name="Arrow: Down 3239">
          <a:extLst>
            <a:ext uri="{FF2B5EF4-FFF2-40B4-BE49-F238E27FC236}">
              <a16:creationId xmlns:a16="http://schemas.microsoft.com/office/drawing/2014/main" id="{703608FD-9CE7-4CC0-969D-57A9F6D092AD}"/>
            </a:ext>
          </a:extLst>
        </xdr:cNvPr>
        <xdr:cNvSpPr/>
      </xdr:nvSpPr>
      <xdr:spPr>
        <a:xfrm rot="10800000">
          <a:off x="1340358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429</xdr:row>
      <xdr:rowOff>0</xdr:rowOff>
    </xdr:from>
    <xdr:to>
      <xdr:col>71</xdr:col>
      <xdr:colOff>83820</xdr:colOff>
      <xdr:row>429</xdr:row>
      <xdr:rowOff>114300</xdr:rowOff>
    </xdr:to>
    <xdr:sp macro="" textlink="">
      <xdr:nvSpPr>
        <xdr:cNvPr id="3241" name="Arrow: Down 3240">
          <a:extLst>
            <a:ext uri="{FF2B5EF4-FFF2-40B4-BE49-F238E27FC236}">
              <a16:creationId xmlns:a16="http://schemas.microsoft.com/office/drawing/2014/main" id="{E3C013EF-6051-40B5-ADEA-93B5DFFE10E9}"/>
            </a:ext>
          </a:extLst>
        </xdr:cNvPr>
        <xdr:cNvSpPr/>
      </xdr:nvSpPr>
      <xdr:spPr>
        <a:xfrm>
          <a:off x="2157222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429</xdr:row>
      <xdr:rowOff>0</xdr:rowOff>
    </xdr:from>
    <xdr:to>
      <xdr:col>11</xdr:col>
      <xdr:colOff>83820</xdr:colOff>
      <xdr:row>429</xdr:row>
      <xdr:rowOff>114300</xdr:rowOff>
    </xdr:to>
    <xdr:sp macro="" textlink="">
      <xdr:nvSpPr>
        <xdr:cNvPr id="3243" name="Arrow: Down 3242">
          <a:extLst>
            <a:ext uri="{FF2B5EF4-FFF2-40B4-BE49-F238E27FC236}">
              <a16:creationId xmlns:a16="http://schemas.microsoft.com/office/drawing/2014/main" id="{D7363641-BE58-4E12-90E9-F4A967FA200A}"/>
            </a:ext>
          </a:extLst>
        </xdr:cNvPr>
        <xdr:cNvSpPr/>
      </xdr:nvSpPr>
      <xdr:spPr>
        <a:xfrm rot="10800000">
          <a:off x="3695700" y="7837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429</xdr:row>
      <xdr:rowOff>0</xdr:rowOff>
    </xdr:from>
    <xdr:to>
      <xdr:col>60</xdr:col>
      <xdr:colOff>83820</xdr:colOff>
      <xdr:row>429</xdr:row>
      <xdr:rowOff>114300</xdr:rowOff>
    </xdr:to>
    <xdr:sp macro="" textlink="">
      <xdr:nvSpPr>
        <xdr:cNvPr id="3244" name="Arrow: Down 3243">
          <a:extLst>
            <a:ext uri="{FF2B5EF4-FFF2-40B4-BE49-F238E27FC236}">
              <a16:creationId xmlns:a16="http://schemas.microsoft.com/office/drawing/2014/main" id="{6C90ED9B-B98C-4388-8218-F7E0CB96D2BD}"/>
            </a:ext>
          </a:extLst>
        </xdr:cNvPr>
        <xdr:cNvSpPr/>
      </xdr:nvSpPr>
      <xdr:spPr>
        <a:xfrm>
          <a:off x="1901952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429</xdr:row>
      <xdr:rowOff>0</xdr:rowOff>
    </xdr:from>
    <xdr:to>
      <xdr:col>39</xdr:col>
      <xdr:colOff>83820</xdr:colOff>
      <xdr:row>429</xdr:row>
      <xdr:rowOff>114300</xdr:rowOff>
    </xdr:to>
    <xdr:sp macro="" textlink="">
      <xdr:nvSpPr>
        <xdr:cNvPr id="3245" name="Arrow: Down 3244">
          <a:extLst>
            <a:ext uri="{FF2B5EF4-FFF2-40B4-BE49-F238E27FC236}">
              <a16:creationId xmlns:a16="http://schemas.microsoft.com/office/drawing/2014/main" id="{4F9D93F3-B6E4-448C-A7B5-B834B69A1B5E}"/>
            </a:ext>
          </a:extLst>
        </xdr:cNvPr>
        <xdr:cNvSpPr/>
      </xdr:nvSpPr>
      <xdr:spPr>
        <a:xfrm>
          <a:off x="11544300" y="7837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429</xdr:row>
      <xdr:rowOff>0</xdr:rowOff>
    </xdr:from>
    <xdr:to>
      <xdr:col>24</xdr:col>
      <xdr:colOff>83820</xdr:colOff>
      <xdr:row>429</xdr:row>
      <xdr:rowOff>114300</xdr:rowOff>
    </xdr:to>
    <xdr:sp macro="" textlink="">
      <xdr:nvSpPr>
        <xdr:cNvPr id="3246" name="Arrow: Down 3245">
          <a:extLst>
            <a:ext uri="{FF2B5EF4-FFF2-40B4-BE49-F238E27FC236}">
              <a16:creationId xmlns:a16="http://schemas.microsoft.com/office/drawing/2014/main" id="{9F932DE0-85BA-45DE-AB7C-CA2C4D85425A}"/>
            </a:ext>
          </a:extLst>
        </xdr:cNvPr>
        <xdr:cNvSpPr/>
      </xdr:nvSpPr>
      <xdr:spPr>
        <a:xfrm>
          <a:off x="833628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429</xdr:row>
      <xdr:rowOff>0</xdr:rowOff>
    </xdr:from>
    <xdr:to>
      <xdr:col>5</xdr:col>
      <xdr:colOff>83820</xdr:colOff>
      <xdr:row>429</xdr:row>
      <xdr:rowOff>114300</xdr:rowOff>
    </xdr:to>
    <xdr:sp macro="" textlink="">
      <xdr:nvSpPr>
        <xdr:cNvPr id="3247" name="Arrow: Down 3246">
          <a:extLst>
            <a:ext uri="{FF2B5EF4-FFF2-40B4-BE49-F238E27FC236}">
              <a16:creationId xmlns:a16="http://schemas.microsoft.com/office/drawing/2014/main" id="{B213282B-1897-4087-86E1-2DC02697E86E}"/>
            </a:ext>
          </a:extLst>
        </xdr:cNvPr>
        <xdr:cNvSpPr/>
      </xdr:nvSpPr>
      <xdr:spPr>
        <a:xfrm>
          <a:off x="192786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430</xdr:row>
      <xdr:rowOff>0</xdr:rowOff>
    </xdr:from>
    <xdr:to>
      <xdr:col>45</xdr:col>
      <xdr:colOff>83820</xdr:colOff>
      <xdr:row>430</xdr:row>
      <xdr:rowOff>114300</xdr:rowOff>
    </xdr:to>
    <xdr:sp macro="" textlink="">
      <xdr:nvSpPr>
        <xdr:cNvPr id="3262" name="Arrow: Down 3261">
          <a:extLst>
            <a:ext uri="{FF2B5EF4-FFF2-40B4-BE49-F238E27FC236}">
              <a16:creationId xmlns:a16="http://schemas.microsoft.com/office/drawing/2014/main" id="{D1645DD9-7A0A-482F-ABA5-A01E37EBCF1D}"/>
            </a:ext>
          </a:extLst>
        </xdr:cNvPr>
        <xdr:cNvSpPr/>
      </xdr:nvSpPr>
      <xdr:spPr>
        <a:xfrm rot="10800000">
          <a:off x="1340358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430</xdr:row>
      <xdr:rowOff>0</xdr:rowOff>
    </xdr:from>
    <xdr:to>
      <xdr:col>71</xdr:col>
      <xdr:colOff>83820</xdr:colOff>
      <xdr:row>430</xdr:row>
      <xdr:rowOff>114300</xdr:rowOff>
    </xdr:to>
    <xdr:sp macro="" textlink="">
      <xdr:nvSpPr>
        <xdr:cNvPr id="3263" name="Arrow: Down 3262">
          <a:extLst>
            <a:ext uri="{FF2B5EF4-FFF2-40B4-BE49-F238E27FC236}">
              <a16:creationId xmlns:a16="http://schemas.microsoft.com/office/drawing/2014/main" id="{0B625D4E-F8AB-44D6-B3D9-0FFBCC096B59}"/>
            </a:ext>
          </a:extLst>
        </xdr:cNvPr>
        <xdr:cNvSpPr/>
      </xdr:nvSpPr>
      <xdr:spPr>
        <a:xfrm>
          <a:off x="2157222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430</xdr:row>
      <xdr:rowOff>0</xdr:rowOff>
    </xdr:from>
    <xdr:to>
      <xdr:col>60</xdr:col>
      <xdr:colOff>83820</xdr:colOff>
      <xdr:row>430</xdr:row>
      <xdr:rowOff>114300</xdr:rowOff>
    </xdr:to>
    <xdr:sp macro="" textlink="">
      <xdr:nvSpPr>
        <xdr:cNvPr id="3265" name="Arrow: Down 3264">
          <a:extLst>
            <a:ext uri="{FF2B5EF4-FFF2-40B4-BE49-F238E27FC236}">
              <a16:creationId xmlns:a16="http://schemas.microsoft.com/office/drawing/2014/main" id="{1E523997-13DC-4657-9D1B-0824215C1DA9}"/>
            </a:ext>
          </a:extLst>
        </xdr:cNvPr>
        <xdr:cNvSpPr/>
      </xdr:nvSpPr>
      <xdr:spPr>
        <a:xfrm>
          <a:off x="1901952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430</xdr:row>
      <xdr:rowOff>0</xdr:rowOff>
    </xdr:from>
    <xdr:to>
      <xdr:col>24</xdr:col>
      <xdr:colOff>83820</xdr:colOff>
      <xdr:row>430</xdr:row>
      <xdr:rowOff>114300</xdr:rowOff>
    </xdr:to>
    <xdr:sp macro="" textlink="">
      <xdr:nvSpPr>
        <xdr:cNvPr id="3267" name="Arrow: Down 3266">
          <a:extLst>
            <a:ext uri="{FF2B5EF4-FFF2-40B4-BE49-F238E27FC236}">
              <a16:creationId xmlns:a16="http://schemas.microsoft.com/office/drawing/2014/main" id="{15D582E4-223E-4EE1-942E-E4D1370E96B3}"/>
            </a:ext>
          </a:extLst>
        </xdr:cNvPr>
        <xdr:cNvSpPr/>
      </xdr:nvSpPr>
      <xdr:spPr>
        <a:xfrm>
          <a:off x="833628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430</xdr:row>
      <xdr:rowOff>0</xdr:rowOff>
    </xdr:from>
    <xdr:to>
      <xdr:col>5</xdr:col>
      <xdr:colOff>83820</xdr:colOff>
      <xdr:row>430</xdr:row>
      <xdr:rowOff>114300</xdr:rowOff>
    </xdr:to>
    <xdr:sp macro="" textlink="">
      <xdr:nvSpPr>
        <xdr:cNvPr id="3268" name="Arrow: Down 3267">
          <a:extLst>
            <a:ext uri="{FF2B5EF4-FFF2-40B4-BE49-F238E27FC236}">
              <a16:creationId xmlns:a16="http://schemas.microsoft.com/office/drawing/2014/main" id="{89FCDEC4-9AE9-4D21-8C92-5C5EF5FCDBE3}"/>
            </a:ext>
          </a:extLst>
        </xdr:cNvPr>
        <xdr:cNvSpPr/>
      </xdr:nvSpPr>
      <xdr:spPr>
        <a:xfrm>
          <a:off x="192786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430</xdr:row>
      <xdr:rowOff>0</xdr:rowOff>
    </xdr:from>
    <xdr:to>
      <xdr:col>39</xdr:col>
      <xdr:colOff>83820</xdr:colOff>
      <xdr:row>430</xdr:row>
      <xdr:rowOff>114300</xdr:rowOff>
    </xdr:to>
    <xdr:sp macro="" textlink="">
      <xdr:nvSpPr>
        <xdr:cNvPr id="3270" name="Arrow: Down 3269">
          <a:extLst>
            <a:ext uri="{FF2B5EF4-FFF2-40B4-BE49-F238E27FC236}">
              <a16:creationId xmlns:a16="http://schemas.microsoft.com/office/drawing/2014/main" id="{309561A6-F42D-488E-B17A-61B4246C9563}"/>
            </a:ext>
          </a:extLst>
        </xdr:cNvPr>
        <xdr:cNvSpPr/>
      </xdr:nvSpPr>
      <xdr:spPr>
        <a:xfrm rot="10800000">
          <a:off x="1154430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431</xdr:row>
      <xdr:rowOff>0</xdr:rowOff>
    </xdr:from>
    <xdr:to>
      <xdr:col>45</xdr:col>
      <xdr:colOff>83820</xdr:colOff>
      <xdr:row>431</xdr:row>
      <xdr:rowOff>114300</xdr:rowOff>
    </xdr:to>
    <xdr:sp macro="" textlink="">
      <xdr:nvSpPr>
        <xdr:cNvPr id="3271" name="Arrow: Down 3270">
          <a:extLst>
            <a:ext uri="{FF2B5EF4-FFF2-40B4-BE49-F238E27FC236}">
              <a16:creationId xmlns:a16="http://schemas.microsoft.com/office/drawing/2014/main" id="{E47F33EA-6218-4F40-98DC-308959EE3D9B}"/>
            </a:ext>
          </a:extLst>
        </xdr:cNvPr>
        <xdr:cNvSpPr/>
      </xdr:nvSpPr>
      <xdr:spPr>
        <a:xfrm rot="10800000">
          <a:off x="1340358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431</xdr:row>
      <xdr:rowOff>0</xdr:rowOff>
    </xdr:from>
    <xdr:to>
      <xdr:col>71</xdr:col>
      <xdr:colOff>83820</xdr:colOff>
      <xdr:row>431</xdr:row>
      <xdr:rowOff>114300</xdr:rowOff>
    </xdr:to>
    <xdr:sp macro="" textlink="">
      <xdr:nvSpPr>
        <xdr:cNvPr id="3272" name="Arrow: Down 3271">
          <a:extLst>
            <a:ext uri="{FF2B5EF4-FFF2-40B4-BE49-F238E27FC236}">
              <a16:creationId xmlns:a16="http://schemas.microsoft.com/office/drawing/2014/main" id="{C7F31611-A948-431D-8D59-0F66CA48D902}"/>
            </a:ext>
          </a:extLst>
        </xdr:cNvPr>
        <xdr:cNvSpPr/>
      </xdr:nvSpPr>
      <xdr:spPr>
        <a:xfrm>
          <a:off x="2157222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431</xdr:row>
      <xdr:rowOff>0</xdr:rowOff>
    </xdr:from>
    <xdr:to>
      <xdr:col>60</xdr:col>
      <xdr:colOff>83820</xdr:colOff>
      <xdr:row>431</xdr:row>
      <xdr:rowOff>114300</xdr:rowOff>
    </xdr:to>
    <xdr:sp macro="" textlink="">
      <xdr:nvSpPr>
        <xdr:cNvPr id="3274" name="Arrow: Down 3273">
          <a:extLst>
            <a:ext uri="{FF2B5EF4-FFF2-40B4-BE49-F238E27FC236}">
              <a16:creationId xmlns:a16="http://schemas.microsoft.com/office/drawing/2014/main" id="{82CF0062-97C4-459A-B0ED-00158D9CA5C8}"/>
            </a:ext>
          </a:extLst>
        </xdr:cNvPr>
        <xdr:cNvSpPr/>
      </xdr:nvSpPr>
      <xdr:spPr>
        <a:xfrm>
          <a:off x="1901952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431</xdr:row>
      <xdr:rowOff>0</xdr:rowOff>
    </xdr:from>
    <xdr:to>
      <xdr:col>24</xdr:col>
      <xdr:colOff>83820</xdr:colOff>
      <xdr:row>431</xdr:row>
      <xdr:rowOff>114300</xdr:rowOff>
    </xdr:to>
    <xdr:sp macro="" textlink="">
      <xdr:nvSpPr>
        <xdr:cNvPr id="3275" name="Arrow: Down 3274">
          <a:extLst>
            <a:ext uri="{FF2B5EF4-FFF2-40B4-BE49-F238E27FC236}">
              <a16:creationId xmlns:a16="http://schemas.microsoft.com/office/drawing/2014/main" id="{9DB0D450-055F-4D84-8B74-C59192117F31}"/>
            </a:ext>
          </a:extLst>
        </xdr:cNvPr>
        <xdr:cNvSpPr/>
      </xdr:nvSpPr>
      <xdr:spPr>
        <a:xfrm>
          <a:off x="833628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431</xdr:row>
      <xdr:rowOff>0</xdr:rowOff>
    </xdr:from>
    <xdr:to>
      <xdr:col>5</xdr:col>
      <xdr:colOff>83820</xdr:colOff>
      <xdr:row>431</xdr:row>
      <xdr:rowOff>114300</xdr:rowOff>
    </xdr:to>
    <xdr:sp macro="" textlink="">
      <xdr:nvSpPr>
        <xdr:cNvPr id="3276" name="Arrow: Down 3275">
          <a:extLst>
            <a:ext uri="{FF2B5EF4-FFF2-40B4-BE49-F238E27FC236}">
              <a16:creationId xmlns:a16="http://schemas.microsoft.com/office/drawing/2014/main" id="{DB07F6FB-B05F-483A-ADF4-74BC4E9654F1}"/>
            </a:ext>
          </a:extLst>
        </xdr:cNvPr>
        <xdr:cNvSpPr/>
      </xdr:nvSpPr>
      <xdr:spPr>
        <a:xfrm>
          <a:off x="192786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431</xdr:row>
      <xdr:rowOff>0</xdr:rowOff>
    </xdr:from>
    <xdr:to>
      <xdr:col>39</xdr:col>
      <xdr:colOff>83820</xdr:colOff>
      <xdr:row>431</xdr:row>
      <xdr:rowOff>114300</xdr:rowOff>
    </xdr:to>
    <xdr:sp macro="" textlink="">
      <xdr:nvSpPr>
        <xdr:cNvPr id="3279" name="Arrow: Down 3278">
          <a:extLst>
            <a:ext uri="{FF2B5EF4-FFF2-40B4-BE49-F238E27FC236}">
              <a16:creationId xmlns:a16="http://schemas.microsoft.com/office/drawing/2014/main" id="{0B1770FD-78D9-4137-8355-8CD4B6322A2E}"/>
            </a:ext>
          </a:extLst>
        </xdr:cNvPr>
        <xdr:cNvSpPr/>
      </xdr:nvSpPr>
      <xdr:spPr>
        <a:xfrm>
          <a:off x="11544300" y="7892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430</xdr:row>
      <xdr:rowOff>0</xdr:rowOff>
    </xdr:from>
    <xdr:to>
      <xdr:col>11</xdr:col>
      <xdr:colOff>83820</xdr:colOff>
      <xdr:row>430</xdr:row>
      <xdr:rowOff>114300</xdr:rowOff>
    </xdr:to>
    <xdr:sp macro="" textlink="">
      <xdr:nvSpPr>
        <xdr:cNvPr id="3281" name="Arrow: Down 3280">
          <a:extLst>
            <a:ext uri="{FF2B5EF4-FFF2-40B4-BE49-F238E27FC236}">
              <a16:creationId xmlns:a16="http://schemas.microsoft.com/office/drawing/2014/main" id="{5ED6CA4C-64F6-47D6-A2BE-B894E52760CB}"/>
            </a:ext>
          </a:extLst>
        </xdr:cNvPr>
        <xdr:cNvSpPr/>
      </xdr:nvSpPr>
      <xdr:spPr>
        <a:xfrm>
          <a:off x="369570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431</xdr:row>
      <xdr:rowOff>0</xdr:rowOff>
    </xdr:from>
    <xdr:to>
      <xdr:col>11</xdr:col>
      <xdr:colOff>83820</xdr:colOff>
      <xdr:row>431</xdr:row>
      <xdr:rowOff>114300</xdr:rowOff>
    </xdr:to>
    <xdr:sp macro="" textlink="">
      <xdr:nvSpPr>
        <xdr:cNvPr id="3283" name="Arrow: Down 3282">
          <a:extLst>
            <a:ext uri="{FF2B5EF4-FFF2-40B4-BE49-F238E27FC236}">
              <a16:creationId xmlns:a16="http://schemas.microsoft.com/office/drawing/2014/main" id="{579800C3-2CFD-4963-A1FD-BCBB26991416}"/>
            </a:ext>
          </a:extLst>
        </xdr:cNvPr>
        <xdr:cNvSpPr/>
      </xdr:nvSpPr>
      <xdr:spPr>
        <a:xfrm>
          <a:off x="369570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432</xdr:row>
      <xdr:rowOff>0</xdr:rowOff>
    </xdr:from>
    <xdr:to>
      <xdr:col>45</xdr:col>
      <xdr:colOff>83820</xdr:colOff>
      <xdr:row>432</xdr:row>
      <xdr:rowOff>114300</xdr:rowOff>
    </xdr:to>
    <xdr:sp macro="" textlink="">
      <xdr:nvSpPr>
        <xdr:cNvPr id="3046" name="Arrow: Down 3045">
          <a:extLst>
            <a:ext uri="{FF2B5EF4-FFF2-40B4-BE49-F238E27FC236}">
              <a16:creationId xmlns:a16="http://schemas.microsoft.com/office/drawing/2014/main" id="{835F3742-A42A-404D-B127-45AEFCA7C8AE}"/>
            </a:ext>
          </a:extLst>
        </xdr:cNvPr>
        <xdr:cNvSpPr/>
      </xdr:nvSpPr>
      <xdr:spPr>
        <a:xfrm rot="10800000">
          <a:off x="1340358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432</xdr:row>
      <xdr:rowOff>0</xdr:rowOff>
    </xdr:from>
    <xdr:to>
      <xdr:col>71</xdr:col>
      <xdr:colOff>83820</xdr:colOff>
      <xdr:row>432</xdr:row>
      <xdr:rowOff>114300</xdr:rowOff>
    </xdr:to>
    <xdr:sp macro="" textlink="">
      <xdr:nvSpPr>
        <xdr:cNvPr id="3064" name="Arrow: Down 3063">
          <a:extLst>
            <a:ext uri="{FF2B5EF4-FFF2-40B4-BE49-F238E27FC236}">
              <a16:creationId xmlns:a16="http://schemas.microsoft.com/office/drawing/2014/main" id="{016308D0-D5BD-435E-A619-8FF140E5A2AF}"/>
            </a:ext>
          </a:extLst>
        </xdr:cNvPr>
        <xdr:cNvSpPr/>
      </xdr:nvSpPr>
      <xdr:spPr>
        <a:xfrm>
          <a:off x="2157222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432</xdr:row>
      <xdr:rowOff>0</xdr:rowOff>
    </xdr:from>
    <xdr:to>
      <xdr:col>60</xdr:col>
      <xdr:colOff>83820</xdr:colOff>
      <xdr:row>432</xdr:row>
      <xdr:rowOff>114300</xdr:rowOff>
    </xdr:to>
    <xdr:sp macro="" textlink="">
      <xdr:nvSpPr>
        <xdr:cNvPr id="3067" name="Arrow: Down 3066">
          <a:extLst>
            <a:ext uri="{FF2B5EF4-FFF2-40B4-BE49-F238E27FC236}">
              <a16:creationId xmlns:a16="http://schemas.microsoft.com/office/drawing/2014/main" id="{A3A6E7A5-3ABA-4B98-A4A4-1CCD7B629D67}"/>
            </a:ext>
          </a:extLst>
        </xdr:cNvPr>
        <xdr:cNvSpPr/>
      </xdr:nvSpPr>
      <xdr:spPr>
        <a:xfrm>
          <a:off x="1901952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432</xdr:row>
      <xdr:rowOff>0</xdr:rowOff>
    </xdr:from>
    <xdr:to>
      <xdr:col>39</xdr:col>
      <xdr:colOff>83820</xdr:colOff>
      <xdr:row>432</xdr:row>
      <xdr:rowOff>114300</xdr:rowOff>
    </xdr:to>
    <xdr:sp macro="" textlink="">
      <xdr:nvSpPr>
        <xdr:cNvPr id="3144" name="Arrow: Down 3143">
          <a:extLst>
            <a:ext uri="{FF2B5EF4-FFF2-40B4-BE49-F238E27FC236}">
              <a16:creationId xmlns:a16="http://schemas.microsoft.com/office/drawing/2014/main" id="{AD5ADF33-3C80-4608-A6B2-D0D2F2D05267}"/>
            </a:ext>
          </a:extLst>
        </xdr:cNvPr>
        <xdr:cNvSpPr/>
      </xdr:nvSpPr>
      <xdr:spPr>
        <a:xfrm rot="10800000">
          <a:off x="11544300" y="7910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432</xdr:row>
      <xdr:rowOff>0</xdr:rowOff>
    </xdr:from>
    <xdr:to>
      <xdr:col>24</xdr:col>
      <xdr:colOff>83820</xdr:colOff>
      <xdr:row>432</xdr:row>
      <xdr:rowOff>114300</xdr:rowOff>
    </xdr:to>
    <xdr:sp macro="" textlink="">
      <xdr:nvSpPr>
        <xdr:cNvPr id="3152" name="Arrow: Down 3151">
          <a:extLst>
            <a:ext uri="{FF2B5EF4-FFF2-40B4-BE49-F238E27FC236}">
              <a16:creationId xmlns:a16="http://schemas.microsoft.com/office/drawing/2014/main" id="{597C5BF1-5572-4882-8807-9D514BE74D04}"/>
            </a:ext>
          </a:extLst>
        </xdr:cNvPr>
        <xdr:cNvSpPr/>
      </xdr:nvSpPr>
      <xdr:spPr>
        <a:xfrm rot="10800000">
          <a:off x="833628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432</xdr:row>
      <xdr:rowOff>0</xdr:rowOff>
    </xdr:from>
    <xdr:to>
      <xdr:col>11</xdr:col>
      <xdr:colOff>83820</xdr:colOff>
      <xdr:row>432</xdr:row>
      <xdr:rowOff>114300</xdr:rowOff>
    </xdr:to>
    <xdr:sp macro="" textlink="">
      <xdr:nvSpPr>
        <xdr:cNvPr id="3154" name="Arrow: Down 3153">
          <a:extLst>
            <a:ext uri="{FF2B5EF4-FFF2-40B4-BE49-F238E27FC236}">
              <a16:creationId xmlns:a16="http://schemas.microsoft.com/office/drawing/2014/main" id="{B566477B-9864-4A91-A92F-762E56B28A49}"/>
            </a:ext>
          </a:extLst>
        </xdr:cNvPr>
        <xdr:cNvSpPr/>
      </xdr:nvSpPr>
      <xdr:spPr>
        <a:xfrm rot="10800000">
          <a:off x="369570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432</xdr:row>
      <xdr:rowOff>0</xdr:rowOff>
    </xdr:from>
    <xdr:to>
      <xdr:col>5</xdr:col>
      <xdr:colOff>83820</xdr:colOff>
      <xdr:row>432</xdr:row>
      <xdr:rowOff>114300</xdr:rowOff>
    </xdr:to>
    <xdr:sp macro="" textlink="">
      <xdr:nvSpPr>
        <xdr:cNvPr id="3155" name="Arrow: Down 3154">
          <a:extLst>
            <a:ext uri="{FF2B5EF4-FFF2-40B4-BE49-F238E27FC236}">
              <a16:creationId xmlns:a16="http://schemas.microsoft.com/office/drawing/2014/main" id="{78C6B65C-CA1E-4AA6-BAF8-F1C150108C7C}"/>
            </a:ext>
          </a:extLst>
        </xdr:cNvPr>
        <xdr:cNvSpPr/>
      </xdr:nvSpPr>
      <xdr:spPr>
        <a:xfrm rot="10800000">
          <a:off x="192786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433</xdr:row>
      <xdr:rowOff>0</xdr:rowOff>
    </xdr:from>
    <xdr:to>
      <xdr:col>45</xdr:col>
      <xdr:colOff>83820</xdr:colOff>
      <xdr:row>433</xdr:row>
      <xdr:rowOff>114300</xdr:rowOff>
    </xdr:to>
    <xdr:sp macro="" textlink="">
      <xdr:nvSpPr>
        <xdr:cNvPr id="3169" name="Arrow: Down 3168">
          <a:extLst>
            <a:ext uri="{FF2B5EF4-FFF2-40B4-BE49-F238E27FC236}">
              <a16:creationId xmlns:a16="http://schemas.microsoft.com/office/drawing/2014/main" id="{29F22863-5F3C-4203-A3B0-A2C6A3ACB380}"/>
            </a:ext>
          </a:extLst>
        </xdr:cNvPr>
        <xdr:cNvSpPr/>
      </xdr:nvSpPr>
      <xdr:spPr>
        <a:xfrm rot="10800000">
          <a:off x="13403580" y="7910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433</xdr:row>
      <xdr:rowOff>0</xdr:rowOff>
    </xdr:from>
    <xdr:to>
      <xdr:col>71</xdr:col>
      <xdr:colOff>83820</xdr:colOff>
      <xdr:row>433</xdr:row>
      <xdr:rowOff>114300</xdr:rowOff>
    </xdr:to>
    <xdr:sp macro="" textlink="">
      <xdr:nvSpPr>
        <xdr:cNvPr id="3172" name="Arrow: Down 3171">
          <a:extLst>
            <a:ext uri="{FF2B5EF4-FFF2-40B4-BE49-F238E27FC236}">
              <a16:creationId xmlns:a16="http://schemas.microsoft.com/office/drawing/2014/main" id="{6157E7CB-DF93-48B2-96C8-A2E6FD7AE34B}"/>
            </a:ext>
          </a:extLst>
        </xdr:cNvPr>
        <xdr:cNvSpPr/>
      </xdr:nvSpPr>
      <xdr:spPr>
        <a:xfrm>
          <a:off x="21572220" y="7910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433</xdr:row>
      <xdr:rowOff>0</xdr:rowOff>
    </xdr:from>
    <xdr:to>
      <xdr:col>24</xdr:col>
      <xdr:colOff>83820</xdr:colOff>
      <xdr:row>433</xdr:row>
      <xdr:rowOff>114300</xdr:rowOff>
    </xdr:to>
    <xdr:sp macro="" textlink="">
      <xdr:nvSpPr>
        <xdr:cNvPr id="3200" name="Arrow: Down 3199">
          <a:extLst>
            <a:ext uri="{FF2B5EF4-FFF2-40B4-BE49-F238E27FC236}">
              <a16:creationId xmlns:a16="http://schemas.microsoft.com/office/drawing/2014/main" id="{F4213E58-8643-4BC2-9F0D-BED251B4F940}"/>
            </a:ext>
          </a:extLst>
        </xdr:cNvPr>
        <xdr:cNvSpPr/>
      </xdr:nvSpPr>
      <xdr:spPr>
        <a:xfrm rot="10800000">
          <a:off x="833628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433</xdr:row>
      <xdr:rowOff>0</xdr:rowOff>
    </xdr:from>
    <xdr:to>
      <xdr:col>11</xdr:col>
      <xdr:colOff>83820</xdr:colOff>
      <xdr:row>433</xdr:row>
      <xdr:rowOff>114300</xdr:rowOff>
    </xdr:to>
    <xdr:sp macro="" textlink="">
      <xdr:nvSpPr>
        <xdr:cNvPr id="3225" name="Arrow: Down 3224">
          <a:extLst>
            <a:ext uri="{FF2B5EF4-FFF2-40B4-BE49-F238E27FC236}">
              <a16:creationId xmlns:a16="http://schemas.microsoft.com/office/drawing/2014/main" id="{32265175-E375-4C0A-BD6C-45AE55F39DF7}"/>
            </a:ext>
          </a:extLst>
        </xdr:cNvPr>
        <xdr:cNvSpPr/>
      </xdr:nvSpPr>
      <xdr:spPr>
        <a:xfrm rot="10800000">
          <a:off x="369570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433</xdr:row>
      <xdr:rowOff>0</xdr:rowOff>
    </xdr:from>
    <xdr:to>
      <xdr:col>5</xdr:col>
      <xdr:colOff>83820</xdr:colOff>
      <xdr:row>433</xdr:row>
      <xdr:rowOff>114300</xdr:rowOff>
    </xdr:to>
    <xdr:sp macro="" textlink="">
      <xdr:nvSpPr>
        <xdr:cNvPr id="3226" name="Arrow: Down 3225">
          <a:extLst>
            <a:ext uri="{FF2B5EF4-FFF2-40B4-BE49-F238E27FC236}">
              <a16:creationId xmlns:a16="http://schemas.microsoft.com/office/drawing/2014/main" id="{49B3222F-AAA8-42CD-841C-BB523872751A}"/>
            </a:ext>
          </a:extLst>
        </xdr:cNvPr>
        <xdr:cNvSpPr/>
      </xdr:nvSpPr>
      <xdr:spPr>
        <a:xfrm rot="10800000">
          <a:off x="192786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433</xdr:row>
      <xdr:rowOff>0</xdr:rowOff>
    </xdr:from>
    <xdr:to>
      <xdr:col>60</xdr:col>
      <xdr:colOff>83820</xdr:colOff>
      <xdr:row>433</xdr:row>
      <xdr:rowOff>114300</xdr:rowOff>
    </xdr:to>
    <xdr:sp macro="" textlink="">
      <xdr:nvSpPr>
        <xdr:cNvPr id="3227" name="Arrow: Down 3226">
          <a:extLst>
            <a:ext uri="{FF2B5EF4-FFF2-40B4-BE49-F238E27FC236}">
              <a16:creationId xmlns:a16="http://schemas.microsoft.com/office/drawing/2014/main" id="{B78298FB-8202-49EE-A42B-DC6B9FA60839}"/>
            </a:ext>
          </a:extLst>
        </xdr:cNvPr>
        <xdr:cNvSpPr/>
      </xdr:nvSpPr>
      <xdr:spPr>
        <a:xfrm rot="10800000">
          <a:off x="1901952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434</xdr:row>
      <xdr:rowOff>0</xdr:rowOff>
    </xdr:from>
    <xdr:to>
      <xdr:col>45</xdr:col>
      <xdr:colOff>83820</xdr:colOff>
      <xdr:row>434</xdr:row>
      <xdr:rowOff>114300</xdr:rowOff>
    </xdr:to>
    <xdr:sp macro="" textlink="">
      <xdr:nvSpPr>
        <xdr:cNvPr id="3229" name="Arrow: Down 3228">
          <a:extLst>
            <a:ext uri="{FF2B5EF4-FFF2-40B4-BE49-F238E27FC236}">
              <a16:creationId xmlns:a16="http://schemas.microsoft.com/office/drawing/2014/main" id="{0448C431-921A-45B9-B633-6AFDFD8EA993}"/>
            </a:ext>
          </a:extLst>
        </xdr:cNvPr>
        <xdr:cNvSpPr/>
      </xdr:nvSpPr>
      <xdr:spPr>
        <a:xfrm rot="10800000">
          <a:off x="13403580" y="7928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434</xdr:row>
      <xdr:rowOff>0</xdr:rowOff>
    </xdr:from>
    <xdr:to>
      <xdr:col>71</xdr:col>
      <xdr:colOff>83820</xdr:colOff>
      <xdr:row>434</xdr:row>
      <xdr:rowOff>114300</xdr:rowOff>
    </xdr:to>
    <xdr:sp macro="" textlink="">
      <xdr:nvSpPr>
        <xdr:cNvPr id="3233" name="Arrow: Down 3232">
          <a:extLst>
            <a:ext uri="{FF2B5EF4-FFF2-40B4-BE49-F238E27FC236}">
              <a16:creationId xmlns:a16="http://schemas.microsoft.com/office/drawing/2014/main" id="{93FEBF53-3180-4674-87DC-27A71720A6AB}"/>
            </a:ext>
          </a:extLst>
        </xdr:cNvPr>
        <xdr:cNvSpPr/>
      </xdr:nvSpPr>
      <xdr:spPr>
        <a:xfrm>
          <a:off x="21572220" y="7928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434</xdr:row>
      <xdr:rowOff>0</xdr:rowOff>
    </xdr:from>
    <xdr:to>
      <xdr:col>11</xdr:col>
      <xdr:colOff>83820</xdr:colOff>
      <xdr:row>434</xdr:row>
      <xdr:rowOff>114300</xdr:rowOff>
    </xdr:to>
    <xdr:sp macro="" textlink="">
      <xdr:nvSpPr>
        <xdr:cNvPr id="3242" name="Arrow: Down 3241">
          <a:extLst>
            <a:ext uri="{FF2B5EF4-FFF2-40B4-BE49-F238E27FC236}">
              <a16:creationId xmlns:a16="http://schemas.microsoft.com/office/drawing/2014/main" id="{813F1C0E-52AF-4AF2-BE1F-4709FE984B3D}"/>
            </a:ext>
          </a:extLst>
        </xdr:cNvPr>
        <xdr:cNvSpPr/>
      </xdr:nvSpPr>
      <xdr:spPr>
        <a:xfrm rot="10800000">
          <a:off x="369570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434</xdr:row>
      <xdr:rowOff>0</xdr:rowOff>
    </xdr:from>
    <xdr:to>
      <xdr:col>5</xdr:col>
      <xdr:colOff>83820</xdr:colOff>
      <xdr:row>434</xdr:row>
      <xdr:rowOff>114300</xdr:rowOff>
    </xdr:to>
    <xdr:sp macro="" textlink="">
      <xdr:nvSpPr>
        <xdr:cNvPr id="3248" name="Arrow: Down 3247">
          <a:extLst>
            <a:ext uri="{FF2B5EF4-FFF2-40B4-BE49-F238E27FC236}">
              <a16:creationId xmlns:a16="http://schemas.microsoft.com/office/drawing/2014/main" id="{938FE61B-1B3A-4F76-A797-1237F484B36E}"/>
            </a:ext>
          </a:extLst>
        </xdr:cNvPr>
        <xdr:cNvSpPr/>
      </xdr:nvSpPr>
      <xdr:spPr>
        <a:xfrm rot="10800000">
          <a:off x="192786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434</xdr:row>
      <xdr:rowOff>0</xdr:rowOff>
    </xdr:from>
    <xdr:to>
      <xdr:col>60</xdr:col>
      <xdr:colOff>83820</xdr:colOff>
      <xdr:row>434</xdr:row>
      <xdr:rowOff>114300</xdr:rowOff>
    </xdr:to>
    <xdr:sp macro="" textlink="">
      <xdr:nvSpPr>
        <xdr:cNvPr id="3249" name="Arrow: Down 3248">
          <a:extLst>
            <a:ext uri="{FF2B5EF4-FFF2-40B4-BE49-F238E27FC236}">
              <a16:creationId xmlns:a16="http://schemas.microsoft.com/office/drawing/2014/main" id="{329A4BA7-C67C-430A-8105-9CA27314574C}"/>
            </a:ext>
          </a:extLst>
        </xdr:cNvPr>
        <xdr:cNvSpPr/>
      </xdr:nvSpPr>
      <xdr:spPr>
        <a:xfrm rot="10800000">
          <a:off x="1901952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435</xdr:row>
      <xdr:rowOff>0</xdr:rowOff>
    </xdr:from>
    <xdr:to>
      <xdr:col>45</xdr:col>
      <xdr:colOff>83820</xdr:colOff>
      <xdr:row>435</xdr:row>
      <xdr:rowOff>114300</xdr:rowOff>
    </xdr:to>
    <xdr:sp macro="" textlink="">
      <xdr:nvSpPr>
        <xdr:cNvPr id="3250" name="Arrow: Down 3249">
          <a:extLst>
            <a:ext uri="{FF2B5EF4-FFF2-40B4-BE49-F238E27FC236}">
              <a16:creationId xmlns:a16="http://schemas.microsoft.com/office/drawing/2014/main" id="{703F40EB-C3F2-4848-AFE5-164DDC5B464F}"/>
            </a:ext>
          </a:extLst>
        </xdr:cNvPr>
        <xdr:cNvSpPr/>
      </xdr:nvSpPr>
      <xdr:spPr>
        <a:xfrm rot="10800000">
          <a:off x="13403580" y="7946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435</xdr:row>
      <xdr:rowOff>0</xdr:rowOff>
    </xdr:from>
    <xdr:to>
      <xdr:col>71</xdr:col>
      <xdr:colOff>83820</xdr:colOff>
      <xdr:row>435</xdr:row>
      <xdr:rowOff>114300</xdr:rowOff>
    </xdr:to>
    <xdr:sp macro="" textlink="">
      <xdr:nvSpPr>
        <xdr:cNvPr id="3251" name="Arrow: Down 3250">
          <a:extLst>
            <a:ext uri="{FF2B5EF4-FFF2-40B4-BE49-F238E27FC236}">
              <a16:creationId xmlns:a16="http://schemas.microsoft.com/office/drawing/2014/main" id="{49BC7B2C-1819-4BD0-8D3D-CD2540B761AF}"/>
            </a:ext>
          </a:extLst>
        </xdr:cNvPr>
        <xdr:cNvSpPr/>
      </xdr:nvSpPr>
      <xdr:spPr>
        <a:xfrm>
          <a:off x="21572220" y="7946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435</xdr:row>
      <xdr:rowOff>0</xdr:rowOff>
    </xdr:from>
    <xdr:to>
      <xdr:col>24</xdr:col>
      <xdr:colOff>83820</xdr:colOff>
      <xdr:row>435</xdr:row>
      <xdr:rowOff>114300</xdr:rowOff>
    </xdr:to>
    <xdr:sp macro="" textlink="">
      <xdr:nvSpPr>
        <xdr:cNvPr id="3252" name="Arrow: Down 3251">
          <a:extLst>
            <a:ext uri="{FF2B5EF4-FFF2-40B4-BE49-F238E27FC236}">
              <a16:creationId xmlns:a16="http://schemas.microsoft.com/office/drawing/2014/main" id="{A75CC19D-08F8-48DC-97DF-48C47B4C1263}"/>
            </a:ext>
          </a:extLst>
        </xdr:cNvPr>
        <xdr:cNvSpPr/>
      </xdr:nvSpPr>
      <xdr:spPr>
        <a:xfrm rot="10800000">
          <a:off x="833628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435</xdr:row>
      <xdr:rowOff>0</xdr:rowOff>
    </xdr:from>
    <xdr:to>
      <xdr:col>11</xdr:col>
      <xdr:colOff>83820</xdr:colOff>
      <xdr:row>435</xdr:row>
      <xdr:rowOff>114300</xdr:rowOff>
    </xdr:to>
    <xdr:sp macro="" textlink="">
      <xdr:nvSpPr>
        <xdr:cNvPr id="3253" name="Arrow: Down 3252">
          <a:extLst>
            <a:ext uri="{FF2B5EF4-FFF2-40B4-BE49-F238E27FC236}">
              <a16:creationId xmlns:a16="http://schemas.microsoft.com/office/drawing/2014/main" id="{E62BFEE9-F0FF-4025-B068-F384707F299A}"/>
            </a:ext>
          </a:extLst>
        </xdr:cNvPr>
        <xdr:cNvSpPr/>
      </xdr:nvSpPr>
      <xdr:spPr>
        <a:xfrm rot="10800000">
          <a:off x="369570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435</xdr:row>
      <xdr:rowOff>0</xdr:rowOff>
    </xdr:from>
    <xdr:to>
      <xdr:col>5</xdr:col>
      <xdr:colOff>83820</xdr:colOff>
      <xdr:row>435</xdr:row>
      <xdr:rowOff>114300</xdr:rowOff>
    </xdr:to>
    <xdr:sp macro="" textlink="">
      <xdr:nvSpPr>
        <xdr:cNvPr id="3254" name="Arrow: Down 3253">
          <a:extLst>
            <a:ext uri="{FF2B5EF4-FFF2-40B4-BE49-F238E27FC236}">
              <a16:creationId xmlns:a16="http://schemas.microsoft.com/office/drawing/2014/main" id="{47126F80-A5ED-45E6-A8C6-215C94DD62E4}"/>
            </a:ext>
          </a:extLst>
        </xdr:cNvPr>
        <xdr:cNvSpPr/>
      </xdr:nvSpPr>
      <xdr:spPr>
        <a:xfrm rot="10800000">
          <a:off x="192786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433</xdr:row>
      <xdr:rowOff>0</xdr:rowOff>
    </xdr:from>
    <xdr:to>
      <xdr:col>39</xdr:col>
      <xdr:colOff>83820</xdr:colOff>
      <xdr:row>433</xdr:row>
      <xdr:rowOff>114300</xdr:rowOff>
    </xdr:to>
    <xdr:sp macro="" textlink="">
      <xdr:nvSpPr>
        <xdr:cNvPr id="3256" name="Arrow: Down 3255">
          <a:extLst>
            <a:ext uri="{FF2B5EF4-FFF2-40B4-BE49-F238E27FC236}">
              <a16:creationId xmlns:a16="http://schemas.microsoft.com/office/drawing/2014/main" id="{53D42EAF-1371-4128-90BE-56BDE5AAF6E3}"/>
            </a:ext>
          </a:extLst>
        </xdr:cNvPr>
        <xdr:cNvSpPr/>
      </xdr:nvSpPr>
      <xdr:spPr>
        <a:xfrm>
          <a:off x="1154430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434</xdr:row>
      <xdr:rowOff>0</xdr:rowOff>
    </xdr:from>
    <xdr:to>
      <xdr:col>39</xdr:col>
      <xdr:colOff>83820</xdr:colOff>
      <xdr:row>434</xdr:row>
      <xdr:rowOff>114300</xdr:rowOff>
    </xdr:to>
    <xdr:sp macro="" textlink="">
      <xdr:nvSpPr>
        <xdr:cNvPr id="3257" name="Arrow: Down 3256">
          <a:extLst>
            <a:ext uri="{FF2B5EF4-FFF2-40B4-BE49-F238E27FC236}">
              <a16:creationId xmlns:a16="http://schemas.microsoft.com/office/drawing/2014/main" id="{A7A742B7-5D0F-41EA-AAC9-3EEA3AD1AF90}"/>
            </a:ext>
          </a:extLst>
        </xdr:cNvPr>
        <xdr:cNvSpPr/>
      </xdr:nvSpPr>
      <xdr:spPr>
        <a:xfrm>
          <a:off x="1154430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435</xdr:row>
      <xdr:rowOff>0</xdr:rowOff>
    </xdr:from>
    <xdr:to>
      <xdr:col>39</xdr:col>
      <xdr:colOff>83820</xdr:colOff>
      <xdr:row>435</xdr:row>
      <xdr:rowOff>114300</xdr:rowOff>
    </xdr:to>
    <xdr:sp macro="" textlink="">
      <xdr:nvSpPr>
        <xdr:cNvPr id="3259" name="Arrow: Down 3258">
          <a:extLst>
            <a:ext uri="{FF2B5EF4-FFF2-40B4-BE49-F238E27FC236}">
              <a16:creationId xmlns:a16="http://schemas.microsoft.com/office/drawing/2014/main" id="{E5C86A7A-DAEC-4990-866B-04B44909D0AC}"/>
            </a:ext>
          </a:extLst>
        </xdr:cNvPr>
        <xdr:cNvSpPr/>
      </xdr:nvSpPr>
      <xdr:spPr>
        <a:xfrm rot="10800000">
          <a:off x="1154430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435</xdr:row>
      <xdr:rowOff>0</xdr:rowOff>
    </xdr:from>
    <xdr:to>
      <xdr:col>60</xdr:col>
      <xdr:colOff>83820</xdr:colOff>
      <xdr:row>435</xdr:row>
      <xdr:rowOff>114300</xdr:rowOff>
    </xdr:to>
    <xdr:sp macro="" textlink="">
      <xdr:nvSpPr>
        <xdr:cNvPr id="3261" name="Arrow: Down 3260">
          <a:extLst>
            <a:ext uri="{FF2B5EF4-FFF2-40B4-BE49-F238E27FC236}">
              <a16:creationId xmlns:a16="http://schemas.microsoft.com/office/drawing/2014/main" id="{E380A4AE-0958-42CD-AF47-07DF49F8C113}"/>
            </a:ext>
          </a:extLst>
        </xdr:cNvPr>
        <xdr:cNvSpPr/>
      </xdr:nvSpPr>
      <xdr:spPr>
        <a:xfrm>
          <a:off x="1901952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436</xdr:row>
      <xdr:rowOff>0</xdr:rowOff>
    </xdr:from>
    <xdr:to>
      <xdr:col>45</xdr:col>
      <xdr:colOff>83820</xdr:colOff>
      <xdr:row>436</xdr:row>
      <xdr:rowOff>114300</xdr:rowOff>
    </xdr:to>
    <xdr:sp macro="" textlink="">
      <xdr:nvSpPr>
        <xdr:cNvPr id="3070" name="Arrow: Down 3069">
          <a:extLst>
            <a:ext uri="{FF2B5EF4-FFF2-40B4-BE49-F238E27FC236}">
              <a16:creationId xmlns:a16="http://schemas.microsoft.com/office/drawing/2014/main" id="{8BB66309-AC32-4676-B793-0F1F6502B068}"/>
            </a:ext>
          </a:extLst>
        </xdr:cNvPr>
        <xdr:cNvSpPr/>
      </xdr:nvSpPr>
      <xdr:spPr>
        <a:xfrm rot="10800000">
          <a:off x="1340358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436</xdr:row>
      <xdr:rowOff>0</xdr:rowOff>
    </xdr:from>
    <xdr:to>
      <xdr:col>71</xdr:col>
      <xdr:colOff>83820</xdr:colOff>
      <xdr:row>436</xdr:row>
      <xdr:rowOff>114300</xdr:rowOff>
    </xdr:to>
    <xdr:sp macro="" textlink="">
      <xdr:nvSpPr>
        <xdr:cNvPr id="3071" name="Arrow: Down 3070">
          <a:extLst>
            <a:ext uri="{FF2B5EF4-FFF2-40B4-BE49-F238E27FC236}">
              <a16:creationId xmlns:a16="http://schemas.microsoft.com/office/drawing/2014/main" id="{AA43B9FB-04C7-4524-A378-72FF045E81F3}"/>
            </a:ext>
          </a:extLst>
        </xdr:cNvPr>
        <xdr:cNvSpPr/>
      </xdr:nvSpPr>
      <xdr:spPr>
        <a:xfrm>
          <a:off x="2157222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436</xdr:row>
      <xdr:rowOff>0</xdr:rowOff>
    </xdr:from>
    <xdr:to>
      <xdr:col>60</xdr:col>
      <xdr:colOff>83820</xdr:colOff>
      <xdr:row>436</xdr:row>
      <xdr:rowOff>114300</xdr:rowOff>
    </xdr:to>
    <xdr:sp macro="" textlink="">
      <xdr:nvSpPr>
        <xdr:cNvPr id="3199" name="Arrow: Down 3198">
          <a:extLst>
            <a:ext uri="{FF2B5EF4-FFF2-40B4-BE49-F238E27FC236}">
              <a16:creationId xmlns:a16="http://schemas.microsoft.com/office/drawing/2014/main" id="{3A678F27-9B86-4D5D-AE71-1F02ADE2D49C}"/>
            </a:ext>
          </a:extLst>
        </xdr:cNvPr>
        <xdr:cNvSpPr/>
      </xdr:nvSpPr>
      <xdr:spPr>
        <a:xfrm>
          <a:off x="1901952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436</xdr:row>
      <xdr:rowOff>0</xdr:rowOff>
    </xdr:from>
    <xdr:to>
      <xdr:col>24</xdr:col>
      <xdr:colOff>83820</xdr:colOff>
      <xdr:row>436</xdr:row>
      <xdr:rowOff>114300</xdr:rowOff>
    </xdr:to>
    <xdr:sp macro="" textlink="">
      <xdr:nvSpPr>
        <xdr:cNvPr id="3258" name="Arrow: Down 3257">
          <a:extLst>
            <a:ext uri="{FF2B5EF4-FFF2-40B4-BE49-F238E27FC236}">
              <a16:creationId xmlns:a16="http://schemas.microsoft.com/office/drawing/2014/main" id="{F28EA487-D2BF-4085-90A6-40713519B7B9}"/>
            </a:ext>
          </a:extLst>
        </xdr:cNvPr>
        <xdr:cNvSpPr/>
      </xdr:nvSpPr>
      <xdr:spPr>
        <a:xfrm>
          <a:off x="833628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436</xdr:row>
      <xdr:rowOff>0</xdr:rowOff>
    </xdr:from>
    <xdr:to>
      <xdr:col>5</xdr:col>
      <xdr:colOff>83820</xdr:colOff>
      <xdr:row>436</xdr:row>
      <xdr:rowOff>114300</xdr:rowOff>
    </xdr:to>
    <xdr:sp macro="" textlink="">
      <xdr:nvSpPr>
        <xdr:cNvPr id="3260" name="Arrow: Down 3259">
          <a:extLst>
            <a:ext uri="{FF2B5EF4-FFF2-40B4-BE49-F238E27FC236}">
              <a16:creationId xmlns:a16="http://schemas.microsoft.com/office/drawing/2014/main" id="{625A85BC-E66E-4F43-AD7C-750D47A1D068}"/>
            </a:ext>
          </a:extLst>
        </xdr:cNvPr>
        <xdr:cNvSpPr/>
      </xdr:nvSpPr>
      <xdr:spPr>
        <a:xfrm>
          <a:off x="192786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436</xdr:row>
      <xdr:rowOff>0</xdr:rowOff>
    </xdr:from>
    <xdr:to>
      <xdr:col>11</xdr:col>
      <xdr:colOff>83820</xdr:colOff>
      <xdr:row>436</xdr:row>
      <xdr:rowOff>114300</xdr:rowOff>
    </xdr:to>
    <xdr:sp macro="" textlink="">
      <xdr:nvSpPr>
        <xdr:cNvPr id="3264" name="Arrow: Down 3263">
          <a:extLst>
            <a:ext uri="{FF2B5EF4-FFF2-40B4-BE49-F238E27FC236}">
              <a16:creationId xmlns:a16="http://schemas.microsoft.com/office/drawing/2014/main" id="{4D81BE8F-80D4-4229-AE97-AEB616A1C509}"/>
            </a:ext>
          </a:extLst>
        </xdr:cNvPr>
        <xdr:cNvSpPr/>
      </xdr:nvSpPr>
      <xdr:spPr>
        <a:xfrm>
          <a:off x="369570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434</xdr:row>
      <xdr:rowOff>0</xdr:rowOff>
    </xdr:from>
    <xdr:to>
      <xdr:col>24</xdr:col>
      <xdr:colOff>83820</xdr:colOff>
      <xdr:row>434</xdr:row>
      <xdr:rowOff>114300</xdr:rowOff>
    </xdr:to>
    <xdr:sp macro="" textlink="">
      <xdr:nvSpPr>
        <xdr:cNvPr id="3273" name="Arrow: Down 3272">
          <a:extLst>
            <a:ext uri="{FF2B5EF4-FFF2-40B4-BE49-F238E27FC236}">
              <a16:creationId xmlns:a16="http://schemas.microsoft.com/office/drawing/2014/main" id="{3C555BEF-843D-41EE-9B8B-B0EB01781DD0}"/>
            </a:ext>
          </a:extLst>
        </xdr:cNvPr>
        <xdr:cNvSpPr/>
      </xdr:nvSpPr>
      <xdr:spPr>
        <a:xfrm>
          <a:off x="8336280" y="7946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436</xdr:row>
      <xdr:rowOff>0</xdr:rowOff>
    </xdr:from>
    <xdr:to>
      <xdr:col>39</xdr:col>
      <xdr:colOff>83820</xdr:colOff>
      <xdr:row>436</xdr:row>
      <xdr:rowOff>114300</xdr:rowOff>
    </xdr:to>
    <xdr:sp macro="" textlink="">
      <xdr:nvSpPr>
        <xdr:cNvPr id="3277" name="Arrow: Down 3276">
          <a:extLst>
            <a:ext uri="{FF2B5EF4-FFF2-40B4-BE49-F238E27FC236}">
              <a16:creationId xmlns:a16="http://schemas.microsoft.com/office/drawing/2014/main" id="{E97D926D-EEDB-4410-AC31-9E324EBDBD9A}"/>
            </a:ext>
          </a:extLst>
        </xdr:cNvPr>
        <xdr:cNvSpPr/>
      </xdr:nvSpPr>
      <xdr:spPr>
        <a:xfrm>
          <a:off x="11544300" y="7983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437</xdr:row>
      <xdr:rowOff>0</xdr:rowOff>
    </xdr:from>
    <xdr:to>
      <xdr:col>45</xdr:col>
      <xdr:colOff>83820</xdr:colOff>
      <xdr:row>437</xdr:row>
      <xdr:rowOff>114300</xdr:rowOff>
    </xdr:to>
    <xdr:sp macro="" textlink="">
      <xdr:nvSpPr>
        <xdr:cNvPr id="3278" name="Arrow: Down 3277">
          <a:extLst>
            <a:ext uri="{FF2B5EF4-FFF2-40B4-BE49-F238E27FC236}">
              <a16:creationId xmlns:a16="http://schemas.microsoft.com/office/drawing/2014/main" id="{DE483304-01D1-4574-8573-E4A4D01AB3F0}"/>
            </a:ext>
          </a:extLst>
        </xdr:cNvPr>
        <xdr:cNvSpPr/>
      </xdr:nvSpPr>
      <xdr:spPr>
        <a:xfrm rot="10800000">
          <a:off x="1340358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437</xdr:row>
      <xdr:rowOff>0</xdr:rowOff>
    </xdr:from>
    <xdr:to>
      <xdr:col>71</xdr:col>
      <xdr:colOff>83820</xdr:colOff>
      <xdr:row>437</xdr:row>
      <xdr:rowOff>114300</xdr:rowOff>
    </xdr:to>
    <xdr:sp macro="" textlink="">
      <xdr:nvSpPr>
        <xdr:cNvPr id="3280" name="Arrow: Down 3279">
          <a:extLst>
            <a:ext uri="{FF2B5EF4-FFF2-40B4-BE49-F238E27FC236}">
              <a16:creationId xmlns:a16="http://schemas.microsoft.com/office/drawing/2014/main" id="{1E2231F3-DBEC-4D17-8A35-8803CD6DB568}"/>
            </a:ext>
          </a:extLst>
        </xdr:cNvPr>
        <xdr:cNvSpPr/>
      </xdr:nvSpPr>
      <xdr:spPr>
        <a:xfrm>
          <a:off x="2157222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437</xdr:row>
      <xdr:rowOff>0</xdr:rowOff>
    </xdr:from>
    <xdr:to>
      <xdr:col>60</xdr:col>
      <xdr:colOff>83820</xdr:colOff>
      <xdr:row>437</xdr:row>
      <xdr:rowOff>114300</xdr:rowOff>
    </xdr:to>
    <xdr:sp macro="" textlink="">
      <xdr:nvSpPr>
        <xdr:cNvPr id="3282" name="Arrow: Down 3281">
          <a:extLst>
            <a:ext uri="{FF2B5EF4-FFF2-40B4-BE49-F238E27FC236}">
              <a16:creationId xmlns:a16="http://schemas.microsoft.com/office/drawing/2014/main" id="{2A57C59B-3FFC-4947-958B-900032FBDB94}"/>
            </a:ext>
          </a:extLst>
        </xdr:cNvPr>
        <xdr:cNvSpPr/>
      </xdr:nvSpPr>
      <xdr:spPr>
        <a:xfrm>
          <a:off x="1901952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83820</xdr:colOff>
      <xdr:row>437</xdr:row>
      <xdr:rowOff>114300</xdr:rowOff>
    </xdr:to>
    <xdr:sp macro="" textlink="">
      <xdr:nvSpPr>
        <xdr:cNvPr id="3284" name="Arrow: Down 3283">
          <a:extLst>
            <a:ext uri="{FF2B5EF4-FFF2-40B4-BE49-F238E27FC236}">
              <a16:creationId xmlns:a16="http://schemas.microsoft.com/office/drawing/2014/main" id="{4462B04B-5BBF-4092-A0E8-37AB80B3404B}"/>
            </a:ext>
          </a:extLst>
        </xdr:cNvPr>
        <xdr:cNvSpPr/>
      </xdr:nvSpPr>
      <xdr:spPr>
        <a:xfrm>
          <a:off x="833628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437</xdr:row>
      <xdr:rowOff>0</xdr:rowOff>
    </xdr:from>
    <xdr:to>
      <xdr:col>5</xdr:col>
      <xdr:colOff>83820</xdr:colOff>
      <xdr:row>437</xdr:row>
      <xdr:rowOff>114300</xdr:rowOff>
    </xdr:to>
    <xdr:sp macro="" textlink="">
      <xdr:nvSpPr>
        <xdr:cNvPr id="3285" name="Arrow: Down 3284">
          <a:extLst>
            <a:ext uri="{FF2B5EF4-FFF2-40B4-BE49-F238E27FC236}">
              <a16:creationId xmlns:a16="http://schemas.microsoft.com/office/drawing/2014/main" id="{9290EBC2-727D-4B8B-9765-604A37CB07FA}"/>
            </a:ext>
          </a:extLst>
        </xdr:cNvPr>
        <xdr:cNvSpPr/>
      </xdr:nvSpPr>
      <xdr:spPr>
        <a:xfrm>
          <a:off x="192786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437</xdr:row>
      <xdr:rowOff>0</xdr:rowOff>
    </xdr:from>
    <xdr:to>
      <xdr:col>11</xdr:col>
      <xdr:colOff>83820</xdr:colOff>
      <xdr:row>437</xdr:row>
      <xdr:rowOff>114300</xdr:rowOff>
    </xdr:to>
    <xdr:sp macro="" textlink="">
      <xdr:nvSpPr>
        <xdr:cNvPr id="3286" name="Arrow: Down 3285">
          <a:extLst>
            <a:ext uri="{FF2B5EF4-FFF2-40B4-BE49-F238E27FC236}">
              <a16:creationId xmlns:a16="http://schemas.microsoft.com/office/drawing/2014/main" id="{3EC5FC06-687E-4030-8E36-C9DB657CF4AC}"/>
            </a:ext>
          </a:extLst>
        </xdr:cNvPr>
        <xdr:cNvSpPr/>
      </xdr:nvSpPr>
      <xdr:spPr>
        <a:xfrm>
          <a:off x="369570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437</xdr:row>
      <xdr:rowOff>0</xdr:rowOff>
    </xdr:from>
    <xdr:to>
      <xdr:col>39</xdr:col>
      <xdr:colOff>83820</xdr:colOff>
      <xdr:row>437</xdr:row>
      <xdr:rowOff>114300</xdr:rowOff>
    </xdr:to>
    <xdr:sp macro="" textlink="">
      <xdr:nvSpPr>
        <xdr:cNvPr id="3288" name="Arrow: Down 3287">
          <a:extLst>
            <a:ext uri="{FF2B5EF4-FFF2-40B4-BE49-F238E27FC236}">
              <a16:creationId xmlns:a16="http://schemas.microsoft.com/office/drawing/2014/main" id="{525EF75D-BF8D-4985-94CA-7816A074C2D2}"/>
            </a:ext>
          </a:extLst>
        </xdr:cNvPr>
        <xdr:cNvSpPr/>
      </xdr:nvSpPr>
      <xdr:spPr>
        <a:xfrm rot="10800000">
          <a:off x="1154430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438</xdr:row>
      <xdr:rowOff>0</xdr:rowOff>
    </xdr:from>
    <xdr:to>
      <xdr:col>45</xdr:col>
      <xdr:colOff>83820</xdr:colOff>
      <xdr:row>438</xdr:row>
      <xdr:rowOff>114300</xdr:rowOff>
    </xdr:to>
    <xdr:sp macro="" textlink="">
      <xdr:nvSpPr>
        <xdr:cNvPr id="3289" name="Arrow: Down 3288">
          <a:extLst>
            <a:ext uri="{FF2B5EF4-FFF2-40B4-BE49-F238E27FC236}">
              <a16:creationId xmlns:a16="http://schemas.microsoft.com/office/drawing/2014/main" id="{CAD7295E-D343-4AE5-808E-1F194E927BCA}"/>
            </a:ext>
          </a:extLst>
        </xdr:cNvPr>
        <xdr:cNvSpPr/>
      </xdr:nvSpPr>
      <xdr:spPr>
        <a:xfrm rot="10800000">
          <a:off x="1340358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438</xdr:row>
      <xdr:rowOff>0</xdr:rowOff>
    </xdr:from>
    <xdr:to>
      <xdr:col>71</xdr:col>
      <xdr:colOff>83820</xdr:colOff>
      <xdr:row>438</xdr:row>
      <xdr:rowOff>114300</xdr:rowOff>
    </xdr:to>
    <xdr:sp macro="" textlink="">
      <xdr:nvSpPr>
        <xdr:cNvPr id="3290" name="Arrow: Down 3289">
          <a:extLst>
            <a:ext uri="{FF2B5EF4-FFF2-40B4-BE49-F238E27FC236}">
              <a16:creationId xmlns:a16="http://schemas.microsoft.com/office/drawing/2014/main" id="{FA1AB05E-74A7-4AF7-A5FD-9A6C5D55EAD1}"/>
            </a:ext>
          </a:extLst>
        </xdr:cNvPr>
        <xdr:cNvSpPr/>
      </xdr:nvSpPr>
      <xdr:spPr>
        <a:xfrm>
          <a:off x="2157222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438</xdr:row>
      <xdr:rowOff>0</xdr:rowOff>
    </xdr:from>
    <xdr:to>
      <xdr:col>60</xdr:col>
      <xdr:colOff>83820</xdr:colOff>
      <xdr:row>438</xdr:row>
      <xdr:rowOff>114300</xdr:rowOff>
    </xdr:to>
    <xdr:sp macro="" textlink="">
      <xdr:nvSpPr>
        <xdr:cNvPr id="3291" name="Arrow: Down 3290">
          <a:extLst>
            <a:ext uri="{FF2B5EF4-FFF2-40B4-BE49-F238E27FC236}">
              <a16:creationId xmlns:a16="http://schemas.microsoft.com/office/drawing/2014/main" id="{995A6EE8-D352-46FA-AC05-CE03B8543FD2}"/>
            </a:ext>
          </a:extLst>
        </xdr:cNvPr>
        <xdr:cNvSpPr/>
      </xdr:nvSpPr>
      <xdr:spPr>
        <a:xfrm>
          <a:off x="1901952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83820</xdr:colOff>
      <xdr:row>438</xdr:row>
      <xdr:rowOff>114300</xdr:rowOff>
    </xdr:to>
    <xdr:sp macro="" textlink="">
      <xdr:nvSpPr>
        <xdr:cNvPr id="3292" name="Arrow: Down 3291">
          <a:extLst>
            <a:ext uri="{FF2B5EF4-FFF2-40B4-BE49-F238E27FC236}">
              <a16:creationId xmlns:a16="http://schemas.microsoft.com/office/drawing/2014/main" id="{AA7D5328-580B-48DD-8E5A-D5C00BF2C7E6}"/>
            </a:ext>
          </a:extLst>
        </xdr:cNvPr>
        <xdr:cNvSpPr/>
      </xdr:nvSpPr>
      <xdr:spPr>
        <a:xfrm>
          <a:off x="833628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438</xdr:row>
      <xdr:rowOff>0</xdr:rowOff>
    </xdr:from>
    <xdr:to>
      <xdr:col>5</xdr:col>
      <xdr:colOff>83820</xdr:colOff>
      <xdr:row>438</xdr:row>
      <xdr:rowOff>114300</xdr:rowOff>
    </xdr:to>
    <xdr:sp macro="" textlink="">
      <xdr:nvSpPr>
        <xdr:cNvPr id="3293" name="Arrow: Down 3292">
          <a:extLst>
            <a:ext uri="{FF2B5EF4-FFF2-40B4-BE49-F238E27FC236}">
              <a16:creationId xmlns:a16="http://schemas.microsoft.com/office/drawing/2014/main" id="{484D9CA3-AEB5-4593-97D4-4D24178F78B0}"/>
            </a:ext>
          </a:extLst>
        </xdr:cNvPr>
        <xdr:cNvSpPr/>
      </xdr:nvSpPr>
      <xdr:spPr>
        <a:xfrm>
          <a:off x="192786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438</xdr:row>
      <xdr:rowOff>0</xdr:rowOff>
    </xdr:from>
    <xdr:to>
      <xdr:col>11</xdr:col>
      <xdr:colOff>83820</xdr:colOff>
      <xdr:row>438</xdr:row>
      <xdr:rowOff>114300</xdr:rowOff>
    </xdr:to>
    <xdr:sp macro="" textlink="">
      <xdr:nvSpPr>
        <xdr:cNvPr id="3294" name="Arrow: Down 3293">
          <a:extLst>
            <a:ext uri="{FF2B5EF4-FFF2-40B4-BE49-F238E27FC236}">
              <a16:creationId xmlns:a16="http://schemas.microsoft.com/office/drawing/2014/main" id="{4C723AE0-5647-4654-97B8-1AF359F0DB80}"/>
            </a:ext>
          </a:extLst>
        </xdr:cNvPr>
        <xdr:cNvSpPr/>
      </xdr:nvSpPr>
      <xdr:spPr>
        <a:xfrm>
          <a:off x="369570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438</xdr:row>
      <xdr:rowOff>0</xdr:rowOff>
    </xdr:from>
    <xdr:to>
      <xdr:col>39</xdr:col>
      <xdr:colOff>83820</xdr:colOff>
      <xdr:row>438</xdr:row>
      <xdr:rowOff>114300</xdr:rowOff>
    </xdr:to>
    <xdr:sp macro="" textlink="">
      <xdr:nvSpPr>
        <xdr:cNvPr id="3296" name="Arrow: Down 3295">
          <a:extLst>
            <a:ext uri="{FF2B5EF4-FFF2-40B4-BE49-F238E27FC236}">
              <a16:creationId xmlns:a16="http://schemas.microsoft.com/office/drawing/2014/main" id="{66E074E7-D164-4D17-908D-B4758E7E3DFC}"/>
            </a:ext>
          </a:extLst>
        </xdr:cNvPr>
        <xdr:cNvSpPr/>
      </xdr:nvSpPr>
      <xdr:spPr>
        <a:xfrm>
          <a:off x="11544300" y="8020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439</xdr:row>
      <xdr:rowOff>0</xdr:rowOff>
    </xdr:from>
    <xdr:to>
      <xdr:col>45</xdr:col>
      <xdr:colOff>83820</xdr:colOff>
      <xdr:row>439</xdr:row>
      <xdr:rowOff>114300</xdr:rowOff>
    </xdr:to>
    <xdr:sp macro="" textlink="">
      <xdr:nvSpPr>
        <xdr:cNvPr id="3114" name="Arrow: Down 3113">
          <a:extLst>
            <a:ext uri="{FF2B5EF4-FFF2-40B4-BE49-F238E27FC236}">
              <a16:creationId xmlns:a16="http://schemas.microsoft.com/office/drawing/2014/main" id="{73C95271-2625-4E5B-A445-9CF0F85D8111}"/>
            </a:ext>
          </a:extLst>
        </xdr:cNvPr>
        <xdr:cNvSpPr/>
      </xdr:nvSpPr>
      <xdr:spPr>
        <a:xfrm rot="10800000">
          <a:off x="13403580" y="8020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439</xdr:row>
      <xdr:rowOff>0</xdr:rowOff>
    </xdr:from>
    <xdr:to>
      <xdr:col>71</xdr:col>
      <xdr:colOff>83820</xdr:colOff>
      <xdr:row>439</xdr:row>
      <xdr:rowOff>114300</xdr:rowOff>
    </xdr:to>
    <xdr:sp macro="" textlink="">
      <xdr:nvSpPr>
        <xdr:cNvPr id="3153" name="Arrow: Down 3152">
          <a:extLst>
            <a:ext uri="{FF2B5EF4-FFF2-40B4-BE49-F238E27FC236}">
              <a16:creationId xmlns:a16="http://schemas.microsoft.com/office/drawing/2014/main" id="{27C444DE-EB66-463A-A133-0293E71BD127}"/>
            </a:ext>
          </a:extLst>
        </xdr:cNvPr>
        <xdr:cNvSpPr/>
      </xdr:nvSpPr>
      <xdr:spPr>
        <a:xfrm>
          <a:off x="21572220" y="8020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439</xdr:row>
      <xdr:rowOff>0</xdr:rowOff>
    </xdr:from>
    <xdr:to>
      <xdr:col>5</xdr:col>
      <xdr:colOff>83820</xdr:colOff>
      <xdr:row>439</xdr:row>
      <xdr:rowOff>114300</xdr:rowOff>
    </xdr:to>
    <xdr:sp macro="" textlink="">
      <xdr:nvSpPr>
        <xdr:cNvPr id="3287" name="Arrow: Down 3286">
          <a:extLst>
            <a:ext uri="{FF2B5EF4-FFF2-40B4-BE49-F238E27FC236}">
              <a16:creationId xmlns:a16="http://schemas.microsoft.com/office/drawing/2014/main" id="{6DCCDCEC-0CFD-4B7A-8F55-61121661D33F}"/>
            </a:ext>
          </a:extLst>
        </xdr:cNvPr>
        <xdr:cNvSpPr/>
      </xdr:nvSpPr>
      <xdr:spPr>
        <a:xfrm rot="10800000">
          <a:off x="192786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439</xdr:row>
      <xdr:rowOff>0</xdr:rowOff>
    </xdr:from>
    <xdr:to>
      <xdr:col>11</xdr:col>
      <xdr:colOff>83820</xdr:colOff>
      <xdr:row>439</xdr:row>
      <xdr:rowOff>114300</xdr:rowOff>
    </xdr:to>
    <xdr:sp macro="" textlink="">
      <xdr:nvSpPr>
        <xdr:cNvPr id="3297" name="Arrow: Down 3296">
          <a:extLst>
            <a:ext uri="{FF2B5EF4-FFF2-40B4-BE49-F238E27FC236}">
              <a16:creationId xmlns:a16="http://schemas.microsoft.com/office/drawing/2014/main" id="{DF7FD37D-63F9-4F94-99C7-361F3F8BDD31}"/>
            </a:ext>
          </a:extLst>
        </xdr:cNvPr>
        <xdr:cNvSpPr/>
      </xdr:nvSpPr>
      <xdr:spPr>
        <a:xfrm rot="10800000">
          <a:off x="369570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83820</xdr:colOff>
      <xdr:row>439</xdr:row>
      <xdr:rowOff>114300</xdr:rowOff>
    </xdr:to>
    <xdr:sp macro="" textlink="">
      <xdr:nvSpPr>
        <xdr:cNvPr id="3298" name="Arrow: Down 3297">
          <a:extLst>
            <a:ext uri="{FF2B5EF4-FFF2-40B4-BE49-F238E27FC236}">
              <a16:creationId xmlns:a16="http://schemas.microsoft.com/office/drawing/2014/main" id="{1376B59D-7755-4204-92D6-99EC054FB8DB}"/>
            </a:ext>
          </a:extLst>
        </xdr:cNvPr>
        <xdr:cNvSpPr/>
      </xdr:nvSpPr>
      <xdr:spPr>
        <a:xfrm rot="10800000">
          <a:off x="833628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439</xdr:row>
      <xdr:rowOff>0</xdr:rowOff>
    </xdr:from>
    <xdr:to>
      <xdr:col>60</xdr:col>
      <xdr:colOff>83820</xdr:colOff>
      <xdr:row>439</xdr:row>
      <xdr:rowOff>114300</xdr:rowOff>
    </xdr:to>
    <xdr:sp macro="" textlink="">
      <xdr:nvSpPr>
        <xdr:cNvPr id="3299" name="Arrow: Down 3298">
          <a:extLst>
            <a:ext uri="{FF2B5EF4-FFF2-40B4-BE49-F238E27FC236}">
              <a16:creationId xmlns:a16="http://schemas.microsoft.com/office/drawing/2014/main" id="{19C8C8EE-326F-4E39-81F2-29B3A96B57F4}"/>
            </a:ext>
          </a:extLst>
        </xdr:cNvPr>
        <xdr:cNvSpPr/>
      </xdr:nvSpPr>
      <xdr:spPr>
        <a:xfrm rot="10800000">
          <a:off x="1901952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439</xdr:row>
      <xdr:rowOff>0</xdr:rowOff>
    </xdr:from>
    <xdr:to>
      <xdr:col>39</xdr:col>
      <xdr:colOff>83820</xdr:colOff>
      <xdr:row>439</xdr:row>
      <xdr:rowOff>114300</xdr:rowOff>
    </xdr:to>
    <xdr:sp macro="" textlink="">
      <xdr:nvSpPr>
        <xdr:cNvPr id="3300" name="Arrow: Down 3299">
          <a:extLst>
            <a:ext uri="{FF2B5EF4-FFF2-40B4-BE49-F238E27FC236}">
              <a16:creationId xmlns:a16="http://schemas.microsoft.com/office/drawing/2014/main" id="{8A1EB245-F430-4971-B5D1-97F18832B7F7}"/>
            </a:ext>
          </a:extLst>
        </xdr:cNvPr>
        <xdr:cNvSpPr/>
      </xdr:nvSpPr>
      <xdr:spPr>
        <a:xfrm rot="10800000">
          <a:off x="11544300" y="8038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440</xdr:row>
      <xdr:rowOff>0</xdr:rowOff>
    </xdr:from>
    <xdr:to>
      <xdr:col>45</xdr:col>
      <xdr:colOff>83820</xdr:colOff>
      <xdr:row>440</xdr:row>
      <xdr:rowOff>114300</xdr:rowOff>
    </xdr:to>
    <xdr:sp macro="" textlink="">
      <xdr:nvSpPr>
        <xdr:cNvPr id="3301" name="Arrow: Down 3300">
          <a:extLst>
            <a:ext uri="{FF2B5EF4-FFF2-40B4-BE49-F238E27FC236}">
              <a16:creationId xmlns:a16="http://schemas.microsoft.com/office/drawing/2014/main" id="{7CE9A45E-D744-42F0-A2CB-E91D9E6C4410}"/>
            </a:ext>
          </a:extLst>
        </xdr:cNvPr>
        <xdr:cNvSpPr/>
      </xdr:nvSpPr>
      <xdr:spPr>
        <a:xfrm rot="10800000">
          <a:off x="13403580" y="8038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440</xdr:row>
      <xdr:rowOff>0</xdr:rowOff>
    </xdr:from>
    <xdr:to>
      <xdr:col>71</xdr:col>
      <xdr:colOff>83820</xdr:colOff>
      <xdr:row>440</xdr:row>
      <xdr:rowOff>114300</xdr:rowOff>
    </xdr:to>
    <xdr:sp macro="" textlink="">
      <xdr:nvSpPr>
        <xdr:cNvPr id="3302" name="Arrow: Down 3301">
          <a:extLst>
            <a:ext uri="{FF2B5EF4-FFF2-40B4-BE49-F238E27FC236}">
              <a16:creationId xmlns:a16="http://schemas.microsoft.com/office/drawing/2014/main" id="{DE35213F-B39E-4B97-9794-D23AD46E6F37}"/>
            </a:ext>
          </a:extLst>
        </xdr:cNvPr>
        <xdr:cNvSpPr/>
      </xdr:nvSpPr>
      <xdr:spPr>
        <a:xfrm>
          <a:off x="21572220" y="8038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440</xdr:row>
      <xdr:rowOff>0</xdr:rowOff>
    </xdr:from>
    <xdr:to>
      <xdr:col>5</xdr:col>
      <xdr:colOff>83820</xdr:colOff>
      <xdr:row>440</xdr:row>
      <xdr:rowOff>114300</xdr:rowOff>
    </xdr:to>
    <xdr:sp macro="" textlink="">
      <xdr:nvSpPr>
        <xdr:cNvPr id="3303" name="Arrow: Down 3302">
          <a:extLst>
            <a:ext uri="{FF2B5EF4-FFF2-40B4-BE49-F238E27FC236}">
              <a16:creationId xmlns:a16="http://schemas.microsoft.com/office/drawing/2014/main" id="{B5D0F6C0-1D08-4A5C-9C8B-D99B4B653211}"/>
            </a:ext>
          </a:extLst>
        </xdr:cNvPr>
        <xdr:cNvSpPr/>
      </xdr:nvSpPr>
      <xdr:spPr>
        <a:xfrm rot="10800000">
          <a:off x="192786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440</xdr:row>
      <xdr:rowOff>0</xdr:rowOff>
    </xdr:from>
    <xdr:to>
      <xdr:col>11</xdr:col>
      <xdr:colOff>83820</xdr:colOff>
      <xdr:row>440</xdr:row>
      <xdr:rowOff>114300</xdr:rowOff>
    </xdr:to>
    <xdr:sp macro="" textlink="">
      <xdr:nvSpPr>
        <xdr:cNvPr id="3304" name="Arrow: Down 3303">
          <a:extLst>
            <a:ext uri="{FF2B5EF4-FFF2-40B4-BE49-F238E27FC236}">
              <a16:creationId xmlns:a16="http://schemas.microsoft.com/office/drawing/2014/main" id="{9B02A124-F19C-417A-9701-597AFA36DE97}"/>
            </a:ext>
          </a:extLst>
        </xdr:cNvPr>
        <xdr:cNvSpPr/>
      </xdr:nvSpPr>
      <xdr:spPr>
        <a:xfrm rot="10800000">
          <a:off x="369570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83820</xdr:colOff>
      <xdr:row>440</xdr:row>
      <xdr:rowOff>114300</xdr:rowOff>
    </xdr:to>
    <xdr:sp macro="" textlink="">
      <xdr:nvSpPr>
        <xdr:cNvPr id="3305" name="Arrow: Down 3304">
          <a:extLst>
            <a:ext uri="{FF2B5EF4-FFF2-40B4-BE49-F238E27FC236}">
              <a16:creationId xmlns:a16="http://schemas.microsoft.com/office/drawing/2014/main" id="{A4AA8A7B-5D92-4BEC-AF57-2D3D9335B3EA}"/>
            </a:ext>
          </a:extLst>
        </xdr:cNvPr>
        <xdr:cNvSpPr/>
      </xdr:nvSpPr>
      <xdr:spPr>
        <a:xfrm rot="10800000">
          <a:off x="833628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440</xdr:row>
      <xdr:rowOff>0</xdr:rowOff>
    </xdr:from>
    <xdr:to>
      <xdr:col>60</xdr:col>
      <xdr:colOff>83820</xdr:colOff>
      <xdr:row>440</xdr:row>
      <xdr:rowOff>114300</xdr:rowOff>
    </xdr:to>
    <xdr:sp macro="" textlink="">
      <xdr:nvSpPr>
        <xdr:cNvPr id="3306" name="Arrow: Down 3305">
          <a:extLst>
            <a:ext uri="{FF2B5EF4-FFF2-40B4-BE49-F238E27FC236}">
              <a16:creationId xmlns:a16="http://schemas.microsoft.com/office/drawing/2014/main" id="{9B4BD6D0-5FF1-4794-88CB-E14DD4C207EC}"/>
            </a:ext>
          </a:extLst>
        </xdr:cNvPr>
        <xdr:cNvSpPr/>
      </xdr:nvSpPr>
      <xdr:spPr>
        <a:xfrm rot="10800000">
          <a:off x="1901952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440</xdr:row>
      <xdr:rowOff>0</xdr:rowOff>
    </xdr:from>
    <xdr:to>
      <xdr:col>39</xdr:col>
      <xdr:colOff>83820</xdr:colOff>
      <xdr:row>440</xdr:row>
      <xdr:rowOff>114300</xdr:rowOff>
    </xdr:to>
    <xdr:sp macro="" textlink="">
      <xdr:nvSpPr>
        <xdr:cNvPr id="3308" name="Arrow: Down 3307">
          <a:extLst>
            <a:ext uri="{FF2B5EF4-FFF2-40B4-BE49-F238E27FC236}">
              <a16:creationId xmlns:a16="http://schemas.microsoft.com/office/drawing/2014/main" id="{DACFD25F-1176-4A25-BD55-E5FECCF989E6}"/>
            </a:ext>
          </a:extLst>
        </xdr:cNvPr>
        <xdr:cNvSpPr/>
      </xdr:nvSpPr>
      <xdr:spPr>
        <a:xfrm>
          <a:off x="11544300" y="8056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441</xdr:row>
      <xdr:rowOff>0</xdr:rowOff>
    </xdr:from>
    <xdr:to>
      <xdr:col>45</xdr:col>
      <xdr:colOff>83820</xdr:colOff>
      <xdr:row>441</xdr:row>
      <xdr:rowOff>114300</xdr:rowOff>
    </xdr:to>
    <xdr:sp macro="" textlink="">
      <xdr:nvSpPr>
        <xdr:cNvPr id="3309" name="Arrow: Down 3308">
          <a:extLst>
            <a:ext uri="{FF2B5EF4-FFF2-40B4-BE49-F238E27FC236}">
              <a16:creationId xmlns:a16="http://schemas.microsoft.com/office/drawing/2014/main" id="{16EA9CEE-AB9F-42DB-9756-0CC3C3433031}"/>
            </a:ext>
          </a:extLst>
        </xdr:cNvPr>
        <xdr:cNvSpPr/>
      </xdr:nvSpPr>
      <xdr:spPr>
        <a:xfrm rot="10800000">
          <a:off x="13403580" y="8056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441</xdr:row>
      <xdr:rowOff>0</xdr:rowOff>
    </xdr:from>
    <xdr:to>
      <xdr:col>71</xdr:col>
      <xdr:colOff>83820</xdr:colOff>
      <xdr:row>441</xdr:row>
      <xdr:rowOff>114300</xdr:rowOff>
    </xdr:to>
    <xdr:sp macro="" textlink="">
      <xdr:nvSpPr>
        <xdr:cNvPr id="3310" name="Arrow: Down 3309">
          <a:extLst>
            <a:ext uri="{FF2B5EF4-FFF2-40B4-BE49-F238E27FC236}">
              <a16:creationId xmlns:a16="http://schemas.microsoft.com/office/drawing/2014/main" id="{75C57145-37A1-49EA-9647-3521617949F3}"/>
            </a:ext>
          </a:extLst>
        </xdr:cNvPr>
        <xdr:cNvSpPr/>
      </xdr:nvSpPr>
      <xdr:spPr>
        <a:xfrm>
          <a:off x="21572220" y="8056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441</xdr:row>
      <xdr:rowOff>0</xdr:rowOff>
    </xdr:from>
    <xdr:to>
      <xdr:col>5</xdr:col>
      <xdr:colOff>83820</xdr:colOff>
      <xdr:row>441</xdr:row>
      <xdr:rowOff>114300</xdr:rowOff>
    </xdr:to>
    <xdr:sp macro="" textlink="">
      <xdr:nvSpPr>
        <xdr:cNvPr id="3311" name="Arrow: Down 3310">
          <a:extLst>
            <a:ext uri="{FF2B5EF4-FFF2-40B4-BE49-F238E27FC236}">
              <a16:creationId xmlns:a16="http://schemas.microsoft.com/office/drawing/2014/main" id="{53141458-D19B-4BF5-AE96-7EEF53A4E32C}"/>
            </a:ext>
          </a:extLst>
        </xdr:cNvPr>
        <xdr:cNvSpPr/>
      </xdr:nvSpPr>
      <xdr:spPr>
        <a:xfrm rot="10800000">
          <a:off x="1927860" y="8056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441</xdr:row>
      <xdr:rowOff>0</xdr:rowOff>
    </xdr:from>
    <xdr:to>
      <xdr:col>11</xdr:col>
      <xdr:colOff>83820</xdr:colOff>
      <xdr:row>441</xdr:row>
      <xdr:rowOff>114300</xdr:rowOff>
    </xdr:to>
    <xdr:sp macro="" textlink="">
      <xdr:nvSpPr>
        <xdr:cNvPr id="3312" name="Arrow: Down 3311">
          <a:extLst>
            <a:ext uri="{FF2B5EF4-FFF2-40B4-BE49-F238E27FC236}">
              <a16:creationId xmlns:a16="http://schemas.microsoft.com/office/drawing/2014/main" id="{C5070AF7-8127-48BE-9904-CBCB3676CD1C}"/>
            </a:ext>
          </a:extLst>
        </xdr:cNvPr>
        <xdr:cNvSpPr/>
      </xdr:nvSpPr>
      <xdr:spPr>
        <a:xfrm rot="10800000">
          <a:off x="3695700" y="8056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441</xdr:row>
      <xdr:rowOff>0</xdr:rowOff>
    </xdr:from>
    <xdr:to>
      <xdr:col>60</xdr:col>
      <xdr:colOff>83820</xdr:colOff>
      <xdr:row>441</xdr:row>
      <xdr:rowOff>114300</xdr:rowOff>
    </xdr:to>
    <xdr:sp macro="" textlink="">
      <xdr:nvSpPr>
        <xdr:cNvPr id="3316" name="Arrow: Down 3315">
          <a:extLst>
            <a:ext uri="{FF2B5EF4-FFF2-40B4-BE49-F238E27FC236}">
              <a16:creationId xmlns:a16="http://schemas.microsoft.com/office/drawing/2014/main" id="{82F1613A-5820-4584-A3DD-17577B7EFDCE}"/>
            </a:ext>
          </a:extLst>
        </xdr:cNvPr>
        <xdr:cNvSpPr/>
      </xdr:nvSpPr>
      <xdr:spPr>
        <a:xfrm>
          <a:off x="1901952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441</xdr:row>
      <xdr:rowOff>0</xdr:rowOff>
    </xdr:from>
    <xdr:to>
      <xdr:col>39</xdr:col>
      <xdr:colOff>83820</xdr:colOff>
      <xdr:row>441</xdr:row>
      <xdr:rowOff>114300</xdr:rowOff>
    </xdr:to>
    <xdr:sp macro="" textlink="">
      <xdr:nvSpPr>
        <xdr:cNvPr id="3317" name="Arrow: Down 3316">
          <a:extLst>
            <a:ext uri="{FF2B5EF4-FFF2-40B4-BE49-F238E27FC236}">
              <a16:creationId xmlns:a16="http://schemas.microsoft.com/office/drawing/2014/main" id="{C115E649-1833-49B4-B184-3D79250EDC2D}"/>
            </a:ext>
          </a:extLst>
        </xdr:cNvPr>
        <xdr:cNvSpPr/>
      </xdr:nvSpPr>
      <xdr:spPr>
        <a:xfrm rot="10800000">
          <a:off x="1154430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83820</xdr:colOff>
      <xdr:row>441</xdr:row>
      <xdr:rowOff>114300</xdr:rowOff>
    </xdr:to>
    <xdr:sp macro="" textlink="">
      <xdr:nvSpPr>
        <xdr:cNvPr id="3318" name="Arrow: Down 3317">
          <a:extLst>
            <a:ext uri="{FF2B5EF4-FFF2-40B4-BE49-F238E27FC236}">
              <a16:creationId xmlns:a16="http://schemas.microsoft.com/office/drawing/2014/main" id="{CB6F024E-EEC3-4B61-9711-27720FA93767}"/>
            </a:ext>
          </a:extLst>
        </xdr:cNvPr>
        <xdr:cNvSpPr/>
      </xdr:nvSpPr>
      <xdr:spPr>
        <a:xfrm>
          <a:off x="833628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442</xdr:row>
      <xdr:rowOff>0</xdr:rowOff>
    </xdr:from>
    <xdr:to>
      <xdr:col>45</xdr:col>
      <xdr:colOff>83820</xdr:colOff>
      <xdr:row>442</xdr:row>
      <xdr:rowOff>114300</xdr:rowOff>
    </xdr:to>
    <xdr:sp macro="" textlink="">
      <xdr:nvSpPr>
        <xdr:cNvPr id="3319" name="Arrow: Down 3318">
          <a:extLst>
            <a:ext uri="{FF2B5EF4-FFF2-40B4-BE49-F238E27FC236}">
              <a16:creationId xmlns:a16="http://schemas.microsoft.com/office/drawing/2014/main" id="{C807BAB8-96F4-4152-8AEF-422BD28DB6BB}"/>
            </a:ext>
          </a:extLst>
        </xdr:cNvPr>
        <xdr:cNvSpPr/>
      </xdr:nvSpPr>
      <xdr:spPr>
        <a:xfrm rot="10800000">
          <a:off x="1340358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442</xdr:row>
      <xdr:rowOff>0</xdr:rowOff>
    </xdr:from>
    <xdr:to>
      <xdr:col>71</xdr:col>
      <xdr:colOff>83820</xdr:colOff>
      <xdr:row>442</xdr:row>
      <xdr:rowOff>114300</xdr:rowOff>
    </xdr:to>
    <xdr:sp macro="" textlink="">
      <xdr:nvSpPr>
        <xdr:cNvPr id="3320" name="Arrow: Down 3319">
          <a:extLst>
            <a:ext uri="{FF2B5EF4-FFF2-40B4-BE49-F238E27FC236}">
              <a16:creationId xmlns:a16="http://schemas.microsoft.com/office/drawing/2014/main" id="{11E2BE36-1337-4264-9C04-62AFCE551443}"/>
            </a:ext>
          </a:extLst>
        </xdr:cNvPr>
        <xdr:cNvSpPr/>
      </xdr:nvSpPr>
      <xdr:spPr>
        <a:xfrm>
          <a:off x="2157222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83820</xdr:colOff>
      <xdr:row>442</xdr:row>
      <xdr:rowOff>114300</xdr:rowOff>
    </xdr:to>
    <xdr:sp macro="" textlink="">
      <xdr:nvSpPr>
        <xdr:cNvPr id="3321" name="Arrow: Down 3320">
          <a:extLst>
            <a:ext uri="{FF2B5EF4-FFF2-40B4-BE49-F238E27FC236}">
              <a16:creationId xmlns:a16="http://schemas.microsoft.com/office/drawing/2014/main" id="{FEE4D543-43DF-4F1F-BA54-328D2C10225F}"/>
            </a:ext>
          </a:extLst>
        </xdr:cNvPr>
        <xdr:cNvSpPr/>
      </xdr:nvSpPr>
      <xdr:spPr>
        <a:xfrm rot="10800000">
          <a:off x="1927860" y="8074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442</xdr:row>
      <xdr:rowOff>0</xdr:rowOff>
    </xdr:from>
    <xdr:to>
      <xdr:col>11</xdr:col>
      <xdr:colOff>83820</xdr:colOff>
      <xdr:row>442</xdr:row>
      <xdr:rowOff>114300</xdr:rowOff>
    </xdr:to>
    <xdr:sp macro="" textlink="">
      <xdr:nvSpPr>
        <xdr:cNvPr id="3322" name="Arrow: Down 3321">
          <a:extLst>
            <a:ext uri="{FF2B5EF4-FFF2-40B4-BE49-F238E27FC236}">
              <a16:creationId xmlns:a16="http://schemas.microsoft.com/office/drawing/2014/main" id="{FB6A85CE-BAC8-41BA-8284-9739CAA0F6D9}"/>
            </a:ext>
          </a:extLst>
        </xdr:cNvPr>
        <xdr:cNvSpPr/>
      </xdr:nvSpPr>
      <xdr:spPr>
        <a:xfrm rot="10800000">
          <a:off x="3695700" y="8074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442</xdr:row>
      <xdr:rowOff>0</xdr:rowOff>
    </xdr:from>
    <xdr:to>
      <xdr:col>60</xdr:col>
      <xdr:colOff>83820</xdr:colOff>
      <xdr:row>442</xdr:row>
      <xdr:rowOff>114300</xdr:rowOff>
    </xdr:to>
    <xdr:sp macro="" textlink="">
      <xdr:nvSpPr>
        <xdr:cNvPr id="3323" name="Arrow: Down 3322">
          <a:extLst>
            <a:ext uri="{FF2B5EF4-FFF2-40B4-BE49-F238E27FC236}">
              <a16:creationId xmlns:a16="http://schemas.microsoft.com/office/drawing/2014/main" id="{4DC866DE-EB63-4057-9EAD-F11546FA6487}"/>
            </a:ext>
          </a:extLst>
        </xdr:cNvPr>
        <xdr:cNvSpPr/>
      </xdr:nvSpPr>
      <xdr:spPr>
        <a:xfrm>
          <a:off x="1901952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83820</xdr:colOff>
      <xdr:row>442</xdr:row>
      <xdr:rowOff>114300</xdr:rowOff>
    </xdr:to>
    <xdr:sp macro="" textlink="">
      <xdr:nvSpPr>
        <xdr:cNvPr id="3326" name="Arrow: Down 3325">
          <a:extLst>
            <a:ext uri="{FF2B5EF4-FFF2-40B4-BE49-F238E27FC236}">
              <a16:creationId xmlns:a16="http://schemas.microsoft.com/office/drawing/2014/main" id="{41713931-158B-47CC-9356-8DC76E661726}"/>
            </a:ext>
          </a:extLst>
        </xdr:cNvPr>
        <xdr:cNvSpPr/>
      </xdr:nvSpPr>
      <xdr:spPr>
        <a:xfrm rot="10800000">
          <a:off x="8336280" y="8093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442</xdr:row>
      <xdr:rowOff>0</xdr:rowOff>
    </xdr:from>
    <xdr:to>
      <xdr:col>39</xdr:col>
      <xdr:colOff>83820</xdr:colOff>
      <xdr:row>442</xdr:row>
      <xdr:rowOff>114300</xdr:rowOff>
    </xdr:to>
    <xdr:sp macro="" textlink="">
      <xdr:nvSpPr>
        <xdr:cNvPr id="3327" name="Arrow: Down 3326">
          <a:extLst>
            <a:ext uri="{FF2B5EF4-FFF2-40B4-BE49-F238E27FC236}">
              <a16:creationId xmlns:a16="http://schemas.microsoft.com/office/drawing/2014/main" id="{8FE3C721-49EC-4CBD-94F9-E9BB765C39D4}"/>
            </a:ext>
          </a:extLst>
        </xdr:cNvPr>
        <xdr:cNvSpPr/>
      </xdr:nvSpPr>
      <xdr:spPr>
        <a:xfrm>
          <a:off x="11544300" y="8093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443</xdr:row>
      <xdr:rowOff>0</xdr:rowOff>
    </xdr:from>
    <xdr:to>
      <xdr:col>45</xdr:col>
      <xdr:colOff>83820</xdr:colOff>
      <xdr:row>443</xdr:row>
      <xdr:rowOff>114300</xdr:rowOff>
    </xdr:to>
    <xdr:sp macro="" textlink="">
      <xdr:nvSpPr>
        <xdr:cNvPr id="3328" name="Arrow: Down 3327">
          <a:extLst>
            <a:ext uri="{FF2B5EF4-FFF2-40B4-BE49-F238E27FC236}">
              <a16:creationId xmlns:a16="http://schemas.microsoft.com/office/drawing/2014/main" id="{7153E9AF-25F4-4FE1-AD9B-B3149925041B}"/>
            </a:ext>
          </a:extLst>
        </xdr:cNvPr>
        <xdr:cNvSpPr/>
      </xdr:nvSpPr>
      <xdr:spPr>
        <a:xfrm rot="10800000">
          <a:off x="13403580" y="8093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443</xdr:row>
      <xdr:rowOff>0</xdr:rowOff>
    </xdr:from>
    <xdr:to>
      <xdr:col>71</xdr:col>
      <xdr:colOff>83820</xdr:colOff>
      <xdr:row>443</xdr:row>
      <xdr:rowOff>114300</xdr:rowOff>
    </xdr:to>
    <xdr:sp macro="" textlink="">
      <xdr:nvSpPr>
        <xdr:cNvPr id="3329" name="Arrow: Down 3328">
          <a:extLst>
            <a:ext uri="{FF2B5EF4-FFF2-40B4-BE49-F238E27FC236}">
              <a16:creationId xmlns:a16="http://schemas.microsoft.com/office/drawing/2014/main" id="{EEE0F3C4-388A-46D3-AFF7-3158844A73A1}"/>
            </a:ext>
          </a:extLst>
        </xdr:cNvPr>
        <xdr:cNvSpPr/>
      </xdr:nvSpPr>
      <xdr:spPr>
        <a:xfrm>
          <a:off x="21572220" y="8093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443</xdr:row>
      <xdr:rowOff>0</xdr:rowOff>
    </xdr:from>
    <xdr:to>
      <xdr:col>60</xdr:col>
      <xdr:colOff>83820</xdr:colOff>
      <xdr:row>443</xdr:row>
      <xdr:rowOff>114300</xdr:rowOff>
    </xdr:to>
    <xdr:sp macro="" textlink="">
      <xdr:nvSpPr>
        <xdr:cNvPr id="3332" name="Arrow: Down 3331">
          <a:extLst>
            <a:ext uri="{FF2B5EF4-FFF2-40B4-BE49-F238E27FC236}">
              <a16:creationId xmlns:a16="http://schemas.microsoft.com/office/drawing/2014/main" id="{5F1238A6-3F28-4517-8EC0-62F54250EFDF}"/>
            </a:ext>
          </a:extLst>
        </xdr:cNvPr>
        <xdr:cNvSpPr/>
      </xdr:nvSpPr>
      <xdr:spPr>
        <a:xfrm>
          <a:off x="19019520" y="8093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443</xdr:row>
      <xdr:rowOff>0</xdr:rowOff>
    </xdr:from>
    <xdr:to>
      <xdr:col>39</xdr:col>
      <xdr:colOff>83820</xdr:colOff>
      <xdr:row>443</xdr:row>
      <xdr:rowOff>114300</xdr:rowOff>
    </xdr:to>
    <xdr:sp macro="" textlink="">
      <xdr:nvSpPr>
        <xdr:cNvPr id="3335" name="Arrow: Down 3334">
          <a:extLst>
            <a:ext uri="{FF2B5EF4-FFF2-40B4-BE49-F238E27FC236}">
              <a16:creationId xmlns:a16="http://schemas.microsoft.com/office/drawing/2014/main" id="{B2BAB6A8-775E-4EAB-9C8E-8D86A871034D}"/>
            </a:ext>
          </a:extLst>
        </xdr:cNvPr>
        <xdr:cNvSpPr/>
      </xdr:nvSpPr>
      <xdr:spPr>
        <a:xfrm rot="10800000">
          <a:off x="1154430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83820</xdr:colOff>
      <xdr:row>443</xdr:row>
      <xdr:rowOff>114300</xdr:rowOff>
    </xdr:to>
    <xdr:sp macro="" textlink="">
      <xdr:nvSpPr>
        <xdr:cNvPr id="3337" name="Arrow: Down 3336">
          <a:extLst>
            <a:ext uri="{FF2B5EF4-FFF2-40B4-BE49-F238E27FC236}">
              <a16:creationId xmlns:a16="http://schemas.microsoft.com/office/drawing/2014/main" id="{4C7A65E5-7CD5-4485-9CDC-31992635FBDB}"/>
            </a:ext>
          </a:extLst>
        </xdr:cNvPr>
        <xdr:cNvSpPr/>
      </xdr:nvSpPr>
      <xdr:spPr>
        <a:xfrm>
          <a:off x="833628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443</xdr:row>
      <xdr:rowOff>0</xdr:rowOff>
    </xdr:from>
    <xdr:to>
      <xdr:col>11</xdr:col>
      <xdr:colOff>83820</xdr:colOff>
      <xdr:row>443</xdr:row>
      <xdr:rowOff>114300</xdr:rowOff>
    </xdr:to>
    <xdr:sp macro="" textlink="">
      <xdr:nvSpPr>
        <xdr:cNvPr id="3338" name="Arrow: Down 3337">
          <a:extLst>
            <a:ext uri="{FF2B5EF4-FFF2-40B4-BE49-F238E27FC236}">
              <a16:creationId xmlns:a16="http://schemas.microsoft.com/office/drawing/2014/main" id="{BD946250-D2D1-48E2-BE30-6AB4E2A0BFD1}"/>
            </a:ext>
          </a:extLst>
        </xdr:cNvPr>
        <xdr:cNvSpPr/>
      </xdr:nvSpPr>
      <xdr:spPr>
        <a:xfrm>
          <a:off x="369570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443</xdr:row>
      <xdr:rowOff>0</xdr:rowOff>
    </xdr:from>
    <xdr:to>
      <xdr:col>5</xdr:col>
      <xdr:colOff>83820</xdr:colOff>
      <xdr:row>443</xdr:row>
      <xdr:rowOff>114300</xdr:rowOff>
    </xdr:to>
    <xdr:sp macro="" textlink="">
      <xdr:nvSpPr>
        <xdr:cNvPr id="3339" name="Arrow: Down 3338">
          <a:extLst>
            <a:ext uri="{FF2B5EF4-FFF2-40B4-BE49-F238E27FC236}">
              <a16:creationId xmlns:a16="http://schemas.microsoft.com/office/drawing/2014/main" id="{644D8E6E-D652-4B7F-BF35-382CC79D0FA4}"/>
            </a:ext>
          </a:extLst>
        </xdr:cNvPr>
        <xdr:cNvSpPr/>
      </xdr:nvSpPr>
      <xdr:spPr>
        <a:xfrm>
          <a:off x="192786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444</xdr:row>
      <xdr:rowOff>0</xdr:rowOff>
    </xdr:from>
    <xdr:to>
      <xdr:col>45</xdr:col>
      <xdr:colOff>83820</xdr:colOff>
      <xdr:row>444</xdr:row>
      <xdr:rowOff>114300</xdr:rowOff>
    </xdr:to>
    <xdr:sp macro="" textlink="">
      <xdr:nvSpPr>
        <xdr:cNvPr id="3340" name="Arrow: Down 3339">
          <a:extLst>
            <a:ext uri="{FF2B5EF4-FFF2-40B4-BE49-F238E27FC236}">
              <a16:creationId xmlns:a16="http://schemas.microsoft.com/office/drawing/2014/main" id="{1742F8BE-30D2-4AF3-A666-AAEEE9B52710}"/>
            </a:ext>
          </a:extLst>
        </xdr:cNvPr>
        <xdr:cNvSpPr/>
      </xdr:nvSpPr>
      <xdr:spPr>
        <a:xfrm rot="10800000">
          <a:off x="1340358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444</xdr:row>
      <xdr:rowOff>0</xdr:rowOff>
    </xdr:from>
    <xdr:to>
      <xdr:col>71</xdr:col>
      <xdr:colOff>83820</xdr:colOff>
      <xdr:row>444</xdr:row>
      <xdr:rowOff>114300</xdr:rowOff>
    </xdr:to>
    <xdr:sp macro="" textlink="">
      <xdr:nvSpPr>
        <xdr:cNvPr id="3341" name="Arrow: Down 3340">
          <a:extLst>
            <a:ext uri="{FF2B5EF4-FFF2-40B4-BE49-F238E27FC236}">
              <a16:creationId xmlns:a16="http://schemas.microsoft.com/office/drawing/2014/main" id="{EAE78AF6-3B34-4334-9A76-D6207F2F158A}"/>
            </a:ext>
          </a:extLst>
        </xdr:cNvPr>
        <xdr:cNvSpPr/>
      </xdr:nvSpPr>
      <xdr:spPr>
        <a:xfrm>
          <a:off x="2157222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444</xdr:row>
      <xdr:rowOff>0</xdr:rowOff>
    </xdr:from>
    <xdr:to>
      <xdr:col>60</xdr:col>
      <xdr:colOff>83820</xdr:colOff>
      <xdr:row>444</xdr:row>
      <xdr:rowOff>114300</xdr:rowOff>
    </xdr:to>
    <xdr:sp macro="" textlink="">
      <xdr:nvSpPr>
        <xdr:cNvPr id="3342" name="Arrow: Down 3341">
          <a:extLst>
            <a:ext uri="{FF2B5EF4-FFF2-40B4-BE49-F238E27FC236}">
              <a16:creationId xmlns:a16="http://schemas.microsoft.com/office/drawing/2014/main" id="{3FC3FEAD-0F91-409F-9D58-35B88EA5BE8D}"/>
            </a:ext>
          </a:extLst>
        </xdr:cNvPr>
        <xdr:cNvSpPr/>
      </xdr:nvSpPr>
      <xdr:spPr>
        <a:xfrm>
          <a:off x="1901952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83820</xdr:colOff>
      <xdr:row>444</xdr:row>
      <xdr:rowOff>114300</xdr:rowOff>
    </xdr:to>
    <xdr:sp macro="" textlink="">
      <xdr:nvSpPr>
        <xdr:cNvPr id="3344" name="Arrow: Down 3343">
          <a:extLst>
            <a:ext uri="{FF2B5EF4-FFF2-40B4-BE49-F238E27FC236}">
              <a16:creationId xmlns:a16="http://schemas.microsoft.com/office/drawing/2014/main" id="{AC022CFF-0276-4745-8322-2C6833340999}"/>
            </a:ext>
          </a:extLst>
        </xdr:cNvPr>
        <xdr:cNvSpPr/>
      </xdr:nvSpPr>
      <xdr:spPr>
        <a:xfrm>
          <a:off x="833628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444</xdr:row>
      <xdr:rowOff>0</xdr:rowOff>
    </xdr:from>
    <xdr:to>
      <xdr:col>11</xdr:col>
      <xdr:colOff>83820</xdr:colOff>
      <xdr:row>444</xdr:row>
      <xdr:rowOff>114300</xdr:rowOff>
    </xdr:to>
    <xdr:sp macro="" textlink="">
      <xdr:nvSpPr>
        <xdr:cNvPr id="3345" name="Arrow: Down 3344">
          <a:extLst>
            <a:ext uri="{FF2B5EF4-FFF2-40B4-BE49-F238E27FC236}">
              <a16:creationId xmlns:a16="http://schemas.microsoft.com/office/drawing/2014/main" id="{49078AFE-3E93-494B-BCF0-C14CE5AA3746}"/>
            </a:ext>
          </a:extLst>
        </xdr:cNvPr>
        <xdr:cNvSpPr/>
      </xdr:nvSpPr>
      <xdr:spPr>
        <a:xfrm>
          <a:off x="369570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444</xdr:row>
      <xdr:rowOff>0</xdr:rowOff>
    </xdr:from>
    <xdr:to>
      <xdr:col>5</xdr:col>
      <xdr:colOff>83820</xdr:colOff>
      <xdr:row>444</xdr:row>
      <xdr:rowOff>114300</xdr:rowOff>
    </xdr:to>
    <xdr:sp macro="" textlink="">
      <xdr:nvSpPr>
        <xdr:cNvPr id="3346" name="Arrow: Down 3345">
          <a:extLst>
            <a:ext uri="{FF2B5EF4-FFF2-40B4-BE49-F238E27FC236}">
              <a16:creationId xmlns:a16="http://schemas.microsoft.com/office/drawing/2014/main" id="{495E47C5-FF82-44ED-80DE-CA394806DBD7}"/>
            </a:ext>
          </a:extLst>
        </xdr:cNvPr>
        <xdr:cNvSpPr/>
      </xdr:nvSpPr>
      <xdr:spPr>
        <a:xfrm>
          <a:off x="192786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444</xdr:row>
      <xdr:rowOff>0</xdr:rowOff>
    </xdr:from>
    <xdr:to>
      <xdr:col>39</xdr:col>
      <xdr:colOff>83820</xdr:colOff>
      <xdr:row>444</xdr:row>
      <xdr:rowOff>114300</xdr:rowOff>
    </xdr:to>
    <xdr:sp macro="" textlink="">
      <xdr:nvSpPr>
        <xdr:cNvPr id="3347" name="Arrow: Down 3346">
          <a:extLst>
            <a:ext uri="{FF2B5EF4-FFF2-40B4-BE49-F238E27FC236}">
              <a16:creationId xmlns:a16="http://schemas.microsoft.com/office/drawing/2014/main" id="{A87E25E6-5090-4C3C-92DE-E41B14AFDCA5}"/>
            </a:ext>
          </a:extLst>
        </xdr:cNvPr>
        <xdr:cNvSpPr/>
      </xdr:nvSpPr>
      <xdr:spPr>
        <a:xfrm>
          <a:off x="11544300" y="8129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445</xdr:row>
      <xdr:rowOff>0</xdr:rowOff>
    </xdr:from>
    <xdr:to>
      <xdr:col>45</xdr:col>
      <xdr:colOff>83820</xdr:colOff>
      <xdr:row>445</xdr:row>
      <xdr:rowOff>114300</xdr:rowOff>
    </xdr:to>
    <xdr:sp macro="" textlink="">
      <xdr:nvSpPr>
        <xdr:cNvPr id="3355" name="Arrow: Down 3354">
          <a:extLst>
            <a:ext uri="{FF2B5EF4-FFF2-40B4-BE49-F238E27FC236}">
              <a16:creationId xmlns:a16="http://schemas.microsoft.com/office/drawing/2014/main" id="{5130F756-F867-494A-A84B-A32BD4D482DF}"/>
            </a:ext>
          </a:extLst>
        </xdr:cNvPr>
        <xdr:cNvSpPr/>
      </xdr:nvSpPr>
      <xdr:spPr>
        <a:xfrm rot="10800000">
          <a:off x="1340358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445</xdr:row>
      <xdr:rowOff>0</xdr:rowOff>
    </xdr:from>
    <xdr:to>
      <xdr:col>71</xdr:col>
      <xdr:colOff>83820</xdr:colOff>
      <xdr:row>445</xdr:row>
      <xdr:rowOff>114300</xdr:rowOff>
    </xdr:to>
    <xdr:sp macro="" textlink="">
      <xdr:nvSpPr>
        <xdr:cNvPr id="3356" name="Arrow: Down 3355">
          <a:extLst>
            <a:ext uri="{FF2B5EF4-FFF2-40B4-BE49-F238E27FC236}">
              <a16:creationId xmlns:a16="http://schemas.microsoft.com/office/drawing/2014/main" id="{278AC07A-4BDE-43DB-9B11-4A250B9C36E0}"/>
            </a:ext>
          </a:extLst>
        </xdr:cNvPr>
        <xdr:cNvSpPr/>
      </xdr:nvSpPr>
      <xdr:spPr>
        <a:xfrm>
          <a:off x="2157222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445</xdr:row>
      <xdr:rowOff>0</xdr:rowOff>
    </xdr:from>
    <xdr:to>
      <xdr:col>60</xdr:col>
      <xdr:colOff>83820</xdr:colOff>
      <xdr:row>445</xdr:row>
      <xdr:rowOff>114300</xdr:rowOff>
    </xdr:to>
    <xdr:sp macro="" textlink="">
      <xdr:nvSpPr>
        <xdr:cNvPr id="3357" name="Arrow: Down 3356">
          <a:extLst>
            <a:ext uri="{FF2B5EF4-FFF2-40B4-BE49-F238E27FC236}">
              <a16:creationId xmlns:a16="http://schemas.microsoft.com/office/drawing/2014/main" id="{2450E9FF-DEB1-4F4A-8072-425AA7CF9295}"/>
            </a:ext>
          </a:extLst>
        </xdr:cNvPr>
        <xdr:cNvSpPr/>
      </xdr:nvSpPr>
      <xdr:spPr>
        <a:xfrm>
          <a:off x="1901952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83820</xdr:colOff>
      <xdr:row>445</xdr:row>
      <xdr:rowOff>114300</xdr:rowOff>
    </xdr:to>
    <xdr:sp macro="" textlink="">
      <xdr:nvSpPr>
        <xdr:cNvPr id="3358" name="Arrow: Down 3357">
          <a:extLst>
            <a:ext uri="{FF2B5EF4-FFF2-40B4-BE49-F238E27FC236}">
              <a16:creationId xmlns:a16="http://schemas.microsoft.com/office/drawing/2014/main" id="{123E6351-6737-4D3E-97CF-09492D7E963D}"/>
            </a:ext>
          </a:extLst>
        </xdr:cNvPr>
        <xdr:cNvSpPr/>
      </xdr:nvSpPr>
      <xdr:spPr>
        <a:xfrm>
          <a:off x="833628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445</xdr:row>
      <xdr:rowOff>0</xdr:rowOff>
    </xdr:from>
    <xdr:to>
      <xdr:col>11</xdr:col>
      <xdr:colOff>83820</xdr:colOff>
      <xdr:row>445</xdr:row>
      <xdr:rowOff>114300</xdr:rowOff>
    </xdr:to>
    <xdr:sp macro="" textlink="">
      <xdr:nvSpPr>
        <xdr:cNvPr id="3359" name="Arrow: Down 3358">
          <a:extLst>
            <a:ext uri="{FF2B5EF4-FFF2-40B4-BE49-F238E27FC236}">
              <a16:creationId xmlns:a16="http://schemas.microsoft.com/office/drawing/2014/main" id="{D4CB18FF-7B04-4AEA-86F9-D303551F597E}"/>
            </a:ext>
          </a:extLst>
        </xdr:cNvPr>
        <xdr:cNvSpPr/>
      </xdr:nvSpPr>
      <xdr:spPr>
        <a:xfrm>
          <a:off x="369570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445</xdr:row>
      <xdr:rowOff>0</xdr:rowOff>
    </xdr:from>
    <xdr:to>
      <xdr:col>5</xdr:col>
      <xdr:colOff>83820</xdr:colOff>
      <xdr:row>445</xdr:row>
      <xdr:rowOff>114300</xdr:rowOff>
    </xdr:to>
    <xdr:sp macro="" textlink="">
      <xdr:nvSpPr>
        <xdr:cNvPr id="3360" name="Arrow: Down 3359">
          <a:extLst>
            <a:ext uri="{FF2B5EF4-FFF2-40B4-BE49-F238E27FC236}">
              <a16:creationId xmlns:a16="http://schemas.microsoft.com/office/drawing/2014/main" id="{1EC412AA-69C8-426D-953B-5FE02B2AB1C7}"/>
            </a:ext>
          </a:extLst>
        </xdr:cNvPr>
        <xdr:cNvSpPr/>
      </xdr:nvSpPr>
      <xdr:spPr>
        <a:xfrm>
          <a:off x="192786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445</xdr:row>
      <xdr:rowOff>0</xdr:rowOff>
    </xdr:from>
    <xdr:to>
      <xdr:col>39</xdr:col>
      <xdr:colOff>83820</xdr:colOff>
      <xdr:row>445</xdr:row>
      <xdr:rowOff>114300</xdr:rowOff>
    </xdr:to>
    <xdr:sp macro="" textlink="">
      <xdr:nvSpPr>
        <xdr:cNvPr id="3361" name="Arrow: Down 3360">
          <a:extLst>
            <a:ext uri="{FF2B5EF4-FFF2-40B4-BE49-F238E27FC236}">
              <a16:creationId xmlns:a16="http://schemas.microsoft.com/office/drawing/2014/main" id="{2839FEF8-E9B8-469E-9534-90A9542A1B2E}"/>
            </a:ext>
          </a:extLst>
        </xdr:cNvPr>
        <xdr:cNvSpPr/>
      </xdr:nvSpPr>
      <xdr:spPr>
        <a:xfrm>
          <a:off x="11544300" y="8129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446</xdr:row>
      <xdr:rowOff>0</xdr:rowOff>
    </xdr:from>
    <xdr:to>
      <xdr:col>45</xdr:col>
      <xdr:colOff>83820</xdr:colOff>
      <xdr:row>446</xdr:row>
      <xdr:rowOff>114300</xdr:rowOff>
    </xdr:to>
    <xdr:sp macro="" textlink="">
      <xdr:nvSpPr>
        <xdr:cNvPr id="3186" name="Arrow: Down 3185">
          <a:extLst>
            <a:ext uri="{FF2B5EF4-FFF2-40B4-BE49-F238E27FC236}">
              <a16:creationId xmlns:a16="http://schemas.microsoft.com/office/drawing/2014/main" id="{56814A61-66E1-478F-B8C1-835FCCB4F893}"/>
            </a:ext>
          </a:extLst>
        </xdr:cNvPr>
        <xdr:cNvSpPr/>
      </xdr:nvSpPr>
      <xdr:spPr>
        <a:xfrm rot="10800000">
          <a:off x="1340358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446</xdr:row>
      <xdr:rowOff>0</xdr:rowOff>
    </xdr:from>
    <xdr:to>
      <xdr:col>71</xdr:col>
      <xdr:colOff>83820</xdr:colOff>
      <xdr:row>446</xdr:row>
      <xdr:rowOff>114300</xdr:rowOff>
    </xdr:to>
    <xdr:sp macro="" textlink="">
      <xdr:nvSpPr>
        <xdr:cNvPr id="3237" name="Arrow: Down 3236">
          <a:extLst>
            <a:ext uri="{FF2B5EF4-FFF2-40B4-BE49-F238E27FC236}">
              <a16:creationId xmlns:a16="http://schemas.microsoft.com/office/drawing/2014/main" id="{6FF97CB7-38AE-4CA4-975A-575A86773AA1}"/>
            </a:ext>
          </a:extLst>
        </xdr:cNvPr>
        <xdr:cNvSpPr/>
      </xdr:nvSpPr>
      <xdr:spPr>
        <a:xfrm>
          <a:off x="2157222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446</xdr:row>
      <xdr:rowOff>0</xdr:rowOff>
    </xdr:from>
    <xdr:to>
      <xdr:col>60</xdr:col>
      <xdr:colOff>83820</xdr:colOff>
      <xdr:row>446</xdr:row>
      <xdr:rowOff>114300</xdr:rowOff>
    </xdr:to>
    <xdr:sp macro="" textlink="">
      <xdr:nvSpPr>
        <xdr:cNvPr id="3255" name="Arrow: Down 3254">
          <a:extLst>
            <a:ext uri="{FF2B5EF4-FFF2-40B4-BE49-F238E27FC236}">
              <a16:creationId xmlns:a16="http://schemas.microsoft.com/office/drawing/2014/main" id="{30B716A6-8C91-4FD7-BE19-68306E91B752}"/>
            </a:ext>
          </a:extLst>
        </xdr:cNvPr>
        <xdr:cNvSpPr/>
      </xdr:nvSpPr>
      <xdr:spPr>
        <a:xfrm>
          <a:off x="1901952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446</xdr:row>
      <xdr:rowOff>0</xdr:rowOff>
    </xdr:from>
    <xdr:to>
      <xdr:col>24</xdr:col>
      <xdr:colOff>83820</xdr:colOff>
      <xdr:row>446</xdr:row>
      <xdr:rowOff>114300</xdr:rowOff>
    </xdr:to>
    <xdr:sp macro="" textlink="">
      <xdr:nvSpPr>
        <xdr:cNvPr id="3266" name="Arrow: Down 3265">
          <a:extLst>
            <a:ext uri="{FF2B5EF4-FFF2-40B4-BE49-F238E27FC236}">
              <a16:creationId xmlns:a16="http://schemas.microsoft.com/office/drawing/2014/main" id="{A58515E4-6AE3-478D-AA89-2801093EEC0A}"/>
            </a:ext>
          </a:extLst>
        </xdr:cNvPr>
        <xdr:cNvSpPr/>
      </xdr:nvSpPr>
      <xdr:spPr>
        <a:xfrm>
          <a:off x="833628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446</xdr:row>
      <xdr:rowOff>0</xdr:rowOff>
    </xdr:from>
    <xdr:to>
      <xdr:col>11</xdr:col>
      <xdr:colOff>83820</xdr:colOff>
      <xdr:row>446</xdr:row>
      <xdr:rowOff>114300</xdr:rowOff>
    </xdr:to>
    <xdr:sp macro="" textlink="">
      <xdr:nvSpPr>
        <xdr:cNvPr id="3269" name="Arrow: Down 3268">
          <a:extLst>
            <a:ext uri="{FF2B5EF4-FFF2-40B4-BE49-F238E27FC236}">
              <a16:creationId xmlns:a16="http://schemas.microsoft.com/office/drawing/2014/main" id="{5D987F4F-FEBA-4194-A771-B3706B35930F}"/>
            </a:ext>
          </a:extLst>
        </xdr:cNvPr>
        <xdr:cNvSpPr/>
      </xdr:nvSpPr>
      <xdr:spPr>
        <a:xfrm>
          <a:off x="369570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446</xdr:row>
      <xdr:rowOff>0</xdr:rowOff>
    </xdr:from>
    <xdr:to>
      <xdr:col>5</xdr:col>
      <xdr:colOff>83820</xdr:colOff>
      <xdr:row>446</xdr:row>
      <xdr:rowOff>114300</xdr:rowOff>
    </xdr:to>
    <xdr:sp macro="" textlink="">
      <xdr:nvSpPr>
        <xdr:cNvPr id="3295" name="Arrow: Down 3294">
          <a:extLst>
            <a:ext uri="{FF2B5EF4-FFF2-40B4-BE49-F238E27FC236}">
              <a16:creationId xmlns:a16="http://schemas.microsoft.com/office/drawing/2014/main" id="{47E5FB55-0B42-4137-99BF-87589DAC2EA2}"/>
            </a:ext>
          </a:extLst>
        </xdr:cNvPr>
        <xdr:cNvSpPr/>
      </xdr:nvSpPr>
      <xdr:spPr>
        <a:xfrm>
          <a:off x="192786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446</xdr:row>
      <xdr:rowOff>0</xdr:rowOff>
    </xdr:from>
    <xdr:to>
      <xdr:col>39</xdr:col>
      <xdr:colOff>83820</xdr:colOff>
      <xdr:row>446</xdr:row>
      <xdr:rowOff>114300</xdr:rowOff>
    </xdr:to>
    <xdr:sp macro="" textlink="">
      <xdr:nvSpPr>
        <xdr:cNvPr id="3314" name="Arrow: Down 3313">
          <a:extLst>
            <a:ext uri="{FF2B5EF4-FFF2-40B4-BE49-F238E27FC236}">
              <a16:creationId xmlns:a16="http://schemas.microsoft.com/office/drawing/2014/main" id="{E9D9486F-F7D5-4972-A61F-2532FA9610F6}"/>
            </a:ext>
          </a:extLst>
        </xdr:cNvPr>
        <xdr:cNvSpPr/>
      </xdr:nvSpPr>
      <xdr:spPr>
        <a:xfrm rot="10800000">
          <a:off x="1154430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447</xdr:row>
      <xdr:rowOff>0</xdr:rowOff>
    </xdr:from>
    <xdr:to>
      <xdr:col>45</xdr:col>
      <xdr:colOff>83820</xdr:colOff>
      <xdr:row>447</xdr:row>
      <xdr:rowOff>114300</xdr:rowOff>
    </xdr:to>
    <xdr:sp macro="" textlink="">
      <xdr:nvSpPr>
        <xdr:cNvPr id="3315" name="Arrow: Down 3314">
          <a:extLst>
            <a:ext uri="{FF2B5EF4-FFF2-40B4-BE49-F238E27FC236}">
              <a16:creationId xmlns:a16="http://schemas.microsoft.com/office/drawing/2014/main" id="{403E15F8-45DF-4609-AF47-F22143A9394F}"/>
            </a:ext>
          </a:extLst>
        </xdr:cNvPr>
        <xdr:cNvSpPr/>
      </xdr:nvSpPr>
      <xdr:spPr>
        <a:xfrm rot="10800000">
          <a:off x="1340358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447</xdr:row>
      <xdr:rowOff>0</xdr:rowOff>
    </xdr:from>
    <xdr:to>
      <xdr:col>71</xdr:col>
      <xdr:colOff>83820</xdr:colOff>
      <xdr:row>447</xdr:row>
      <xdr:rowOff>114300</xdr:rowOff>
    </xdr:to>
    <xdr:sp macro="" textlink="">
      <xdr:nvSpPr>
        <xdr:cNvPr id="3324" name="Arrow: Down 3323">
          <a:extLst>
            <a:ext uri="{FF2B5EF4-FFF2-40B4-BE49-F238E27FC236}">
              <a16:creationId xmlns:a16="http://schemas.microsoft.com/office/drawing/2014/main" id="{B910B2BE-C87B-47BE-B550-29092B092810}"/>
            </a:ext>
          </a:extLst>
        </xdr:cNvPr>
        <xdr:cNvSpPr/>
      </xdr:nvSpPr>
      <xdr:spPr>
        <a:xfrm>
          <a:off x="2157222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447</xdr:row>
      <xdr:rowOff>0</xdr:rowOff>
    </xdr:from>
    <xdr:to>
      <xdr:col>39</xdr:col>
      <xdr:colOff>83820</xdr:colOff>
      <xdr:row>447</xdr:row>
      <xdr:rowOff>114300</xdr:rowOff>
    </xdr:to>
    <xdr:sp macro="" textlink="">
      <xdr:nvSpPr>
        <xdr:cNvPr id="3334" name="Arrow: Down 3333">
          <a:extLst>
            <a:ext uri="{FF2B5EF4-FFF2-40B4-BE49-F238E27FC236}">
              <a16:creationId xmlns:a16="http://schemas.microsoft.com/office/drawing/2014/main" id="{3A062AEF-B501-47C4-895A-F9F9BB466EC5}"/>
            </a:ext>
          </a:extLst>
        </xdr:cNvPr>
        <xdr:cNvSpPr/>
      </xdr:nvSpPr>
      <xdr:spPr>
        <a:xfrm rot="10800000">
          <a:off x="1154430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447</xdr:row>
      <xdr:rowOff>0</xdr:rowOff>
    </xdr:from>
    <xdr:to>
      <xdr:col>5</xdr:col>
      <xdr:colOff>83820</xdr:colOff>
      <xdr:row>447</xdr:row>
      <xdr:rowOff>114300</xdr:rowOff>
    </xdr:to>
    <xdr:sp macro="" textlink="">
      <xdr:nvSpPr>
        <xdr:cNvPr id="3336" name="Arrow: Down 3335">
          <a:extLst>
            <a:ext uri="{FF2B5EF4-FFF2-40B4-BE49-F238E27FC236}">
              <a16:creationId xmlns:a16="http://schemas.microsoft.com/office/drawing/2014/main" id="{2DA4DA27-0500-45A4-B982-7DB17B94E2EE}"/>
            </a:ext>
          </a:extLst>
        </xdr:cNvPr>
        <xdr:cNvSpPr/>
      </xdr:nvSpPr>
      <xdr:spPr>
        <a:xfrm rot="10800000">
          <a:off x="192786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447</xdr:row>
      <xdr:rowOff>0</xdr:rowOff>
    </xdr:from>
    <xdr:to>
      <xdr:col>11</xdr:col>
      <xdr:colOff>83820</xdr:colOff>
      <xdr:row>447</xdr:row>
      <xdr:rowOff>114300</xdr:rowOff>
    </xdr:to>
    <xdr:sp macro="" textlink="">
      <xdr:nvSpPr>
        <xdr:cNvPr id="3343" name="Arrow: Down 3342">
          <a:extLst>
            <a:ext uri="{FF2B5EF4-FFF2-40B4-BE49-F238E27FC236}">
              <a16:creationId xmlns:a16="http://schemas.microsoft.com/office/drawing/2014/main" id="{A8EEA30A-0269-478A-A9BC-567D8D0EF16F}"/>
            </a:ext>
          </a:extLst>
        </xdr:cNvPr>
        <xdr:cNvSpPr/>
      </xdr:nvSpPr>
      <xdr:spPr>
        <a:xfrm rot="10800000">
          <a:off x="369570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83820</xdr:colOff>
      <xdr:row>447</xdr:row>
      <xdr:rowOff>114300</xdr:rowOff>
    </xdr:to>
    <xdr:sp macro="" textlink="">
      <xdr:nvSpPr>
        <xdr:cNvPr id="3349" name="Arrow: Down 3348">
          <a:extLst>
            <a:ext uri="{FF2B5EF4-FFF2-40B4-BE49-F238E27FC236}">
              <a16:creationId xmlns:a16="http://schemas.microsoft.com/office/drawing/2014/main" id="{CCE8F72D-FF24-42A0-A465-136B92201E7E}"/>
            </a:ext>
          </a:extLst>
        </xdr:cNvPr>
        <xdr:cNvSpPr/>
      </xdr:nvSpPr>
      <xdr:spPr>
        <a:xfrm rot="10800000">
          <a:off x="833628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447</xdr:row>
      <xdr:rowOff>0</xdr:rowOff>
    </xdr:from>
    <xdr:to>
      <xdr:col>60</xdr:col>
      <xdr:colOff>83820</xdr:colOff>
      <xdr:row>447</xdr:row>
      <xdr:rowOff>114300</xdr:rowOff>
    </xdr:to>
    <xdr:sp macro="" textlink="">
      <xdr:nvSpPr>
        <xdr:cNvPr id="3350" name="Arrow: Down 3349">
          <a:extLst>
            <a:ext uri="{FF2B5EF4-FFF2-40B4-BE49-F238E27FC236}">
              <a16:creationId xmlns:a16="http://schemas.microsoft.com/office/drawing/2014/main" id="{9A5CAEA9-9C57-46AD-8424-88E2ECCB531E}"/>
            </a:ext>
          </a:extLst>
        </xdr:cNvPr>
        <xdr:cNvSpPr/>
      </xdr:nvSpPr>
      <xdr:spPr>
        <a:xfrm rot="10800000">
          <a:off x="1901952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448</xdr:row>
      <xdr:rowOff>0</xdr:rowOff>
    </xdr:from>
    <xdr:to>
      <xdr:col>45</xdr:col>
      <xdr:colOff>83820</xdr:colOff>
      <xdr:row>448</xdr:row>
      <xdr:rowOff>114300</xdr:rowOff>
    </xdr:to>
    <xdr:sp macro="" textlink="">
      <xdr:nvSpPr>
        <xdr:cNvPr id="3351" name="Arrow: Down 3350">
          <a:extLst>
            <a:ext uri="{FF2B5EF4-FFF2-40B4-BE49-F238E27FC236}">
              <a16:creationId xmlns:a16="http://schemas.microsoft.com/office/drawing/2014/main" id="{562917F8-34CC-47C7-A63F-C7D1E4C34ACC}"/>
            </a:ext>
          </a:extLst>
        </xdr:cNvPr>
        <xdr:cNvSpPr/>
      </xdr:nvSpPr>
      <xdr:spPr>
        <a:xfrm rot="10800000">
          <a:off x="13403580" y="8184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448</xdr:row>
      <xdr:rowOff>0</xdr:rowOff>
    </xdr:from>
    <xdr:to>
      <xdr:col>71</xdr:col>
      <xdr:colOff>83820</xdr:colOff>
      <xdr:row>448</xdr:row>
      <xdr:rowOff>114300</xdr:rowOff>
    </xdr:to>
    <xdr:sp macro="" textlink="">
      <xdr:nvSpPr>
        <xdr:cNvPr id="3352" name="Arrow: Down 3351">
          <a:extLst>
            <a:ext uri="{FF2B5EF4-FFF2-40B4-BE49-F238E27FC236}">
              <a16:creationId xmlns:a16="http://schemas.microsoft.com/office/drawing/2014/main" id="{1EC23551-2D3A-4D38-82CB-05DC9D59BAC8}"/>
            </a:ext>
          </a:extLst>
        </xdr:cNvPr>
        <xdr:cNvSpPr/>
      </xdr:nvSpPr>
      <xdr:spPr>
        <a:xfrm>
          <a:off x="21572220" y="8184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448</xdr:row>
      <xdr:rowOff>0</xdr:rowOff>
    </xdr:from>
    <xdr:to>
      <xdr:col>5</xdr:col>
      <xdr:colOff>83820</xdr:colOff>
      <xdr:row>448</xdr:row>
      <xdr:rowOff>114300</xdr:rowOff>
    </xdr:to>
    <xdr:sp macro="" textlink="">
      <xdr:nvSpPr>
        <xdr:cNvPr id="3354" name="Arrow: Down 3353">
          <a:extLst>
            <a:ext uri="{FF2B5EF4-FFF2-40B4-BE49-F238E27FC236}">
              <a16:creationId xmlns:a16="http://schemas.microsoft.com/office/drawing/2014/main" id="{63C73B01-A5CF-4777-9F86-6EFB9C430A82}"/>
            </a:ext>
          </a:extLst>
        </xdr:cNvPr>
        <xdr:cNvSpPr/>
      </xdr:nvSpPr>
      <xdr:spPr>
        <a:xfrm rot="10800000">
          <a:off x="192786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448</xdr:row>
      <xdr:rowOff>0</xdr:rowOff>
    </xdr:from>
    <xdr:to>
      <xdr:col>11</xdr:col>
      <xdr:colOff>83820</xdr:colOff>
      <xdr:row>448</xdr:row>
      <xdr:rowOff>114300</xdr:rowOff>
    </xdr:to>
    <xdr:sp macro="" textlink="">
      <xdr:nvSpPr>
        <xdr:cNvPr id="3362" name="Arrow: Down 3361">
          <a:extLst>
            <a:ext uri="{FF2B5EF4-FFF2-40B4-BE49-F238E27FC236}">
              <a16:creationId xmlns:a16="http://schemas.microsoft.com/office/drawing/2014/main" id="{5F308EAD-7B49-4DD4-9FA5-0AB697BF2BD5}"/>
            </a:ext>
          </a:extLst>
        </xdr:cNvPr>
        <xdr:cNvSpPr/>
      </xdr:nvSpPr>
      <xdr:spPr>
        <a:xfrm rot="10800000">
          <a:off x="369570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448</xdr:row>
      <xdr:rowOff>0</xdr:rowOff>
    </xdr:from>
    <xdr:to>
      <xdr:col>24</xdr:col>
      <xdr:colOff>83820</xdr:colOff>
      <xdr:row>448</xdr:row>
      <xdr:rowOff>114300</xdr:rowOff>
    </xdr:to>
    <xdr:sp macro="" textlink="">
      <xdr:nvSpPr>
        <xdr:cNvPr id="3363" name="Arrow: Down 3362">
          <a:extLst>
            <a:ext uri="{FF2B5EF4-FFF2-40B4-BE49-F238E27FC236}">
              <a16:creationId xmlns:a16="http://schemas.microsoft.com/office/drawing/2014/main" id="{70AF6973-BEA7-4873-AC4E-ECE48D709515}"/>
            </a:ext>
          </a:extLst>
        </xdr:cNvPr>
        <xdr:cNvSpPr/>
      </xdr:nvSpPr>
      <xdr:spPr>
        <a:xfrm rot="10800000">
          <a:off x="833628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448</xdr:row>
      <xdr:rowOff>0</xdr:rowOff>
    </xdr:from>
    <xdr:to>
      <xdr:col>60</xdr:col>
      <xdr:colOff>83820</xdr:colOff>
      <xdr:row>448</xdr:row>
      <xdr:rowOff>114300</xdr:rowOff>
    </xdr:to>
    <xdr:sp macro="" textlink="">
      <xdr:nvSpPr>
        <xdr:cNvPr id="3364" name="Arrow: Down 3363">
          <a:extLst>
            <a:ext uri="{FF2B5EF4-FFF2-40B4-BE49-F238E27FC236}">
              <a16:creationId xmlns:a16="http://schemas.microsoft.com/office/drawing/2014/main" id="{7E2ED22A-A99F-4AAA-A833-8AFC3099610A}"/>
            </a:ext>
          </a:extLst>
        </xdr:cNvPr>
        <xdr:cNvSpPr/>
      </xdr:nvSpPr>
      <xdr:spPr>
        <a:xfrm rot="10800000">
          <a:off x="1901952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448</xdr:row>
      <xdr:rowOff>0</xdr:rowOff>
    </xdr:from>
    <xdr:to>
      <xdr:col>39</xdr:col>
      <xdr:colOff>83820</xdr:colOff>
      <xdr:row>448</xdr:row>
      <xdr:rowOff>114300</xdr:rowOff>
    </xdr:to>
    <xdr:sp macro="" textlink="">
      <xdr:nvSpPr>
        <xdr:cNvPr id="3365" name="Arrow: Down 3364">
          <a:extLst>
            <a:ext uri="{FF2B5EF4-FFF2-40B4-BE49-F238E27FC236}">
              <a16:creationId xmlns:a16="http://schemas.microsoft.com/office/drawing/2014/main" id="{9C0CDE68-4DD6-498E-BB1C-33A125D97572}"/>
            </a:ext>
          </a:extLst>
        </xdr:cNvPr>
        <xdr:cNvSpPr/>
      </xdr:nvSpPr>
      <xdr:spPr>
        <a:xfrm>
          <a:off x="1154430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449</xdr:row>
      <xdr:rowOff>0</xdr:rowOff>
    </xdr:from>
    <xdr:to>
      <xdr:col>45</xdr:col>
      <xdr:colOff>83820</xdr:colOff>
      <xdr:row>449</xdr:row>
      <xdr:rowOff>114300</xdr:rowOff>
    </xdr:to>
    <xdr:sp macro="" textlink="">
      <xdr:nvSpPr>
        <xdr:cNvPr id="3366" name="Arrow: Down 3365">
          <a:extLst>
            <a:ext uri="{FF2B5EF4-FFF2-40B4-BE49-F238E27FC236}">
              <a16:creationId xmlns:a16="http://schemas.microsoft.com/office/drawing/2014/main" id="{DFB3A1BD-9CBC-4136-B8C4-88EA22DF9ABC}"/>
            </a:ext>
          </a:extLst>
        </xdr:cNvPr>
        <xdr:cNvSpPr/>
      </xdr:nvSpPr>
      <xdr:spPr>
        <a:xfrm rot="10800000">
          <a:off x="13403580" y="8202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449</xdr:row>
      <xdr:rowOff>0</xdr:rowOff>
    </xdr:from>
    <xdr:to>
      <xdr:col>71</xdr:col>
      <xdr:colOff>83820</xdr:colOff>
      <xdr:row>449</xdr:row>
      <xdr:rowOff>114300</xdr:rowOff>
    </xdr:to>
    <xdr:sp macro="" textlink="">
      <xdr:nvSpPr>
        <xdr:cNvPr id="3367" name="Arrow: Down 3366">
          <a:extLst>
            <a:ext uri="{FF2B5EF4-FFF2-40B4-BE49-F238E27FC236}">
              <a16:creationId xmlns:a16="http://schemas.microsoft.com/office/drawing/2014/main" id="{8DC827DC-49DB-4C1E-A389-5132F048A936}"/>
            </a:ext>
          </a:extLst>
        </xdr:cNvPr>
        <xdr:cNvSpPr/>
      </xdr:nvSpPr>
      <xdr:spPr>
        <a:xfrm>
          <a:off x="21572220" y="8202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449</xdr:row>
      <xdr:rowOff>0</xdr:rowOff>
    </xdr:from>
    <xdr:to>
      <xdr:col>5</xdr:col>
      <xdr:colOff>83820</xdr:colOff>
      <xdr:row>449</xdr:row>
      <xdr:rowOff>114300</xdr:rowOff>
    </xdr:to>
    <xdr:sp macro="" textlink="">
      <xdr:nvSpPr>
        <xdr:cNvPr id="3368" name="Arrow: Down 3367">
          <a:extLst>
            <a:ext uri="{FF2B5EF4-FFF2-40B4-BE49-F238E27FC236}">
              <a16:creationId xmlns:a16="http://schemas.microsoft.com/office/drawing/2014/main" id="{E95D3955-1EBE-4C5B-A297-AF7FA11A71EF}"/>
            </a:ext>
          </a:extLst>
        </xdr:cNvPr>
        <xdr:cNvSpPr/>
      </xdr:nvSpPr>
      <xdr:spPr>
        <a:xfrm rot="10800000">
          <a:off x="192786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449</xdr:row>
      <xdr:rowOff>0</xdr:rowOff>
    </xdr:from>
    <xdr:to>
      <xdr:col>11</xdr:col>
      <xdr:colOff>83820</xdr:colOff>
      <xdr:row>449</xdr:row>
      <xdr:rowOff>114300</xdr:rowOff>
    </xdr:to>
    <xdr:sp macro="" textlink="">
      <xdr:nvSpPr>
        <xdr:cNvPr id="3369" name="Arrow: Down 3368">
          <a:extLst>
            <a:ext uri="{FF2B5EF4-FFF2-40B4-BE49-F238E27FC236}">
              <a16:creationId xmlns:a16="http://schemas.microsoft.com/office/drawing/2014/main" id="{65DABD5C-E31D-4D91-BD23-0EDD10924E28}"/>
            </a:ext>
          </a:extLst>
        </xdr:cNvPr>
        <xdr:cNvSpPr/>
      </xdr:nvSpPr>
      <xdr:spPr>
        <a:xfrm rot="10800000">
          <a:off x="369570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449</xdr:row>
      <xdr:rowOff>0</xdr:rowOff>
    </xdr:from>
    <xdr:to>
      <xdr:col>24</xdr:col>
      <xdr:colOff>83820</xdr:colOff>
      <xdr:row>449</xdr:row>
      <xdr:rowOff>114300</xdr:rowOff>
    </xdr:to>
    <xdr:sp macro="" textlink="">
      <xdr:nvSpPr>
        <xdr:cNvPr id="3370" name="Arrow: Down 3369">
          <a:extLst>
            <a:ext uri="{FF2B5EF4-FFF2-40B4-BE49-F238E27FC236}">
              <a16:creationId xmlns:a16="http://schemas.microsoft.com/office/drawing/2014/main" id="{1E6631BA-14E7-4751-BCAC-144034C96DAC}"/>
            </a:ext>
          </a:extLst>
        </xdr:cNvPr>
        <xdr:cNvSpPr/>
      </xdr:nvSpPr>
      <xdr:spPr>
        <a:xfrm rot="10800000">
          <a:off x="833628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449</xdr:row>
      <xdr:rowOff>0</xdr:rowOff>
    </xdr:from>
    <xdr:to>
      <xdr:col>60</xdr:col>
      <xdr:colOff>83820</xdr:colOff>
      <xdr:row>449</xdr:row>
      <xdr:rowOff>114300</xdr:rowOff>
    </xdr:to>
    <xdr:sp macro="" textlink="">
      <xdr:nvSpPr>
        <xdr:cNvPr id="3371" name="Arrow: Down 3370">
          <a:extLst>
            <a:ext uri="{FF2B5EF4-FFF2-40B4-BE49-F238E27FC236}">
              <a16:creationId xmlns:a16="http://schemas.microsoft.com/office/drawing/2014/main" id="{EEC136E0-721E-4C6A-8444-B12895F2FDEB}"/>
            </a:ext>
          </a:extLst>
        </xdr:cNvPr>
        <xdr:cNvSpPr/>
      </xdr:nvSpPr>
      <xdr:spPr>
        <a:xfrm rot="10800000">
          <a:off x="1901952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449</xdr:row>
      <xdr:rowOff>0</xdr:rowOff>
    </xdr:from>
    <xdr:to>
      <xdr:col>39</xdr:col>
      <xdr:colOff>83820</xdr:colOff>
      <xdr:row>449</xdr:row>
      <xdr:rowOff>114300</xdr:rowOff>
    </xdr:to>
    <xdr:sp macro="" textlink="">
      <xdr:nvSpPr>
        <xdr:cNvPr id="3372" name="Arrow: Down 3371">
          <a:extLst>
            <a:ext uri="{FF2B5EF4-FFF2-40B4-BE49-F238E27FC236}">
              <a16:creationId xmlns:a16="http://schemas.microsoft.com/office/drawing/2014/main" id="{D14B4AC4-1997-42AA-BD30-86379A717D92}"/>
            </a:ext>
          </a:extLst>
        </xdr:cNvPr>
        <xdr:cNvSpPr/>
      </xdr:nvSpPr>
      <xdr:spPr>
        <a:xfrm>
          <a:off x="1154430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450</xdr:row>
      <xdr:rowOff>0</xdr:rowOff>
    </xdr:from>
    <xdr:to>
      <xdr:col>45</xdr:col>
      <xdr:colOff>83820</xdr:colOff>
      <xdr:row>450</xdr:row>
      <xdr:rowOff>114300</xdr:rowOff>
    </xdr:to>
    <xdr:sp macro="" textlink="">
      <xdr:nvSpPr>
        <xdr:cNvPr id="3373" name="Arrow: Down 3372">
          <a:extLst>
            <a:ext uri="{FF2B5EF4-FFF2-40B4-BE49-F238E27FC236}">
              <a16:creationId xmlns:a16="http://schemas.microsoft.com/office/drawing/2014/main" id="{70AD539B-6EF0-48C6-A080-D583B414A903}"/>
            </a:ext>
          </a:extLst>
        </xdr:cNvPr>
        <xdr:cNvSpPr/>
      </xdr:nvSpPr>
      <xdr:spPr>
        <a:xfrm rot="10800000">
          <a:off x="13403580" y="8221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450</xdr:row>
      <xdr:rowOff>0</xdr:rowOff>
    </xdr:from>
    <xdr:to>
      <xdr:col>71</xdr:col>
      <xdr:colOff>83820</xdr:colOff>
      <xdr:row>450</xdr:row>
      <xdr:rowOff>114300</xdr:rowOff>
    </xdr:to>
    <xdr:sp macro="" textlink="">
      <xdr:nvSpPr>
        <xdr:cNvPr id="3374" name="Arrow: Down 3373">
          <a:extLst>
            <a:ext uri="{FF2B5EF4-FFF2-40B4-BE49-F238E27FC236}">
              <a16:creationId xmlns:a16="http://schemas.microsoft.com/office/drawing/2014/main" id="{F88B88D4-EE4B-47FB-AED8-AE771E51C212}"/>
            </a:ext>
          </a:extLst>
        </xdr:cNvPr>
        <xdr:cNvSpPr/>
      </xdr:nvSpPr>
      <xdr:spPr>
        <a:xfrm>
          <a:off x="21572220" y="8221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450</xdr:row>
      <xdr:rowOff>0</xdr:rowOff>
    </xdr:from>
    <xdr:to>
      <xdr:col>5</xdr:col>
      <xdr:colOff>83820</xdr:colOff>
      <xdr:row>450</xdr:row>
      <xdr:rowOff>114300</xdr:rowOff>
    </xdr:to>
    <xdr:sp macro="" textlink="">
      <xdr:nvSpPr>
        <xdr:cNvPr id="3380" name="Arrow: Down 3379">
          <a:extLst>
            <a:ext uri="{FF2B5EF4-FFF2-40B4-BE49-F238E27FC236}">
              <a16:creationId xmlns:a16="http://schemas.microsoft.com/office/drawing/2014/main" id="{9FD6A988-2DAD-4BAB-A60E-D974B27C2C39}"/>
            </a:ext>
          </a:extLst>
        </xdr:cNvPr>
        <xdr:cNvSpPr/>
      </xdr:nvSpPr>
      <xdr:spPr>
        <a:xfrm>
          <a:off x="192786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450</xdr:row>
      <xdr:rowOff>0</xdr:rowOff>
    </xdr:from>
    <xdr:to>
      <xdr:col>11</xdr:col>
      <xdr:colOff>83820</xdr:colOff>
      <xdr:row>450</xdr:row>
      <xdr:rowOff>114300</xdr:rowOff>
    </xdr:to>
    <xdr:sp macro="" textlink="">
      <xdr:nvSpPr>
        <xdr:cNvPr id="3381" name="Arrow: Down 3380">
          <a:extLst>
            <a:ext uri="{FF2B5EF4-FFF2-40B4-BE49-F238E27FC236}">
              <a16:creationId xmlns:a16="http://schemas.microsoft.com/office/drawing/2014/main" id="{8B251BE7-237B-480F-B456-241B22F3B198}"/>
            </a:ext>
          </a:extLst>
        </xdr:cNvPr>
        <xdr:cNvSpPr/>
      </xdr:nvSpPr>
      <xdr:spPr>
        <a:xfrm>
          <a:off x="369570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450</xdr:row>
      <xdr:rowOff>0</xdr:rowOff>
    </xdr:from>
    <xdr:to>
      <xdr:col>24</xdr:col>
      <xdr:colOff>83820</xdr:colOff>
      <xdr:row>450</xdr:row>
      <xdr:rowOff>114300</xdr:rowOff>
    </xdr:to>
    <xdr:sp macro="" textlink="">
      <xdr:nvSpPr>
        <xdr:cNvPr id="3382" name="Arrow: Down 3381">
          <a:extLst>
            <a:ext uri="{FF2B5EF4-FFF2-40B4-BE49-F238E27FC236}">
              <a16:creationId xmlns:a16="http://schemas.microsoft.com/office/drawing/2014/main" id="{D84A5FBC-7D95-4965-B64F-8515D75583C3}"/>
            </a:ext>
          </a:extLst>
        </xdr:cNvPr>
        <xdr:cNvSpPr/>
      </xdr:nvSpPr>
      <xdr:spPr>
        <a:xfrm>
          <a:off x="833628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450</xdr:row>
      <xdr:rowOff>0</xdr:rowOff>
    </xdr:from>
    <xdr:to>
      <xdr:col>60</xdr:col>
      <xdr:colOff>83820</xdr:colOff>
      <xdr:row>450</xdr:row>
      <xdr:rowOff>114300</xdr:rowOff>
    </xdr:to>
    <xdr:sp macro="" textlink="">
      <xdr:nvSpPr>
        <xdr:cNvPr id="3383" name="Arrow: Down 3382">
          <a:extLst>
            <a:ext uri="{FF2B5EF4-FFF2-40B4-BE49-F238E27FC236}">
              <a16:creationId xmlns:a16="http://schemas.microsoft.com/office/drawing/2014/main" id="{81B74EC5-DE34-4B7B-BEC7-0E6DE74D0F81}"/>
            </a:ext>
          </a:extLst>
        </xdr:cNvPr>
        <xdr:cNvSpPr/>
      </xdr:nvSpPr>
      <xdr:spPr>
        <a:xfrm>
          <a:off x="1901952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450</xdr:row>
      <xdr:rowOff>0</xdr:rowOff>
    </xdr:from>
    <xdr:to>
      <xdr:col>39</xdr:col>
      <xdr:colOff>83820</xdr:colOff>
      <xdr:row>450</xdr:row>
      <xdr:rowOff>114300</xdr:rowOff>
    </xdr:to>
    <xdr:sp macro="" textlink="">
      <xdr:nvSpPr>
        <xdr:cNvPr id="3384" name="Arrow: Down 3383">
          <a:extLst>
            <a:ext uri="{FF2B5EF4-FFF2-40B4-BE49-F238E27FC236}">
              <a16:creationId xmlns:a16="http://schemas.microsoft.com/office/drawing/2014/main" id="{2C8D60A3-901B-4B84-B878-6625243CF9B6}"/>
            </a:ext>
          </a:extLst>
        </xdr:cNvPr>
        <xdr:cNvSpPr/>
      </xdr:nvSpPr>
      <xdr:spPr>
        <a:xfrm>
          <a:off x="11544300" y="8239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451</xdr:row>
      <xdr:rowOff>0</xdr:rowOff>
    </xdr:from>
    <xdr:to>
      <xdr:col>45</xdr:col>
      <xdr:colOff>83820</xdr:colOff>
      <xdr:row>451</xdr:row>
      <xdr:rowOff>114300</xdr:rowOff>
    </xdr:to>
    <xdr:sp macro="" textlink="">
      <xdr:nvSpPr>
        <xdr:cNvPr id="3392" name="Arrow: Down 3391">
          <a:extLst>
            <a:ext uri="{FF2B5EF4-FFF2-40B4-BE49-F238E27FC236}">
              <a16:creationId xmlns:a16="http://schemas.microsoft.com/office/drawing/2014/main" id="{A47033E6-352B-4295-BB05-1030378E6CA7}"/>
            </a:ext>
          </a:extLst>
        </xdr:cNvPr>
        <xdr:cNvSpPr/>
      </xdr:nvSpPr>
      <xdr:spPr>
        <a:xfrm rot="10800000">
          <a:off x="1340358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451</xdr:row>
      <xdr:rowOff>0</xdr:rowOff>
    </xdr:from>
    <xdr:to>
      <xdr:col>71</xdr:col>
      <xdr:colOff>83820</xdr:colOff>
      <xdr:row>451</xdr:row>
      <xdr:rowOff>114300</xdr:rowOff>
    </xdr:to>
    <xdr:sp macro="" textlink="">
      <xdr:nvSpPr>
        <xdr:cNvPr id="3393" name="Arrow: Down 3392">
          <a:extLst>
            <a:ext uri="{FF2B5EF4-FFF2-40B4-BE49-F238E27FC236}">
              <a16:creationId xmlns:a16="http://schemas.microsoft.com/office/drawing/2014/main" id="{676EFF31-8996-456B-898D-F034EDB96BED}"/>
            </a:ext>
          </a:extLst>
        </xdr:cNvPr>
        <xdr:cNvSpPr/>
      </xdr:nvSpPr>
      <xdr:spPr>
        <a:xfrm>
          <a:off x="2157222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451</xdr:row>
      <xdr:rowOff>0</xdr:rowOff>
    </xdr:from>
    <xdr:to>
      <xdr:col>5</xdr:col>
      <xdr:colOff>83820</xdr:colOff>
      <xdr:row>451</xdr:row>
      <xdr:rowOff>114300</xdr:rowOff>
    </xdr:to>
    <xdr:sp macro="" textlink="">
      <xdr:nvSpPr>
        <xdr:cNvPr id="3394" name="Arrow: Down 3393">
          <a:extLst>
            <a:ext uri="{FF2B5EF4-FFF2-40B4-BE49-F238E27FC236}">
              <a16:creationId xmlns:a16="http://schemas.microsoft.com/office/drawing/2014/main" id="{72333F4E-4CBD-4218-951A-B92BC90AA1B0}"/>
            </a:ext>
          </a:extLst>
        </xdr:cNvPr>
        <xdr:cNvSpPr/>
      </xdr:nvSpPr>
      <xdr:spPr>
        <a:xfrm>
          <a:off x="192786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451</xdr:row>
      <xdr:rowOff>0</xdr:rowOff>
    </xdr:from>
    <xdr:to>
      <xdr:col>11</xdr:col>
      <xdr:colOff>83820</xdr:colOff>
      <xdr:row>451</xdr:row>
      <xdr:rowOff>114300</xdr:rowOff>
    </xdr:to>
    <xdr:sp macro="" textlink="">
      <xdr:nvSpPr>
        <xdr:cNvPr id="3395" name="Arrow: Down 3394">
          <a:extLst>
            <a:ext uri="{FF2B5EF4-FFF2-40B4-BE49-F238E27FC236}">
              <a16:creationId xmlns:a16="http://schemas.microsoft.com/office/drawing/2014/main" id="{5E8FE571-5CB7-443A-AA11-CE0277CA947D}"/>
            </a:ext>
          </a:extLst>
        </xdr:cNvPr>
        <xdr:cNvSpPr/>
      </xdr:nvSpPr>
      <xdr:spPr>
        <a:xfrm>
          <a:off x="369570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451</xdr:row>
      <xdr:rowOff>0</xdr:rowOff>
    </xdr:from>
    <xdr:to>
      <xdr:col>24</xdr:col>
      <xdr:colOff>83820</xdr:colOff>
      <xdr:row>451</xdr:row>
      <xdr:rowOff>114300</xdr:rowOff>
    </xdr:to>
    <xdr:sp macro="" textlink="">
      <xdr:nvSpPr>
        <xdr:cNvPr id="3396" name="Arrow: Down 3395">
          <a:extLst>
            <a:ext uri="{FF2B5EF4-FFF2-40B4-BE49-F238E27FC236}">
              <a16:creationId xmlns:a16="http://schemas.microsoft.com/office/drawing/2014/main" id="{7C39990D-3EB9-4A43-918B-BA27A7CDD8E4}"/>
            </a:ext>
          </a:extLst>
        </xdr:cNvPr>
        <xdr:cNvSpPr/>
      </xdr:nvSpPr>
      <xdr:spPr>
        <a:xfrm>
          <a:off x="833628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451</xdr:row>
      <xdr:rowOff>0</xdr:rowOff>
    </xdr:from>
    <xdr:to>
      <xdr:col>60</xdr:col>
      <xdr:colOff>83820</xdr:colOff>
      <xdr:row>451</xdr:row>
      <xdr:rowOff>114300</xdr:rowOff>
    </xdr:to>
    <xdr:sp macro="" textlink="">
      <xdr:nvSpPr>
        <xdr:cNvPr id="3397" name="Arrow: Down 3396">
          <a:extLst>
            <a:ext uri="{FF2B5EF4-FFF2-40B4-BE49-F238E27FC236}">
              <a16:creationId xmlns:a16="http://schemas.microsoft.com/office/drawing/2014/main" id="{1CCF563F-EA08-41E8-9187-8163AB83ADFA}"/>
            </a:ext>
          </a:extLst>
        </xdr:cNvPr>
        <xdr:cNvSpPr/>
      </xdr:nvSpPr>
      <xdr:spPr>
        <a:xfrm>
          <a:off x="1901952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451</xdr:row>
      <xdr:rowOff>0</xdr:rowOff>
    </xdr:from>
    <xdr:to>
      <xdr:col>39</xdr:col>
      <xdr:colOff>83820</xdr:colOff>
      <xdr:row>451</xdr:row>
      <xdr:rowOff>114300</xdr:rowOff>
    </xdr:to>
    <xdr:sp macro="" textlink="">
      <xdr:nvSpPr>
        <xdr:cNvPr id="3399" name="Arrow: Down 3398">
          <a:extLst>
            <a:ext uri="{FF2B5EF4-FFF2-40B4-BE49-F238E27FC236}">
              <a16:creationId xmlns:a16="http://schemas.microsoft.com/office/drawing/2014/main" id="{40F92F04-37E8-4E64-8F6E-F4FB14EE373E}"/>
            </a:ext>
          </a:extLst>
        </xdr:cNvPr>
        <xdr:cNvSpPr/>
      </xdr:nvSpPr>
      <xdr:spPr>
        <a:xfrm rot="10800000">
          <a:off x="1154430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452</xdr:row>
      <xdr:rowOff>0</xdr:rowOff>
    </xdr:from>
    <xdr:to>
      <xdr:col>45</xdr:col>
      <xdr:colOff>83820</xdr:colOff>
      <xdr:row>452</xdr:row>
      <xdr:rowOff>114300</xdr:rowOff>
    </xdr:to>
    <xdr:sp macro="" textlink="">
      <xdr:nvSpPr>
        <xdr:cNvPr id="3307" name="Arrow: Down 3306">
          <a:extLst>
            <a:ext uri="{FF2B5EF4-FFF2-40B4-BE49-F238E27FC236}">
              <a16:creationId xmlns:a16="http://schemas.microsoft.com/office/drawing/2014/main" id="{24912A55-0EFF-4F78-8DE3-E1B17827B97F}"/>
            </a:ext>
          </a:extLst>
        </xdr:cNvPr>
        <xdr:cNvSpPr/>
      </xdr:nvSpPr>
      <xdr:spPr>
        <a:xfrm rot="10800000">
          <a:off x="1340358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452</xdr:row>
      <xdr:rowOff>0</xdr:rowOff>
    </xdr:from>
    <xdr:to>
      <xdr:col>71</xdr:col>
      <xdr:colOff>83820</xdr:colOff>
      <xdr:row>452</xdr:row>
      <xdr:rowOff>114300</xdr:rowOff>
    </xdr:to>
    <xdr:sp macro="" textlink="">
      <xdr:nvSpPr>
        <xdr:cNvPr id="3313" name="Arrow: Down 3312">
          <a:extLst>
            <a:ext uri="{FF2B5EF4-FFF2-40B4-BE49-F238E27FC236}">
              <a16:creationId xmlns:a16="http://schemas.microsoft.com/office/drawing/2014/main" id="{5916EAA8-6223-4A49-819E-B18ED50EE660}"/>
            </a:ext>
          </a:extLst>
        </xdr:cNvPr>
        <xdr:cNvSpPr/>
      </xdr:nvSpPr>
      <xdr:spPr>
        <a:xfrm>
          <a:off x="2157222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452</xdr:row>
      <xdr:rowOff>0</xdr:rowOff>
    </xdr:from>
    <xdr:to>
      <xdr:col>5</xdr:col>
      <xdr:colOff>83820</xdr:colOff>
      <xdr:row>452</xdr:row>
      <xdr:rowOff>114300</xdr:rowOff>
    </xdr:to>
    <xdr:sp macro="" textlink="">
      <xdr:nvSpPr>
        <xdr:cNvPr id="3325" name="Arrow: Down 3324">
          <a:extLst>
            <a:ext uri="{FF2B5EF4-FFF2-40B4-BE49-F238E27FC236}">
              <a16:creationId xmlns:a16="http://schemas.microsoft.com/office/drawing/2014/main" id="{33F4307E-061B-466A-9C74-C7B6922F8A90}"/>
            </a:ext>
          </a:extLst>
        </xdr:cNvPr>
        <xdr:cNvSpPr/>
      </xdr:nvSpPr>
      <xdr:spPr>
        <a:xfrm>
          <a:off x="192786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452</xdr:row>
      <xdr:rowOff>0</xdr:rowOff>
    </xdr:from>
    <xdr:to>
      <xdr:col>11</xdr:col>
      <xdr:colOff>83820</xdr:colOff>
      <xdr:row>452</xdr:row>
      <xdr:rowOff>114300</xdr:rowOff>
    </xdr:to>
    <xdr:sp macro="" textlink="">
      <xdr:nvSpPr>
        <xdr:cNvPr id="3330" name="Arrow: Down 3329">
          <a:extLst>
            <a:ext uri="{FF2B5EF4-FFF2-40B4-BE49-F238E27FC236}">
              <a16:creationId xmlns:a16="http://schemas.microsoft.com/office/drawing/2014/main" id="{4F9F03EA-747C-4B15-8CC3-1E915E1C7B2F}"/>
            </a:ext>
          </a:extLst>
        </xdr:cNvPr>
        <xdr:cNvSpPr/>
      </xdr:nvSpPr>
      <xdr:spPr>
        <a:xfrm>
          <a:off x="369570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452</xdr:row>
      <xdr:rowOff>0</xdr:rowOff>
    </xdr:from>
    <xdr:to>
      <xdr:col>24</xdr:col>
      <xdr:colOff>83820</xdr:colOff>
      <xdr:row>452</xdr:row>
      <xdr:rowOff>114300</xdr:rowOff>
    </xdr:to>
    <xdr:sp macro="" textlink="">
      <xdr:nvSpPr>
        <xdr:cNvPr id="3331" name="Arrow: Down 3330">
          <a:extLst>
            <a:ext uri="{FF2B5EF4-FFF2-40B4-BE49-F238E27FC236}">
              <a16:creationId xmlns:a16="http://schemas.microsoft.com/office/drawing/2014/main" id="{1AF4B0C1-D889-4ED1-81D2-5BB30F34C47F}"/>
            </a:ext>
          </a:extLst>
        </xdr:cNvPr>
        <xdr:cNvSpPr/>
      </xdr:nvSpPr>
      <xdr:spPr>
        <a:xfrm>
          <a:off x="833628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452</xdr:row>
      <xdr:rowOff>0</xdr:rowOff>
    </xdr:from>
    <xdr:to>
      <xdr:col>60</xdr:col>
      <xdr:colOff>83820</xdr:colOff>
      <xdr:row>452</xdr:row>
      <xdr:rowOff>114300</xdr:rowOff>
    </xdr:to>
    <xdr:sp macro="" textlink="">
      <xdr:nvSpPr>
        <xdr:cNvPr id="3375" name="Arrow: Down 3374">
          <a:extLst>
            <a:ext uri="{FF2B5EF4-FFF2-40B4-BE49-F238E27FC236}">
              <a16:creationId xmlns:a16="http://schemas.microsoft.com/office/drawing/2014/main" id="{BB55417D-3EBE-4117-9750-02A611E3EAB1}"/>
            </a:ext>
          </a:extLst>
        </xdr:cNvPr>
        <xdr:cNvSpPr/>
      </xdr:nvSpPr>
      <xdr:spPr>
        <a:xfrm rot="10800000">
          <a:off x="19019520" y="8276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452</xdr:row>
      <xdr:rowOff>0</xdr:rowOff>
    </xdr:from>
    <xdr:to>
      <xdr:col>39</xdr:col>
      <xdr:colOff>83820</xdr:colOff>
      <xdr:row>452</xdr:row>
      <xdr:rowOff>114300</xdr:rowOff>
    </xdr:to>
    <xdr:sp macro="" textlink="">
      <xdr:nvSpPr>
        <xdr:cNvPr id="3377" name="Arrow: Down 3376">
          <a:extLst>
            <a:ext uri="{FF2B5EF4-FFF2-40B4-BE49-F238E27FC236}">
              <a16:creationId xmlns:a16="http://schemas.microsoft.com/office/drawing/2014/main" id="{CCDFEFD4-D74F-4B6B-B770-D0E07937D117}"/>
            </a:ext>
          </a:extLst>
        </xdr:cNvPr>
        <xdr:cNvSpPr/>
      </xdr:nvSpPr>
      <xdr:spPr>
        <a:xfrm>
          <a:off x="11544300" y="8276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453</xdr:row>
      <xdr:rowOff>0</xdr:rowOff>
    </xdr:from>
    <xdr:to>
      <xdr:col>45</xdr:col>
      <xdr:colOff>83820</xdr:colOff>
      <xdr:row>453</xdr:row>
      <xdr:rowOff>114300</xdr:rowOff>
    </xdr:to>
    <xdr:sp macro="" textlink="">
      <xdr:nvSpPr>
        <xdr:cNvPr id="3386" name="Arrow: Down 3385">
          <a:extLst>
            <a:ext uri="{FF2B5EF4-FFF2-40B4-BE49-F238E27FC236}">
              <a16:creationId xmlns:a16="http://schemas.microsoft.com/office/drawing/2014/main" id="{46175686-DE5D-47D3-A620-B7A4283E52D0}"/>
            </a:ext>
          </a:extLst>
        </xdr:cNvPr>
        <xdr:cNvSpPr/>
      </xdr:nvSpPr>
      <xdr:spPr>
        <a:xfrm rot="10800000">
          <a:off x="13403580" y="8276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453</xdr:row>
      <xdr:rowOff>0</xdr:rowOff>
    </xdr:from>
    <xdr:to>
      <xdr:col>71</xdr:col>
      <xdr:colOff>83820</xdr:colOff>
      <xdr:row>453</xdr:row>
      <xdr:rowOff>114300</xdr:rowOff>
    </xdr:to>
    <xdr:sp macro="" textlink="">
      <xdr:nvSpPr>
        <xdr:cNvPr id="3387" name="Arrow: Down 3386">
          <a:extLst>
            <a:ext uri="{FF2B5EF4-FFF2-40B4-BE49-F238E27FC236}">
              <a16:creationId xmlns:a16="http://schemas.microsoft.com/office/drawing/2014/main" id="{780CF1D7-7287-4F05-B64D-6DE57C537B79}"/>
            </a:ext>
          </a:extLst>
        </xdr:cNvPr>
        <xdr:cNvSpPr/>
      </xdr:nvSpPr>
      <xdr:spPr>
        <a:xfrm>
          <a:off x="21572220" y="8276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453</xdr:row>
      <xdr:rowOff>0</xdr:rowOff>
    </xdr:from>
    <xdr:to>
      <xdr:col>60</xdr:col>
      <xdr:colOff>83820</xdr:colOff>
      <xdr:row>453</xdr:row>
      <xdr:rowOff>114300</xdr:rowOff>
    </xdr:to>
    <xdr:sp macro="" textlink="">
      <xdr:nvSpPr>
        <xdr:cNvPr id="3400" name="Arrow: Down 3399">
          <a:extLst>
            <a:ext uri="{FF2B5EF4-FFF2-40B4-BE49-F238E27FC236}">
              <a16:creationId xmlns:a16="http://schemas.microsoft.com/office/drawing/2014/main" id="{99165AD5-A425-4B0C-AB13-AA62CF324AF4}"/>
            </a:ext>
          </a:extLst>
        </xdr:cNvPr>
        <xdr:cNvSpPr/>
      </xdr:nvSpPr>
      <xdr:spPr>
        <a:xfrm>
          <a:off x="1901952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453</xdr:row>
      <xdr:rowOff>0</xdr:rowOff>
    </xdr:from>
    <xdr:to>
      <xdr:col>39</xdr:col>
      <xdr:colOff>83820</xdr:colOff>
      <xdr:row>453</xdr:row>
      <xdr:rowOff>114300</xdr:rowOff>
    </xdr:to>
    <xdr:sp macro="" textlink="">
      <xdr:nvSpPr>
        <xdr:cNvPr id="3402" name="Arrow: Down 3401">
          <a:extLst>
            <a:ext uri="{FF2B5EF4-FFF2-40B4-BE49-F238E27FC236}">
              <a16:creationId xmlns:a16="http://schemas.microsoft.com/office/drawing/2014/main" id="{8FE27F3E-3443-4CF9-A888-04BAE07B1584}"/>
            </a:ext>
          </a:extLst>
        </xdr:cNvPr>
        <xdr:cNvSpPr/>
      </xdr:nvSpPr>
      <xdr:spPr>
        <a:xfrm rot="10800000">
          <a:off x="1154430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453</xdr:row>
      <xdr:rowOff>0</xdr:rowOff>
    </xdr:from>
    <xdr:to>
      <xdr:col>24</xdr:col>
      <xdr:colOff>83820</xdr:colOff>
      <xdr:row>453</xdr:row>
      <xdr:rowOff>114300</xdr:rowOff>
    </xdr:to>
    <xdr:sp macro="" textlink="">
      <xdr:nvSpPr>
        <xdr:cNvPr id="3403" name="Arrow: Down 3402">
          <a:extLst>
            <a:ext uri="{FF2B5EF4-FFF2-40B4-BE49-F238E27FC236}">
              <a16:creationId xmlns:a16="http://schemas.microsoft.com/office/drawing/2014/main" id="{8A9D1A76-4981-4109-B20E-B5900F37CD25}"/>
            </a:ext>
          </a:extLst>
        </xdr:cNvPr>
        <xdr:cNvSpPr/>
      </xdr:nvSpPr>
      <xdr:spPr>
        <a:xfrm rot="10800000">
          <a:off x="833628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453</xdr:row>
      <xdr:rowOff>0</xdr:rowOff>
    </xdr:from>
    <xdr:to>
      <xdr:col>11</xdr:col>
      <xdr:colOff>83820</xdr:colOff>
      <xdr:row>453</xdr:row>
      <xdr:rowOff>114300</xdr:rowOff>
    </xdr:to>
    <xdr:sp macro="" textlink="">
      <xdr:nvSpPr>
        <xdr:cNvPr id="3404" name="Arrow: Down 3403">
          <a:extLst>
            <a:ext uri="{FF2B5EF4-FFF2-40B4-BE49-F238E27FC236}">
              <a16:creationId xmlns:a16="http://schemas.microsoft.com/office/drawing/2014/main" id="{7B1614C1-516A-430E-A38F-AA6BD0DBF6B9}"/>
            </a:ext>
          </a:extLst>
        </xdr:cNvPr>
        <xdr:cNvSpPr/>
      </xdr:nvSpPr>
      <xdr:spPr>
        <a:xfrm rot="10800000">
          <a:off x="369570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453</xdr:row>
      <xdr:rowOff>0</xdr:rowOff>
    </xdr:from>
    <xdr:to>
      <xdr:col>5</xdr:col>
      <xdr:colOff>83820</xdr:colOff>
      <xdr:row>453</xdr:row>
      <xdr:rowOff>114300</xdr:rowOff>
    </xdr:to>
    <xdr:sp macro="" textlink="">
      <xdr:nvSpPr>
        <xdr:cNvPr id="3406" name="Arrow: Down 3405">
          <a:extLst>
            <a:ext uri="{FF2B5EF4-FFF2-40B4-BE49-F238E27FC236}">
              <a16:creationId xmlns:a16="http://schemas.microsoft.com/office/drawing/2014/main" id="{F19C098C-A37A-405B-8474-43FF77A1E8C3}"/>
            </a:ext>
          </a:extLst>
        </xdr:cNvPr>
        <xdr:cNvSpPr/>
      </xdr:nvSpPr>
      <xdr:spPr>
        <a:xfrm rot="10800000">
          <a:off x="192786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454</xdr:row>
      <xdr:rowOff>0</xdr:rowOff>
    </xdr:from>
    <xdr:to>
      <xdr:col>45</xdr:col>
      <xdr:colOff>83820</xdr:colOff>
      <xdr:row>454</xdr:row>
      <xdr:rowOff>114300</xdr:rowOff>
    </xdr:to>
    <xdr:sp macro="" textlink="">
      <xdr:nvSpPr>
        <xdr:cNvPr id="3407" name="Arrow: Down 3406">
          <a:extLst>
            <a:ext uri="{FF2B5EF4-FFF2-40B4-BE49-F238E27FC236}">
              <a16:creationId xmlns:a16="http://schemas.microsoft.com/office/drawing/2014/main" id="{7F493344-B32A-4AA3-A16C-85635575E3CD}"/>
            </a:ext>
          </a:extLst>
        </xdr:cNvPr>
        <xdr:cNvSpPr/>
      </xdr:nvSpPr>
      <xdr:spPr>
        <a:xfrm rot="10800000">
          <a:off x="1340358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454</xdr:row>
      <xdr:rowOff>0</xdr:rowOff>
    </xdr:from>
    <xdr:to>
      <xdr:col>71</xdr:col>
      <xdr:colOff>83820</xdr:colOff>
      <xdr:row>454</xdr:row>
      <xdr:rowOff>114300</xdr:rowOff>
    </xdr:to>
    <xdr:sp macro="" textlink="">
      <xdr:nvSpPr>
        <xdr:cNvPr id="3408" name="Arrow: Down 3407">
          <a:extLst>
            <a:ext uri="{FF2B5EF4-FFF2-40B4-BE49-F238E27FC236}">
              <a16:creationId xmlns:a16="http://schemas.microsoft.com/office/drawing/2014/main" id="{A2B67A70-F747-4C40-94F7-EFEB4CE284AE}"/>
            </a:ext>
          </a:extLst>
        </xdr:cNvPr>
        <xdr:cNvSpPr/>
      </xdr:nvSpPr>
      <xdr:spPr>
        <a:xfrm>
          <a:off x="2157222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83820</xdr:colOff>
      <xdr:row>454</xdr:row>
      <xdr:rowOff>114300</xdr:rowOff>
    </xdr:to>
    <xdr:sp macro="" textlink="">
      <xdr:nvSpPr>
        <xdr:cNvPr id="3411" name="Arrow: Down 3410">
          <a:extLst>
            <a:ext uri="{FF2B5EF4-FFF2-40B4-BE49-F238E27FC236}">
              <a16:creationId xmlns:a16="http://schemas.microsoft.com/office/drawing/2014/main" id="{27DCA509-CE0B-4612-A028-C4E335F7B535}"/>
            </a:ext>
          </a:extLst>
        </xdr:cNvPr>
        <xdr:cNvSpPr/>
      </xdr:nvSpPr>
      <xdr:spPr>
        <a:xfrm rot="10800000">
          <a:off x="833628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454</xdr:row>
      <xdr:rowOff>0</xdr:rowOff>
    </xdr:from>
    <xdr:to>
      <xdr:col>11</xdr:col>
      <xdr:colOff>83820</xdr:colOff>
      <xdr:row>454</xdr:row>
      <xdr:rowOff>114300</xdr:rowOff>
    </xdr:to>
    <xdr:sp macro="" textlink="">
      <xdr:nvSpPr>
        <xdr:cNvPr id="3412" name="Arrow: Down 3411">
          <a:extLst>
            <a:ext uri="{FF2B5EF4-FFF2-40B4-BE49-F238E27FC236}">
              <a16:creationId xmlns:a16="http://schemas.microsoft.com/office/drawing/2014/main" id="{B1A8A912-B210-402B-ABD4-18049BCB5977}"/>
            </a:ext>
          </a:extLst>
        </xdr:cNvPr>
        <xdr:cNvSpPr/>
      </xdr:nvSpPr>
      <xdr:spPr>
        <a:xfrm rot="10800000">
          <a:off x="369570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454</xdr:row>
      <xdr:rowOff>0</xdr:rowOff>
    </xdr:from>
    <xdr:to>
      <xdr:col>5</xdr:col>
      <xdr:colOff>83820</xdr:colOff>
      <xdr:row>454</xdr:row>
      <xdr:rowOff>114300</xdr:rowOff>
    </xdr:to>
    <xdr:sp macro="" textlink="">
      <xdr:nvSpPr>
        <xdr:cNvPr id="3413" name="Arrow: Down 3412">
          <a:extLst>
            <a:ext uri="{FF2B5EF4-FFF2-40B4-BE49-F238E27FC236}">
              <a16:creationId xmlns:a16="http://schemas.microsoft.com/office/drawing/2014/main" id="{DADF2A05-2B66-48C2-B7D1-10D3632DB126}"/>
            </a:ext>
          </a:extLst>
        </xdr:cNvPr>
        <xdr:cNvSpPr/>
      </xdr:nvSpPr>
      <xdr:spPr>
        <a:xfrm rot="10800000">
          <a:off x="192786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454</xdr:row>
      <xdr:rowOff>0</xdr:rowOff>
    </xdr:from>
    <xdr:to>
      <xdr:col>39</xdr:col>
      <xdr:colOff>83820</xdr:colOff>
      <xdr:row>454</xdr:row>
      <xdr:rowOff>114300</xdr:rowOff>
    </xdr:to>
    <xdr:sp macro="" textlink="">
      <xdr:nvSpPr>
        <xdr:cNvPr id="3414" name="Arrow: Down 3413">
          <a:extLst>
            <a:ext uri="{FF2B5EF4-FFF2-40B4-BE49-F238E27FC236}">
              <a16:creationId xmlns:a16="http://schemas.microsoft.com/office/drawing/2014/main" id="{48164055-9AE6-45C3-986C-A43310F0BE85}"/>
            </a:ext>
          </a:extLst>
        </xdr:cNvPr>
        <xdr:cNvSpPr/>
      </xdr:nvSpPr>
      <xdr:spPr>
        <a:xfrm>
          <a:off x="1154430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454</xdr:row>
      <xdr:rowOff>0</xdr:rowOff>
    </xdr:from>
    <xdr:to>
      <xdr:col>60</xdr:col>
      <xdr:colOff>83820</xdr:colOff>
      <xdr:row>454</xdr:row>
      <xdr:rowOff>114300</xdr:rowOff>
    </xdr:to>
    <xdr:sp macro="" textlink="">
      <xdr:nvSpPr>
        <xdr:cNvPr id="3415" name="Arrow: Down 3414">
          <a:extLst>
            <a:ext uri="{FF2B5EF4-FFF2-40B4-BE49-F238E27FC236}">
              <a16:creationId xmlns:a16="http://schemas.microsoft.com/office/drawing/2014/main" id="{79D0B80C-43E4-461B-BC9E-4EBDD70BD4BA}"/>
            </a:ext>
          </a:extLst>
        </xdr:cNvPr>
        <xdr:cNvSpPr/>
      </xdr:nvSpPr>
      <xdr:spPr>
        <a:xfrm rot="10800000">
          <a:off x="1901952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455</xdr:row>
      <xdr:rowOff>0</xdr:rowOff>
    </xdr:from>
    <xdr:to>
      <xdr:col>45</xdr:col>
      <xdr:colOff>83820</xdr:colOff>
      <xdr:row>455</xdr:row>
      <xdr:rowOff>114300</xdr:rowOff>
    </xdr:to>
    <xdr:sp macro="" textlink="">
      <xdr:nvSpPr>
        <xdr:cNvPr id="3416" name="Arrow: Down 3415">
          <a:extLst>
            <a:ext uri="{FF2B5EF4-FFF2-40B4-BE49-F238E27FC236}">
              <a16:creationId xmlns:a16="http://schemas.microsoft.com/office/drawing/2014/main" id="{88C76015-8189-419C-B81D-CC26F863081F}"/>
            </a:ext>
          </a:extLst>
        </xdr:cNvPr>
        <xdr:cNvSpPr/>
      </xdr:nvSpPr>
      <xdr:spPr>
        <a:xfrm rot="10800000">
          <a:off x="13403580" y="8312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455</xdr:row>
      <xdr:rowOff>0</xdr:rowOff>
    </xdr:from>
    <xdr:to>
      <xdr:col>71</xdr:col>
      <xdr:colOff>83820</xdr:colOff>
      <xdr:row>455</xdr:row>
      <xdr:rowOff>114300</xdr:rowOff>
    </xdr:to>
    <xdr:sp macro="" textlink="">
      <xdr:nvSpPr>
        <xdr:cNvPr id="3417" name="Arrow: Down 3416">
          <a:extLst>
            <a:ext uri="{FF2B5EF4-FFF2-40B4-BE49-F238E27FC236}">
              <a16:creationId xmlns:a16="http://schemas.microsoft.com/office/drawing/2014/main" id="{842A8AF8-B4AD-49CE-8369-978ABB9B4B3D}"/>
            </a:ext>
          </a:extLst>
        </xdr:cNvPr>
        <xdr:cNvSpPr/>
      </xdr:nvSpPr>
      <xdr:spPr>
        <a:xfrm>
          <a:off x="21572220" y="8312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83820</xdr:colOff>
      <xdr:row>455</xdr:row>
      <xdr:rowOff>114300</xdr:rowOff>
    </xdr:to>
    <xdr:sp macro="" textlink="">
      <xdr:nvSpPr>
        <xdr:cNvPr id="3418" name="Arrow: Down 3417">
          <a:extLst>
            <a:ext uri="{FF2B5EF4-FFF2-40B4-BE49-F238E27FC236}">
              <a16:creationId xmlns:a16="http://schemas.microsoft.com/office/drawing/2014/main" id="{105D99D4-F633-4896-9DBA-2BF5826E3F49}"/>
            </a:ext>
          </a:extLst>
        </xdr:cNvPr>
        <xdr:cNvSpPr/>
      </xdr:nvSpPr>
      <xdr:spPr>
        <a:xfrm rot="10800000">
          <a:off x="833628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455</xdr:row>
      <xdr:rowOff>0</xdr:rowOff>
    </xdr:from>
    <xdr:to>
      <xdr:col>11</xdr:col>
      <xdr:colOff>83820</xdr:colOff>
      <xdr:row>455</xdr:row>
      <xdr:rowOff>114300</xdr:rowOff>
    </xdr:to>
    <xdr:sp macro="" textlink="">
      <xdr:nvSpPr>
        <xdr:cNvPr id="3419" name="Arrow: Down 3418">
          <a:extLst>
            <a:ext uri="{FF2B5EF4-FFF2-40B4-BE49-F238E27FC236}">
              <a16:creationId xmlns:a16="http://schemas.microsoft.com/office/drawing/2014/main" id="{70723B22-F125-415A-ADC7-F96CF3E7FBDB}"/>
            </a:ext>
          </a:extLst>
        </xdr:cNvPr>
        <xdr:cNvSpPr/>
      </xdr:nvSpPr>
      <xdr:spPr>
        <a:xfrm rot="10800000">
          <a:off x="369570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455</xdr:row>
      <xdr:rowOff>0</xdr:rowOff>
    </xdr:from>
    <xdr:to>
      <xdr:col>5</xdr:col>
      <xdr:colOff>83820</xdr:colOff>
      <xdr:row>455</xdr:row>
      <xdr:rowOff>114300</xdr:rowOff>
    </xdr:to>
    <xdr:sp macro="" textlink="">
      <xdr:nvSpPr>
        <xdr:cNvPr id="3420" name="Arrow: Down 3419">
          <a:extLst>
            <a:ext uri="{FF2B5EF4-FFF2-40B4-BE49-F238E27FC236}">
              <a16:creationId xmlns:a16="http://schemas.microsoft.com/office/drawing/2014/main" id="{8881E1AF-096B-4B19-AF11-424C1764D2C3}"/>
            </a:ext>
          </a:extLst>
        </xdr:cNvPr>
        <xdr:cNvSpPr/>
      </xdr:nvSpPr>
      <xdr:spPr>
        <a:xfrm rot="10800000">
          <a:off x="192786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455</xdr:row>
      <xdr:rowOff>0</xdr:rowOff>
    </xdr:from>
    <xdr:to>
      <xdr:col>39</xdr:col>
      <xdr:colOff>83820</xdr:colOff>
      <xdr:row>455</xdr:row>
      <xdr:rowOff>114300</xdr:rowOff>
    </xdr:to>
    <xdr:sp macro="" textlink="">
      <xdr:nvSpPr>
        <xdr:cNvPr id="3421" name="Arrow: Down 3420">
          <a:extLst>
            <a:ext uri="{FF2B5EF4-FFF2-40B4-BE49-F238E27FC236}">
              <a16:creationId xmlns:a16="http://schemas.microsoft.com/office/drawing/2014/main" id="{59BBD0BB-3467-456E-895E-31D232B5F93C}"/>
            </a:ext>
          </a:extLst>
        </xdr:cNvPr>
        <xdr:cNvSpPr/>
      </xdr:nvSpPr>
      <xdr:spPr>
        <a:xfrm>
          <a:off x="1154430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455</xdr:row>
      <xdr:rowOff>0</xdr:rowOff>
    </xdr:from>
    <xdr:to>
      <xdr:col>60</xdr:col>
      <xdr:colOff>83820</xdr:colOff>
      <xdr:row>455</xdr:row>
      <xdr:rowOff>114300</xdr:rowOff>
    </xdr:to>
    <xdr:sp macro="" textlink="">
      <xdr:nvSpPr>
        <xdr:cNvPr id="3423" name="Arrow: Down 3422">
          <a:extLst>
            <a:ext uri="{FF2B5EF4-FFF2-40B4-BE49-F238E27FC236}">
              <a16:creationId xmlns:a16="http://schemas.microsoft.com/office/drawing/2014/main" id="{7EAF0513-6328-4AB6-B9C0-A3D7F204C190}"/>
            </a:ext>
          </a:extLst>
        </xdr:cNvPr>
        <xdr:cNvSpPr/>
      </xdr:nvSpPr>
      <xdr:spPr>
        <a:xfrm>
          <a:off x="1901952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456</xdr:row>
      <xdr:rowOff>0</xdr:rowOff>
    </xdr:from>
    <xdr:to>
      <xdr:col>45</xdr:col>
      <xdr:colOff>83820</xdr:colOff>
      <xdr:row>456</xdr:row>
      <xdr:rowOff>114300</xdr:rowOff>
    </xdr:to>
    <xdr:sp macro="" textlink="">
      <xdr:nvSpPr>
        <xdr:cNvPr id="3333" name="Arrow: Down 3332">
          <a:extLst>
            <a:ext uri="{FF2B5EF4-FFF2-40B4-BE49-F238E27FC236}">
              <a16:creationId xmlns:a16="http://schemas.microsoft.com/office/drawing/2014/main" id="{4485CF1F-A3BB-4C46-957F-AFF6ECF642EA}"/>
            </a:ext>
          </a:extLst>
        </xdr:cNvPr>
        <xdr:cNvSpPr/>
      </xdr:nvSpPr>
      <xdr:spPr>
        <a:xfrm rot="10800000">
          <a:off x="1340358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456</xdr:row>
      <xdr:rowOff>0</xdr:rowOff>
    </xdr:from>
    <xdr:to>
      <xdr:col>71</xdr:col>
      <xdr:colOff>83820</xdr:colOff>
      <xdr:row>456</xdr:row>
      <xdr:rowOff>114300</xdr:rowOff>
    </xdr:to>
    <xdr:sp macro="" textlink="">
      <xdr:nvSpPr>
        <xdr:cNvPr id="3348" name="Arrow: Down 3347">
          <a:extLst>
            <a:ext uri="{FF2B5EF4-FFF2-40B4-BE49-F238E27FC236}">
              <a16:creationId xmlns:a16="http://schemas.microsoft.com/office/drawing/2014/main" id="{E6C15B68-904E-48C7-805C-79F4FD8CF14B}"/>
            </a:ext>
          </a:extLst>
        </xdr:cNvPr>
        <xdr:cNvSpPr/>
      </xdr:nvSpPr>
      <xdr:spPr>
        <a:xfrm>
          <a:off x="2157222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456</xdr:row>
      <xdr:rowOff>0</xdr:rowOff>
    </xdr:from>
    <xdr:to>
      <xdr:col>24</xdr:col>
      <xdr:colOff>83820</xdr:colOff>
      <xdr:row>456</xdr:row>
      <xdr:rowOff>114300</xdr:rowOff>
    </xdr:to>
    <xdr:sp macro="" textlink="">
      <xdr:nvSpPr>
        <xdr:cNvPr id="3353" name="Arrow: Down 3352">
          <a:extLst>
            <a:ext uri="{FF2B5EF4-FFF2-40B4-BE49-F238E27FC236}">
              <a16:creationId xmlns:a16="http://schemas.microsoft.com/office/drawing/2014/main" id="{1302B1CC-486C-446B-8682-3199FBDF604E}"/>
            </a:ext>
          </a:extLst>
        </xdr:cNvPr>
        <xdr:cNvSpPr/>
      </xdr:nvSpPr>
      <xdr:spPr>
        <a:xfrm rot="10800000">
          <a:off x="8336280" y="833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456</xdr:row>
      <xdr:rowOff>0</xdr:rowOff>
    </xdr:from>
    <xdr:to>
      <xdr:col>11</xdr:col>
      <xdr:colOff>83820</xdr:colOff>
      <xdr:row>456</xdr:row>
      <xdr:rowOff>114300</xdr:rowOff>
    </xdr:to>
    <xdr:sp macro="" textlink="">
      <xdr:nvSpPr>
        <xdr:cNvPr id="3376" name="Arrow: Down 3375">
          <a:extLst>
            <a:ext uri="{FF2B5EF4-FFF2-40B4-BE49-F238E27FC236}">
              <a16:creationId xmlns:a16="http://schemas.microsoft.com/office/drawing/2014/main" id="{23BE3C46-26E5-4239-830E-F9AC5B363268}"/>
            </a:ext>
          </a:extLst>
        </xdr:cNvPr>
        <xdr:cNvSpPr/>
      </xdr:nvSpPr>
      <xdr:spPr>
        <a:xfrm rot="10800000">
          <a:off x="3695700" y="833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456</xdr:row>
      <xdr:rowOff>0</xdr:rowOff>
    </xdr:from>
    <xdr:to>
      <xdr:col>5</xdr:col>
      <xdr:colOff>83820</xdr:colOff>
      <xdr:row>456</xdr:row>
      <xdr:rowOff>114300</xdr:rowOff>
    </xdr:to>
    <xdr:sp macro="" textlink="">
      <xdr:nvSpPr>
        <xdr:cNvPr id="3378" name="Arrow: Down 3377">
          <a:extLst>
            <a:ext uri="{FF2B5EF4-FFF2-40B4-BE49-F238E27FC236}">
              <a16:creationId xmlns:a16="http://schemas.microsoft.com/office/drawing/2014/main" id="{B4C13311-52D2-46FA-A8C0-B351E6D519CF}"/>
            </a:ext>
          </a:extLst>
        </xdr:cNvPr>
        <xdr:cNvSpPr/>
      </xdr:nvSpPr>
      <xdr:spPr>
        <a:xfrm rot="10800000">
          <a:off x="1927860" y="833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456</xdr:row>
      <xdr:rowOff>0</xdr:rowOff>
    </xdr:from>
    <xdr:to>
      <xdr:col>60</xdr:col>
      <xdr:colOff>83820</xdr:colOff>
      <xdr:row>456</xdr:row>
      <xdr:rowOff>114300</xdr:rowOff>
    </xdr:to>
    <xdr:sp macro="" textlink="">
      <xdr:nvSpPr>
        <xdr:cNvPr id="3385" name="Arrow: Down 3384">
          <a:extLst>
            <a:ext uri="{FF2B5EF4-FFF2-40B4-BE49-F238E27FC236}">
              <a16:creationId xmlns:a16="http://schemas.microsoft.com/office/drawing/2014/main" id="{5A44FE89-ED6E-4ED2-A170-2DD88801D48E}"/>
            </a:ext>
          </a:extLst>
        </xdr:cNvPr>
        <xdr:cNvSpPr/>
      </xdr:nvSpPr>
      <xdr:spPr>
        <a:xfrm>
          <a:off x="1901952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457</xdr:row>
      <xdr:rowOff>0</xdr:rowOff>
    </xdr:from>
    <xdr:to>
      <xdr:col>45</xdr:col>
      <xdr:colOff>83820</xdr:colOff>
      <xdr:row>457</xdr:row>
      <xdr:rowOff>114300</xdr:rowOff>
    </xdr:to>
    <xdr:sp macro="" textlink="">
      <xdr:nvSpPr>
        <xdr:cNvPr id="3388" name="Arrow: Down 3387">
          <a:extLst>
            <a:ext uri="{FF2B5EF4-FFF2-40B4-BE49-F238E27FC236}">
              <a16:creationId xmlns:a16="http://schemas.microsoft.com/office/drawing/2014/main" id="{2CF6E222-1AF2-41D6-B611-1FB4F06D756B}"/>
            </a:ext>
          </a:extLst>
        </xdr:cNvPr>
        <xdr:cNvSpPr/>
      </xdr:nvSpPr>
      <xdr:spPr>
        <a:xfrm rot="10800000">
          <a:off x="1340358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457</xdr:row>
      <xdr:rowOff>0</xdr:rowOff>
    </xdr:from>
    <xdr:to>
      <xdr:col>71</xdr:col>
      <xdr:colOff>83820</xdr:colOff>
      <xdr:row>457</xdr:row>
      <xdr:rowOff>114300</xdr:rowOff>
    </xdr:to>
    <xdr:sp macro="" textlink="">
      <xdr:nvSpPr>
        <xdr:cNvPr id="3389" name="Arrow: Down 3388">
          <a:extLst>
            <a:ext uri="{FF2B5EF4-FFF2-40B4-BE49-F238E27FC236}">
              <a16:creationId xmlns:a16="http://schemas.microsoft.com/office/drawing/2014/main" id="{E817BF42-FD79-4324-9FE5-52B6E9C6D79B}"/>
            </a:ext>
          </a:extLst>
        </xdr:cNvPr>
        <xdr:cNvSpPr/>
      </xdr:nvSpPr>
      <xdr:spPr>
        <a:xfrm>
          <a:off x="2157222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457</xdr:row>
      <xdr:rowOff>0</xdr:rowOff>
    </xdr:from>
    <xdr:to>
      <xdr:col>60</xdr:col>
      <xdr:colOff>83820</xdr:colOff>
      <xdr:row>457</xdr:row>
      <xdr:rowOff>114300</xdr:rowOff>
    </xdr:to>
    <xdr:sp macro="" textlink="">
      <xdr:nvSpPr>
        <xdr:cNvPr id="3405" name="Arrow: Down 3404">
          <a:extLst>
            <a:ext uri="{FF2B5EF4-FFF2-40B4-BE49-F238E27FC236}">
              <a16:creationId xmlns:a16="http://schemas.microsoft.com/office/drawing/2014/main" id="{A34EAA5D-48C5-42D6-9F6D-E4B12C1D1845}"/>
            </a:ext>
          </a:extLst>
        </xdr:cNvPr>
        <xdr:cNvSpPr/>
      </xdr:nvSpPr>
      <xdr:spPr>
        <a:xfrm>
          <a:off x="1901952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457</xdr:row>
      <xdr:rowOff>0</xdr:rowOff>
    </xdr:from>
    <xdr:to>
      <xdr:col>39</xdr:col>
      <xdr:colOff>83820</xdr:colOff>
      <xdr:row>457</xdr:row>
      <xdr:rowOff>114300</xdr:rowOff>
    </xdr:to>
    <xdr:sp macro="" textlink="">
      <xdr:nvSpPr>
        <xdr:cNvPr id="3410" name="Arrow: Down 3409">
          <a:extLst>
            <a:ext uri="{FF2B5EF4-FFF2-40B4-BE49-F238E27FC236}">
              <a16:creationId xmlns:a16="http://schemas.microsoft.com/office/drawing/2014/main" id="{1EA92093-2493-48F2-BA70-D5AA5F1A6D33}"/>
            </a:ext>
          </a:extLst>
        </xdr:cNvPr>
        <xdr:cNvSpPr/>
      </xdr:nvSpPr>
      <xdr:spPr>
        <a:xfrm rot="10800000">
          <a:off x="1154430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456</xdr:row>
      <xdr:rowOff>0</xdr:rowOff>
    </xdr:from>
    <xdr:to>
      <xdr:col>39</xdr:col>
      <xdr:colOff>83820</xdr:colOff>
      <xdr:row>456</xdr:row>
      <xdr:rowOff>114300</xdr:rowOff>
    </xdr:to>
    <xdr:sp macro="" textlink="">
      <xdr:nvSpPr>
        <xdr:cNvPr id="3422" name="Arrow: Down 3421">
          <a:extLst>
            <a:ext uri="{FF2B5EF4-FFF2-40B4-BE49-F238E27FC236}">
              <a16:creationId xmlns:a16="http://schemas.microsoft.com/office/drawing/2014/main" id="{C34606F4-F6A6-4CEA-A0E8-1B777BE67059}"/>
            </a:ext>
          </a:extLst>
        </xdr:cNvPr>
        <xdr:cNvSpPr/>
      </xdr:nvSpPr>
      <xdr:spPr>
        <a:xfrm rot="10800000">
          <a:off x="1154430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83820</xdr:colOff>
      <xdr:row>457</xdr:row>
      <xdr:rowOff>114300</xdr:rowOff>
    </xdr:to>
    <xdr:sp macro="" textlink="">
      <xdr:nvSpPr>
        <xdr:cNvPr id="3424" name="Arrow: Down 3423">
          <a:extLst>
            <a:ext uri="{FF2B5EF4-FFF2-40B4-BE49-F238E27FC236}">
              <a16:creationId xmlns:a16="http://schemas.microsoft.com/office/drawing/2014/main" id="{E2DD8B16-E24B-4981-96DE-4EB794B31356}"/>
            </a:ext>
          </a:extLst>
        </xdr:cNvPr>
        <xdr:cNvSpPr/>
      </xdr:nvSpPr>
      <xdr:spPr>
        <a:xfrm>
          <a:off x="833628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457</xdr:row>
      <xdr:rowOff>0</xdr:rowOff>
    </xdr:from>
    <xdr:to>
      <xdr:col>11</xdr:col>
      <xdr:colOff>83820</xdr:colOff>
      <xdr:row>457</xdr:row>
      <xdr:rowOff>114300</xdr:rowOff>
    </xdr:to>
    <xdr:sp macro="" textlink="">
      <xdr:nvSpPr>
        <xdr:cNvPr id="3425" name="Arrow: Down 3424">
          <a:extLst>
            <a:ext uri="{FF2B5EF4-FFF2-40B4-BE49-F238E27FC236}">
              <a16:creationId xmlns:a16="http://schemas.microsoft.com/office/drawing/2014/main" id="{AA7B87CA-7C6B-4069-92B3-BE5196E2CC62}"/>
            </a:ext>
          </a:extLst>
        </xdr:cNvPr>
        <xdr:cNvSpPr/>
      </xdr:nvSpPr>
      <xdr:spPr>
        <a:xfrm>
          <a:off x="369570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457</xdr:row>
      <xdr:rowOff>0</xdr:rowOff>
    </xdr:from>
    <xdr:to>
      <xdr:col>5</xdr:col>
      <xdr:colOff>83820</xdr:colOff>
      <xdr:row>457</xdr:row>
      <xdr:rowOff>114300</xdr:rowOff>
    </xdr:to>
    <xdr:sp macro="" textlink="">
      <xdr:nvSpPr>
        <xdr:cNvPr id="3427" name="Arrow: Down 3426">
          <a:extLst>
            <a:ext uri="{FF2B5EF4-FFF2-40B4-BE49-F238E27FC236}">
              <a16:creationId xmlns:a16="http://schemas.microsoft.com/office/drawing/2014/main" id="{00A394BB-C612-4CF8-904A-95ADB9419F04}"/>
            </a:ext>
          </a:extLst>
        </xdr:cNvPr>
        <xdr:cNvSpPr/>
      </xdr:nvSpPr>
      <xdr:spPr>
        <a:xfrm>
          <a:off x="192786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458</xdr:row>
      <xdr:rowOff>0</xdr:rowOff>
    </xdr:from>
    <xdr:to>
      <xdr:col>45</xdr:col>
      <xdr:colOff>83820</xdr:colOff>
      <xdr:row>458</xdr:row>
      <xdr:rowOff>114300</xdr:rowOff>
    </xdr:to>
    <xdr:sp macro="" textlink="">
      <xdr:nvSpPr>
        <xdr:cNvPr id="3428" name="Arrow: Down 3427">
          <a:extLst>
            <a:ext uri="{FF2B5EF4-FFF2-40B4-BE49-F238E27FC236}">
              <a16:creationId xmlns:a16="http://schemas.microsoft.com/office/drawing/2014/main" id="{C34A8AB3-1BF3-4235-BDCF-8A9807AF2E6D}"/>
            </a:ext>
          </a:extLst>
        </xdr:cNvPr>
        <xdr:cNvSpPr/>
      </xdr:nvSpPr>
      <xdr:spPr>
        <a:xfrm rot="10800000">
          <a:off x="1340358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458</xdr:row>
      <xdr:rowOff>0</xdr:rowOff>
    </xdr:from>
    <xdr:to>
      <xdr:col>71</xdr:col>
      <xdr:colOff>83820</xdr:colOff>
      <xdr:row>458</xdr:row>
      <xdr:rowOff>114300</xdr:rowOff>
    </xdr:to>
    <xdr:sp macro="" textlink="">
      <xdr:nvSpPr>
        <xdr:cNvPr id="3429" name="Arrow: Down 3428">
          <a:extLst>
            <a:ext uri="{FF2B5EF4-FFF2-40B4-BE49-F238E27FC236}">
              <a16:creationId xmlns:a16="http://schemas.microsoft.com/office/drawing/2014/main" id="{4AA4F52A-17A3-45D0-AEAE-8AE2F013BA71}"/>
            </a:ext>
          </a:extLst>
        </xdr:cNvPr>
        <xdr:cNvSpPr/>
      </xdr:nvSpPr>
      <xdr:spPr>
        <a:xfrm>
          <a:off x="2157222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83820</xdr:colOff>
      <xdr:row>458</xdr:row>
      <xdr:rowOff>114300</xdr:rowOff>
    </xdr:to>
    <xdr:sp macro="" textlink="">
      <xdr:nvSpPr>
        <xdr:cNvPr id="3432" name="Arrow: Down 3431">
          <a:extLst>
            <a:ext uri="{FF2B5EF4-FFF2-40B4-BE49-F238E27FC236}">
              <a16:creationId xmlns:a16="http://schemas.microsoft.com/office/drawing/2014/main" id="{27D7E4A7-4D6D-4C73-9222-9752708F48F1}"/>
            </a:ext>
          </a:extLst>
        </xdr:cNvPr>
        <xdr:cNvSpPr/>
      </xdr:nvSpPr>
      <xdr:spPr>
        <a:xfrm>
          <a:off x="833628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458</xdr:row>
      <xdr:rowOff>0</xdr:rowOff>
    </xdr:from>
    <xdr:to>
      <xdr:col>11</xdr:col>
      <xdr:colOff>83820</xdr:colOff>
      <xdr:row>458</xdr:row>
      <xdr:rowOff>114300</xdr:rowOff>
    </xdr:to>
    <xdr:sp macro="" textlink="">
      <xdr:nvSpPr>
        <xdr:cNvPr id="3433" name="Arrow: Down 3432">
          <a:extLst>
            <a:ext uri="{FF2B5EF4-FFF2-40B4-BE49-F238E27FC236}">
              <a16:creationId xmlns:a16="http://schemas.microsoft.com/office/drawing/2014/main" id="{800C516B-3E1E-46E8-AF66-C6B2F073F379}"/>
            </a:ext>
          </a:extLst>
        </xdr:cNvPr>
        <xdr:cNvSpPr/>
      </xdr:nvSpPr>
      <xdr:spPr>
        <a:xfrm>
          <a:off x="369570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458</xdr:row>
      <xdr:rowOff>0</xdr:rowOff>
    </xdr:from>
    <xdr:to>
      <xdr:col>5</xdr:col>
      <xdr:colOff>83820</xdr:colOff>
      <xdr:row>458</xdr:row>
      <xdr:rowOff>114300</xdr:rowOff>
    </xdr:to>
    <xdr:sp macro="" textlink="">
      <xdr:nvSpPr>
        <xdr:cNvPr id="3434" name="Arrow: Down 3433">
          <a:extLst>
            <a:ext uri="{FF2B5EF4-FFF2-40B4-BE49-F238E27FC236}">
              <a16:creationId xmlns:a16="http://schemas.microsoft.com/office/drawing/2014/main" id="{1A511690-3D52-40E4-8266-EC0777AD2262}"/>
            </a:ext>
          </a:extLst>
        </xdr:cNvPr>
        <xdr:cNvSpPr/>
      </xdr:nvSpPr>
      <xdr:spPr>
        <a:xfrm>
          <a:off x="192786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458</xdr:row>
      <xdr:rowOff>0</xdr:rowOff>
    </xdr:from>
    <xdr:to>
      <xdr:col>60</xdr:col>
      <xdr:colOff>83820</xdr:colOff>
      <xdr:row>458</xdr:row>
      <xdr:rowOff>114300</xdr:rowOff>
    </xdr:to>
    <xdr:sp macro="" textlink="">
      <xdr:nvSpPr>
        <xdr:cNvPr id="3435" name="Arrow: Down 3434">
          <a:extLst>
            <a:ext uri="{FF2B5EF4-FFF2-40B4-BE49-F238E27FC236}">
              <a16:creationId xmlns:a16="http://schemas.microsoft.com/office/drawing/2014/main" id="{E8101189-B9F0-4FAA-8D72-00D10D78D9D4}"/>
            </a:ext>
          </a:extLst>
        </xdr:cNvPr>
        <xdr:cNvSpPr/>
      </xdr:nvSpPr>
      <xdr:spPr>
        <a:xfrm rot="10800000">
          <a:off x="19019520" y="8385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459</xdr:row>
      <xdr:rowOff>0</xdr:rowOff>
    </xdr:from>
    <xdr:to>
      <xdr:col>45</xdr:col>
      <xdr:colOff>83820</xdr:colOff>
      <xdr:row>459</xdr:row>
      <xdr:rowOff>114300</xdr:rowOff>
    </xdr:to>
    <xdr:sp macro="" textlink="">
      <xdr:nvSpPr>
        <xdr:cNvPr id="3436" name="Arrow: Down 3435">
          <a:extLst>
            <a:ext uri="{FF2B5EF4-FFF2-40B4-BE49-F238E27FC236}">
              <a16:creationId xmlns:a16="http://schemas.microsoft.com/office/drawing/2014/main" id="{A8E89DFB-E285-499C-A121-927F9FC49A4C}"/>
            </a:ext>
          </a:extLst>
        </xdr:cNvPr>
        <xdr:cNvSpPr/>
      </xdr:nvSpPr>
      <xdr:spPr>
        <a:xfrm rot="10800000">
          <a:off x="1340358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459</xdr:row>
      <xdr:rowOff>0</xdr:rowOff>
    </xdr:from>
    <xdr:to>
      <xdr:col>71</xdr:col>
      <xdr:colOff>83820</xdr:colOff>
      <xdr:row>459</xdr:row>
      <xdr:rowOff>114300</xdr:rowOff>
    </xdr:to>
    <xdr:sp macro="" textlink="">
      <xdr:nvSpPr>
        <xdr:cNvPr id="3437" name="Arrow: Down 3436">
          <a:extLst>
            <a:ext uri="{FF2B5EF4-FFF2-40B4-BE49-F238E27FC236}">
              <a16:creationId xmlns:a16="http://schemas.microsoft.com/office/drawing/2014/main" id="{610FD920-B64B-4A8E-925C-51453D9FB6AC}"/>
            </a:ext>
          </a:extLst>
        </xdr:cNvPr>
        <xdr:cNvSpPr/>
      </xdr:nvSpPr>
      <xdr:spPr>
        <a:xfrm>
          <a:off x="2157222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459</xdr:row>
      <xdr:rowOff>0</xdr:rowOff>
    </xdr:from>
    <xdr:to>
      <xdr:col>24</xdr:col>
      <xdr:colOff>83820</xdr:colOff>
      <xdr:row>459</xdr:row>
      <xdr:rowOff>114300</xdr:rowOff>
    </xdr:to>
    <xdr:sp macro="" textlink="">
      <xdr:nvSpPr>
        <xdr:cNvPr id="3438" name="Arrow: Down 3437">
          <a:extLst>
            <a:ext uri="{FF2B5EF4-FFF2-40B4-BE49-F238E27FC236}">
              <a16:creationId xmlns:a16="http://schemas.microsoft.com/office/drawing/2014/main" id="{76EB3E81-1A80-4706-9AEB-14FD90FD3059}"/>
            </a:ext>
          </a:extLst>
        </xdr:cNvPr>
        <xdr:cNvSpPr/>
      </xdr:nvSpPr>
      <xdr:spPr>
        <a:xfrm>
          <a:off x="833628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459</xdr:row>
      <xdr:rowOff>0</xdr:rowOff>
    </xdr:from>
    <xdr:to>
      <xdr:col>11</xdr:col>
      <xdr:colOff>83820</xdr:colOff>
      <xdr:row>459</xdr:row>
      <xdr:rowOff>114300</xdr:rowOff>
    </xdr:to>
    <xdr:sp macro="" textlink="">
      <xdr:nvSpPr>
        <xdr:cNvPr id="3439" name="Arrow: Down 3438">
          <a:extLst>
            <a:ext uri="{FF2B5EF4-FFF2-40B4-BE49-F238E27FC236}">
              <a16:creationId xmlns:a16="http://schemas.microsoft.com/office/drawing/2014/main" id="{CBC175FB-9608-48DC-93D6-4269C7815E52}"/>
            </a:ext>
          </a:extLst>
        </xdr:cNvPr>
        <xdr:cNvSpPr/>
      </xdr:nvSpPr>
      <xdr:spPr>
        <a:xfrm>
          <a:off x="369570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459</xdr:row>
      <xdr:rowOff>0</xdr:rowOff>
    </xdr:from>
    <xdr:to>
      <xdr:col>5</xdr:col>
      <xdr:colOff>83820</xdr:colOff>
      <xdr:row>459</xdr:row>
      <xdr:rowOff>114300</xdr:rowOff>
    </xdr:to>
    <xdr:sp macro="" textlink="">
      <xdr:nvSpPr>
        <xdr:cNvPr id="3440" name="Arrow: Down 3439">
          <a:extLst>
            <a:ext uri="{FF2B5EF4-FFF2-40B4-BE49-F238E27FC236}">
              <a16:creationId xmlns:a16="http://schemas.microsoft.com/office/drawing/2014/main" id="{05839DAD-F81B-47CB-9721-ACD14E1DEF90}"/>
            </a:ext>
          </a:extLst>
        </xdr:cNvPr>
        <xdr:cNvSpPr/>
      </xdr:nvSpPr>
      <xdr:spPr>
        <a:xfrm>
          <a:off x="192786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458</xdr:row>
      <xdr:rowOff>0</xdr:rowOff>
    </xdr:from>
    <xdr:to>
      <xdr:col>39</xdr:col>
      <xdr:colOff>83820</xdr:colOff>
      <xdr:row>458</xdr:row>
      <xdr:rowOff>114300</xdr:rowOff>
    </xdr:to>
    <xdr:sp macro="" textlink="">
      <xdr:nvSpPr>
        <xdr:cNvPr id="3442" name="Arrow: Down 3441">
          <a:extLst>
            <a:ext uri="{FF2B5EF4-FFF2-40B4-BE49-F238E27FC236}">
              <a16:creationId xmlns:a16="http://schemas.microsoft.com/office/drawing/2014/main" id="{1D4A4868-C05A-4323-95F1-781706196298}"/>
            </a:ext>
          </a:extLst>
        </xdr:cNvPr>
        <xdr:cNvSpPr/>
      </xdr:nvSpPr>
      <xdr:spPr>
        <a:xfrm>
          <a:off x="11544300" y="8385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459</xdr:row>
      <xdr:rowOff>0</xdr:rowOff>
    </xdr:from>
    <xdr:to>
      <xdr:col>39</xdr:col>
      <xdr:colOff>83820</xdr:colOff>
      <xdr:row>459</xdr:row>
      <xdr:rowOff>114300</xdr:rowOff>
    </xdr:to>
    <xdr:sp macro="" textlink="">
      <xdr:nvSpPr>
        <xdr:cNvPr id="3443" name="Arrow: Down 3442">
          <a:extLst>
            <a:ext uri="{FF2B5EF4-FFF2-40B4-BE49-F238E27FC236}">
              <a16:creationId xmlns:a16="http://schemas.microsoft.com/office/drawing/2014/main" id="{CFF4641A-3E7D-49F9-BEE3-530DC875393F}"/>
            </a:ext>
          </a:extLst>
        </xdr:cNvPr>
        <xdr:cNvSpPr/>
      </xdr:nvSpPr>
      <xdr:spPr>
        <a:xfrm>
          <a:off x="11544300" y="8404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459</xdr:row>
      <xdr:rowOff>0</xdr:rowOff>
    </xdr:from>
    <xdr:to>
      <xdr:col>60</xdr:col>
      <xdr:colOff>83820</xdr:colOff>
      <xdr:row>459</xdr:row>
      <xdr:rowOff>114300</xdr:rowOff>
    </xdr:to>
    <xdr:sp macro="" textlink="">
      <xdr:nvSpPr>
        <xdr:cNvPr id="3444" name="Arrow: Down 3443">
          <a:extLst>
            <a:ext uri="{FF2B5EF4-FFF2-40B4-BE49-F238E27FC236}">
              <a16:creationId xmlns:a16="http://schemas.microsoft.com/office/drawing/2014/main" id="{17CDE12C-64E7-4F6C-9DC6-DE728E30BC19}"/>
            </a:ext>
          </a:extLst>
        </xdr:cNvPr>
        <xdr:cNvSpPr/>
      </xdr:nvSpPr>
      <xdr:spPr>
        <a:xfrm>
          <a:off x="1901952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460</xdr:row>
      <xdr:rowOff>0</xdr:rowOff>
    </xdr:from>
    <xdr:to>
      <xdr:col>45</xdr:col>
      <xdr:colOff>83820</xdr:colOff>
      <xdr:row>460</xdr:row>
      <xdr:rowOff>114300</xdr:rowOff>
    </xdr:to>
    <xdr:sp macro="" textlink="">
      <xdr:nvSpPr>
        <xdr:cNvPr id="3379" name="Arrow: Down 3378">
          <a:extLst>
            <a:ext uri="{FF2B5EF4-FFF2-40B4-BE49-F238E27FC236}">
              <a16:creationId xmlns:a16="http://schemas.microsoft.com/office/drawing/2014/main" id="{FCF3D82C-3347-4817-A186-F27031B85118}"/>
            </a:ext>
          </a:extLst>
        </xdr:cNvPr>
        <xdr:cNvSpPr/>
      </xdr:nvSpPr>
      <xdr:spPr>
        <a:xfrm rot="10800000">
          <a:off x="1340358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460</xdr:row>
      <xdr:rowOff>0</xdr:rowOff>
    </xdr:from>
    <xdr:to>
      <xdr:col>71</xdr:col>
      <xdr:colOff>83820</xdr:colOff>
      <xdr:row>460</xdr:row>
      <xdr:rowOff>114300</xdr:rowOff>
    </xdr:to>
    <xdr:sp macro="" textlink="">
      <xdr:nvSpPr>
        <xdr:cNvPr id="3390" name="Arrow: Down 3389">
          <a:extLst>
            <a:ext uri="{FF2B5EF4-FFF2-40B4-BE49-F238E27FC236}">
              <a16:creationId xmlns:a16="http://schemas.microsoft.com/office/drawing/2014/main" id="{61EA9EF9-CC59-4D32-A645-5F9E1CCF6F97}"/>
            </a:ext>
          </a:extLst>
        </xdr:cNvPr>
        <xdr:cNvSpPr/>
      </xdr:nvSpPr>
      <xdr:spPr>
        <a:xfrm>
          <a:off x="2157222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460</xdr:row>
      <xdr:rowOff>0</xdr:rowOff>
    </xdr:from>
    <xdr:to>
      <xdr:col>60</xdr:col>
      <xdr:colOff>83820</xdr:colOff>
      <xdr:row>460</xdr:row>
      <xdr:rowOff>114300</xdr:rowOff>
    </xdr:to>
    <xdr:sp macro="" textlink="">
      <xdr:nvSpPr>
        <xdr:cNvPr id="3426" name="Arrow: Down 3425">
          <a:extLst>
            <a:ext uri="{FF2B5EF4-FFF2-40B4-BE49-F238E27FC236}">
              <a16:creationId xmlns:a16="http://schemas.microsoft.com/office/drawing/2014/main" id="{4AB4A927-4802-4D79-8117-7D58F0EA3CC4}"/>
            </a:ext>
          </a:extLst>
        </xdr:cNvPr>
        <xdr:cNvSpPr/>
      </xdr:nvSpPr>
      <xdr:spPr>
        <a:xfrm>
          <a:off x="1901952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83820</xdr:colOff>
      <xdr:row>460</xdr:row>
      <xdr:rowOff>114300</xdr:rowOff>
    </xdr:to>
    <xdr:sp macro="" textlink="">
      <xdr:nvSpPr>
        <xdr:cNvPr id="3431" name="Arrow: Down 3430">
          <a:extLst>
            <a:ext uri="{FF2B5EF4-FFF2-40B4-BE49-F238E27FC236}">
              <a16:creationId xmlns:a16="http://schemas.microsoft.com/office/drawing/2014/main" id="{C6ECB2D5-BCA4-4ADE-970C-18C83508CFA8}"/>
            </a:ext>
          </a:extLst>
        </xdr:cNvPr>
        <xdr:cNvSpPr/>
      </xdr:nvSpPr>
      <xdr:spPr>
        <a:xfrm rot="10800000">
          <a:off x="833628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460</xdr:row>
      <xdr:rowOff>0</xdr:rowOff>
    </xdr:from>
    <xdr:to>
      <xdr:col>11</xdr:col>
      <xdr:colOff>83820</xdr:colOff>
      <xdr:row>460</xdr:row>
      <xdr:rowOff>114300</xdr:rowOff>
    </xdr:to>
    <xdr:sp macro="" textlink="">
      <xdr:nvSpPr>
        <xdr:cNvPr id="3441" name="Arrow: Down 3440">
          <a:extLst>
            <a:ext uri="{FF2B5EF4-FFF2-40B4-BE49-F238E27FC236}">
              <a16:creationId xmlns:a16="http://schemas.microsoft.com/office/drawing/2014/main" id="{51B30C56-E171-450A-A987-52142D22BCFD}"/>
            </a:ext>
          </a:extLst>
        </xdr:cNvPr>
        <xdr:cNvSpPr/>
      </xdr:nvSpPr>
      <xdr:spPr>
        <a:xfrm rot="10800000">
          <a:off x="369570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460</xdr:row>
      <xdr:rowOff>0</xdr:rowOff>
    </xdr:from>
    <xdr:to>
      <xdr:col>5</xdr:col>
      <xdr:colOff>83820</xdr:colOff>
      <xdr:row>460</xdr:row>
      <xdr:rowOff>114300</xdr:rowOff>
    </xdr:to>
    <xdr:sp macro="" textlink="">
      <xdr:nvSpPr>
        <xdr:cNvPr id="3445" name="Arrow: Down 3444">
          <a:extLst>
            <a:ext uri="{FF2B5EF4-FFF2-40B4-BE49-F238E27FC236}">
              <a16:creationId xmlns:a16="http://schemas.microsoft.com/office/drawing/2014/main" id="{D203A950-1037-4A00-ADAE-8C3BD00945A6}"/>
            </a:ext>
          </a:extLst>
        </xdr:cNvPr>
        <xdr:cNvSpPr/>
      </xdr:nvSpPr>
      <xdr:spPr>
        <a:xfrm rot="10800000">
          <a:off x="192786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461</xdr:row>
      <xdr:rowOff>0</xdr:rowOff>
    </xdr:from>
    <xdr:to>
      <xdr:col>45</xdr:col>
      <xdr:colOff>83820</xdr:colOff>
      <xdr:row>461</xdr:row>
      <xdr:rowOff>114300</xdr:rowOff>
    </xdr:to>
    <xdr:sp macro="" textlink="">
      <xdr:nvSpPr>
        <xdr:cNvPr id="3446" name="Arrow: Down 3445">
          <a:extLst>
            <a:ext uri="{FF2B5EF4-FFF2-40B4-BE49-F238E27FC236}">
              <a16:creationId xmlns:a16="http://schemas.microsoft.com/office/drawing/2014/main" id="{2FF20153-AD24-423F-B24D-488775D4BD81}"/>
            </a:ext>
          </a:extLst>
        </xdr:cNvPr>
        <xdr:cNvSpPr/>
      </xdr:nvSpPr>
      <xdr:spPr>
        <a:xfrm rot="10800000">
          <a:off x="13403580" y="8422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461</xdr:row>
      <xdr:rowOff>0</xdr:rowOff>
    </xdr:from>
    <xdr:to>
      <xdr:col>71</xdr:col>
      <xdr:colOff>83820</xdr:colOff>
      <xdr:row>461</xdr:row>
      <xdr:rowOff>114300</xdr:rowOff>
    </xdr:to>
    <xdr:sp macro="" textlink="">
      <xdr:nvSpPr>
        <xdr:cNvPr id="3447" name="Arrow: Down 3446">
          <a:extLst>
            <a:ext uri="{FF2B5EF4-FFF2-40B4-BE49-F238E27FC236}">
              <a16:creationId xmlns:a16="http://schemas.microsoft.com/office/drawing/2014/main" id="{A9018CEF-5C66-4CD3-85F3-F8A739931EA4}"/>
            </a:ext>
          </a:extLst>
        </xdr:cNvPr>
        <xdr:cNvSpPr/>
      </xdr:nvSpPr>
      <xdr:spPr>
        <a:xfrm>
          <a:off x="21572220" y="8422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461</xdr:row>
      <xdr:rowOff>0</xdr:rowOff>
    </xdr:from>
    <xdr:to>
      <xdr:col>39</xdr:col>
      <xdr:colOff>83820</xdr:colOff>
      <xdr:row>461</xdr:row>
      <xdr:rowOff>114300</xdr:rowOff>
    </xdr:to>
    <xdr:sp macro="" textlink="">
      <xdr:nvSpPr>
        <xdr:cNvPr id="3449" name="Arrow: Down 3448">
          <a:extLst>
            <a:ext uri="{FF2B5EF4-FFF2-40B4-BE49-F238E27FC236}">
              <a16:creationId xmlns:a16="http://schemas.microsoft.com/office/drawing/2014/main" id="{C1FB3911-C9BF-4E80-8BCA-53667F6A0C72}"/>
            </a:ext>
          </a:extLst>
        </xdr:cNvPr>
        <xdr:cNvSpPr/>
      </xdr:nvSpPr>
      <xdr:spPr>
        <a:xfrm>
          <a:off x="1154430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83820</xdr:colOff>
      <xdr:row>461</xdr:row>
      <xdr:rowOff>114300</xdr:rowOff>
    </xdr:to>
    <xdr:sp macro="" textlink="">
      <xdr:nvSpPr>
        <xdr:cNvPr id="3450" name="Arrow: Down 3449">
          <a:extLst>
            <a:ext uri="{FF2B5EF4-FFF2-40B4-BE49-F238E27FC236}">
              <a16:creationId xmlns:a16="http://schemas.microsoft.com/office/drawing/2014/main" id="{55E51A1E-82B4-4C9E-BA16-CF0CA7566156}"/>
            </a:ext>
          </a:extLst>
        </xdr:cNvPr>
        <xdr:cNvSpPr/>
      </xdr:nvSpPr>
      <xdr:spPr>
        <a:xfrm rot="10800000">
          <a:off x="833628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461</xdr:row>
      <xdr:rowOff>0</xdr:rowOff>
    </xdr:from>
    <xdr:to>
      <xdr:col>11</xdr:col>
      <xdr:colOff>83820</xdr:colOff>
      <xdr:row>461</xdr:row>
      <xdr:rowOff>114300</xdr:rowOff>
    </xdr:to>
    <xdr:sp macro="" textlink="">
      <xdr:nvSpPr>
        <xdr:cNvPr id="3451" name="Arrow: Down 3450">
          <a:extLst>
            <a:ext uri="{FF2B5EF4-FFF2-40B4-BE49-F238E27FC236}">
              <a16:creationId xmlns:a16="http://schemas.microsoft.com/office/drawing/2014/main" id="{41659BBC-77D1-4851-B381-F90E877708DF}"/>
            </a:ext>
          </a:extLst>
        </xdr:cNvPr>
        <xdr:cNvSpPr/>
      </xdr:nvSpPr>
      <xdr:spPr>
        <a:xfrm rot="10800000">
          <a:off x="369570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461</xdr:row>
      <xdr:rowOff>0</xdr:rowOff>
    </xdr:from>
    <xdr:to>
      <xdr:col>5</xdr:col>
      <xdr:colOff>83820</xdr:colOff>
      <xdr:row>461</xdr:row>
      <xdr:rowOff>114300</xdr:rowOff>
    </xdr:to>
    <xdr:sp macro="" textlink="">
      <xdr:nvSpPr>
        <xdr:cNvPr id="3452" name="Arrow: Down 3451">
          <a:extLst>
            <a:ext uri="{FF2B5EF4-FFF2-40B4-BE49-F238E27FC236}">
              <a16:creationId xmlns:a16="http://schemas.microsoft.com/office/drawing/2014/main" id="{C7B9E0AC-FB29-4389-9A55-614FF6E6164A}"/>
            </a:ext>
          </a:extLst>
        </xdr:cNvPr>
        <xdr:cNvSpPr/>
      </xdr:nvSpPr>
      <xdr:spPr>
        <a:xfrm rot="10800000">
          <a:off x="192786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460</xdr:row>
      <xdr:rowOff>0</xdr:rowOff>
    </xdr:from>
    <xdr:to>
      <xdr:col>39</xdr:col>
      <xdr:colOff>83820</xdr:colOff>
      <xdr:row>460</xdr:row>
      <xdr:rowOff>114300</xdr:rowOff>
    </xdr:to>
    <xdr:sp macro="" textlink="">
      <xdr:nvSpPr>
        <xdr:cNvPr id="3453" name="Arrow: Down 3452">
          <a:extLst>
            <a:ext uri="{FF2B5EF4-FFF2-40B4-BE49-F238E27FC236}">
              <a16:creationId xmlns:a16="http://schemas.microsoft.com/office/drawing/2014/main" id="{7405B7E6-830E-49AA-AC4D-1EEFB1D45FC2}"/>
            </a:ext>
          </a:extLst>
        </xdr:cNvPr>
        <xdr:cNvSpPr/>
      </xdr:nvSpPr>
      <xdr:spPr>
        <a:xfrm rot="10800000">
          <a:off x="11544300" y="8422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461</xdr:row>
      <xdr:rowOff>0</xdr:rowOff>
    </xdr:from>
    <xdr:to>
      <xdr:col>60</xdr:col>
      <xdr:colOff>83820</xdr:colOff>
      <xdr:row>461</xdr:row>
      <xdr:rowOff>114300</xdr:rowOff>
    </xdr:to>
    <xdr:sp macro="" textlink="">
      <xdr:nvSpPr>
        <xdr:cNvPr id="3454" name="Arrow: Down 3453">
          <a:extLst>
            <a:ext uri="{FF2B5EF4-FFF2-40B4-BE49-F238E27FC236}">
              <a16:creationId xmlns:a16="http://schemas.microsoft.com/office/drawing/2014/main" id="{BECC0E98-CC2B-4C36-B026-682F6B5F9B85}"/>
            </a:ext>
          </a:extLst>
        </xdr:cNvPr>
        <xdr:cNvSpPr/>
      </xdr:nvSpPr>
      <xdr:spPr>
        <a:xfrm rot="10800000">
          <a:off x="1901952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462</xdr:row>
      <xdr:rowOff>0</xdr:rowOff>
    </xdr:from>
    <xdr:to>
      <xdr:col>45</xdr:col>
      <xdr:colOff>83820</xdr:colOff>
      <xdr:row>462</xdr:row>
      <xdr:rowOff>114300</xdr:rowOff>
    </xdr:to>
    <xdr:sp macro="" textlink="">
      <xdr:nvSpPr>
        <xdr:cNvPr id="3455" name="Arrow: Down 3454">
          <a:extLst>
            <a:ext uri="{FF2B5EF4-FFF2-40B4-BE49-F238E27FC236}">
              <a16:creationId xmlns:a16="http://schemas.microsoft.com/office/drawing/2014/main" id="{4D175B64-32DC-4DA5-9CFB-3ED62DF75D84}"/>
            </a:ext>
          </a:extLst>
        </xdr:cNvPr>
        <xdr:cNvSpPr/>
      </xdr:nvSpPr>
      <xdr:spPr>
        <a:xfrm rot="10800000">
          <a:off x="13403580" y="8440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462</xdr:row>
      <xdr:rowOff>0</xdr:rowOff>
    </xdr:from>
    <xdr:to>
      <xdr:col>71</xdr:col>
      <xdr:colOff>83820</xdr:colOff>
      <xdr:row>462</xdr:row>
      <xdr:rowOff>114300</xdr:rowOff>
    </xdr:to>
    <xdr:sp macro="" textlink="">
      <xdr:nvSpPr>
        <xdr:cNvPr id="3456" name="Arrow: Down 3455">
          <a:extLst>
            <a:ext uri="{FF2B5EF4-FFF2-40B4-BE49-F238E27FC236}">
              <a16:creationId xmlns:a16="http://schemas.microsoft.com/office/drawing/2014/main" id="{C751FB33-D82B-4D61-8577-39DA089B2AAF}"/>
            </a:ext>
          </a:extLst>
        </xdr:cNvPr>
        <xdr:cNvSpPr/>
      </xdr:nvSpPr>
      <xdr:spPr>
        <a:xfrm>
          <a:off x="21572220" y="8440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83820</xdr:colOff>
      <xdr:row>462</xdr:row>
      <xdr:rowOff>114300</xdr:rowOff>
    </xdr:to>
    <xdr:sp macro="" textlink="">
      <xdr:nvSpPr>
        <xdr:cNvPr id="3458" name="Arrow: Down 3457">
          <a:extLst>
            <a:ext uri="{FF2B5EF4-FFF2-40B4-BE49-F238E27FC236}">
              <a16:creationId xmlns:a16="http://schemas.microsoft.com/office/drawing/2014/main" id="{6CE73B03-E6EB-41D5-8758-EC73FAF6863F}"/>
            </a:ext>
          </a:extLst>
        </xdr:cNvPr>
        <xdr:cNvSpPr/>
      </xdr:nvSpPr>
      <xdr:spPr>
        <a:xfrm rot="10800000">
          <a:off x="833628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462</xdr:row>
      <xdr:rowOff>0</xdr:rowOff>
    </xdr:from>
    <xdr:to>
      <xdr:col>11</xdr:col>
      <xdr:colOff>83820</xdr:colOff>
      <xdr:row>462</xdr:row>
      <xdr:rowOff>114300</xdr:rowOff>
    </xdr:to>
    <xdr:sp macro="" textlink="">
      <xdr:nvSpPr>
        <xdr:cNvPr id="3459" name="Arrow: Down 3458">
          <a:extLst>
            <a:ext uri="{FF2B5EF4-FFF2-40B4-BE49-F238E27FC236}">
              <a16:creationId xmlns:a16="http://schemas.microsoft.com/office/drawing/2014/main" id="{E53C6A5E-0ED7-4E02-AF94-8F3AE1CD3064}"/>
            </a:ext>
          </a:extLst>
        </xdr:cNvPr>
        <xdr:cNvSpPr/>
      </xdr:nvSpPr>
      <xdr:spPr>
        <a:xfrm rot="10800000">
          <a:off x="369570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462</xdr:row>
      <xdr:rowOff>0</xdr:rowOff>
    </xdr:from>
    <xdr:to>
      <xdr:col>5</xdr:col>
      <xdr:colOff>83820</xdr:colOff>
      <xdr:row>462</xdr:row>
      <xdr:rowOff>114300</xdr:rowOff>
    </xdr:to>
    <xdr:sp macro="" textlink="">
      <xdr:nvSpPr>
        <xdr:cNvPr id="3460" name="Arrow: Down 3459">
          <a:extLst>
            <a:ext uri="{FF2B5EF4-FFF2-40B4-BE49-F238E27FC236}">
              <a16:creationId xmlns:a16="http://schemas.microsoft.com/office/drawing/2014/main" id="{9DFD181C-91D9-4A49-807F-7CE6F004721A}"/>
            </a:ext>
          </a:extLst>
        </xdr:cNvPr>
        <xdr:cNvSpPr/>
      </xdr:nvSpPr>
      <xdr:spPr>
        <a:xfrm rot="10800000">
          <a:off x="192786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462</xdr:row>
      <xdr:rowOff>0</xdr:rowOff>
    </xdr:from>
    <xdr:to>
      <xdr:col>60</xdr:col>
      <xdr:colOff>83820</xdr:colOff>
      <xdr:row>462</xdr:row>
      <xdr:rowOff>114300</xdr:rowOff>
    </xdr:to>
    <xdr:sp macro="" textlink="">
      <xdr:nvSpPr>
        <xdr:cNvPr id="3461" name="Arrow: Down 3460">
          <a:extLst>
            <a:ext uri="{FF2B5EF4-FFF2-40B4-BE49-F238E27FC236}">
              <a16:creationId xmlns:a16="http://schemas.microsoft.com/office/drawing/2014/main" id="{CF8E3492-16F3-4643-8460-410E8339B21E}"/>
            </a:ext>
          </a:extLst>
        </xdr:cNvPr>
        <xdr:cNvSpPr/>
      </xdr:nvSpPr>
      <xdr:spPr>
        <a:xfrm rot="10800000">
          <a:off x="1901952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462</xdr:row>
      <xdr:rowOff>0</xdr:rowOff>
    </xdr:from>
    <xdr:to>
      <xdr:col>39</xdr:col>
      <xdr:colOff>83820</xdr:colOff>
      <xdr:row>462</xdr:row>
      <xdr:rowOff>114300</xdr:rowOff>
    </xdr:to>
    <xdr:sp macro="" textlink="">
      <xdr:nvSpPr>
        <xdr:cNvPr id="3462" name="Arrow: Down 3461">
          <a:extLst>
            <a:ext uri="{FF2B5EF4-FFF2-40B4-BE49-F238E27FC236}">
              <a16:creationId xmlns:a16="http://schemas.microsoft.com/office/drawing/2014/main" id="{5B7095BC-5230-458B-AFC0-7C8A70F58940}"/>
            </a:ext>
          </a:extLst>
        </xdr:cNvPr>
        <xdr:cNvSpPr/>
      </xdr:nvSpPr>
      <xdr:spPr>
        <a:xfrm rot="10800000">
          <a:off x="11544300" y="8458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463</xdr:row>
      <xdr:rowOff>0</xdr:rowOff>
    </xdr:from>
    <xdr:to>
      <xdr:col>45</xdr:col>
      <xdr:colOff>83820</xdr:colOff>
      <xdr:row>463</xdr:row>
      <xdr:rowOff>114300</xdr:rowOff>
    </xdr:to>
    <xdr:sp macro="" textlink="">
      <xdr:nvSpPr>
        <xdr:cNvPr id="3470" name="Arrow: Down 3469">
          <a:extLst>
            <a:ext uri="{FF2B5EF4-FFF2-40B4-BE49-F238E27FC236}">
              <a16:creationId xmlns:a16="http://schemas.microsoft.com/office/drawing/2014/main" id="{4B10298E-D75C-4042-9E50-B7E4465DEF34}"/>
            </a:ext>
          </a:extLst>
        </xdr:cNvPr>
        <xdr:cNvSpPr/>
      </xdr:nvSpPr>
      <xdr:spPr>
        <a:xfrm rot="10800000">
          <a:off x="13403580" y="8458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463</xdr:row>
      <xdr:rowOff>0</xdr:rowOff>
    </xdr:from>
    <xdr:to>
      <xdr:col>71</xdr:col>
      <xdr:colOff>83820</xdr:colOff>
      <xdr:row>463</xdr:row>
      <xdr:rowOff>114300</xdr:rowOff>
    </xdr:to>
    <xdr:sp macro="" textlink="">
      <xdr:nvSpPr>
        <xdr:cNvPr id="3471" name="Arrow: Down 3470">
          <a:extLst>
            <a:ext uri="{FF2B5EF4-FFF2-40B4-BE49-F238E27FC236}">
              <a16:creationId xmlns:a16="http://schemas.microsoft.com/office/drawing/2014/main" id="{CDCD60A8-1DDE-49F8-A5C4-0034678ADEF3}"/>
            </a:ext>
          </a:extLst>
        </xdr:cNvPr>
        <xdr:cNvSpPr/>
      </xdr:nvSpPr>
      <xdr:spPr>
        <a:xfrm>
          <a:off x="21572220" y="8458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463</xdr:row>
      <xdr:rowOff>0</xdr:rowOff>
    </xdr:from>
    <xdr:to>
      <xdr:col>60</xdr:col>
      <xdr:colOff>83820</xdr:colOff>
      <xdr:row>463</xdr:row>
      <xdr:rowOff>114300</xdr:rowOff>
    </xdr:to>
    <xdr:sp macro="" textlink="">
      <xdr:nvSpPr>
        <xdr:cNvPr id="3477" name="Arrow: Down 3476">
          <a:extLst>
            <a:ext uri="{FF2B5EF4-FFF2-40B4-BE49-F238E27FC236}">
              <a16:creationId xmlns:a16="http://schemas.microsoft.com/office/drawing/2014/main" id="{370AF633-705A-4997-9CBB-7F7A41A2C8BD}"/>
            </a:ext>
          </a:extLst>
        </xdr:cNvPr>
        <xdr:cNvSpPr/>
      </xdr:nvSpPr>
      <xdr:spPr>
        <a:xfrm>
          <a:off x="1901952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463</xdr:row>
      <xdr:rowOff>0</xdr:rowOff>
    </xdr:from>
    <xdr:to>
      <xdr:col>39</xdr:col>
      <xdr:colOff>83820</xdr:colOff>
      <xdr:row>463</xdr:row>
      <xdr:rowOff>114300</xdr:rowOff>
    </xdr:to>
    <xdr:sp macro="" textlink="">
      <xdr:nvSpPr>
        <xdr:cNvPr id="3479" name="Arrow: Down 3478">
          <a:extLst>
            <a:ext uri="{FF2B5EF4-FFF2-40B4-BE49-F238E27FC236}">
              <a16:creationId xmlns:a16="http://schemas.microsoft.com/office/drawing/2014/main" id="{4DDBA5D9-E836-4924-BE83-26CA36F1BAE6}"/>
            </a:ext>
          </a:extLst>
        </xdr:cNvPr>
        <xdr:cNvSpPr/>
      </xdr:nvSpPr>
      <xdr:spPr>
        <a:xfrm>
          <a:off x="11544300" y="8477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463</xdr:row>
      <xdr:rowOff>0</xdr:rowOff>
    </xdr:from>
    <xdr:to>
      <xdr:col>11</xdr:col>
      <xdr:colOff>83820</xdr:colOff>
      <xdr:row>463</xdr:row>
      <xdr:rowOff>114300</xdr:rowOff>
    </xdr:to>
    <xdr:sp macro="" textlink="">
      <xdr:nvSpPr>
        <xdr:cNvPr id="3480" name="Arrow: Down 3479">
          <a:extLst>
            <a:ext uri="{FF2B5EF4-FFF2-40B4-BE49-F238E27FC236}">
              <a16:creationId xmlns:a16="http://schemas.microsoft.com/office/drawing/2014/main" id="{D44148D9-C637-4C77-B024-9C1D2B0F1233}"/>
            </a:ext>
          </a:extLst>
        </xdr:cNvPr>
        <xdr:cNvSpPr/>
      </xdr:nvSpPr>
      <xdr:spPr>
        <a:xfrm>
          <a:off x="369570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463</xdr:row>
      <xdr:rowOff>0</xdr:rowOff>
    </xdr:from>
    <xdr:to>
      <xdr:col>5</xdr:col>
      <xdr:colOff>83820</xdr:colOff>
      <xdr:row>463</xdr:row>
      <xdr:rowOff>114300</xdr:rowOff>
    </xdr:to>
    <xdr:sp macro="" textlink="">
      <xdr:nvSpPr>
        <xdr:cNvPr id="3481" name="Arrow: Down 3480">
          <a:extLst>
            <a:ext uri="{FF2B5EF4-FFF2-40B4-BE49-F238E27FC236}">
              <a16:creationId xmlns:a16="http://schemas.microsoft.com/office/drawing/2014/main" id="{C2CB8C2B-376A-436F-A869-71C82656FE1B}"/>
            </a:ext>
          </a:extLst>
        </xdr:cNvPr>
        <xdr:cNvSpPr/>
      </xdr:nvSpPr>
      <xdr:spPr>
        <a:xfrm>
          <a:off x="192786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83820</xdr:colOff>
      <xdr:row>463</xdr:row>
      <xdr:rowOff>114300</xdr:rowOff>
    </xdr:to>
    <xdr:sp macro="" textlink="">
      <xdr:nvSpPr>
        <xdr:cNvPr id="3482" name="Arrow: Down 3481">
          <a:extLst>
            <a:ext uri="{FF2B5EF4-FFF2-40B4-BE49-F238E27FC236}">
              <a16:creationId xmlns:a16="http://schemas.microsoft.com/office/drawing/2014/main" id="{2155E922-3C55-4591-B54E-FD0788B736F1}"/>
            </a:ext>
          </a:extLst>
        </xdr:cNvPr>
        <xdr:cNvSpPr/>
      </xdr:nvSpPr>
      <xdr:spPr>
        <a:xfrm>
          <a:off x="833628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464</xdr:row>
      <xdr:rowOff>0</xdr:rowOff>
    </xdr:from>
    <xdr:to>
      <xdr:col>45</xdr:col>
      <xdr:colOff>83820</xdr:colOff>
      <xdr:row>464</xdr:row>
      <xdr:rowOff>114300</xdr:rowOff>
    </xdr:to>
    <xdr:sp macro="" textlink="">
      <xdr:nvSpPr>
        <xdr:cNvPr id="3483" name="Arrow: Down 3482">
          <a:extLst>
            <a:ext uri="{FF2B5EF4-FFF2-40B4-BE49-F238E27FC236}">
              <a16:creationId xmlns:a16="http://schemas.microsoft.com/office/drawing/2014/main" id="{18919509-0185-42CA-A85F-089F3F7A316E}"/>
            </a:ext>
          </a:extLst>
        </xdr:cNvPr>
        <xdr:cNvSpPr/>
      </xdr:nvSpPr>
      <xdr:spPr>
        <a:xfrm rot="10800000">
          <a:off x="1340358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464</xdr:row>
      <xdr:rowOff>0</xdr:rowOff>
    </xdr:from>
    <xdr:to>
      <xdr:col>71</xdr:col>
      <xdr:colOff>83820</xdr:colOff>
      <xdr:row>464</xdr:row>
      <xdr:rowOff>114300</xdr:rowOff>
    </xdr:to>
    <xdr:sp macro="" textlink="">
      <xdr:nvSpPr>
        <xdr:cNvPr id="3484" name="Arrow: Down 3483">
          <a:extLst>
            <a:ext uri="{FF2B5EF4-FFF2-40B4-BE49-F238E27FC236}">
              <a16:creationId xmlns:a16="http://schemas.microsoft.com/office/drawing/2014/main" id="{9BA876B1-A549-48AA-A437-EB1FB7D0E68F}"/>
            </a:ext>
          </a:extLst>
        </xdr:cNvPr>
        <xdr:cNvSpPr/>
      </xdr:nvSpPr>
      <xdr:spPr>
        <a:xfrm>
          <a:off x="2157222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464</xdr:row>
      <xdr:rowOff>0</xdr:rowOff>
    </xdr:from>
    <xdr:to>
      <xdr:col>60</xdr:col>
      <xdr:colOff>83820</xdr:colOff>
      <xdr:row>464</xdr:row>
      <xdr:rowOff>114300</xdr:rowOff>
    </xdr:to>
    <xdr:sp macro="" textlink="">
      <xdr:nvSpPr>
        <xdr:cNvPr id="3485" name="Arrow: Down 3484">
          <a:extLst>
            <a:ext uri="{FF2B5EF4-FFF2-40B4-BE49-F238E27FC236}">
              <a16:creationId xmlns:a16="http://schemas.microsoft.com/office/drawing/2014/main" id="{2F2C1BF7-8106-42CE-A4D7-B9EE9A8F4C2C}"/>
            </a:ext>
          </a:extLst>
        </xdr:cNvPr>
        <xdr:cNvSpPr/>
      </xdr:nvSpPr>
      <xdr:spPr>
        <a:xfrm>
          <a:off x="1901952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464</xdr:row>
      <xdr:rowOff>0</xdr:rowOff>
    </xdr:from>
    <xdr:to>
      <xdr:col>11</xdr:col>
      <xdr:colOff>83820</xdr:colOff>
      <xdr:row>464</xdr:row>
      <xdr:rowOff>114300</xdr:rowOff>
    </xdr:to>
    <xdr:sp macro="" textlink="">
      <xdr:nvSpPr>
        <xdr:cNvPr id="3487" name="Arrow: Down 3486">
          <a:extLst>
            <a:ext uri="{FF2B5EF4-FFF2-40B4-BE49-F238E27FC236}">
              <a16:creationId xmlns:a16="http://schemas.microsoft.com/office/drawing/2014/main" id="{7AC225A9-AF3B-475E-9C62-90ACBAA50DB1}"/>
            </a:ext>
          </a:extLst>
        </xdr:cNvPr>
        <xdr:cNvSpPr/>
      </xdr:nvSpPr>
      <xdr:spPr>
        <a:xfrm>
          <a:off x="369570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464</xdr:row>
      <xdr:rowOff>0</xdr:rowOff>
    </xdr:from>
    <xdr:to>
      <xdr:col>5</xdr:col>
      <xdr:colOff>83820</xdr:colOff>
      <xdr:row>464</xdr:row>
      <xdr:rowOff>114300</xdr:rowOff>
    </xdr:to>
    <xdr:sp macro="" textlink="">
      <xdr:nvSpPr>
        <xdr:cNvPr id="3488" name="Arrow: Down 3487">
          <a:extLst>
            <a:ext uri="{FF2B5EF4-FFF2-40B4-BE49-F238E27FC236}">
              <a16:creationId xmlns:a16="http://schemas.microsoft.com/office/drawing/2014/main" id="{4E13ECE5-E21B-4E11-8BFE-98DAF8027DF9}"/>
            </a:ext>
          </a:extLst>
        </xdr:cNvPr>
        <xdr:cNvSpPr/>
      </xdr:nvSpPr>
      <xdr:spPr>
        <a:xfrm>
          <a:off x="192786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464</xdr:row>
      <xdr:rowOff>0</xdr:rowOff>
    </xdr:from>
    <xdr:to>
      <xdr:col>39</xdr:col>
      <xdr:colOff>83820</xdr:colOff>
      <xdr:row>464</xdr:row>
      <xdr:rowOff>114300</xdr:rowOff>
    </xdr:to>
    <xdr:sp macro="" textlink="">
      <xdr:nvSpPr>
        <xdr:cNvPr id="3490" name="Arrow: Down 3489">
          <a:extLst>
            <a:ext uri="{FF2B5EF4-FFF2-40B4-BE49-F238E27FC236}">
              <a16:creationId xmlns:a16="http://schemas.microsoft.com/office/drawing/2014/main" id="{0B42C494-EFFA-4939-8239-52DA81286B8D}"/>
            </a:ext>
          </a:extLst>
        </xdr:cNvPr>
        <xdr:cNvSpPr/>
      </xdr:nvSpPr>
      <xdr:spPr>
        <a:xfrm rot="10800000">
          <a:off x="1154430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464</xdr:row>
      <xdr:rowOff>0</xdr:rowOff>
    </xdr:from>
    <xdr:to>
      <xdr:col>24</xdr:col>
      <xdr:colOff>83820</xdr:colOff>
      <xdr:row>464</xdr:row>
      <xdr:rowOff>114300</xdr:rowOff>
    </xdr:to>
    <xdr:sp macro="" textlink="">
      <xdr:nvSpPr>
        <xdr:cNvPr id="3491" name="Arrow: Down 3490">
          <a:extLst>
            <a:ext uri="{FF2B5EF4-FFF2-40B4-BE49-F238E27FC236}">
              <a16:creationId xmlns:a16="http://schemas.microsoft.com/office/drawing/2014/main" id="{A62976FB-D329-47E4-8154-80E714205F44}"/>
            </a:ext>
          </a:extLst>
        </xdr:cNvPr>
        <xdr:cNvSpPr/>
      </xdr:nvSpPr>
      <xdr:spPr>
        <a:xfrm rot="10800000">
          <a:off x="8336280" y="8495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465</xdr:row>
      <xdr:rowOff>0</xdr:rowOff>
    </xdr:from>
    <xdr:to>
      <xdr:col>45</xdr:col>
      <xdr:colOff>83820</xdr:colOff>
      <xdr:row>465</xdr:row>
      <xdr:rowOff>114300</xdr:rowOff>
    </xdr:to>
    <xdr:sp macro="" textlink="">
      <xdr:nvSpPr>
        <xdr:cNvPr id="3499" name="Arrow: Down 3498">
          <a:extLst>
            <a:ext uri="{FF2B5EF4-FFF2-40B4-BE49-F238E27FC236}">
              <a16:creationId xmlns:a16="http://schemas.microsoft.com/office/drawing/2014/main" id="{5C435D50-9121-463C-9E9C-80040EB08A94}"/>
            </a:ext>
          </a:extLst>
        </xdr:cNvPr>
        <xdr:cNvSpPr/>
      </xdr:nvSpPr>
      <xdr:spPr>
        <a:xfrm rot="10800000">
          <a:off x="1340358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465</xdr:row>
      <xdr:rowOff>0</xdr:rowOff>
    </xdr:from>
    <xdr:to>
      <xdr:col>71</xdr:col>
      <xdr:colOff>83820</xdr:colOff>
      <xdr:row>465</xdr:row>
      <xdr:rowOff>114300</xdr:rowOff>
    </xdr:to>
    <xdr:sp macro="" textlink="">
      <xdr:nvSpPr>
        <xdr:cNvPr id="3500" name="Arrow: Down 3499">
          <a:extLst>
            <a:ext uri="{FF2B5EF4-FFF2-40B4-BE49-F238E27FC236}">
              <a16:creationId xmlns:a16="http://schemas.microsoft.com/office/drawing/2014/main" id="{554A437A-8381-40B3-9A70-63C1A4C88B97}"/>
            </a:ext>
          </a:extLst>
        </xdr:cNvPr>
        <xdr:cNvSpPr/>
      </xdr:nvSpPr>
      <xdr:spPr>
        <a:xfrm>
          <a:off x="2157222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465</xdr:row>
      <xdr:rowOff>0</xdr:rowOff>
    </xdr:from>
    <xdr:to>
      <xdr:col>11</xdr:col>
      <xdr:colOff>83820</xdr:colOff>
      <xdr:row>465</xdr:row>
      <xdr:rowOff>114300</xdr:rowOff>
    </xdr:to>
    <xdr:sp macro="" textlink="">
      <xdr:nvSpPr>
        <xdr:cNvPr id="3502" name="Arrow: Down 3501">
          <a:extLst>
            <a:ext uri="{FF2B5EF4-FFF2-40B4-BE49-F238E27FC236}">
              <a16:creationId xmlns:a16="http://schemas.microsoft.com/office/drawing/2014/main" id="{F36004C5-DCC3-42E8-B6D7-C664D917D85C}"/>
            </a:ext>
          </a:extLst>
        </xdr:cNvPr>
        <xdr:cNvSpPr/>
      </xdr:nvSpPr>
      <xdr:spPr>
        <a:xfrm>
          <a:off x="369570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465</xdr:row>
      <xdr:rowOff>0</xdr:rowOff>
    </xdr:from>
    <xdr:to>
      <xdr:col>5</xdr:col>
      <xdr:colOff>83820</xdr:colOff>
      <xdr:row>465</xdr:row>
      <xdr:rowOff>114300</xdr:rowOff>
    </xdr:to>
    <xdr:sp macro="" textlink="">
      <xdr:nvSpPr>
        <xdr:cNvPr id="3503" name="Arrow: Down 3502">
          <a:extLst>
            <a:ext uri="{FF2B5EF4-FFF2-40B4-BE49-F238E27FC236}">
              <a16:creationId xmlns:a16="http://schemas.microsoft.com/office/drawing/2014/main" id="{BB1E346E-13C9-4307-9220-3C33B9A2D761}"/>
            </a:ext>
          </a:extLst>
        </xdr:cNvPr>
        <xdr:cNvSpPr/>
      </xdr:nvSpPr>
      <xdr:spPr>
        <a:xfrm>
          <a:off x="192786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83820</xdr:colOff>
      <xdr:row>465</xdr:row>
      <xdr:rowOff>114300</xdr:rowOff>
    </xdr:to>
    <xdr:sp macro="" textlink="">
      <xdr:nvSpPr>
        <xdr:cNvPr id="3506" name="Arrow: Down 3505">
          <a:extLst>
            <a:ext uri="{FF2B5EF4-FFF2-40B4-BE49-F238E27FC236}">
              <a16:creationId xmlns:a16="http://schemas.microsoft.com/office/drawing/2014/main" id="{4D583BC9-35B8-4655-80DB-8E4618E5179C}"/>
            </a:ext>
          </a:extLst>
        </xdr:cNvPr>
        <xdr:cNvSpPr/>
      </xdr:nvSpPr>
      <xdr:spPr>
        <a:xfrm>
          <a:off x="833628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465</xdr:row>
      <xdr:rowOff>0</xdr:rowOff>
    </xdr:from>
    <xdr:to>
      <xdr:col>60</xdr:col>
      <xdr:colOff>83820</xdr:colOff>
      <xdr:row>465</xdr:row>
      <xdr:rowOff>114300</xdr:rowOff>
    </xdr:to>
    <xdr:sp macro="" textlink="">
      <xdr:nvSpPr>
        <xdr:cNvPr id="3508" name="Arrow: Down 3507">
          <a:extLst>
            <a:ext uri="{FF2B5EF4-FFF2-40B4-BE49-F238E27FC236}">
              <a16:creationId xmlns:a16="http://schemas.microsoft.com/office/drawing/2014/main" id="{F7A93087-1E75-4883-B924-FCCA511A9443}"/>
            </a:ext>
          </a:extLst>
        </xdr:cNvPr>
        <xdr:cNvSpPr/>
      </xdr:nvSpPr>
      <xdr:spPr>
        <a:xfrm rot="10800000">
          <a:off x="19019520" y="8513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466</xdr:row>
      <xdr:rowOff>0</xdr:rowOff>
    </xdr:from>
    <xdr:to>
      <xdr:col>45</xdr:col>
      <xdr:colOff>83820</xdr:colOff>
      <xdr:row>466</xdr:row>
      <xdr:rowOff>114300</xdr:rowOff>
    </xdr:to>
    <xdr:sp macro="" textlink="">
      <xdr:nvSpPr>
        <xdr:cNvPr id="3509" name="Arrow: Down 3508">
          <a:extLst>
            <a:ext uri="{FF2B5EF4-FFF2-40B4-BE49-F238E27FC236}">
              <a16:creationId xmlns:a16="http://schemas.microsoft.com/office/drawing/2014/main" id="{01FB9A90-426D-44D6-AE3F-F1DD70884533}"/>
            </a:ext>
          </a:extLst>
        </xdr:cNvPr>
        <xdr:cNvSpPr/>
      </xdr:nvSpPr>
      <xdr:spPr>
        <a:xfrm rot="10800000">
          <a:off x="1340358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466</xdr:row>
      <xdr:rowOff>0</xdr:rowOff>
    </xdr:from>
    <xdr:to>
      <xdr:col>71</xdr:col>
      <xdr:colOff>83820</xdr:colOff>
      <xdr:row>466</xdr:row>
      <xdr:rowOff>114300</xdr:rowOff>
    </xdr:to>
    <xdr:sp macro="" textlink="">
      <xdr:nvSpPr>
        <xdr:cNvPr id="3510" name="Arrow: Down 3509">
          <a:extLst>
            <a:ext uri="{FF2B5EF4-FFF2-40B4-BE49-F238E27FC236}">
              <a16:creationId xmlns:a16="http://schemas.microsoft.com/office/drawing/2014/main" id="{82541B1D-08CE-46A8-B5B7-10ED4738EDFF}"/>
            </a:ext>
          </a:extLst>
        </xdr:cNvPr>
        <xdr:cNvSpPr/>
      </xdr:nvSpPr>
      <xdr:spPr>
        <a:xfrm>
          <a:off x="2157222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466</xdr:row>
      <xdr:rowOff>0</xdr:rowOff>
    </xdr:from>
    <xdr:to>
      <xdr:col>11</xdr:col>
      <xdr:colOff>83820</xdr:colOff>
      <xdr:row>466</xdr:row>
      <xdr:rowOff>114300</xdr:rowOff>
    </xdr:to>
    <xdr:sp macro="" textlink="">
      <xdr:nvSpPr>
        <xdr:cNvPr id="3511" name="Arrow: Down 3510">
          <a:extLst>
            <a:ext uri="{FF2B5EF4-FFF2-40B4-BE49-F238E27FC236}">
              <a16:creationId xmlns:a16="http://schemas.microsoft.com/office/drawing/2014/main" id="{D3EAF3B1-32B4-4647-A905-565EC8B7B4D7}"/>
            </a:ext>
          </a:extLst>
        </xdr:cNvPr>
        <xdr:cNvSpPr/>
      </xdr:nvSpPr>
      <xdr:spPr>
        <a:xfrm>
          <a:off x="369570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466</xdr:row>
      <xdr:rowOff>0</xdr:rowOff>
    </xdr:from>
    <xdr:to>
      <xdr:col>5</xdr:col>
      <xdr:colOff>83820</xdr:colOff>
      <xdr:row>466</xdr:row>
      <xdr:rowOff>114300</xdr:rowOff>
    </xdr:to>
    <xdr:sp macro="" textlink="">
      <xdr:nvSpPr>
        <xdr:cNvPr id="3512" name="Arrow: Down 3511">
          <a:extLst>
            <a:ext uri="{FF2B5EF4-FFF2-40B4-BE49-F238E27FC236}">
              <a16:creationId xmlns:a16="http://schemas.microsoft.com/office/drawing/2014/main" id="{B5CEAAE1-C18A-43AA-A051-7A340D253A08}"/>
            </a:ext>
          </a:extLst>
        </xdr:cNvPr>
        <xdr:cNvSpPr/>
      </xdr:nvSpPr>
      <xdr:spPr>
        <a:xfrm>
          <a:off x="192786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83820</xdr:colOff>
      <xdr:row>466</xdr:row>
      <xdr:rowOff>114300</xdr:rowOff>
    </xdr:to>
    <xdr:sp macro="" textlink="">
      <xdr:nvSpPr>
        <xdr:cNvPr id="3514" name="Arrow: Down 3513">
          <a:extLst>
            <a:ext uri="{FF2B5EF4-FFF2-40B4-BE49-F238E27FC236}">
              <a16:creationId xmlns:a16="http://schemas.microsoft.com/office/drawing/2014/main" id="{540A3675-D54D-4756-AABF-070B2FD6AD5E}"/>
            </a:ext>
          </a:extLst>
        </xdr:cNvPr>
        <xdr:cNvSpPr/>
      </xdr:nvSpPr>
      <xdr:spPr>
        <a:xfrm>
          <a:off x="833628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465</xdr:row>
      <xdr:rowOff>0</xdr:rowOff>
    </xdr:from>
    <xdr:to>
      <xdr:col>39</xdr:col>
      <xdr:colOff>83820</xdr:colOff>
      <xdr:row>465</xdr:row>
      <xdr:rowOff>114300</xdr:rowOff>
    </xdr:to>
    <xdr:sp macro="" textlink="">
      <xdr:nvSpPr>
        <xdr:cNvPr id="3516" name="Arrow: Down 3515">
          <a:extLst>
            <a:ext uri="{FF2B5EF4-FFF2-40B4-BE49-F238E27FC236}">
              <a16:creationId xmlns:a16="http://schemas.microsoft.com/office/drawing/2014/main" id="{9EE17BAA-B37C-473B-9E26-0178F8E6F365}"/>
            </a:ext>
          </a:extLst>
        </xdr:cNvPr>
        <xdr:cNvSpPr/>
      </xdr:nvSpPr>
      <xdr:spPr>
        <a:xfrm>
          <a:off x="11544300" y="8513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466</xdr:row>
      <xdr:rowOff>0</xdr:rowOff>
    </xdr:from>
    <xdr:to>
      <xdr:col>39</xdr:col>
      <xdr:colOff>83820</xdr:colOff>
      <xdr:row>466</xdr:row>
      <xdr:rowOff>114300</xdr:rowOff>
    </xdr:to>
    <xdr:sp macro="" textlink="">
      <xdr:nvSpPr>
        <xdr:cNvPr id="3518" name="Arrow: Down 3517">
          <a:extLst>
            <a:ext uri="{FF2B5EF4-FFF2-40B4-BE49-F238E27FC236}">
              <a16:creationId xmlns:a16="http://schemas.microsoft.com/office/drawing/2014/main" id="{77CC3891-E75C-4F6D-B77B-67DF79257C56}"/>
            </a:ext>
          </a:extLst>
        </xdr:cNvPr>
        <xdr:cNvSpPr/>
      </xdr:nvSpPr>
      <xdr:spPr>
        <a:xfrm>
          <a:off x="11544300" y="8532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466</xdr:row>
      <xdr:rowOff>0</xdr:rowOff>
    </xdr:from>
    <xdr:to>
      <xdr:col>60</xdr:col>
      <xdr:colOff>83820</xdr:colOff>
      <xdr:row>466</xdr:row>
      <xdr:rowOff>114300</xdr:rowOff>
    </xdr:to>
    <xdr:sp macro="" textlink="">
      <xdr:nvSpPr>
        <xdr:cNvPr id="3519" name="Arrow: Down 3518">
          <a:extLst>
            <a:ext uri="{FF2B5EF4-FFF2-40B4-BE49-F238E27FC236}">
              <a16:creationId xmlns:a16="http://schemas.microsoft.com/office/drawing/2014/main" id="{4D322D97-5441-49EE-8CA2-C7C8B1A23444}"/>
            </a:ext>
          </a:extLst>
        </xdr:cNvPr>
        <xdr:cNvSpPr/>
      </xdr:nvSpPr>
      <xdr:spPr>
        <a:xfrm>
          <a:off x="1901952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467</xdr:row>
      <xdr:rowOff>0</xdr:rowOff>
    </xdr:from>
    <xdr:to>
      <xdr:col>45</xdr:col>
      <xdr:colOff>83820</xdr:colOff>
      <xdr:row>467</xdr:row>
      <xdr:rowOff>114300</xdr:rowOff>
    </xdr:to>
    <xdr:sp macro="" textlink="">
      <xdr:nvSpPr>
        <xdr:cNvPr id="3520" name="Arrow: Down 3519">
          <a:extLst>
            <a:ext uri="{FF2B5EF4-FFF2-40B4-BE49-F238E27FC236}">
              <a16:creationId xmlns:a16="http://schemas.microsoft.com/office/drawing/2014/main" id="{4DB2C61E-572F-42EF-B814-2CF352E4E629}"/>
            </a:ext>
          </a:extLst>
        </xdr:cNvPr>
        <xdr:cNvSpPr/>
      </xdr:nvSpPr>
      <xdr:spPr>
        <a:xfrm rot="10800000">
          <a:off x="1340358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467</xdr:row>
      <xdr:rowOff>0</xdr:rowOff>
    </xdr:from>
    <xdr:to>
      <xdr:col>71</xdr:col>
      <xdr:colOff>83820</xdr:colOff>
      <xdr:row>467</xdr:row>
      <xdr:rowOff>114300</xdr:rowOff>
    </xdr:to>
    <xdr:sp macro="" textlink="">
      <xdr:nvSpPr>
        <xdr:cNvPr id="3521" name="Arrow: Down 3520">
          <a:extLst>
            <a:ext uri="{FF2B5EF4-FFF2-40B4-BE49-F238E27FC236}">
              <a16:creationId xmlns:a16="http://schemas.microsoft.com/office/drawing/2014/main" id="{A19886C6-0FDE-4135-874E-E41DB2CE514A}"/>
            </a:ext>
          </a:extLst>
        </xdr:cNvPr>
        <xdr:cNvSpPr/>
      </xdr:nvSpPr>
      <xdr:spPr>
        <a:xfrm>
          <a:off x="2157222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467</xdr:row>
      <xdr:rowOff>0</xdr:rowOff>
    </xdr:from>
    <xdr:to>
      <xdr:col>60</xdr:col>
      <xdr:colOff>83820</xdr:colOff>
      <xdr:row>467</xdr:row>
      <xdr:rowOff>114300</xdr:rowOff>
    </xdr:to>
    <xdr:sp macro="" textlink="">
      <xdr:nvSpPr>
        <xdr:cNvPr id="3526" name="Arrow: Down 3525">
          <a:extLst>
            <a:ext uri="{FF2B5EF4-FFF2-40B4-BE49-F238E27FC236}">
              <a16:creationId xmlns:a16="http://schemas.microsoft.com/office/drawing/2014/main" id="{47121494-9B16-41F2-8F3A-878967ADF76B}"/>
            </a:ext>
          </a:extLst>
        </xdr:cNvPr>
        <xdr:cNvSpPr/>
      </xdr:nvSpPr>
      <xdr:spPr>
        <a:xfrm>
          <a:off x="1901952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467</xdr:row>
      <xdr:rowOff>0</xdr:rowOff>
    </xdr:from>
    <xdr:to>
      <xdr:col>39</xdr:col>
      <xdr:colOff>83820</xdr:colOff>
      <xdr:row>467</xdr:row>
      <xdr:rowOff>114300</xdr:rowOff>
    </xdr:to>
    <xdr:sp macro="" textlink="">
      <xdr:nvSpPr>
        <xdr:cNvPr id="3527" name="Arrow: Down 3526">
          <a:extLst>
            <a:ext uri="{FF2B5EF4-FFF2-40B4-BE49-F238E27FC236}">
              <a16:creationId xmlns:a16="http://schemas.microsoft.com/office/drawing/2014/main" id="{913B3048-FCF9-4C5F-B24F-36170700447F}"/>
            </a:ext>
          </a:extLst>
        </xdr:cNvPr>
        <xdr:cNvSpPr/>
      </xdr:nvSpPr>
      <xdr:spPr>
        <a:xfrm rot="10800000">
          <a:off x="11544300" y="8550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467</xdr:row>
      <xdr:rowOff>0</xdr:rowOff>
    </xdr:from>
    <xdr:to>
      <xdr:col>24</xdr:col>
      <xdr:colOff>83820</xdr:colOff>
      <xdr:row>467</xdr:row>
      <xdr:rowOff>114300</xdr:rowOff>
    </xdr:to>
    <xdr:sp macro="" textlink="">
      <xdr:nvSpPr>
        <xdr:cNvPr id="3528" name="Arrow: Down 3527">
          <a:extLst>
            <a:ext uri="{FF2B5EF4-FFF2-40B4-BE49-F238E27FC236}">
              <a16:creationId xmlns:a16="http://schemas.microsoft.com/office/drawing/2014/main" id="{EF64BE4F-2D22-426C-B6CB-FBF3005D585A}"/>
            </a:ext>
          </a:extLst>
        </xdr:cNvPr>
        <xdr:cNvSpPr/>
      </xdr:nvSpPr>
      <xdr:spPr>
        <a:xfrm rot="10800000">
          <a:off x="833628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467</xdr:row>
      <xdr:rowOff>0</xdr:rowOff>
    </xdr:from>
    <xdr:to>
      <xdr:col>11</xdr:col>
      <xdr:colOff>83820</xdr:colOff>
      <xdr:row>467</xdr:row>
      <xdr:rowOff>114300</xdr:rowOff>
    </xdr:to>
    <xdr:sp macro="" textlink="">
      <xdr:nvSpPr>
        <xdr:cNvPr id="3530" name="Arrow: Down 3529">
          <a:extLst>
            <a:ext uri="{FF2B5EF4-FFF2-40B4-BE49-F238E27FC236}">
              <a16:creationId xmlns:a16="http://schemas.microsoft.com/office/drawing/2014/main" id="{27642B88-020F-4F9C-AF0A-033BDE10C27F}"/>
            </a:ext>
          </a:extLst>
        </xdr:cNvPr>
        <xdr:cNvSpPr/>
      </xdr:nvSpPr>
      <xdr:spPr>
        <a:xfrm rot="10800000">
          <a:off x="369570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467</xdr:row>
      <xdr:rowOff>0</xdr:rowOff>
    </xdr:from>
    <xdr:to>
      <xdr:col>5</xdr:col>
      <xdr:colOff>83820</xdr:colOff>
      <xdr:row>467</xdr:row>
      <xdr:rowOff>114300</xdr:rowOff>
    </xdr:to>
    <xdr:sp macro="" textlink="">
      <xdr:nvSpPr>
        <xdr:cNvPr id="3532" name="Arrow: Down 3531">
          <a:extLst>
            <a:ext uri="{FF2B5EF4-FFF2-40B4-BE49-F238E27FC236}">
              <a16:creationId xmlns:a16="http://schemas.microsoft.com/office/drawing/2014/main" id="{380B5391-D010-4289-AE74-9A6BEBBC9B4A}"/>
            </a:ext>
          </a:extLst>
        </xdr:cNvPr>
        <xdr:cNvSpPr/>
      </xdr:nvSpPr>
      <xdr:spPr>
        <a:xfrm rot="10800000">
          <a:off x="192786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468</xdr:row>
      <xdr:rowOff>0</xdr:rowOff>
    </xdr:from>
    <xdr:to>
      <xdr:col>45</xdr:col>
      <xdr:colOff>83820</xdr:colOff>
      <xdr:row>468</xdr:row>
      <xdr:rowOff>114300</xdr:rowOff>
    </xdr:to>
    <xdr:sp macro="" textlink="">
      <xdr:nvSpPr>
        <xdr:cNvPr id="3533" name="Arrow: Down 3532">
          <a:extLst>
            <a:ext uri="{FF2B5EF4-FFF2-40B4-BE49-F238E27FC236}">
              <a16:creationId xmlns:a16="http://schemas.microsoft.com/office/drawing/2014/main" id="{8A3DF7F3-F705-4187-A8A0-896E01D53A4D}"/>
            </a:ext>
          </a:extLst>
        </xdr:cNvPr>
        <xdr:cNvSpPr/>
      </xdr:nvSpPr>
      <xdr:spPr>
        <a:xfrm rot="10800000">
          <a:off x="13403580" y="8550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468</xdr:row>
      <xdr:rowOff>0</xdr:rowOff>
    </xdr:from>
    <xdr:to>
      <xdr:col>71</xdr:col>
      <xdr:colOff>83820</xdr:colOff>
      <xdr:row>468</xdr:row>
      <xdr:rowOff>114300</xdr:rowOff>
    </xdr:to>
    <xdr:sp macro="" textlink="">
      <xdr:nvSpPr>
        <xdr:cNvPr id="3534" name="Arrow: Down 3533">
          <a:extLst>
            <a:ext uri="{FF2B5EF4-FFF2-40B4-BE49-F238E27FC236}">
              <a16:creationId xmlns:a16="http://schemas.microsoft.com/office/drawing/2014/main" id="{D31536DC-2C84-483C-A1C1-7D4F6F28C9EB}"/>
            </a:ext>
          </a:extLst>
        </xdr:cNvPr>
        <xdr:cNvSpPr/>
      </xdr:nvSpPr>
      <xdr:spPr>
        <a:xfrm>
          <a:off x="21572220" y="8550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83820</xdr:colOff>
      <xdr:row>468</xdr:row>
      <xdr:rowOff>114300</xdr:rowOff>
    </xdr:to>
    <xdr:sp macro="" textlink="">
      <xdr:nvSpPr>
        <xdr:cNvPr id="3537" name="Arrow: Down 3536">
          <a:extLst>
            <a:ext uri="{FF2B5EF4-FFF2-40B4-BE49-F238E27FC236}">
              <a16:creationId xmlns:a16="http://schemas.microsoft.com/office/drawing/2014/main" id="{B8A1FD70-E6B6-46BA-8EC9-637375279229}"/>
            </a:ext>
          </a:extLst>
        </xdr:cNvPr>
        <xdr:cNvSpPr/>
      </xdr:nvSpPr>
      <xdr:spPr>
        <a:xfrm rot="10800000">
          <a:off x="833628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468</xdr:row>
      <xdr:rowOff>0</xdr:rowOff>
    </xdr:from>
    <xdr:to>
      <xdr:col>11</xdr:col>
      <xdr:colOff>83820</xdr:colOff>
      <xdr:row>468</xdr:row>
      <xdr:rowOff>114300</xdr:rowOff>
    </xdr:to>
    <xdr:sp macro="" textlink="">
      <xdr:nvSpPr>
        <xdr:cNvPr id="3538" name="Arrow: Down 3537">
          <a:extLst>
            <a:ext uri="{FF2B5EF4-FFF2-40B4-BE49-F238E27FC236}">
              <a16:creationId xmlns:a16="http://schemas.microsoft.com/office/drawing/2014/main" id="{D1224ECF-8436-49CE-BBCE-23BD8F7E4DC2}"/>
            </a:ext>
          </a:extLst>
        </xdr:cNvPr>
        <xdr:cNvSpPr/>
      </xdr:nvSpPr>
      <xdr:spPr>
        <a:xfrm rot="10800000">
          <a:off x="369570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468</xdr:row>
      <xdr:rowOff>0</xdr:rowOff>
    </xdr:from>
    <xdr:to>
      <xdr:col>5</xdr:col>
      <xdr:colOff>83820</xdr:colOff>
      <xdr:row>468</xdr:row>
      <xdr:rowOff>114300</xdr:rowOff>
    </xdr:to>
    <xdr:sp macro="" textlink="">
      <xdr:nvSpPr>
        <xdr:cNvPr id="3539" name="Arrow: Down 3538">
          <a:extLst>
            <a:ext uri="{FF2B5EF4-FFF2-40B4-BE49-F238E27FC236}">
              <a16:creationId xmlns:a16="http://schemas.microsoft.com/office/drawing/2014/main" id="{ACE784BD-BB8F-4B36-8E1F-C9382CB05C9F}"/>
            </a:ext>
          </a:extLst>
        </xdr:cNvPr>
        <xdr:cNvSpPr/>
      </xdr:nvSpPr>
      <xdr:spPr>
        <a:xfrm rot="10800000">
          <a:off x="192786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468</xdr:row>
      <xdr:rowOff>0</xdr:rowOff>
    </xdr:from>
    <xdr:to>
      <xdr:col>39</xdr:col>
      <xdr:colOff>83820</xdr:colOff>
      <xdr:row>468</xdr:row>
      <xdr:rowOff>114300</xdr:rowOff>
    </xdr:to>
    <xdr:sp macro="" textlink="">
      <xdr:nvSpPr>
        <xdr:cNvPr id="3540" name="Arrow: Down 3539">
          <a:extLst>
            <a:ext uri="{FF2B5EF4-FFF2-40B4-BE49-F238E27FC236}">
              <a16:creationId xmlns:a16="http://schemas.microsoft.com/office/drawing/2014/main" id="{E8FA865E-0960-482E-B402-0BA8B2794891}"/>
            </a:ext>
          </a:extLst>
        </xdr:cNvPr>
        <xdr:cNvSpPr/>
      </xdr:nvSpPr>
      <xdr:spPr>
        <a:xfrm>
          <a:off x="1154430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468</xdr:row>
      <xdr:rowOff>0</xdr:rowOff>
    </xdr:from>
    <xdr:to>
      <xdr:col>60</xdr:col>
      <xdr:colOff>83820</xdr:colOff>
      <xdr:row>468</xdr:row>
      <xdr:rowOff>114300</xdr:rowOff>
    </xdr:to>
    <xdr:sp macro="" textlink="">
      <xdr:nvSpPr>
        <xdr:cNvPr id="3541" name="Arrow: Down 3540">
          <a:extLst>
            <a:ext uri="{FF2B5EF4-FFF2-40B4-BE49-F238E27FC236}">
              <a16:creationId xmlns:a16="http://schemas.microsoft.com/office/drawing/2014/main" id="{AEC458B0-F8C0-4517-84CC-8DA61CC58514}"/>
            </a:ext>
          </a:extLst>
        </xdr:cNvPr>
        <xdr:cNvSpPr/>
      </xdr:nvSpPr>
      <xdr:spPr>
        <a:xfrm rot="10800000">
          <a:off x="1901952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469</xdr:row>
      <xdr:rowOff>0</xdr:rowOff>
    </xdr:from>
    <xdr:to>
      <xdr:col>45</xdr:col>
      <xdr:colOff>83820</xdr:colOff>
      <xdr:row>469</xdr:row>
      <xdr:rowOff>114300</xdr:rowOff>
    </xdr:to>
    <xdr:sp macro="" textlink="">
      <xdr:nvSpPr>
        <xdr:cNvPr id="3542" name="Arrow: Down 3541">
          <a:extLst>
            <a:ext uri="{FF2B5EF4-FFF2-40B4-BE49-F238E27FC236}">
              <a16:creationId xmlns:a16="http://schemas.microsoft.com/office/drawing/2014/main" id="{6E589406-8754-45BB-ACD9-0E1EBC54CE02}"/>
            </a:ext>
          </a:extLst>
        </xdr:cNvPr>
        <xdr:cNvSpPr/>
      </xdr:nvSpPr>
      <xdr:spPr>
        <a:xfrm rot="10800000">
          <a:off x="13403580" y="8568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469</xdr:row>
      <xdr:rowOff>0</xdr:rowOff>
    </xdr:from>
    <xdr:to>
      <xdr:col>71</xdr:col>
      <xdr:colOff>83820</xdr:colOff>
      <xdr:row>469</xdr:row>
      <xdr:rowOff>114300</xdr:rowOff>
    </xdr:to>
    <xdr:sp macro="" textlink="">
      <xdr:nvSpPr>
        <xdr:cNvPr id="3543" name="Arrow: Down 3542">
          <a:extLst>
            <a:ext uri="{FF2B5EF4-FFF2-40B4-BE49-F238E27FC236}">
              <a16:creationId xmlns:a16="http://schemas.microsoft.com/office/drawing/2014/main" id="{D97A8AE4-7FD3-4B15-8A5F-2E6E567936F9}"/>
            </a:ext>
          </a:extLst>
        </xdr:cNvPr>
        <xdr:cNvSpPr/>
      </xdr:nvSpPr>
      <xdr:spPr>
        <a:xfrm>
          <a:off x="21572220" y="8568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83820</xdr:colOff>
      <xdr:row>469</xdr:row>
      <xdr:rowOff>114300</xdr:rowOff>
    </xdr:to>
    <xdr:sp macro="" textlink="">
      <xdr:nvSpPr>
        <xdr:cNvPr id="3544" name="Arrow: Down 3543">
          <a:extLst>
            <a:ext uri="{FF2B5EF4-FFF2-40B4-BE49-F238E27FC236}">
              <a16:creationId xmlns:a16="http://schemas.microsoft.com/office/drawing/2014/main" id="{7F91BDE1-F72F-4E49-9198-8758F25551D2}"/>
            </a:ext>
          </a:extLst>
        </xdr:cNvPr>
        <xdr:cNvSpPr/>
      </xdr:nvSpPr>
      <xdr:spPr>
        <a:xfrm rot="10800000">
          <a:off x="833628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469</xdr:row>
      <xdr:rowOff>0</xdr:rowOff>
    </xdr:from>
    <xdr:to>
      <xdr:col>11</xdr:col>
      <xdr:colOff>83820</xdr:colOff>
      <xdr:row>469</xdr:row>
      <xdr:rowOff>114300</xdr:rowOff>
    </xdr:to>
    <xdr:sp macro="" textlink="">
      <xdr:nvSpPr>
        <xdr:cNvPr id="3545" name="Arrow: Down 3544">
          <a:extLst>
            <a:ext uri="{FF2B5EF4-FFF2-40B4-BE49-F238E27FC236}">
              <a16:creationId xmlns:a16="http://schemas.microsoft.com/office/drawing/2014/main" id="{27C51547-2450-47B0-B5C0-A77EC2DF7480}"/>
            </a:ext>
          </a:extLst>
        </xdr:cNvPr>
        <xdr:cNvSpPr/>
      </xdr:nvSpPr>
      <xdr:spPr>
        <a:xfrm rot="10800000">
          <a:off x="369570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469</xdr:row>
      <xdr:rowOff>0</xdr:rowOff>
    </xdr:from>
    <xdr:to>
      <xdr:col>5</xdr:col>
      <xdr:colOff>83820</xdr:colOff>
      <xdr:row>469</xdr:row>
      <xdr:rowOff>114300</xdr:rowOff>
    </xdr:to>
    <xdr:sp macro="" textlink="">
      <xdr:nvSpPr>
        <xdr:cNvPr id="3546" name="Arrow: Down 3545">
          <a:extLst>
            <a:ext uri="{FF2B5EF4-FFF2-40B4-BE49-F238E27FC236}">
              <a16:creationId xmlns:a16="http://schemas.microsoft.com/office/drawing/2014/main" id="{7AAFBAC0-048C-49C2-8D7D-16D51597BCE1}"/>
            </a:ext>
          </a:extLst>
        </xdr:cNvPr>
        <xdr:cNvSpPr/>
      </xdr:nvSpPr>
      <xdr:spPr>
        <a:xfrm rot="10800000">
          <a:off x="192786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469</xdr:row>
      <xdr:rowOff>0</xdr:rowOff>
    </xdr:from>
    <xdr:to>
      <xdr:col>39</xdr:col>
      <xdr:colOff>83820</xdr:colOff>
      <xdr:row>469</xdr:row>
      <xdr:rowOff>114300</xdr:rowOff>
    </xdr:to>
    <xdr:sp macro="" textlink="">
      <xdr:nvSpPr>
        <xdr:cNvPr id="3547" name="Arrow: Down 3546">
          <a:extLst>
            <a:ext uri="{FF2B5EF4-FFF2-40B4-BE49-F238E27FC236}">
              <a16:creationId xmlns:a16="http://schemas.microsoft.com/office/drawing/2014/main" id="{19AF582D-2C07-453F-A205-30368884B557}"/>
            </a:ext>
          </a:extLst>
        </xdr:cNvPr>
        <xdr:cNvSpPr/>
      </xdr:nvSpPr>
      <xdr:spPr>
        <a:xfrm>
          <a:off x="1154430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469</xdr:row>
      <xdr:rowOff>0</xdr:rowOff>
    </xdr:from>
    <xdr:to>
      <xdr:col>60</xdr:col>
      <xdr:colOff>83820</xdr:colOff>
      <xdr:row>469</xdr:row>
      <xdr:rowOff>114300</xdr:rowOff>
    </xdr:to>
    <xdr:sp macro="" textlink="">
      <xdr:nvSpPr>
        <xdr:cNvPr id="3549" name="Arrow: Down 3548">
          <a:extLst>
            <a:ext uri="{FF2B5EF4-FFF2-40B4-BE49-F238E27FC236}">
              <a16:creationId xmlns:a16="http://schemas.microsoft.com/office/drawing/2014/main" id="{A1A22F3C-511D-46CD-B599-554BAB16ABA5}"/>
            </a:ext>
          </a:extLst>
        </xdr:cNvPr>
        <xdr:cNvSpPr/>
      </xdr:nvSpPr>
      <xdr:spPr>
        <a:xfrm>
          <a:off x="19019520" y="8586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470</xdr:row>
      <xdr:rowOff>0</xdr:rowOff>
    </xdr:from>
    <xdr:to>
      <xdr:col>45</xdr:col>
      <xdr:colOff>83820</xdr:colOff>
      <xdr:row>470</xdr:row>
      <xdr:rowOff>114300</xdr:rowOff>
    </xdr:to>
    <xdr:sp macro="" textlink="">
      <xdr:nvSpPr>
        <xdr:cNvPr id="3557" name="Arrow: Down 3556">
          <a:extLst>
            <a:ext uri="{FF2B5EF4-FFF2-40B4-BE49-F238E27FC236}">
              <a16:creationId xmlns:a16="http://schemas.microsoft.com/office/drawing/2014/main" id="{1D8F5673-5491-4C12-B007-EE16104FA5D2}"/>
            </a:ext>
          </a:extLst>
        </xdr:cNvPr>
        <xdr:cNvSpPr/>
      </xdr:nvSpPr>
      <xdr:spPr>
        <a:xfrm rot="10800000">
          <a:off x="13403580" y="8586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470</xdr:row>
      <xdr:rowOff>0</xdr:rowOff>
    </xdr:from>
    <xdr:to>
      <xdr:col>71</xdr:col>
      <xdr:colOff>83820</xdr:colOff>
      <xdr:row>470</xdr:row>
      <xdr:rowOff>114300</xdr:rowOff>
    </xdr:to>
    <xdr:sp macro="" textlink="">
      <xdr:nvSpPr>
        <xdr:cNvPr id="3558" name="Arrow: Down 3557">
          <a:extLst>
            <a:ext uri="{FF2B5EF4-FFF2-40B4-BE49-F238E27FC236}">
              <a16:creationId xmlns:a16="http://schemas.microsoft.com/office/drawing/2014/main" id="{20D2839E-F0BC-4AB6-8B8A-D26B1DC214C1}"/>
            </a:ext>
          </a:extLst>
        </xdr:cNvPr>
        <xdr:cNvSpPr/>
      </xdr:nvSpPr>
      <xdr:spPr>
        <a:xfrm>
          <a:off x="21572220" y="8586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470</xdr:row>
      <xdr:rowOff>0</xdr:rowOff>
    </xdr:from>
    <xdr:to>
      <xdr:col>24</xdr:col>
      <xdr:colOff>83820</xdr:colOff>
      <xdr:row>470</xdr:row>
      <xdr:rowOff>114300</xdr:rowOff>
    </xdr:to>
    <xdr:sp macro="" textlink="">
      <xdr:nvSpPr>
        <xdr:cNvPr id="3559" name="Arrow: Down 3558">
          <a:extLst>
            <a:ext uri="{FF2B5EF4-FFF2-40B4-BE49-F238E27FC236}">
              <a16:creationId xmlns:a16="http://schemas.microsoft.com/office/drawing/2014/main" id="{E3E62984-2878-43B0-B9DD-B888A5DA6942}"/>
            </a:ext>
          </a:extLst>
        </xdr:cNvPr>
        <xdr:cNvSpPr/>
      </xdr:nvSpPr>
      <xdr:spPr>
        <a:xfrm rot="10800000">
          <a:off x="833628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470</xdr:row>
      <xdr:rowOff>0</xdr:rowOff>
    </xdr:from>
    <xdr:to>
      <xdr:col>11</xdr:col>
      <xdr:colOff>83820</xdr:colOff>
      <xdr:row>470</xdr:row>
      <xdr:rowOff>114300</xdr:rowOff>
    </xdr:to>
    <xdr:sp macro="" textlink="">
      <xdr:nvSpPr>
        <xdr:cNvPr id="3560" name="Arrow: Down 3559">
          <a:extLst>
            <a:ext uri="{FF2B5EF4-FFF2-40B4-BE49-F238E27FC236}">
              <a16:creationId xmlns:a16="http://schemas.microsoft.com/office/drawing/2014/main" id="{D0E45D42-799F-4393-9E17-18AF0F4B2609}"/>
            </a:ext>
          </a:extLst>
        </xdr:cNvPr>
        <xdr:cNvSpPr/>
      </xdr:nvSpPr>
      <xdr:spPr>
        <a:xfrm rot="10800000">
          <a:off x="369570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470</xdr:row>
      <xdr:rowOff>0</xdr:rowOff>
    </xdr:from>
    <xdr:to>
      <xdr:col>5</xdr:col>
      <xdr:colOff>83820</xdr:colOff>
      <xdr:row>470</xdr:row>
      <xdr:rowOff>114300</xdr:rowOff>
    </xdr:to>
    <xdr:sp macro="" textlink="">
      <xdr:nvSpPr>
        <xdr:cNvPr id="3561" name="Arrow: Down 3560">
          <a:extLst>
            <a:ext uri="{FF2B5EF4-FFF2-40B4-BE49-F238E27FC236}">
              <a16:creationId xmlns:a16="http://schemas.microsoft.com/office/drawing/2014/main" id="{0969E386-D908-4DA9-A278-545AE5BB8F12}"/>
            </a:ext>
          </a:extLst>
        </xdr:cNvPr>
        <xdr:cNvSpPr/>
      </xdr:nvSpPr>
      <xdr:spPr>
        <a:xfrm rot="10800000">
          <a:off x="192786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470</xdr:row>
      <xdr:rowOff>0</xdr:rowOff>
    </xdr:from>
    <xdr:to>
      <xdr:col>39</xdr:col>
      <xdr:colOff>83820</xdr:colOff>
      <xdr:row>470</xdr:row>
      <xdr:rowOff>114300</xdr:rowOff>
    </xdr:to>
    <xdr:sp macro="" textlink="">
      <xdr:nvSpPr>
        <xdr:cNvPr id="3562" name="Arrow: Down 3561">
          <a:extLst>
            <a:ext uri="{FF2B5EF4-FFF2-40B4-BE49-F238E27FC236}">
              <a16:creationId xmlns:a16="http://schemas.microsoft.com/office/drawing/2014/main" id="{8C552B7B-A900-4B9B-935C-BFB4254960E6}"/>
            </a:ext>
          </a:extLst>
        </xdr:cNvPr>
        <xdr:cNvSpPr/>
      </xdr:nvSpPr>
      <xdr:spPr>
        <a:xfrm>
          <a:off x="1154430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471</xdr:row>
      <xdr:rowOff>0</xdr:rowOff>
    </xdr:from>
    <xdr:to>
      <xdr:col>45</xdr:col>
      <xdr:colOff>83820</xdr:colOff>
      <xdr:row>471</xdr:row>
      <xdr:rowOff>114300</xdr:rowOff>
    </xdr:to>
    <xdr:sp macro="" textlink="">
      <xdr:nvSpPr>
        <xdr:cNvPr id="3564" name="Arrow: Down 3563">
          <a:extLst>
            <a:ext uri="{FF2B5EF4-FFF2-40B4-BE49-F238E27FC236}">
              <a16:creationId xmlns:a16="http://schemas.microsoft.com/office/drawing/2014/main" id="{B110277D-816C-4CF6-ACD8-1E62F19B97DB}"/>
            </a:ext>
          </a:extLst>
        </xdr:cNvPr>
        <xdr:cNvSpPr/>
      </xdr:nvSpPr>
      <xdr:spPr>
        <a:xfrm rot="10800000">
          <a:off x="13403580" y="8605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471</xdr:row>
      <xdr:rowOff>0</xdr:rowOff>
    </xdr:from>
    <xdr:to>
      <xdr:col>71</xdr:col>
      <xdr:colOff>83820</xdr:colOff>
      <xdr:row>471</xdr:row>
      <xdr:rowOff>114300</xdr:rowOff>
    </xdr:to>
    <xdr:sp macro="" textlink="">
      <xdr:nvSpPr>
        <xdr:cNvPr id="3565" name="Arrow: Down 3564">
          <a:extLst>
            <a:ext uri="{FF2B5EF4-FFF2-40B4-BE49-F238E27FC236}">
              <a16:creationId xmlns:a16="http://schemas.microsoft.com/office/drawing/2014/main" id="{F71C798D-289B-41D3-98D9-9657E1730F04}"/>
            </a:ext>
          </a:extLst>
        </xdr:cNvPr>
        <xdr:cNvSpPr/>
      </xdr:nvSpPr>
      <xdr:spPr>
        <a:xfrm>
          <a:off x="21572220" y="8605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471</xdr:row>
      <xdr:rowOff>0</xdr:rowOff>
    </xdr:from>
    <xdr:to>
      <xdr:col>24</xdr:col>
      <xdr:colOff>83820</xdr:colOff>
      <xdr:row>471</xdr:row>
      <xdr:rowOff>114300</xdr:rowOff>
    </xdr:to>
    <xdr:sp macro="" textlink="">
      <xdr:nvSpPr>
        <xdr:cNvPr id="3566" name="Arrow: Down 3565">
          <a:extLst>
            <a:ext uri="{FF2B5EF4-FFF2-40B4-BE49-F238E27FC236}">
              <a16:creationId xmlns:a16="http://schemas.microsoft.com/office/drawing/2014/main" id="{7C3E9293-4D4C-416F-82AE-E5FA0A153F4B}"/>
            </a:ext>
          </a:extLst>
        </xdr:cNvPr>
        <xdr:cNvSpPr/>
      </xdr:nvSpPr>
      <xdr:spPr>
        <a:xfrm rot="10800000">
          <a:off x="833628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471</xdr:row>
      <xdr:rowOff>0</xdr:rowOff>
    </xdr:from>
    <xdr:to>
      <xdr:col>11</xdr:col>
      <xdr:colOff>83820</xdr:colOff>
      <xdr:row>471</xdr:row>
      <xdr:rowOff>114300</xdr:rowOff>
    </xdr:to>
    <xdr:sp macro="" textlink="">
      <xdr:nvSpPr>
        <xdr:cNvPr id="3567" name="Arrow: Down 3566">
          <a:extLst>
            <a:ext uri="{FF2B5EF4-FFF2-40B4-BE49-F238E27FC236}">
              <a16:creationId xmlns:a16="http://schemas.microsoft.com/office/drawing/2014/main" id="{34D6D4D7-3282-433B-9B75-DA86C604BC88}"/>
            </a:ext>
          </a:extLst>
        </xdr:cNvPr>
        <xdr:cNvSpPr/>
      </xdr:nvSpPr>
      <xdr:spPr>
        <a:xfrm rot="10800000">
          <a:off x="369570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471</xdr:row>
      <xdr:rowOff>0</xdr:rowOff>
    </xdr:from>
    <xdr:to>
      <xdr:col>5</xdr:col>
      <xdr:colOff>83820</xdr:colOff>
      <xdr:row>471</xdr:row>
      <xdr:rowOff>114300</xdr:rowOff>
    </xdr:to>
    <xdr:sp macro="" textlink="">
      <xdr:nvSpPr>
        <xdr:cNvPr id="3568" name="Arrow: Down 3567">
          <a:extLst>
            <a:ext uri="{FF2B5EF4-FFF2-40B4-BE49-F238E27FC236}">
              <a16:creationId xmlns:a16="http://schemas.microsoft.com/office/drawing/2014/main" id="{720BA18A-65B6-487A-8185-AAD8D1B15A70}"/>
            </a:ext>
          </a:extLst>
        </xdr:cNvPr>
        <xdr:cNvSpPr/>
      </xdr:nvSpPr>
      <xdr:spPr>
        <a:xfrm rot="10800000">
          <a:off x="192786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471</xdr:row>
      <xdr:rowOff>0</xdr:rowOff>
    </xdr:from>
    <xdr:to>
      <xdr:col>60</xdr:col>
      <xdr:colOff>83820</xdr:colOff>
      <xdr:row>471</xdr:row>
      <xdr:rowOff>114300</xdr:rowOff>
    </xdr:to>
    <xdr:sp macro="" textlink="">
      <xdr:nvSpPr>
        <xdr:cNvPr id="3570" name="Arrow: Down 3569">
          <a:extLst>
            <a:ext uri="{FF2B5EF4-FFF2-40B4-BE49-F238E27FC236}">
              <a16:creationId xmlns:a16="http://schemas.microsoft.com/office/drawing/2014/main" id="{1C113059-0B10-4899-989E-86B315A01CC2}"/>
            </a:ext>
          </a:extLst>
        </xdr:cNvPr>
        <xdr:cNvSpPr/>
      </xdr:nvSpPr>
      <xdr:spPr>
        <a:xfrm>
          <a:off x="19019520" y="8605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472</xdr:row>
      <xdr:rowOff>0</xdr:rowOff>
    </xdr:from>
    <xdr:to>
      <xdr:col>45</xdr:col>
      <xdr:colOff>83820</xdr:colOff>
      <xdr:row>472</xdr:row>
      <xdr:rowOff>114300</xdr:rowOff>
    </xdr:to>
    <xdr:sp macro="" textlink="">
      <xdr:nvSpPr>
        <xdr:cNvPr id="3571" name="Arrow: Down 3570">
          <a:extLst>
            <a:ext uri="{FF2B5EF4-FFF2-40B4-BE49-F238E27FC236}">
              <a16:creationId xmlns:a16="http://schemas.microsoft.com/office/drawing/2014/main" id="{84266225-7F59-429F-BED6-F52747F415C2}"/>
            </a:ext>
          </a:extLst>
        </xdr:cNvPr>
        <xdr:cNvSpPr/>
      </xdr:nvSpPr>
      <xdr:spPr>
        <a:xfrm rot="10800000">
          <a:off x="1340358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472</xdr:row>
      <xdr:rowOff>0</xdr:rowOff>
    </xdr:from>
    <xdr:to>
      <xdr:col>71</xdr:col>
      <xdr:colOff>83820</xdr:colOff>
      <xdr:row>472</xdr:row>
      <xdr:rowOff>114300</xdr:rowOff>
    </xdr:to>
    <xdr:sp macro="" textlink="">
      <xdr:nvSpPr>
        <xdr:cNvPr id="3572" name="Arrow: Down 3571">
          <a:extLst>
            <a:ext uri="{FF2B5EF4-FFF2-40B4-BE49-F238E27FC236}">
              <a16:creationId xmlns:a16="http://schemas.microsoft.com/office/drawing/2014/main" id="{8DD71356-8DC3-4B7B-93D0-8B6EBE7990A0}"/>
            </a:ext>
          </a:extLst>
        </xdr:cNvPr>
        <xdr:cNvSpPr/>
      </xdr:nvSpPr>
      <xdr:spPr>
        <a:xfrm>
          <a:off x="215722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472</xdr:row>
      <xdr:rowOff>0</xdr:rowOff>
    </xdr:from>
    <xdr:to>
      <xdr:col>39</xdr:col>
      <xdr:colOff>83820</xdr:colOff>
      <xdr:row>472</xdr:row>
      <xdr:rowOff>114300</xdr:rowOff>
    </xdr:to>
    <xdr:sp macro="" textlink="">
      <xdr:nvSpPr>
        <xdr:cNvPr id="3576" name="Arrow: Down 3575">
          <a:extLst>
            <a:ext uri="{FF2B5EF4-FFF2-40B4-BE49-F238E27FC236}">
              <a16:creationId xmlns:a16="http://schemas.microsoft.com/office/drawing/2014/main" id="{D1137FF0-2EA7-47F9-9662-C54610FA1680}"/>
            </a:ext>
          </a:extLst>
        </xdr:cNvPr>
        <xdr:cNvSpPr/>
      </xdr:nvSpPr>
      <xdr:spPr>
        <a:xfrm>
          <a:off x="11544300" y="8623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472</xdr:row>
      <xdr:rowOff>0</xdr:rowOff>
    </xdr:from>
    <xdr:to>
      <xdr:col>60</xdr:col>
      <xdr:colOff>83820</xdr:colOff>
      <xdr:row>472</xdr:row>
      <xdr:rowOff>114300</xdr:rowOff>
    </xdr:to>
    <xdr:sp macro="" textlink="">
      <xdr:nvSpPr>
        <xdr:cNvPr id="3577" name="Arrow: Down 3576">
          <a:extLst>
            <a:ext uri="{FF2B5EF4-FFF2-40B4-BE49-F238E27FC236}">
              <a16:creationId xmlns:a16="http://schemas.microsoft.com/office/drawing/2014/main" id="{34673D4A-07BB-47A2-8975-18FA049C5035}"/>
            </a:ext>
          </a:extLst>
        </xdr:cNvPr>
        <xdr:cNvSpPr/>
      </xdr:nvSpPr>
      <xdr:spPr>
        <a:xfrm>
          <a:off x="190195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470</xdr:row>
      <xdr:rowOff>0</xdr:rowOff>
    </xdr:from>
    <xdr:to>
      <xdr:col>60</xdr:col>
      <xdr:colOff>83820</xdr:colOff>
      <xdr:row>470</xdr:row>
      <xdr:rowOff>114300</xdr:rowOff>
    </xdr:to>
    <xdr:sp macro="" textlink="">
      <xdr:nvSpPr>
        <xdr:cNvPr id="3578" name="Arrow: Down 3577">
          <a:extLst>
            <a:ext uri="{FF2B5EF4-FFF2-40B4-BE49-F238E27FC236}">
              <a16:creationId xmlns:a16="http://schemas.microsoft.com/office/drawing/2014/main" id="{A091B69E-20C9-4BB8-88DA-36750ACFCF87}"/>
            </a:ext>
          </a:extLst>
        </xdr:cNvPr>
        <xdr:cNvSpPr/>
      </xdr:nvSpPr>
      <xdr:spPr>
        <a:xfrm rot="10800000">
          <a:off x="1901952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472</xdr:row>
      <xdr:rowOff>0</xdr:rowOff>
    </xdr:from>
    <xdr:to>
      <xdr:col>45</xdr:col>
      <xdr:colOff>83820</xdr:colOff>
      <xdr:row>472</xdr:row>
      <xdr:rowOff>114300</xdr:rowOff>
    </xdr:to>
    <xdr:sp macro="" textlink="">
      <xdr:nvSpPr>
        <xdr:cNvPr id="3579" name="Arrow: Down 3578">
          <a:extLst>
            <a:ext uri="{FF2B5EF4-FFF2-40B4-BE49-F238E27FC236}">
              <a16:creationId xmlns:a16="http://schemas.microsoft.com/office/drawing/2014/main" id="{BF336153-8C24-4CB3-9F8A-01035C345E0C}"/>
            </a:ext>
          </a:extLst>
        </xdr:cNvPr>
        <xdr:cNvSpPr/>
      </xdr:nvSpPr>
      <xdr:spPr>
        <a:xfrm rot="10800000">
          <a:off x="1340358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472</xdr:row>
      <xdr:rowOff>0</xdr:rowOff>
    </xdr:from>
    <xdr:to>
      <xdr:col>71</xdr:col>
      <xdr:colOff>83820</xdr:colOff>
      <xdr:row>472</xdr:row>
      <xdr:rowOff>114300</xdr:rowOff>
    </xdr:to>
    <xdr:sp macro="" textlink="">
      <xdr:nvSpPr>
        <xdr:cNvPr id="3580" name="Arrow: Down 3579">
          <a:extLst>
            <a:ext uri="{FF2B5EF4-FFF2-40B4-BE49-F238E27FC236}">
              <a16:creationId xmlns:a16="http://schemas.microsoft.com/office/drawing/2014/main" id="{79F82967-FB16-45AD-989D-842C8C006511}"/>
            </a:ext>
          </a:extLst>
        </xdr:cNvPr>
        <xdr:cNvSpPr/>
      </xdr:nvSpPr>
      <xdr:spPr>
        <a:xfrm>
          <a:off x="215722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472</xdr:row>
      <xdr:rowOff>0</xdr:rowOff>
    </xdr:from>
    <xdr:to>
      <xdr:col>39</xdr:col>
      <xdr:colOff>83820</xdr:colOff>
      <xdr:row>472</xdr:row>
      <xdr:rowOff>114300</xdr:rowOff>
    </xdr:to>
    <xdr:sp macro="" textlink="">
      <xdr:nvSpPr>
        <xdr:cNvPr id="3584" name="Arrow: Down 3583">
          <a:extLst>
            <a:ext uri="{FF2B5EF4-FFF2-40B4-BE49-F238E27FC236}">
              <a16:creationId xmlns:a16="http://schemas.microsoft.com/office/drawing/2014/main" id="{6402BB27-6A1B-4B72-B939-A1DB84CA902B}"/>
            </a:ext>
          </a:extLst>
        </xdr:cNvPr>
        <xdr:cNvSpPr/>
      </xdr:nvSpPr>
      <xdr:spPr>
        <a:xfrm>
          <a:off x="11544300" y="8623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472</xdr:row>
      <xdr:rowOff>0</xdr:rowOff>
    </xdr:from>
    <xdr:to>
      <xdr:col>60</xdr:col>
      <xdr:colOff>83820</xdr:colOff>
      <xdr:row>472</xdr:row>
      <xdr:rowOff>114300</xdr:rowOff>
    </xdr:to>
    <xdr:sp macro="" textlink="">
      <xdr:nvSpPr>
        <xdr:cNvPr id="3585" name="Arrow: Down 3584">
          <a:extLst>
            <a:ext uri="{FF2B5EF4-FFF2-40B4-BE49-F238E27FC236}">
              <a16:creationId xmlns:a16="http://schemas.microsoft.com/office/drawing/2014/main" id="{A070C8C0-6D5F-4302-BC08-FBFFA84536C7}"/>
            </a:ext>
          </a:extLst>
        </xdr:cNvPr>
        <xdr:cNvSpPr/>
      </xdr:nvSpPr>
      <xdr:spPr>
        <a:xfrm>
          <a:off x="190195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472</xdr:row>
      <xdr:rowOff>0</xdr:rowOff>
    </xdr:from>
    <xdr:to>
      <xdr:col>24</xdr:col>
      <xdr:colOff>83820</xdr:colOff>
      <xdr:row>472</xdr:row>
      <xdr:rowOff>114300</xdr:rowOff>
    </xdr:to>
    <xdr:sp macro="" textlink="">
      <xdr:nvSpPr>
        <xdr:cNvPr id="3587" name="Arrow: Down 3586">
          <a:extLst>
            <a:ext uri="{FF2B5EF4-FFF2-40B4-BE49-F238E27FC236}">
              <a16:creationId xmlns:a16="http://schemas.microsoft.com/office/drawing/2014/main" id="{93FCFE56-B0B1-4704-BAF3-60AFE6401BCD}"/>
            </a:ext>
          </a:extLst>
        </xdr:cNvPr>
        <xdr:cNvSpPr/>
      </xdr:nvSpPr>
      <xdr:spPr>
        <a:xfrm>
          <a:off x="83362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472</xdr:row>
      <xdr:rowOff>0</xdr:rowOff>
    </xdr:from>
    <xdr:to>
      <xdr:col>5</xdr:col>
      <xdr:colOff>83820</xdr:colOff>
      <xdr:row>472</xdr:row>
      <xdr:rowOff>114300</xdr:rowOff>
    </xdr:to>
    <xdr:sp macro="" textlink="">
      <xdr:nvSpPr>
        <xdr:cNvPr id="3588" name="Arrow: Down 3587">
          <a:extLst>
            <a:ext uri="{FF2B5EF4-FFF2-40B4-BE49-F238E27FC236}">
              <a16:creationId xmlns:a16="http://schemas.microsoft.com/office/drawing/2014/main" id="{3586A484-6597-43C9-87DD-A47609B8F23B}"/>
            </a:ext>
          </a:extLst>
        </xdr:cNvPr>
        <xdr:cNvSpPr/>
      </xdr:nvSpPr>
      <xdr:spPr>
        <a:xfrm>
          <a:off x="192786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472</xdr:row>
      <xdr:rowOff>0</xdr:rowOff>
    </xdr:from>
    <xdr:to>
      <xdr:col>11</xdr:col>
      <xdr:colOff>83820</xdr:colOff>
      <xdr:row>472</xdr:row>
      <xdr:rowOff>114300</xdr:rowOff>
    </xdr:to>
    <xdr:sp macro="" textlink="">
      <xdr:nvSpPr>
        <xdr:cNvPr id="3589" name="Arrow: Down 3588">
          <a:extLst>
            <a:ext uri="{FF2B5EF4-FFF2-40B4-BE49-F238E27FC236}">
              <a16:creationId xmlns:a16="http://schemas.microsoft.com/office/drawing/2014/main" id="{1F4216FD-2952-4304-B867-6667F311CA94}"/>
            </a:ext>
          </a:extLst>
        </xdr:cNvPr>
        <xdr:cNvSpPr/>
      </xdr:nvSpPr>
      <xdr:spPr>
        <a:xfrm>
          <a:off x="369570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473</xdr:row>
      <xdr:rowOff>0</xdr:rowOff>
    </xdr:from>
    <xdr:to>
      <xdr:col>45</xdr:col>
      <xdr:colOff>83820</xdr:colOff>
      <xdr:row>473</xdr:row>
      <xdr:rowOff>114300</xdr:rowOff>
    </xdr:to>
    <xdr:sp macro="" textlink="">
      <xdr:nvSpPr>
        <xdr:cNvPr id="3590" name="Arrow: Down 3589">
          <a:extLst>
            <a:ext uri="{FF2B5EF4-FFF2-40B4-BE49-F238E27FC236}">
              <a16:creationId xmlns:a16="http://schemas.microsoft.com/office/drawing/2014/main" id="{E1EE6F91-2FC6-4FF2-94DD-012807A38FE6}"/>
            </a:ext>
          </a:extLst>
        </xdr:cNvPr>
        <xdr:cNvSpPr/>
      </xdr:nvSpPr>
      <xdr:spPr>
        <a:xfrm rot="10800000">
          <a:off x="134035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473</xdr:row>
      <xdr:rowOff>0</xdr:rowOff>
    </xdr:from>
    <xdr:to>
      <xdr:col>71</xdr:col>
      <xdr:colOff>83820</xdr:colOff>
      <xdr:row>473</xdr:row>
      <xdr:rowOff>114300</xdr:rowOff>
    </xdr:to>
    <xdr:sp macro="" textlink="">
      <xdr:nvSpPr>
        <xdr:cNvPr id="3591" name="Arrow: Down 3590">
          <a:extLst>
            <a:ext uri="{FF2B5EF4-FFF2-40B4-BE49-F238E27FC236}">
              <a16:creationId xmlns:a16="http://schemas.microsoft.com/office/drawing/2014/main" id="{958204C2-EBBE-4C75-8C5D-BFE81C84B2A1}"/>
            </a:ext>
          </a:extLst>
        </xdr:cNvPr>
        <xdr:cNvSpPr/>
      </xdr:nvSpPr>
      <xdr:spPr>
        <a:xfrm>
          <a:off x="2157222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473</xdr:row>
      <xdr:rowOff>0</xdr:rowOff>
    </xdr:from>
    <xdr:to>
      <xdr:col>45</xdr:col>
      <xdr:colOff>83820</xdr:colOff>
      <xdr:row>473</xdr:row>
      <xdr:rowOff>114300</xdr:rowOff>
    </xdr:to>
    <xdr:sp macro="" textlink="">
      <xdr:nvSpPr>
        <xdr:cNvPr id="3594" name="Arrow: Down 3593">
          <a:extLst>
            <a:ext uri="{FF2B5EF4-FFF2-40B4-BE49-F238E27FC236}">
              <a16:creationId xmlns:a16="http://schemas.microsoft.com/office/drawing/2014/main" id="{252EFFA9-00FF-484D-BE9D-0B4403C3F56B}"/>
            </a:ext>
          </a:extLst>
        </xdr:cNvPr>
        <xdr:cNvSpPr/>
      </xdr:nvSpPr>
      <xdr:spPr>
        <a:xfrm rot="10800000">
          <a:off x="134035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473</xdr:row>
      <xdr:rowOff>0</xdr:rowOff>
    </xdr:from>
    <xdr:to>
      <xdr:col>71</xdr:col>
      <xdr:colOff>83820</xdr:colOff>
      <xdr:row>473</xdr:row>
      <xdr:rowOff>114300</xdr:rowOff>
    </xdr:to>
    <xdr:sp macro="" textlink="">
      <xdr:nvSpPr>
        <xdr:cNvPr id="3595" name="Arrow: Down 3594">
          <a:extLst>
            <a:ext uri="{FF2B5EF4-FFF2-40B4-BE49-F238E27FC236}">
              <a16:creationId xmlns:a16="http://schemas.microsoft.com/office/drawing/2014/main" id="{5F16FC82-AC4A-432D-B0C2-F14A88565933}"/>
            </a:ext>
          </a:extLst>
        </xdr:cNvPr>
        <xdr:cNvSpPr/>
      </xdr:nvSpPr>
      <xdr:spPr>
        <a:xfrm>
          <a:off x="2157222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473</xdr:row>
      <xdr:rowOff>0</xdr:rowOff>
    </xdr:from>
    <xdr:to>
      <xdr:col>24</xdr:col>
      <xdr:colOff>83820</xdr:colOff>
      <xdr:row>473</xdr:row>
      <xdr:rowOff>114300</xdr:rowOff>
    </xdr:to>
    <xdr:sp macro="" textlink="">
      <xdr:nvSpPr>
        <xdr:cNvPr id="3598" name="Arrow: Down 3597">
          <a:extLst>
            <a:ext uri="{FF2B5EF4-FFF2-40B4-BE49-F238E27FC236}">
              <a16:creationId xmlns:a16="http://schemas.microsoft.com/office/drawing/2014/main" id="{8361858A-301E-4E01-AAE2-44A5F8B8E2EF}"/>
            </a:ext>
          </a:extLst>
        </xdr:cNvPr>
        <xdr:cNvSpPr/>
      </xdr:nvSpPr>
      <xdr:spPr>
        <a:xfrm>
          <a:off x="83362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473</xdr:row>
      <xdr:rowOff>0</xdr:rowOff>
    </xdr:from>
    <xdr:to>
      <xdr:col>11</xdr:col>
      <xdr:colOff>83820</xdr:colOff>
      <xdr:row>473</xdr:row>
      <xdr:rowOff>114300</xdr:rowOff>
    </xdr:to>
    <xdr:sp macro="" textlink="">
      <xdr:nvSpPr>
        <xdr:cNvPr id="3600" name="Arrow: Down 3599">
          <a:extLst>
            <a:ext uri="{FF2B5EF4-FFF2-40B4-BE49-F238E27FC236}">
              <a16:creationId xmlns:a16="http://schemas.microsoft.com/office/drawing/2014/main" id="{697905B3-9DBB-435F-AB9A-5AF5442CDB76}"/>
            </a:ext>
          </a:extLst>
        </xdr:cNvPr>
        <xdr:cNvSpPr/>
      </xdr:nvSpPr>
      <xdr:spPr>
        <a:xfrm>
          <a:off x="369570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473</xdr:row>
      <xdr:rowOff>0</xdr:rowOff>
    </xdr:from>
    <xdr:to>
      <xdr:col>39</xdr:col>
      <xdr:colOff>83820</xdr:colOff>
      <xdr:row>473</xdr:row>
      <xdr:rowOff>114300</xdr:rowOff>
    </xdr:to>
    <xdr:sp macro="" textlink="">
      <xdr:nvSpPr>
        <xdr:cNvPr id="3601" name="Arrow: Down 3600">
          <a:extLst>
            <a:ext uri="{FF2B5EF4-FFF2-40B4-BE49-F238E27FC236}">
              <a16:creationId xmlns:a16="http://schemas.microsoft.com/office/drawing/2014/main" id="{6B75D900-0C20-4D8F-B341-A5BC4059DF68}"/>
            </a:ext>
          </a:extLst>
        </xdr:cNvPr>
        <xdr:cNvSpPr/>
      </xdr:nvSpPr>
      <xdr:spPr>
        <a:xfrm rot="10800000">
          <a:off x="1154430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473</xdr:row>
      <xdr:rowOff>0</xdr:rowOff>
    </xdr:from>
    <xdr:to>
      <xdr:col>5</xdr:col>
      <xdr:colOff>83820</xdr:colOff>
      <xdr:row>473</xdr:row>
      <xdr:rowOff>114300</xdr:rowOff>
    </xdr:to>
    <xdr:sp macro="" textlink="">
      <xdr:nvSpPr>
        <xdr:cNvPr id="3602" name="Arrow: Down 3601">
          <a:extLst>
            <a:ext uri="{FF2B5EF4-FFF2-40B4-BE49-F238E27FC236}">
              <a16:creationId xmlns:a16="http://schemas.microsoft.com/office/drawing/2014/main" id="{84989FB9-09EA-4528-8736-17C464293D1F}"/>
            </a:ext>
          </a:extLst>
        </xdr:cNvPr>
        <xdr:cNvSpPr/>
      </xdr:nvSpPr>
      <xdr:spPr>
        <a:xfrm rot="10800000">
          <a:off x="1927860" y="8660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473</xdr:row>
      <xdr:rowOff>0</xdr:rowOff>
    </xdr:from>
    <xdr:to>
      <xdr:col>60</xdr:col>
      <xdr:colOff>83820</xdr:colOff>
      <xdr:row>473</xdr:row>
      <xdr:rowOff>114300</xdr:rowOff>
    </xdr:to>
    <xdr:sp macro="" textlink="">
      <xdr:nvSpPr>
        <xdr:cNvPr id="3603" name="Arrow: Down 3602">
          <a:extLst>
            <a:ext uri="{FF2B5EF4-FFF2-40B4-BE49-F238E27FC236}">
              <a16:creationId xmlns:a16="http://schemas.microsoft.com/office/drawing/2014/main" id="{0CB946D1-2C96-419E-83CB-5F7085D9913B}"/>
            </a:ext>
          </a:extLst>
        </xdr:cNvPr>
        <xdr:cNvSpPr/>
      </xdr:nvSpPr>
      <xdr:spPr>
        <a:xfrm rot="10800000">
          <a:off x="19019520" y="8660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474</xdr:row>
      <xdr:rowOff>0</xdr:rowOff>
    </xdr:from>
    <xdr:to>
      <xdr:col>45</xdr:col>
      <xdr:colOff>83820</xdr:colOff>
      <xdr:row>474</xdr:row>
      <xdr:rowOff>114300</xdr:rowOff>
    </xdr:to>
    <xdr:sp macro="" textlink="">
      <xdr:nvSpPr>
        <xdr:cNvPr id="3604" name="Arrow: Down 3603">
          <a:extLst>
            <a:ext uri="{FF2B5EF4-FFF2-40B4-BE49-F238E27FC236}">
              <a16:creationId xmlns:a16="http://schemas.microsoft.com/office/drawing/2014/main" id="{D143ED2C-CBFA-4D4D-962F-4DBBC00B8BFD}"/>
            </a:ext>
          </a:extLst>
        </xdr:cNvPr>
        <xdr:cNvSpPr/>
      </xdr:nvSpPr>
      <xdr:spPr>
        <a:xfrm rot="10800000">
          <a:off x="1340358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474</xdr:row>
      <xdr:rowOff>0</xdr:rowOff>
    </xdr:from>
    <xdr:to>
      <xdr:col>71</xdr:col>
      <xdr:colOff>83820</xdr:colOff>
      <xdr:row>474</xdr:row>
      <xdr:rowOff>114300</xdr:rowOff>
    </xdr:to>
    <xdr:sp macro="" textlink="">
      <xdr:nvSpPr>
        <xdr:cNvPr id="3605" name="Arrow: Down 3604">
          <a:extLst>
            <a:ext uri="{FF2B5EF4-FFF2-40B4-BE49-F238E27FC236}">
              <a16:creationId xmlns:a16="http://schemas.microsoft.com/office/drawing/2014/main" id="{60E29F41-0AB7-4140-9709-5948A65E31E2}"/>
            </a:ext>
          </a:extLst>
        </xdr:cNvPr>
        <xdr:cNvSpPr/>
      </xdr:nvSpPr>
      <xdr:spPr>
        <a:xfrm>
          <a:off x="2157222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474</xdr:row>
      <xdr:rowOff>0</xdr:rowOff>
    </xdr:from>
    <xdr:to>
      <xdr:col>45</xdr:col>
      <xdr:colOff>83820</xdr:colOff>
      <xdr:row>474</xdr:row>
      <xdr:rowOff>114300</xdr:rowOff>
    </xdr:to>
    <xdr:sp macro="" textlink="">
      <xdr:nvSpPr>
        <xdr:cNvPr id="3606" name="Arrow: Down 3605">
          <a:extLst>
            <a:ext uri="{FF2B5EF4-FFF2-40B4-BE49-F238E27FC236}">
              <a16:creationId xmlns:a16="http://schemas.microsoft.com/office/drawing/2014/main" id="{6CAF0180-D634-44C7-B2B0-B474FC47365E}"/>
            </a:ext>
          </a:extLst>
        </xdr:cNvPr>
        <xdr:cNvSpPr/>
      </xdr:nvSpPr>
      <xdr:spPr>
        <a:xfrm rot="10800000">
          <a:off x="1340358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474</xdr:row>
      <xdr:rowOff>0</xdr:rowOff>
    </xdr:from>
    <xdr:to>
      <xdr:col>71</xdr:col>
      <xdr:colOff>83820</xdr:colOff>
      <xdr:row>474</xdr:row>
      <xdr:rowOff>114300</xdr:rowOff>
    </xdr:to>
    <xdr:sp macro="" textlink="">
      <xdr:nvSpPr>
        <xdr:cNvPr id="3607" name="Arrow: Down 3606">
          <a:extLst>
            <a:ext uri="{FF2B5EF4-FFF2-40B4-BE49-F238E27FC236}">
              <a16:creationId xmlns:a16="http://schemas.microsoft.com/office/drawing/2014/main" id="{60011153-728C-47A2-9896-E1F731F1BD71}"/>
            </a:ext>
          </a:extLst>
        </xdr:cNvPr>
        <xdr:cNvSpPr/>
      </xdr:nvSpPr>
      <xdr:spPr>
        <a:xfrm>
          <a:off x="2157222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474</xdr:row>
      <xdr:rowOff>0</xdr:rowOff>
    </xdr:from>
    <xdr:to>
      <xdr:col>39</xdr:col>
      <xdr:colOff>83820</xdr:colOff>
      <xdr:row>474</xdr:row>
      <xdr:rowOff>114300</xdr:rowOff>
    </xdr:to>
    <xdr:sp macro="" textlink="">
      <xdr:nvSpPr>
        <xdr:cNvPr id="3610" name="Arrow: Down 3609">
          <a:extLst>
            <a:ext uri="{FF2B5EF4-FFF2-40B4-BE49-F238E27FC236}">
              <a16:creationId xmlns:a16="http://schemas.microsoft.com/office/drawing/2014/main" id="{DAEFD983-2E3F-4F0B-B77F-F8FF9B253394}"/>
            </a:ext>
          </a:extLst>
        </xdr:cNvPr>
        <xdr:cNvSpPr/>
      </xdr:nvSpPr>
      <xdr:spPr>
        <a:xfrm rot="10800000">
          <a:off x="1154430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474</xdr:row>
      <xdr:rowOff>0</xdr:rowOff>
    </xdr:from>
    <xdr:to>
      <xdr:col>5</xdr:col>
      <xdr:colOff>83820</xdr:colOff>
      <xdr:row>474</xdr:row>
      <xdr:rowOff>114300</xdr:rowOff>
    </xdr:to>
    <xdr:sp macro="" textlink="">
      <xdr:nvSpPr>
        <xdr:cNvPr id="3611" name="Arrow: Down 3610">
          <a:extLst>
            <a:ext uri="{FF2B5EF4-FFF2-40B4-BE49-F238E27FC236}">
              <a16:creationId xmlns:a16="http://schemas.microsoft.com/office/drawing/2014/main" id="{6D084D8A-65AF-4243-B3F8-6A2A1CEE88FF}"/>
            </a:ext>
          </a:extLst>
        </xdr:cNvPr>
        <xdr:cNvSpPr/>
      </xdr:nvSpPr>
      <xdr:spPr>
        <a:xfrm rot="10800000">
          <a:off x="1927860" y="8660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474</xdr:row>
      <xdr:rowOff>0</xdr:rowOff>
    </xdr:from>
    <xdr:to>
      <xdr:col>11</xdr:col>
      <xdr:colOff>83820</xdr:colOff>
      <xdr:row>474</xdr:row>
      <xdr:rowOff>114300</xdr:rowOff>
    </xdr:to>
    <xdr:sp macro="" textlink="">
      <xdr:nvSpPr>
        <xdr:cNvPr id="3613" name="Arrow: Down 3612">
          <a:extLst>
            <a:ext uri="{FF2B5EF4-FFF2-40B4-BE49-F238E27FC236}">
              <a16:creationId xmlns:a16="http://schemas.microsoft.com/office/drawing/2014/main" id="{39B9CD40-D76F-4ABE-B28F-591E1B1FD2C1}"/>
            </a:ext>
          </a:extLst>
        </xdr:cNvPr>
        <xdr:cNvSpPr/>
      </xdr:nvSpPr>
      <xdr:spPr>
        <a:xfrm rot="10800000">
          <a:off x="3695700" y="8678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474</xdr:row>
      <xdr:rowOff>0</xdr:rowOff>
    </xdr:from>
    <xdr:to>
      <xdr:col>24</xdr:col>
      <xdr:colOff>83820</xdr:colOff>
      <xdr:row>474</xdr:row>
      <xdr:rowOff>114300</xdr:rowOff>
    </xdr:to>
    <xdr:sp macro="" textlink="">
      <xdr:nvSpPr>
        <xdr:cNvPr id="3614" name="Arrow: Down 3613">
          <a:extLst>
            <a:ext uri="{FF2B5EF4-FFF2-40B4-BE49-F238E27FC236}">
              <a16:creationId xmlns:a16="http://schemas.microsoft.com/office/drawing/2014/main" id="{03A768FA-F878-493B-B246-0CC9A5E108EC}"/>
            </a:ext>
          </a:extLst>
        </xdr:cNvPr>
        <xdr:cNvSpPr/>
      </xdr:nvSpPr>
      <xdr:spPr>
        <a:xfrm rot="10800000">
          <a:off x="8336280" y="8678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474</xdr:row>
      <xdr:rowOff>0</xdr:rowOff>
    </xdr:from>
    <xdr:to>
      <xdr:col>60</xdr:col>
      <xdr:colOff>83820</xdr:colOff>
      <xdr:row>474</xdr:row>
      <xdr:rowOff>114300</xdr:rowOff>
    </xdr:to>
    <xdr:sp macro="" textlink="">
      <xdr:nvSpPr>
        <xdr:cNvPr id="3616" name="Arrow: Down 3615">
          <a:extLst>
            <a:ext uri="{FF2B5EF4-FFF2-40B4-BE49-F238E27FC236}">
              <a16:creationId xmlns:a16="http://schemas.microsoft.com/office/drawing/2014/main" id="{05A11EBA-00B7-46CF-96C0-FC4A66138692}"/>
            </a:ext>
          </a:extLst>
        </xdr:cNvPr>
        <xdr:cNvSpPr/>
      </xdr:nvSpPr>
      <xdr:spPr>
        <a:xfrm>
          <a:off x="1901952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475</xdr:row>
      <xdr:rowOff>0</xdr:rowOff>
    </xdr:from>
    <xdr:to>
      <xdr:col>45</xdr:col>
      <xdr:colOff>83820</xdr:colOff>
      <xdr:row>475</xdr:row>
      <xdr:rowOff>114300</xdr:rowOff>
    </xdr:to>
    <xdr:sp macro="" textlink="">
      <xdr:nvSpPr>
        <xdr:cNvPr id="3617" name="Arrow: Down 3616">
          <a:extLst>
            <a:ext uri="{FF2B5EF4-FFF2-40B4-BE49-F238E27FC236}">
              <a16:creationId xmlns:a16="http://schemas.microsoft.com/office/drawing/2014/main" id="{088980ED-2AD6-4C3C-B47D-A43568C11B64}"/>
            </a:ext>
          </a:extLst>
        </xdr:cNvPr>
        <xdr:cNvSpPr/>
      </xdr:nvSpPr>
      <xdr:spPr>
        <a:xfrm rot="10800000">
          <a:off x="1340358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475</xdr:row>
      <xdr:rowOff>0</xdr:rowOff>
    </xdr:from>
    <xdr:to>
      <xdr:col>71</xdr:col>
      <xdr:colOff>83820</xdr:colOff>
      <xdr:row>475</xdr:row>
      <xdr:rowOff>114300</xdr:rowOff>
    </xdr:to>
    <xdr:sp macro="" textlink="">
      <xdr:nvSpPr>
        <xdr:cNvPr id="3618" name="Arrow: Down 3617">
          <a:extLst>
            <a:ext uri="{FF2B5EF4-FFF2-40B4-BE49-F238E27FC236}">
              <a16:creationId xmlns:a16="http://schemas.microsoft.com/office/drawing/2014/main" id="{78A0CD81-A7B2-4DDB-9ECC-EBCB5815F949}"/>
            </a:ext>
          </a:extLst>
        </xdr:cNvPr>
        <xdr:cNvSpPr/>
      </xdr:nvSpPr>
      <xdr:spPr>
        <a:xfrm>
          <a:off x="2157222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475</xdr:row>
      <xdr:rowOff>0</xdr:rowOff>
    </xdr:from>
    <xdr:to>
      <xdr:col>45</xdr:col>
      <xdr:colOff>83820</xdr:colOff>
      <xdr:row>475</xdr:row>
      <xdr:rowOff>114300</xdr:rowOff>
    </xdr:to>
    <xdr:sp macro="" textlink="">
      <xdr:nvSpPr>
        <xdr:cNvPr id="3619" name="Arrow: Down 3618">
          <a:extLst>
            <a:ext uri="{FF2B5EF4-FFF2-40B4-BE49-F238E27FC236}">
              <a16:creationId xmlns:a16="http://schemas.microsoft.com/office/drawing/2014/main" id="{7E2C75AE-ED1F-4A45-ADA0-CA9757E0ACC8}"/>
            </a:ext>
          </a:extLst>
        </xdr:cNvPr>
        <xdr:cNvSpPr/>
      </xdr:nvSpPr>
      <xdr:spPr>
        <a:xfrm rot="10800000">
          <a:off x="1340358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475</xdr:row>
      <xdr:rowOff>0</xdr:rowOff>
    </xdr:from>
    <xdr:to>
      <xdr:col>71</xdr:col>
      <xdr:colOff>83820</xdr:colOff>
      <xdr:row>475</xdr:row>
      <xdr:rowOff>114300</xdr:rowOff>
    </xdr:to>
    <xdr:sp macro="" textlink="">
      <xdr:nvSpPr>
        <xdr:cNvPr id="3620" name="Arrow: Down 3619">
          <a:extLst>
            <a:ext uri="{FF2B5EF4-FFF2-40B4-BE49-F238E27FC236}">
              <a16:creationId xmlns:a16="http://schemas.microsoft.com/office/drawing/2014/main" id="{42FF4A01-8206-44F8-A12F-A605AD41EBE0}"/>
            </a:ext>
          </a:extLst>
        </xdr:cNvPr>
        <xdr:cNvSpPr/>
      </xdr:nvSpPr>
      <xdr:spPr>
        <a:xfrm>
          <a:off x="2157222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475</xdr:row>
      <xdr:rowOff>0</xdr:rowOff>
    </xdr:from>
    <xdr:to>
      <xdr:col>11</xdr:col>
      <xdr:colOff>83820</xdr:colOff>
      <xdr:row>475</xdr:row>
      <xdr:rowOff>114300</xdr:rowOff>
    </xdr:to>
    <xdr:sp macro="" textlink="">
      <xdr:nvSpPr>
        <xdr:cNvPr id="3626" name="Arrow: Down 3625">
          <a:extLst>
            <a:ext uri="{FF2B5EF4-FFF2-40B4-BE49-F238E27FC236}">
              <a16:creationId xmlns:a16="http://schemas.microsoft.com/office/drawing/2014/main" id="{52B1E5A9-6DE7-4B2F-9A5A-31AE0F7BBF96}"/>
            </a:ext>
          </a:extLst>
        </xdr:cNvPr>
        <xdr:cNvSpPr/>
      </xdr:nvSpPr>
      <xdr:spPr>
        <a:xfrm>
          <a:off x="369570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475</xdr:row>
      <xdr:rowOff>0</xdr:rowOff>
    </xdr:from>
    <xdr:to>
      <xdr:col>5</xdr:col>
      <xdr:colOff>83820</xdr:colOff>
      <xdr:row>475</xdr:row>
      <xdr:rowOff>114300</xdr:rowOff>
    </xdr:to>
    <xdr:sp macro="" textlink="">
      <xdr:nvSpPr>
        <xdr:cNvPr id="3627" name="Arrow: Down 3626">
          <a:extLst>
            <a:ext uri="{FF2B5EF4-FFF2-40B4-BE49-F238E27FC236}">
              <a16:creationId xmlns:a16="http://schemas.microsoft.com/office/drawing/2014/main" id="{E32A512C-F3F9-49EC-ADAF-B230A1794223}"/>
            </a:ext>
          </a:extLst>
        </xdr:cNvPr>
        <xdr:cNvSpPr/>
      </xdr:nvSpPr>
      <xdr:spPr>
        <a:xfrm>
          <a:off x="192786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475</xdr:row>
      <xdr:rowOff>0</xdr:rowOff>
    </xdr:from>
    <xdr:to>
      <xdr:col>24</xdr:col>
      <xdr:colOff>83820</xdr:colOff>
      <xdr:row>475</xdr:row>
      <xdr:rowOff>114300</xdr:rowOff>
    </xdr:to>
    <xdr:sp macro="" textlink="">
      <xdr:nvSpPr>
        <xdr:cNvPr id="3629" name="Arrow: Down 3628">
          <a:extLst>
            <a:ext uri="{FF2B5EF4-FFF2-40B4-BE49-F238E27FC236}">
              <a16:creationId xmlns:a16="http://schemas.microsoft.com/office/drawing/2014/main" id="{61FBB8BC-7829-4B1B-B71F-304EF44BAE50}"/>
            </a:ext>
          </a:extLst>
        </xdr:cNvPr>
        <xdr:cNvSpPr/>
      </xdr:nvSpPr>
      <xdr:spPr>
        <a:xfrm rot="10800000">
          <a:off x="8336280" y="8696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475</xdr:row>
      <xdr:rowOff>0</xdr:rowOff>
    </xdr:from>
    <xdr:to>
      <xdr:col>60</xdr:col>
      <xdr:colOff>83820</xdr:colOff>
      <xdr:row>475</xdr:row>
      <xdr:rowOff>114300</xdr:rowOff>
    </xdr:to>
    <xdr:sp macro="" textlink="">
      <xdr:nvSpPr>
        <xdr:cNvPr id="3632" name="Arrow: Down 3631">
          <a:extLst>
            <a:ext uri="{FF2B5EF4-FFF2-40B4-BE49-F238E27FC236}">
              <a16:creationId xmlns:a16="http://schemas.microsoft.com/office/drawing/2014/main" id="{1216363D-54AF-46A5-B41C-C8E5238A9BBC}"/>
            </a:ext>
          </a:extLst>
        </xdr:cNvPr>
        <xdr:cNvSpPr/>
      </xdr:nvSpPr>
      <xdr:spPr>
        <a:xfrm rot="10800000">
          <a:off x="19019520" y="8696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476</xdr:row>
      <xdr:rowOff>0</xdr:rowOff>
    </xdr:from>
    <xdr:to>
      <xdr:col>45</xdr:col>
      <xdr:colOff>83820</xdr:colOff>
      <xdr:row>476</xdr:row>
      <xdr:rowOff>114300</xdr:rowOff>
    </xdr:to>
    <xdr:sp macro="" textlink="">
      <xdr:nvSpPr>
        <xdr:cNvPr id="3633" name="Arrow: Down 3632">
          <a:extLst>
            <a:ext uri="{FF2B5EF4-FFF2-40B4-BE49-F238E27FC236}">
              <a16:creationId xmlns:a16="http://schemas.microsoft.com/office/drawing/2014/main" id="{5A8D1BF8-D5FC-41B0-A498-02319C4E0B37}"/>
            </a:ext>
          </a:extLst>
        </xdr:cNvPr>
        <xdr:cNvSpPr/>
      </xdr:nvSpPr>
      <xdr:spPr>
        <a:xfrm rot="10800000">
          <a:off x="1340358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476</xdr:row>
      <xdr:rowOff>0</xdr:rowOff>
    </xdr:from>
    <xdr:to>
      <xdr:col>71</xdr:col>
      <xdr:colOff>83820</xdr:colOff>
      <xdr:row>476</xdr:row>
      <xdr:rowOff>114300</xdr:rowOff>
    </xdr:to>
    <xdr:sp macro="" textlink="">
      <xdr:nvSpPr>
        <xdr:cNvPr id="3634" name="Arrow: Down 3633">
          <a:extLst>
            <a:ext uri="{FF2B5EF4-FFF2-40B4-BE49-F238E27FC236}">
              <a16:creationId xmlns:a16="http://schemas.microsoft.com/office/drawing/2014/main" id="{C81261EA-B732-4244-9840-F830954B5426}"/>
            </a:ext>
          </a:extLst>
        </xdr:cNvPr>
        <xdr:cNvSpPr/>
      </xdr:nvSpPr>
      <xdr:spPr>
        <a:xfrm>
          <a:off x="2157222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476</xdr:row>
      <xdr:rowOff>0</xdr:rowOff>
    </xdr:from>
    <xdr:to>
      <xdr:col>45</xdr:col>
      <xdr:colOff>83820</xdr:colOff>
      <xdr:row>476</xdr:row>
      <xdr:rowOff>114300</xdr:rowOff>
    </xdr:to>
    <xdr:sp macro="" textlink="">
      <xdr:nvSpPr>
        <xdr:cNvPr id="3635" name="Arrow: Down 3634">
          <a:extLst>
            <a:ext uri="{FF2B5EF4-FFF2-40B4-BE49-F238E27FC236}">
              <a16:creationId xmlns:a16="http://schemas.microsoft.com/office/drawing/2014/main" id="{347FEC9C-397C-40B9-96EE-55504D980C5D}"/>
            </a:ext>
          </a:extLst>
        </xdr:cNvPr>
        <xdr:cNvSpPr/>
      </xdr:nvSpPr>
      <xdr:spPr>
        <a:xfrm rot="10800000">
          <a:off x="1340358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476</xdr:row>
      <xdr:rowOff>0</xdr:rowOff>
    </xdr:from>
    <xdr:to>
      <xdr:col>71</xdr:col>
      <xdr:colOff>83820</xdr:colOff>
      <xdr:row>476</xdr:row>
      <xdr:rowOff>114300</xdr:rowOff>
    </xdr:to>
    <xdr:sp macro="" textlink="">
      <xdr:nvSpPr>
        <xdr:cNvPr id="3636" name="Arrow: Down 3635">
          <a:extLst>
            <a:ext uri="{FF2B5EF4-FFF2-40B4-BE49-F238E27FC236}">
              <a16:creationId xmlns:a16="http://schemas.microsoft.com/office/drawing/2014/main" id="{BF511484-FB55-45C4-A51F-76131C4B17B4}"/>
            </a:ext>
          </a:extLst>
        </xdr:cNvPr>
        <xdr:cNvSpPr/>
      </xdr:nvSpPr>
      <xdr:spPr>
        <a:xfrm>
          <a:off x="2157222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476</xdr:row>
      <xdr:rowOff>0</xdr:rowOff>
    </xdr:from>
    <xdr:to>
      <xdr:col>60</xdr:col>
      <xdr:colOff>83820</xdr:colOff>
      <xdr:row>476</xdr:row>
      <xdr:rowOff>114300</xdr:rowOff>
    </xdr:to>
    <xdr:sp macro="" textlink="">
      <xdr:nvSpPr>
        <xdr:cNvPr id="3642" name="Arrow: Down 3641">
          <a:extLst>
            <a:ext uri="{FF2B5EF4-FFF2-40B4-BE49-F238E27FC236}">
              <a16:creationId xmlns:a16="http://schemas.microsoft.com/office/drawing/2014/main" id="{A9268DB3-DBC5-4CEA-99AF-74188D9A9BC0}"/>
            </a:ext>
          </a:extLst>
        </xdr:cNvPr>
        <xdr:cNvSpPr/>
      </xdr:nvSpPr>
      <xdr:spPr>
        <a:xfrm>
          <a:off x="1901952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476</xdr:row>
      <xdr:rowOff>0</xdr:rowOff>
    </xdr:from>
    <xdr:to>
      <xdr:col>11</xdr:col>
      <xdr:colOff>83820</xdr:colOff>
      <xdr:row>476</xdr:row>
      <xdr:rowOff>114300</xdr:rowOff>
    </xdr:to>
    <xdr:sp macro="" textlink="">
      <xdr:nvSpPr>
        <xdr:cNvPr id="3643" name="Arrow: Down 3642">
          <a:extLst>
            <a:ext uri="{FF2B5EF4-FFF2-40B4-BE49-F238E27FC236}">
              <a16:creationId xmlns:a16="http://schemas.microsoft.com/office/drawing/2014/main" id="{48A9C98B-B568-4B1C-B726-DC93DE3556D4}"/>
            </a:ext>
          </a:extLst>
        </xdr:cNvPr>
        <xdr:cNvSpPr/>
      </xdr:nvSpPr>
      <xdr:spPr>
        <a:xfrm rot="10800000">
          <a:off x="369570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476</xdr:row>
      <xdr:rowOff>0</xdr:rowOff>
    </xdr:from>
    <xdr:to>
      <xdr:col>5</xdr:col>
      <xdr:colOff>83820</xdr:colOff>
      <xdr:row>476</xdr:row>
      <xdr:rowOff>114300</xdr:rowOff>
    </xdr:to>
    <xdr:sp macro="" textlink="">
      <xdr:nvSpPr>
        <xdr:cNvPr id="3644" name="Arrow: Down 3643">
          <a:extLst>
            <a:ext uri="{FF2B5EF4-FFF2-40B4-BE49-F238E27FC236}">
              <a16:creationId xmlns:a16="http://schemas.microsoft.com/office/drawing/2014/main" id="{71FEA4F6-FF64-4B24-B06A-66D9D4AAFD63}"/>
            </a:ext>
          </a:extLst>
        </xdr:cNvPr>
        <xdr:cNvSpPr/>
      </xdr:nvSpPr>
      <xdr:spPr>
        <a:xfrm rot="10800000">
          <a:off x="192786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475</xdr:row>
      <xdr:rowOff>0</xdr:rowOff>
    </xdr:from>
    <xdr:to>
      <xdr:col>39</xdr:col>
      <xdr:colOff>83820</xdr:colOff>
      <xdr:row>475</xdr:row>
      <xdr:rowOff>114300</xdr:rowOff>
    </xdr:to>
    <xdr:sp macro="" textlink="">
      <xdr:nvSpPr>
        <xdr:cNvPr id="3645" name="Arrow: Down 3644">
          <a:extLst>
            <a:ext uri="{FF2B5EF4-FFF2-40B4-BE49-F238E27FC236}">
              <a16:creationId xmlns:a16="http://schemas.microsoft.com/office/drawing/2014/main" id="{D7F1C4DB-8CAA-4C57-A5EE-FFD6F4CF9439}"/>
            </a:ext>
          </a:extLst>
        </xdr:cNvPr>
        <xdr:cNvSpPr/>
      </xdr:nvSpPr>
      <xdr:spPr>
        <a:xfrm>
          <a:off x="11544300" y="8696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476</xdr:row>
      <xdr:rowOff>0</xdr:rowOff>
    </xdr:from>
    <xdr:to>
      <xdr:col>39</xdr:col>
      <xdr:colOff>83820</xdr:colOff>
      <xdr:row>476</xdr:row>
      <xdr:rowOff>114300</xdr:rowOff>
    </xdr:to>
    <xdr:sp macro="" textlink="">
      <xdr:nvSpPr>
        <xdr:cNvPr id="3647" name="Arrow: Down 3646">
          <a:extLst>
            <a:ext uri="{FF2B5EF4-FFF2-40B4-BE49-F238E27FC236}">
              <a16:creationId xmlns:a16="http://schemas.microsoft.com/office/drawing/2014/main" id="{01E027B0-A9D1-4EF9-B165-152AC7AC3C72}"/>
            </a:ext>
          </a:extLst>
        </xdr:cNvPr>
        <xdr:cNvSpPr/>
      </xdr:nvSpPr>
      <xdr:spPr>
        <a:xfrm>
          <a:off x="1154430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476</xdr:row>
      <xdr:rowOff>0</xdr:rowOff>
    </xdr:from>
    <xdr:to>
      <xdr:col>24</xdr:col>
      <xdr:colOff>83820</xdr:colOff>
      <xdr:row>476</xdr:row>
      <xdr:rowOff>114300</xdr:rowOff>
    </xdr:to>
    <xdr:sp macro="" textlink="">
      <xdr:nvSpPr>
        <xdr:cNvPr id="3648" name="Arrow: Down 3647">
          <a:extLst>
            <a:ext uri="{FF2B5EF4-FFF2-40B4-BE49-F238E27FC236}">
              <a16:creationId xmlns:a16="http://schemas.microsoft.com/office/drawing/2014/main" id="{1416BEA0-2A0A-4C15-9492-E85D33DB7C1C}"/>
            </a:ext>
          </a:extLst>
        </xdr:cNvPr>
        <xdr:cNvSpPr/>
      </xdr:nvSpPr>
      <xdr:spPr>
        <a:xfrm>
          <a:off x="833628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477</xdr:row>
      <xdr:rowOff>0</xdr:rowOff>
    </xdr:from>
    <xdr:to>
      <xdr:col>45</xdr:col>
      <xdr:colOff>83820</xdr:colOff>
      <xdr:row>477</xdr:row>
      <xdr:rowOff>114300</xdr:rowOff>
    </xdr:to>
    <xdr:sp macro="" textlink="">
      <xdr:nvSpPr>
        <xdr:cNvPr id="3649" name="Arrow: Down 3648">
          <a:extLst>
            <a:ext uri="{FF2B5EF4-FFF2-40B4-BE49-F238E27FC236}">
              <a16:creationId xmlns:a16="http://schemas.microsoft.com/office/drawing/2014/main" id="{FCB852E2-F98A-441C-85C4-3707DA8D3091}"/>
            </a:ext>
          </a:extLst>
        </xdr:cNvPr>
        <xdr:cNvSpPr/>
      </xdr:nvSpPr>
      <xdr:spPr>
        <a:xfrm rot="10800000">
          <a:off x="1340358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477</xdr:row>
      <xdr:rowOff>0</xdr:rowOff>
    </xdr:from>
    <xdr:to>
      <xdr:col>71</xdr:col>
      <xdr:colOff>83820</xdr:colOff>
      <xdr:row>477</xdr:row>
      <xdr:rowOff>114300</xdr:rowOff>
    </xdr:to>
    <xdr:sp macro="" textlink="">
      <xdr:nvSpPr>
        <xdr:cNvPr id="3650" name="Arrow: Down 3649">
          <a:extLst>
            <a:ext uri="{FF2B5EF4-FFF2-40B4-BE49-F238E27FC236}">
              <a16:creationId xmlns:a16="http://schemas.microsoft.com/office/drawing/2014/main" id="{562B76CA-F481-403F-B629-8493C83E66CF}"/>
            </a:ext>
          </a:extLst>
        </xdr:cNvPr>
        <xdr:cNvSpPr/>
      </xdr:nvSpPr>
      <xdr:spPr>
        <a:xfrm>
          <a:off x="2157222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477</xdr:row>
      <xdr:rowOff>0</xdr:rowOff>
    </xdr:from>
    <xdr:to>
      <xdr:col>45</xdr:col>
      <xdr:colOff>83820</xdr:colOff>
      <xdr:row>477</xdr:row>
      <xdr:rowOff>114300</xdr:rowOff>
    </xdr:to>
    <xdr:sp macro="" textlink="">
      <xdr:nvSpPr>
        <xdr:cNvPr id="3651" name="Arrow: Down 3650">
          <a:extLst>
            <a:ext uri="{FF2B5EF4-FFF2-40B4-BE49-F238E27FC236}">
              <a16:creationId xmlns:a16="http://schemas.microsoft.com/office/drawing/2014/main" id="{5D57EBCD-AC1E-4791-A766-CBC8F524B52A}"/>
            </a:ext>
          </a:extLst>
        </xdr:cNvPr>
        <xdr:cNvSpPr/>
      </xdr:nvSpPr>
      <xdr:spPr>
        <a:xfrm rot="10800000">
          <a:off x="1340358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477</xdr:row>
      <xdr:rowOff>0</xdr:rowOff>
    </xdr:from>
    <xdr:to>
      <xdr:col>71</xdr:col>
      <xdr:colOff>83820</xdr:colOff>
      <xdr:row>477</xdr:row>
      <xdr:rowOff>114300</xdr:rowOff>
    </xdr:to>
    <xdr:sp macro="" textlink="">
      <xdr:nvSpPr>
        <xdr:cNvPr id="3652" name="Arrow: Down 3651">
          <a:extLst>
            <a:ext uri="{FF2B5EF4-FFF2-40B4-BE49-F238E27FC236}">
              <a16:creationId xmlns:a16="http://schemas.microsoft.com/office/drawing/2014/main" id="{709247E4-7BDD-40C1-9977-BC87875245B2}"/>
            </a:ext>
          </a:extLst>
        </xdr:cNvPr>
        <xdr:cNvSpPr/>
      </xdr:nvSpPr>
      <xdr:spPr>
        <a:xfrm>
          <a:off x="2157222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477</xdr:row>
      <xdr:rowOff>0</xdr:rowOff>
    </xdr:from>
    <xdr:to>
      <xdr:col>11</xdr:col>
      <xdr:colOff>83820</xdr:colOff>
      <xdr:row>477</xdr:row>
      <xdr:rowOff>114300</xdr:rowOff>
    </xdr:to>
    <xdr:sp macro="" textlink="">
      <xdr:nvSpPr>
        <xdr:cNvPr id="3654" name="Arrow: Down 3653">
          <a:extLst>
            <a:ext uri="{FF2B5EF4-FFF2-40B4-BE49-F238E27FC236}">
              <a16:creationId xmlns:a16="http://schemas.microsoft.com/office/drawing/2014/main" id="{F8112F02-DC73-47D8-BDC4-0667CE1B9483}"/>
            </a:ext>
          </a:extLst>
        </xdr:cNvPr>
        <xdr:cNvSpPr/>
      </xdr:nvSpPr>
      <xdr:spPr>
        <a:xfrm rot="10800000">
          <a:off x="369570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477</xdr:row>
      <xdr:rowOff>0</xdr:rowOff>
    </xdr:from>
    <xdr:to>
      <xdr:col>5</xdr:col>
      <xdr:colOff>83820</xdr:colOff>
      <xdr:row>477</xdr:row>
      <xdr:rowOff>114300</xdr:rowOff>
    </xdr:to>
    <xdr:sp macro="" textlink="">
      <xdr:nvSpPr>
        <xdr:cNvPr id="3655" name="Arrow: Down 3654">
          <a:extLst>
            <a:ext uri="{FF2B5EF4-FFF2-40B4-BE49-F238E27FC236}">
              <a16:creationId xmlns:a16="http://schemas.microsoft.com/office/drawing/2014/main" id="{016E06A3-A625-41E9-BAB1-20E0CD433AC0}"/>
            </a:ext>
          </a:extLst>
        </xdr:cNvPr>
        <xdr:cNvSpPr/>
      </xdr:nvSpPr>
      <xdr:spPr>
        <a:xfrm rot="10800000">
          <a:off x="192786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477</xdr:row>
      <xdr:rowOff>0</xdr:rowOff>
    </xdr:from>
    <xdr:to>
      <xdr:col>24</xdr:col>
      <xdr:colOff>83820</xdr:colOff>
      <xdr:row>477</xdr:row>
      <xdr:rowOff>114300</xdr:rowOff>
    </xdr:to>
    <xdr:sp macro="" textlink="">
      <xdr:nvSpPr>
        <xdr:cNvPr id="3658" name="Arrow: Down 3657">
          <a:extLst>
            <a:ext uri="{FF2B5EF4-FFF2-40B4-BE49-F238E27FC236}">
              <a16:creationId xmlns:a16="http://schemas.microsoft.com/office/drawing/2014/main" id="{606421C3-42F2-432C-BA37-B0A74A76E5CE}"/>
            </a:ext>
          </a:extLst>
        </xdr:cNvPr>
        <xdr:cNvSpPr/>
      </xdr:nvSpPr>
      <xdr:spPr>
        <a:xfrm rot="10800000">
          <a:off x="833628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477</xdr:row>
      <xdr:rowOff>0</xdr:rowOff>
    </xdr:from>
    <xdr:to>
      <xdr:col>39</xdr:col>
      <xdr:colOff>83820</xdr:colOff>
      <xdr:row>477</xdr:row>
      <xdr:rowOff>114300</xdr:rowOff>
    </xdr:to>
    <xdr:sp macro="" textlink="">
      <xdr:nvSpPr>
        <xdr:cNvPr id="3659" name="Arrow: Down 3658">
          <a:extLst>
            <a:ext uri="{FF2B5EF4-FFF2-40B4-BE49-F238E27FC236}">
              <a16:creationId xmlns:a16="http://schemas.microsoft.com/office/drawing/2014/main" id="{3A6CCE0C-BB70-4AED-AAD7-A0B364803DB9}"/>
            </a:ext>
          </a:extLst>
        </xdr:cNvPr>
        <xdr:cNvSpPr/>
      </xdr:nvSpPr>
      <xdr:spPr>
        <a:xfrm rot="10800000">
          <a:off x="1154430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477</xdr:row>
      <xdr:rowOff>0</xdr:rowOff>
    </xdr:from>
    <xdr:to>
      <xdr:col>60</xdr:col>
      <xdr:colOff>83820</xdr:colOff>
      <xdr:row>477</xdr:row>
      <xdr:rowOff>114300</xdr:rowOff>
    </xdr:to>
    <xdr:sp macro="" textlink="">
      <xdr:nvSpPr>
        <xdr:cNvPr id="3661" name="Arrow: Down 3660">
          <a:extLst>
            <a:ext uri="{FF2B5EF4-FFF2-40B4-BE49-F238E27FC236}">
              <a16:creationId xmlns:a16="http://schemas.microsoft.com/office/drawing/2014/main" id="{D80647A6-EE12-4CBC-9E77-565F8EDEF08B}"/>
            </a:ext>
          </a:extLst>
        </xdr:cNvPr>
        <xdr:cNvSpPr/>
      </xdr:nvSpPr>
      <xdr:spPr>
        <a:xfrm rot="10800000">
          <a:off x="1901952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478</xdr:row>
      <xdr:rowOff>0</xdr:rowOff>
    </xdr:from>
    <xdr:to>
      <xdr:col>45</xdr:col>
      <xdr:colOff>83820</xdr:colOff>
      <xdr:row>478</xdr:row>
      <xdr:rowOff>114300</xdr:rowOff>
    </xdr:to>
    <xdr:sp macro="" textlink="">
      <xdr:nvSpPr>
        <xdr:cNvPr id="3662" name="Arrow: Down 3661">
          <a:extLst>
            <a:ext uri="{FF2B5EF4-FFF2-40B4-BE49-F238E27FC236}">
              <a16:creationId xmlns:a16="http://schemas.microsoft.com/office/drawing/2014/main" id="{1B2039FE-7431-4282-A35A-92686E4FBAA2}"/>
            </a:ext>
          </a:extLst>
        </xdr:cNvPr>
        <xdr:cNvSpPr/>
      </xdr:nvSpPr>
      <xdr:spPr>
        <a:xfrm rot="10800000">
          <a:off x="1340358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478</xdr:row>
      <xdr:rowOff>0</xdr:rowOff>
    </xdr:from>
    <xdr:to>
      <xdr:col>71</xdr:col>
      <xdr:colOff>83820</xdr:colOff>
      <xdr:row>478</xdr:row>
      <xdr:rowOff>114300</xdr:rowOff>
    </xdr:to>
    <xdr:sp macro="" textlink="">
      <xdr:nvSpPr>
        <xdr:cNvPr id="3663" name="Arrow: Down 3662">
          <a:extLst>
            <a:ext uri="{FF2B5EF4-FFF2-40B4-BE49-F238E27FC236}">
              <a16:creationId xmlns:a16="http://schemas.microsoft.com/office/drawing/2014/main" id="{341BC574-5B40-4A18-8529-EB7289722437}"/>
            </a:ext>
          </a:extLst>
        </xdr:cNvPr>
        <xdr:cNvSpPr/>
      </xdr:nvSpPr>
      <xdr:spPr>
        <a:xfrm>
          <a:off x="2157222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478</xdr:row>
      <xdr:rowOff>0</xdr:rowOff>
    </xdr:from>
    <xdr:to>
      <xdr:col>45</xdr:col>
      <xdr:colOff>83820</xdr:colOff>
      <xdr:row>478</xdr:row>
      <xdr:rowOff>114300</xdr:rowOff>
    </xdr:to>
    <xdr:sp macro="" textlink="">
      <xdr:nvSpPr>
        <xdr:cNvPr id="3664" name="Arrow: Down 3663">
          <a:extLst>
            <a:ext uri="{FF2B5EF4-FFF2-40B4-BE49-F238E27FC236}">
              <a16:creationId xmlns:a16="http://schemas.microsoft.com/office/drawing/2014/main" id="{6AC09481-B978-4777-A848-21D1B7FB0BB7}"/>
            </a:ext>
          </a:extLst>
        </xdr:cNvPr>
        <xdr:cNvSpPr/>
      </xdr:nvSpPr>
      <xdr:spPr>
        <a:xfrm rot="10800000">
          <a:off x="1340358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478</xdr:row>
      <xdr:rowOff>0</xdr:rowOff>
    </xdr:from>
    <xdr:to>
      <xdr:col>71</xdr:col>
      <xdr:colOff>83820</xdr:colOff>
      <xdr:row>478</xdr:row>
      <xdr:rowOff>114300</xdr:rowOff>
    </xdr:to>
    <xdr:sp macro="" textlink="">
      <xdr:nvSpPr>
        <xdr:cNvPr id="3665" name="Arrow: Down 3664">
          <a:extLst>
            <a:ext uri="{FF2B5EF4-FFF2-40B4-BE49-F238E27FC236}">
              <a16:creationId xmlns:a16="http://schemas.microsoft.com/office/drawing/2014/main" id="{6ED3D518-B29A-434B-9307-80C200A92BE2}"/>
            </a:ext>
          </a:extLst>
        </xdr:cNvPr>
        <xdr:cNvSpPr/>
      </xdr:nvSpPr>
      <xdr:spPr>
        <a:xfrm>
          <a:off x="2157222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478</xdr:row>
      <xdr:rowOff>0</xdr:rowOff>
    </xdr:from>
    <xdr:to>
      <xdr:col>11</xdr:col>
      <xdr:colOff>83820</xdr:colOff>
      <xdr:row>478</xdr:row>
      <xdr:rowOff>114300</xdr:rowOff>
    </xdr:to>
    <xdr:sp macro="" textlink="">
      <xdr:nvSpPr>
        <xdr:cNvPr id="3666" name="Arrow: Down 3665">
          <a:extLst>
            <a:ext uri="{FF2B5EF4-FFF2-40B4-BE49-F238E27FC236}">
              <a16:creationId xmlns:a16="http://schemas.microsoft.com/office/drawing/2014/main" id="{C52D3894-22BF-4D88-A5CB-C1EFC62C45BE}"/>
            </a:ext>
          </a:extLst>
        </xdr:cNvPr>
        <xdr:cNvSpPr/>
      </xdr:nvSpPr>
      <xdr:spPr>
        <a:xfrm rot="10800000">
          <a:off x="369570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478</xdr:row>
      <xdr:rowOff>0</xdr:rowOff>
    </xdr:from>
    <xdr:to>
      <xdr:col>5</xdr:col>
      <xdr:colOff>83820</xdr:colOff>
      <xdr:row>478</xdr:row>
      <xdr:rowOff>114300</xdr:rowOff>
    </xdr:to>
    <xdr:sp macro="" textlink="">
      <xdr:nvSpPr>
        <xdr:cNvPr id="3667" name="Arrow: Down 3666">
          <a:extLst>
            <a:ext uri="{FF2B5EF4-FFF2-40B4-BE49-F238E27FC236}">
              <a16:creationId xmlns:a16="http://schemas.microsoft.com/office/drawing/2014/main" id="{E0CEA105-6319-4C35-ABE5-415DC04A5112}"/>
            </a:ext>
          </a:extLst>
        </xdr:cNvPr>
        <xdr:cNvSpPr/>
      </xdr:nvSpPr>
      <xdr:spPr>
        <a:xfrm rot="10800000">
          <a:off x="192786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478</xdr:row>
      <xdr:rowOff>0</xdr:rowOff>
    </xdr:from>
    <xdr:to>
      <xdr:col>24</xdr:col>
      <xdr:colOff>83820</xdr:colOff>
      <xdr:row>478</xdr:row>
      <xdr:rowOff>114300</xdr:rowOff>
    </xdr:to>
    <xdr:sp macro="" textlink="">
      <xdr:nvSpPr>
        <xdr:cNvPr id="3668" name="Arrow: Down 3667">
          <a:extLst>
            <a:ext uri="{FF2B5EF4-FFF2-40B4-BE49-F238E27FC236}">
              <a16:creationId xmlns:a16="http://schemas.microsoft.com/office/drawing/2014/main" id="{81D434C5-D324-4661-AE82-B98B4A2DD51C}"/>
            </a:ext>
          </a:extLst>
        </xdr:cNvPr>
        <xdr:cNvSpPr/>
      </xdr:nvSpPr>
      <xdr:spPr>
        <a:xfrm rot="10800000">
          <a:off x="833628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471</xdr:row>
      <xdr:rowOff>0</xdr:rowOff>
    </xdr:from>
    <xdr:to>
      <xdr:col>39</xdr:col>
      <xdr:colOff>83820</xdr:colOff>
      <xdr:row>471</xdr:row>
      <xdr:rowOff>114300</xdr:rowOff>
    </xdr:to>
    <xdr:sp macro="" textlink="">
      <xdr:nvSpPr>
        <xdr:cNvPr id="3672" name="Arrow: Down 3671">
          <a:extLst>
            <a:ext uri="{FF2B5EF4-FFF2-40B4-BE49-F238E27FC236}">
              <a16:creationId xmlns:a16="http://schemas.microsoft.com/office/drawing/2014/main" id="{14A66181-A566-47D5-BAC0-AD659B828091}"/>
            </a:ext>
          </a:extLst>
        </xdr:cNvPr>
        <xdr:cNvSpPr/>
      </xdr:nvSpPr>
      <xdr:spPr>
        <a:xfrm>
          <a:off x="11544300" y="8623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478</xdr:row>
      <xdr:rowOff>0</xdr:rowOff>
    </xdr:from>
    <xdr:to>
      <xdr:col>39</xdr:col>
      <xdr:colOff>83820</xdr:colOff>
      <xdr:row>478</xdr:row>
      <xdr:rowOff>114300</xdr:rowOff>
    </xdr:to>
    <xdr:sp macro="" textlink="">
      <xdr:nvSpPr>
        <xdr:cNvPr id="3673" name="Arrow: Down 3672">
          <a:extLst>
            <a:ext uri="{FF2B5EF4-FFF2-40B4-BE49-F238E27FC236}">
              <a16:creationId xmlns:a16="http://schemas.microsoft.com/office/drawing/2014/main" id="{96E19E9F-7DCE-433F-9B80-84EE7D84BEE2}"/>
            </a:ext>
          </a:extLst>
        </xdr:cNvPr>
        <xdr:cNvSpPr/>
      </xdr:nvSpPr>
      <xdr:spPr>
        <a:xfrm>
          <a:off x="11544300" y="8751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478</xdr:row>
      <xdr:rowOff>0</xdr:rowOff>
    </xdr:from>
    <xdr:to>
      <xdr:col>60</xdr:col>
      <xdr:colOff>83820</xdr:colOff>
      <xdr:row>478</xdr:row>
      <xdr:rowOff>114300</xdr:rowOff>
    </xdr:to>
    <xdr:sp macro="" textlink="">
      <xdr:nvSpPr>
        <xdr:cNvPr id="3674" name="Arrow: Down 3673">
          <a:extLst>
            <a:ext uri="{FF2B5EF4-FFF2-40B4-BE49-F238E27FC236}">
              <a16:creationId xmlns:a16="http://schemas.microsoft.com/office/drawing/2014/main" id="{6B0E1663-27EE-451D-B1D4-B62B4029643C}"/>
            </a:ext>
          </a:extLst>
        </xdr:cNvPr>
        <xdr:cNvSpPr/>
      </xdr:nvSpPr>
      <xdr:spPr>
        <a:xfrm>
          <a:off x="1901952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479</xdr:row>
      <xdr:rowOff>0</xdr:rowOff>
    </xdr:from>
    <xdr:to>
      <xdr:col>45</xdr:col>
      <xdr:colOff>83820</xdr:colOff>
      <xdr:row>479</xdr:row>
      <xdr:rowOff>114300</xdr:rowOff>
    </xdr:to>
    <xdr:sp macro="" textlink="">
      <xdr:nvSpPr>
        <xdr:cNvPr id="3675" name="Arrow: Down 3674">
          <a:extLst>
            <a:ext uri="{FF2B5EF4-FFF2-40B4-BE49-F238E27FC236}">
              <a16:creationId xmlns:a16="http://schemas.microsoft.com/office/drawing/2014/main" id="{CD8FAE9B-3504-4B72-A6C1-83D67251D4EB}"/>
            </a:ext>
          </a:extLst>
        </xdr:cNvPr>
        <xdr:cNvSpPr/>
      </xdr:nvSpPr>
      <xdr:spPr>
        <a:xfrm rot="10800000">
          <a:off x="1340358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479</xdr:row>
      <xdr:rowOff>0</xdr:rowOff>
    </xdr:from>
    <xdr:to>
      <xdr:col>71</xdr:col>
      <xdr:colOff>83820</xdr:colOff>
      <xdr:row>479</xdr:row>
      <xdr:rowOff>114300</xdr:rowOff>
    </xdr:to>
    <xdr:sp macro="" textlink="">
      <xdr:nvSpPr>
        <xdr:cNvPr id="3676" name="Arrow: Down 3675">
          <a:extLst>
            <a:ext uri="{FF2B5EF4-FFF2-40B4-BE49-F238E27FC236}">
              <a16:creationId xmlns:a16="http://schemas.microsoft.com/office/drawing/2014/main" id="{7E35BF61-AF46-49B0-A895-213EF012728F}"/>
            </a:ext>
          </a:extLst>
        </xdr:cNvPr>
        <xdr:cNvSpPr/>
      </xdr:nvSpPr>
      <xdr:spPr>
        <a:xfrm>
          <a:off x="2157222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479</xdr:row>
      <xdr:rowOff>0</xdr:rowOff>
    </xdr:from>
    <xdr:to>
      <xdr:col>45</xdr:col>
      <xdr:colOff>83820</xdr:colOff>
      <xdr:row>479</xdr:row>
      <xdr:rowOff>114300</xdr:rowOff>
    </xdr:to>
    <xdr:sp macro="" textlink="">
      <xdr:nvSpPr>
        <xdr:cNvPr id="3677" name="Arrow: Down 3676">
          <a:extLst>
            <a:ext uri="{FF2B5EF4-FFF2-40B4-BE49-F238E27FC236}">
              <a16:creationId xmlns:a16="http://schemas.microsoft.com/office/drawing/2014/main" id="{8FFD8E6F-9DD5-4510-A4DB-D449628CA802}"/>
            </a:ext>
          </a:extLst>
        </xdr:cNvPr>
        <xdr:cNvSpPr/>
      </xdr:nvSpPr>
      <xdr:spPr>
        <a:xfrm rot="10800000">
          <a:off x="1340358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479</xdr:row>
      <xdr:rowOff>0</xdr:rowOff>
    </xdr:from>
    <xdr:to>
      <xdr:col>71</xdr:col>
      <xdr:colOff>83820</xdr:colOff>
      <xdr:row>479</xdr:row>
      <xdr:rowOff>114300</xdr:rowOff>
    </xdr:to>
    <xdr:sp macro="" textlink="">
      <xdr:nvSpPr>
        <xdr:cNvPr id="3678" name="Arrow: Down 3677">
          <a:extLst>
            <a:ext uri="{FF2B5EF4-FFF2-40B4-BE49-F238E27FC236}">
              <a16:creationId xmlns:a16="http://schemas.microsoft.com/office/drawing/2014/main" id="{ADC8DEDB-5EBE-4223-BE28-A23BD1975794}"/>
            </a:ext>
          </a:extLst>
        </xdr:cNvPr>
        <xdr:cNvSpPr/>
      </xdr:nvSpPr>
      <xdr:spPr>
        <a:xfrm>
          <a:off x="2157222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479</xdr:row>
      <xdr:rowOff>0</xdr:rowOff>
    </xdr:from>
    <xdr:to>
      <xdr:col>39</xdr:col>
      <xdr:colOff>83820</xdr:colOff>
      <xdr:row>479</xdr:row>
      <xdr:rowOff>114300</xdr:rowOff>
    </xdr:to>
    <xdr:sp macro="" textlink="">
      <xdr:nvSpPr>
        <xdr:cNvPr id="3682" name="Arrow: Down 3681">
          <a:extLst>
            <a:ext uri="{FF2B5EF4-FFF2-40B4-BE49-F238E27FC236}">
              <a16:creationId xmlns:a16="http://schemas.microsoft.com/office/drawing/2014/main" id="{AABCC9FF-3270-4CC2-8A81-788B354C1622}"/>
            </a:ext>
          </a:extLst>
        </xdr:cNvPr>
        <xdr:cNvSpPr/>
      </xdr:nvSpPr>
      <xdr:spPr>
        <a:xfrm>
          <a:off x="11544300" y="8751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479</xdr:row>
      <xdr:rowOff>0</xdr:rowOff>
    </xdr:from>
    <xdr:to>
      <xdr:col>60</xdr:col>
      <xdr:colOff>83820</xdr:colOff>
      <xdr:row>479</xdr:row>
      <xdr:rowOff>114300</xdr:rowOff>
    </xdr:to>
    <xdr:sp macro="" textlink="">
      <xdr:nvSpPr>
        <xdr:cNvPr id="3684" name="Arrow: Down 3683">
          <a:extLst>
            <a:ext uri="{FF2B5EF4-FFF2-40B4-BE49-F238E27FC236}">
              <a16:creationId xmlns:a16="http://schemas.microsoft.com/office/drawing/2014/main" id="{66BC1E99-CE69-4065-9770-335DD2D2D840}"/>
            </a:ext>
          </a:extLst>
        </xdr:cNvPr>
        <xdr:cNvSpPr/>
      </xdr:nvSpPr>
      <xdr:spPr>
        <a:xfrm rot="10800000">
          <a:off x="19019520" y="8769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479</xdr:row>
      <xdr:rowOff>0</xdr:rowOff>
    </xdr:from>
    <xdr:to>
      <xdr:col>24</xdr:col>
      <xdr:colOff>83820</xdr:colOff>
      <xdr:row>479</xdr:row>
      <xdr:rowOff>114300</xdr:rowOff>
    </xdr:to>
    <xdr:sp macro="" textlink="">
      <xdr:nvSpPr>
        <xdr:cNvPr id="3686" name="Arrow: Down 3685">
          <a:extLst>
            <a:ext uri="{FF2B5EF4-FFF2-40B4-BE49-F238E27FC236}">
              <a16:creationId xmlns:a16="http://schemas.microsoft.com/office/drawing/2014/main" id="{51F40860-9F37-4017-AA29-0270B16A76DC}"/>
            </a:ext>
          </a:extLst>
        </xdr:cNvPr>
        <xdr:cNvSpPr/>
      </xdr:nvSpPr>
      <xdr:spPr>
        <a:xfrm>
          <a:off x="83362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479</xdr:row>
      <xdr:rowOff>0</xdr:rowOff>
    </xdr:from>
    <xdr:to>
      <xdr:col>5</xdr:col>
      <xdr:colOff>83820</xdr:colOff>
      <xdr:row>479</xdr:row>
      <xdr:rowOff>114300</xdr:rowOff>
    </xdr:to>
    <xdr:sp macro="" textlink="">
      <xdr:nvSpPr>
        <xdr:cNvPr id="3688" name="Arrow: Down 3687">
          <a:extLst>
            <a:ext uri="{FF2B5EF4-FFF2-40B4-BE49-F238E27FC236}">
              <a16:creationId xmlns:a16="http://schemas.microsoft.com/office/drawing/2014/main" id="{AA3A5863-6C20-4F7D-9C99-3EE8DA4C1651}"/>
            </a:ext>
          </a:extLst>
        </xdr:cNvPr>
        <xdr:cNvSpPr/>
      </xdr:nvSpPr>
      <xdr:spPr>
        <a:xfrm>
          <a:off x="192786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479</xdr:row>
      <xdr:rowOff>0</xdr:rowOff>
    </xdr:from>
    <xdr:to>
      <xdr:col>11</xdr:col>
      <xdr:colOff>83820</xdr:colOff>
      <xdr:row>479</xdr:row>
      <xdr:rowOff>114300</xdr:rowOff>
    </xdr:to>
    <xdr:sp macro="" textlink="">
      <xdr:nvSpPr>
        <xdr:cNvPr id="3689" name="Arrow: Down 3688">
          <a:extLst>
            <a:ext uri="{FF2B5EF4-FFF2-40B4-BE49-F238E27FC236}">
              <a16:creationId xmlns:a16="http://schemas.microsoft.com/office/drawing/2014/main" id="{8491B0E1-C14F-465A-A496-D76737B135DE}"/>
            </a:ext>
          </a:extLst>
        </xdr:cNvPr>
        <xdr:cNvSpPr/>
      </xdr:nvSpPr>
      <xdr:spPr>
        <a:xfrm>
          <a:off x="369570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480</xdr:row>
      <xdr:rowOff>0</xdr:rowOff>
    </xdr:from>
    <xdr:to>
      <xdr:col>45</xdr:col>
      <xdr:colOff>83820</xdr:colOff>
      <xdr:row>480</xdr:row>
      <xdr:rowOff>114300</xdr:rowOff>
    </xdr:to>
    <xdr:sp macro="" textlink="">
      <xdr:nvSpPr>
        <xdr:cNvPr id="3690" name="Arrow: Down 3689">
          <a:extLst>
            <a:ext uri="{FF2B5EF4-FFF2-40B4-BE49-F238E27FC236}">
              <a16:creationId xmlns:a16="http://schemas.microsoft.com/office/drawing/2014/main" id="{C095BF99-0CA3-4A04-A7E1-56FBDF50B9D2}"/>
            </a:ext>
          </a:extLst>
        </xdr:cNvPr>
        <xdr:cNvSpPr/>
      </xdr:nvSpPr>
      <xdr:spPr>
        <a:xfrm rot="10800000">
          <a:off x="134035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480</xdr:row>
      <xdr:rowOff>0</xdr:rowOff>
    </xdr:from>
    <xdr:to>
      <xdr:col>71</xdr:col>
      <xdr:colOff>83820</xdr:colOff>
      <xdr:row>480</xdr:row>
      <xdr:rowOff>114300</xdr:rowOff>
    </xdr:to>
    <xdr:sp macro="" textlink="">
      <xdr:nvSpPr>
        <xdr:cNvPr id="3691" name="Arrow: Down 3690">
          <a:extLst>
            <a:ext uri="{FF2B5EF4-FFF2-40B4-BE49-F238E27FC236}">
              <a16:creationId xmlns:a16="http://schemas.microsoft.com/office/drawing/2014/main" id="{21309F0D-9049-42EA-9AF9-BC02F95922BE}"/>
            </a:ext>
          </a:extLst>
        </xdr:cNvPr>
        <xdr:cNvSpPr/>
      </xdr:nvSpPr>
      <xdr:spPr>
        <a:xfrm>
          <a:off x="2157222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480</xdr:row>
      <xdr:rowOff>0</xdr:rowOff>
    </xdr:from>
    <xdr:to>
      <xdr:col>45</xdr:col>
      <xdr:colOff>83820</xdr:colOff>
      <xdr:row>480</xdr:row>
      <xdr:rowOff>114300</xdr:rowOff>
    </xdr:to>
    <xdr:sp macro="" textlink="">
      <xdr:nvSpPr>
        <xdr:cNvPr id="3692" name="Arrow: Down 3691">
          <a:extLst>
            <a:ext uri="{FF2B5EF4-FFF2-40B4-BE49-F238E27FC236}">
              <a16:creationId xmlns:a16="http://schemas.microsoft.com/office/drawing/2014/main" id="{0C9E93BF-B1FE-45AD-8CD7-1C0997EF8FBD}"/>
            </a:ext>
          </a:extLst>
        </xdr:cNvPr>
        <xdr:cNvSpPr/>
      </xdr:nvSpPr>
      <xdr:spPr>
        <a:xfrm rot="10800000">
          <a:off x="134035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480</xdr:row>
      <xdr:rowOff>0</xdr:rowOff>
    </xdr:from>
    <xdr:to>
      <xdr:col>71</xdr:col>
      <xdr:colOff>83820</xdr:colOff>
      <xdr:row>480</xdr:row>
      <xdr:rowOff>114300</xdr:rowOff>
    </xdr:to>
    <xdr:sp macro="" textlink="">
      <xdr:nvSpPr>
        <xdr:cNvPr id="3693" name="Arrow: Down 3692">
          <a:extLst>
            <a:ext uri="{FF2B5EF4-FFF2-40B4-BE49-F238E27FC236}">
              <a16:creationId xmlns:a16="http://schemas.microsoft.com/office/drawing/2014/main" id="{2F102960-9E5E-4B91-96C6-DD8E08DBDC8B}"/>
            </a:ext>
          </a:extLst>
        </xdr:cNvPr>
        <xdr:cNvSpPr/>
      </xdr:nvSpPr>
      <xdr:spPr>
        <a:xfrm>
          <a:off x="2157222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480</xdr:row>
      <xdr:rowOff>0</xdr:rowOff>
    </xdr:from>
    <xdr:to>
      <xdr:col>39</xdr:col>
      <xdr:colOff>83820</xdr:colOff>
      <xdr:row>480</xdr:row>
      <xdr:rowOff>114300</xdr:rowOff>
    </xdr:to>
    <xdr:sp macro="" textlink="">
      <xdr:nvSpPr>
        <xdr:cNvPr id="3694" name="Arrow: Down 3693">
          <a:extLst>
            <a:ext uri="{FF2B5EF4-FFF2-40B4-BE49-F238E27FC236}">
              <a16:creationId xmlns:a16="http://schemas.microsoft.com/office/drawing/2014/main" id="{70D9DB55-7CB5-46A7-B49A-68D212B5A62B}"/>
            </a:ext>
          </a:extLst>
        </xdr:cNvPr>
        <xdr:cNvSpPr/>
      </xdr:nvSpPr>
      <xdr:spPr>
        <a:xfrm>
          <a:off x="11544300" y="8769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480</xdr:row>
      <xdr:rowOff>0</xdr:rowOff>
    </xdr:from>
    <xdr:to>
      <xdr:col>24</xdr:col>
      <xdr:colOff>83820</xdr:colOff>
      <xdr:row>480</xdr:row>
      <xdr:rowOff>114300</xdr:rowOff>
    </xdr:to>
    <xdr:sp macro="" textlink="">
      <xdr:nvSpPr>
        <xdr:cNvPr id="3696" name="Arrow: Down 3695">
          <a:extLst>
            <a:ext uri="{FF2B5EF4-FFF2-40B4-BE49-F238E27FC236}">
              <a16:creationId xmlns:a16="http://schemas.microsoft.com/office/drawing/2014/main" id="{7938F15B-5BC9-4108-9E58-F9A7AD6DAA45}"/>
            </a:ext>
          </a:extLst>
        </xdr:cNvPr>
        <xdr:cNvSpPr/>
      </xdr:nvSpPr>
      <xdr:spPr>
        <a:xfrm>
          <a:off x="83362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480</xdr:row>
      <xdr:rowOff>0</xdr:rowOff>
    </xdr:from>
    <xdr:to>
      <xdr:col>5</xdr:col>
      <xdr:colOff>83820</xdr:colOff>
      <xdr:row>480</xdr:row>
      <xdr:rowOff>114300</xdr:rowOff>
    </xdr:to>
    <xdr:sp macro="" textlink="">
      <xdr:nvSpPr>
        <xdr:cNvPr id="3697" name="Arrow: Down 3696">
          <a:extLst>
            <a:ext uri="{FF2B5EF4-FFF2-40B4-BE49-F238E27FC236}">
              <a16:creationId xmlns:a16="http://schemas.microsoft.com/office/drawing/2014/main" id="{6D399022-9555-409F-9893-50C48DE5C4ED}"/>
            </a:ext>
          </a:extLst>
        </xdr:cNvPr>
        <xdr:cNvSpPr/>
      </xdr:nvSpPr>
      <xdr:spPr>
        <a:xfrm>
          <a:off x="192786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480</xdr:row>
      <xdr:rowOff>0</xdr:rowOff>
    </xdr:from>
    <xdr:to>
      <xdr:col>11</xdr:col>
      <xdr:colOff>83820</xdr:colOff>
      <xdr:row>480</xdr:row>
      <xdr:rowOff>114300</xdr:rowOff>
    </xdr:to>
    <xdr:sp macro="" textlink="">
      <xdr:nvSpPr>
        <xdr:cNvPr id="3698" name="Arrow: Down 3697">
          <a:extLst>
            <a:ext uri="{FF2B5EF4-FFF2-40B4-BE49-F238E27FC236}">
              <a16:creationId xmlns:a16="http://schemas.microsoft.com/office/drawing/2014/main" id="{0B16CFE2-211A-415F-BB78-953EEDD5BE21}"/>
            </a:ext>
          </a:extLst>
        </xdr:cNvPr>
        <xdr:cNvSpPr/>
      </xdr:nvSpPr>
      <xdr:spPr>
        <a:xfrm>
          <a:off x="369570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480</xdr:row>
      <xdr:rowOff>0</xdr:rowOff>
    </xdr:from>
    <xdr:to>
      <xdr:col>60</xdr:col>
      <xdr:colOff>83820</xdr:colOff>
      <xdr:row>480</xdr:row>
      <xdr:rowOff>114300</xdr:rowOff>
    </xdr:to>
    <xdr:sp macro="" textlink="">
      <xdr:nvSpPr>
        <xdr:cNvPr id="3699" name="Arrow: Down 3698">
          <a:extLst>
            <a:ext uri="{FF2B5EF4-FFF2-40B4-BE49-F238E27FC236}">
              <a16:creationId xmlns:a16="http://schemas.microsoft.com/office/drawing/2014/main" id="{AD8A5BE8-A505-4C0B-A268-B98914A0EDEA}"/>
            </a:ext>
          </a:extLst>
        </xdr:cNvPr>
        <xdr:cNvSpPr/>
      </xdr:nvSpPr>
      <xdr:spPr>
        <a:xfrm>
          <a:off x="1901952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481</xdr:row>
      <xdr:rowOff>0</xdr:rowOff>
    </xdr:from>
    <xdr:to>
      <xdr:col>45</xdr:col>
      <xdr:colOff>83820</xdr:colOff>
      <xdr:row>481</xdr:row>
      <xdr:rowOff>114300</xdr:rowOff>
    </xdr:to>
    <xdr:sp macro="" textlink="">
      <xdr:nvSpPr>
        <xdr:cNvPr id="3409" name="Arrow: Down 3408">
          <a:extLst>
            <a:ext uri="{FF2B5EF4-FFF2-40B4-BE49-F238E27FC236}">
              <a16:creationId xmlns:a16="http://schemas.microsoft.com/office/drawing/2014/main" id="{B591BE02-7F6D-405B-93CE-D48DDEB547B2}"/>
            </a:ext>
          </a:extLst>
        </xdr:cNvPr>
        <xdr:cNvSpPr/>
      </xdr:nvSpPr>
      <xdr:spPr>
        <a:xfrm rot="10800000">
          <a:off x="1340358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481</xdr:row>
      <xdr:rowOff>0</xdr:rowOff>
    </xdr:from>
    <xdr:to>
      <xdr:col>71</xdr:col>
      <xdr:colOff>83820</xdr:colOff>
      <xdr:row>481</xdr:row>
      <xdr:rowOff>114300</xdr:rowOff>
    </xdr:to>
    <xdr:sp macro="" textlink="">
      <xdr:nvSpPr>
        <xdr:cNvPr id="3430" name="Arrow: Down 3429">
          <a:extLst>
            <a:ext uri="{FF2B5EF4-FFF2-40B4-BE49-F238E27FC236}">
              <a16:creationId xmlns:a16="http://schemas.microsoft.com/office/drawing/2014/main" id="{9EA97DCB-26DF-4D93-8C64-12F316FD0ADF}"/>
            </a:ext>
          </a:extLst>
        </xdr:cNvPr>
        <xdr:cNvSpPr/>
      </xdr:nvSpPr>
      <xdr:spPr>
        <a:xfrm>
          <a:off x="2157222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481</xdr:row>
      <xdr:rowOff>0</xdr:rowOff>
    </xdr:from>
    <xdr:to>
      <xdr:col>45</xdr:col>
      <xdr:colOff>83820</xdr:colOff>
      <xdr:row>481</xdr:row>
      <xdr:rowOff>114300</xdr:rowOff>
    </xdr:to>
    <xdr:sp macro="" textlink="">
      <xdr:nvSpPr>
        <xdr:cNvPr id="3448" name="Arrow: Down 3447">
          <a:extLst>
            <a:ext uri="{FF2B5EF4-FFF2-40B4-BE49-F238E27FC236}">
              <a16:creationId xmlns:a16="http://schemas.microsoft.com/office/drawing/2014/main" id="{FF198284-BE8D-4470-ACDF-CEA13B4530BF}"/>
            </a:ext>
          </a:extLst>
        </xdr:cNvPr>
        <xdr:cNvSpPr/>
      </xdr:nvSpPr>
      <xdr:spPr>
        <a:xfrm rot="10800000">
          <a:off x="1340358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481</xdr:row>
      <xdr:rowOff>0</xdr:rowOff>
    </xdr:from>
    <xdr:to>
      <xdr:col>71</xdr:col>
      <xdr:colOff>83820</xdr:colOff>
      <xdr:row>481</xdr:row>
      <xdr:rowOff>114300</xdr:rowOff>
    </xdr:to>
    <xdr:sp macro="" textlink="">
      <xdr:nvSpPr>
        <xdr:cNvPr id="3457" name="Arrow: Down 3456">
          <a:extLst>
            <a:ext uri="{FF2B5EF4-FFF2-40B4-BE49-F238E27FC236}">
              <a16:creationId xmlns:a16="http://schemas.microsoft.com/office/drawing/2014/main" id="{27C1ABE8-92AA-4FEC-AD5D-A3FCC4C167D6}"/>
            </a:ext>
          </a:extLst>
        </xdr:cNvPr>
        <xdr:cNvSpPr/>
      </xdr:nvSpPr>
      <xdr:spPr>
        <a:xfrm>
          <a:off x="2157222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481</xdr:row>
      <xdr:rowOff>0</xdr:rowOff>
    </xdr:from>
    <xdr:to>
      <xdr:col>24</xdr:col>
      <xdr:colOff>83820</xdr:colOff>
      <xdr:row>481</xdr:row>
      <xdr:rowOff>114300</xdr:rowOff>
    </xdr:to>
    <xdr:sp macro="" textlink="">
      <xdr:nvSpPr>
        <xdr:cNvPr id="3464" name="Arrow: Down 3463">
          <a:extLst>
            <a:ext uri="{FF2B5EF4-FFF2-40B4-BE49-F238E27FC236}">
              <a16:creationId xmlns:a16="http://schemas.microsoft.com/office/drawing/2014/main" id="{59B17AC4-AFEB-4E76-87A6-461D11D5578B}"/>
            </a:ext>
          </a:extLst>
        </xdr:cNvPr>
        <xdr:cNvSpPr/>
      </xdr:nvSpPr>
      <xdr:spPr>
        <a:xfrm>
          <a:off x="833628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481</xdr:row>
      <xdr:rowOff>0</xdr:rowOff>
    </xdr:from>
    <xdr:to>
      <xdr:col>5</xdr:col>
      <xdr:colOff>83820</xdr:colOff>
      <xdr:row>481</xdr:row>
      <xdr:rowOff>114300</xdr:rowOff>
    </xdr:to>
    <xdr:sp macro="" textlink="">
      <xdr:nvSpPr>
        <xdr:cNvPr id="3465" name="Arrow: Down 3464">
          <a:extLst>
            <a:ext uri="{FF2B5EF4-FFF2-40B4-BE49-F238E27FC236}">
              <a16:creationId xmlns:a16="http://schemas.microsoft.com/office/drawing/2014/main" id="{1281CB2C-417E-416E-99B3-1178234F28E8}"/>
            </a:ext>
          </a:extLst>
        </xdr:cNvPr>
        <xdr:cNvSpPr/>
      </xdr:nvSpPr>
      <xdr:spPr>
        <a:xfrm>
          <a:off x="192786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481</xdr:row>
      <xdr:rowOff>0</xdr:rowOff>
    </xdr:from>
    <xdr:to>
      <xdr:col>11</xdr:col>
      <xdr:colOff>83820</xdr:colOff>
      <xdr:row>481</xdr:row>
      <xdr:rowOff>114300</xdr:rowOff>
    </xdr:to>
    <xdr:sp macro="" textlink="">
      <xdr:nvSpPr>
        <xdr:cNvPr id="3466" name="Arrow: Down 3465">
          <a:extLst>
            <a:ext uri="{FF2B5EF4-FFF2-40B4-BE49-F238E27FC236}">
              <a16:creationId xmlns:a16="http://schemas.microsoft.com/office/drawing/2014/main" id="{0E12993F-5A2F-4C53-814D-ECBC97894C0C}"/>
            </a:ext>
          </a:extLst>
        </xdr:cNvPr>
        <xdr:cNvSpPr/>
      </xdr:nvSpPr>
      <xdr:spPr>
        <a:xfrm>
          <a:off x="369570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481</xdr:row>
      <xdr:rowOff>0</xdr:rowOff>
    </xdr:from>
    <xdr:to>
      <xdr:col>39</xdr:col>
      <xdr:colOff>83820</xdr:colOff>
      <xdr:row>481</xdr:row>
      <xdr:rowOff>114300</xdr:rowOff>
    </xdr:to>
    <xdr:sp macro="" textlink="">
      <xdr:nvSpPr>
        <xdr:cNvPr id="3468" name="Arrow: Down 3467">
          <a:extLst>
            <a:ext uri="{FF2B5EF4-FFF2-40B4-BE49-F238E27FC236}">
              <a16:creationId xmlns:a16="http://schemas.microsoft.com/office/drawing/2014/main" id="{C162669F-BCAB-44C7-8324-9F7A24723FB8}"/>
            </a:ext>
          </a:extLst>
        </xdr:cNvPr>
        <xdr:cNvSpPr/>
      </xdr:nvSpPr>
      <xdr:spPr>
        <a:xfrm rot="10800000">
          <a:off x="1154430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481</xdr:row>
      <xdr:rowOff>0</xdr:rowOff>
    </xdr:from>
    <xdr:to>
      <xdr:col>60</xdr:col>
      <xdr:colOff>83820</xdr:colOff>
      <xdr:row>481</xdr:row>
      <xdr:rowOff>114300</xdr:rowOff>
    </xdr:to>
    <xdr:sp macro="" textlink="">
      <xdr:nvSpPr>
        <xdr:cNvPr id="3469" name="Arrow: Down 3468">
          <a:extLst>
            <a:ext uri="{FF2B5EF4-FFF2-40B4-BE49-F238E27FC236}">
              <a16:creationId xmlns:a16="http://schemas.microsoft.com/office/drawing/2014/main" id="{7A228861-8B34-4A82-AD35-C28584832E58}"/>
            </a:ext>
          </a:extLst>
        </xdr:cNvPr>
        <xdr:cNvSpPr/>
      </xdr:nvSpPr>
      <xdr:spPr>
        <a:xfrm rot="10800000">
          <a:off x="19019520" y="8806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482</xdr:row>
      <xdr:rowOff>0</xdr:rowOff>
    </xdr:from>
    <xdr:to>
      <xdr:col>45</xdr:col>
      <xdr:colOff>83820</xdr:colOff>
      <xdr:row>482</xdr:row>
      <xdr:rowOff>114300</xdr:rowOff>
    </xdr:to>
    <xdr:sp macro="" textlink="">
      <xdr:nvSpPr>
        <xdr:cNvPr id="3472" name="Arrow: Down 3471">
          <a:extLst>
            <a:ext uri="{FF2B5EF4-FFF2-40B4-BE49-F238E27FC236}">
              <a16:creationId xmlns:a16="http://schemas.microsoft.com/office/drawing/2014/main" id="{BF41509F-0C7B-497A-804D-E8BB69605968}"/>
            </a:ext>
          </a:extLst>
        </xdr:cNvPr>
        <xdr:cNvSpPr/>
      </xdr:nvSpPr>
      <xdr:spPr>
        <a:xfrm rot="10800000">
          <a:off x="1340358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482</xdr:row>
      <xdr:rowOff>0</xdr:rowOff>
    </xdr:from>
    <xdr:to>
      <xdr:col>71</xdr:col>
      <xdr:colOff>83820</xdr:colOff>
      <xdr:row>482</xdr:row>
      <xdr:rowOff>114300</xdr:rowOff>
    </xdr:to>
    <xdr:sp macro="" textlink="">
      <xdr:nvSpPr>
        <xdr:cNvPr id="3473" name="Arrow: Down 3472">
          <a:extLst>
            <a:ext uri="{FF2B5EF4-FFF2-40B4-BE49-F238E27FC236}">
              <a16:creationId xmlns:a16="http://schemas.microsoft.com/office/drawing/2014/main" id="{5831DA0F-FC9A-49C6-9D68-8194D49CF911}"/>
            </a:ext>
          </a:extLst>
        </xdr:cNvPr>
        <xdr:cNvSpPr/>
      </xdr:nvSpPr>
      <xdr:spPr>
        <a:xfrm>
          <a:off x="2157222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482</xdr:row>
      <xdr:rowOff>0</xdr:rowOff>
    </xdr:from>
    <xdr:to>
      <xdr:col>45</xdr:col>
      <xdr:colOff>83820</xdr:colOff>
      <xdr:row>482</xdr:row>
      <xdr:rowOff>114300</xdr:rowOff>
    </xdr:to>
    <xdr:sp macro="" textlink="">
      <xdr:nvSpPr>
        <xdr:cNvPr id="3474" name="Arrow: Down 3473">
          <a:extLst>
            <a:ext uri="{FF2B5EF4-FFF2-40B4-BE49-F238E27FC236}">
              <a16:creationId xmlns:a16="http://schemas.microsoft.com/office/drawing/2014/main" id="{655079BE-0F4D-48A2-A611-9B854CDE4BFF}"/>
            </a:ext>
          </a:extLst>
        </xdr:cNvPr>
        <xdr:cNvSpPr/>
      </xdr:nvSpPr>
      <xdr:spPr>
        <a:xfrm rot="10800000">
          <a:off x="1340358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482</xdr:row>
      <xdr:rowOff>0</xdr:rowOff>
    </xdr:from>
    <xdr:to>
      <xdr:col>71</xdr:col>
      <xdr:colOff>83820</xdr:colOff>
      <xdr:row>482</xdr:row>
      <xdr:rowOff>114300</xdr:rowOff>
    </xdr:to>
    <xdr:sp macro="" textlink="">
      <xdr:nvSpPr>
        <xdr:cNvPr id="3475" name="Arrow: Down 3474">
          <a:extLst>
            <a:ext uri="{FF2B5EF4-FFF2-40B4-BE49-F238E27FC236}">
              <a16:creationId xmlns:a16="http://schemas.microsoft.com/office/drawing/2014/main" id="{3F05A1AC-0BAD-4C0D-94CD-D3D92B6E7853}"/>
            </a:ext>
          </a:extLst>
        </xdr:cNvPr>
        <xdr:cNvSpPr/>
      </xdr:nvSpPr>
      <xdr:spPr>
        <a:xfrm>
          <a:off x="2157222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482</xdr:row>
      <xdr:rowOff>0</xdr:rowOff>
    </xdr:from>
    <xdr:to>
      <xdr:col>39</xdr:col>
      <xdr:colOff>83820</xdr:colOff>
      <xdr:row>482</xdr:row>
      <xdr:rowOff>114300</xdr:rowOff>
    </xdr:to>
    <xdr:sp macro="" textlink="">
      <xdr:nvSpPr>
        <xdr:cNvPr id="3489" name="Arrow: Down 3488">
          <a:extLst>
            <a:ext uri="{FF2B5EF4-FFF2-40B4-BE49-F238E27FC236}">
              <a16:creationId xmlns:a16="http://schemas.microsoft.com/office/drawing/2014/main" id="{B6085581-56F2-4209-9051-967EC373BA1D}"/>
            </a:ext>
          </a:extLst>
        </xdr:cNvPr>
        <xdr:cNvSpPr/>
      </xdr:nvSpPr>
      <xdr:spPr>
        <a:xfrm rot="10800000">
          <a:off x="1154430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482</xdr:row>
      <xdr:rowOff>0</xdr:rowOff>
    </xdr:from>
    <xdr:to>
      <xdr:col>60</xdr:col>
      <xdr:colOff>83820</xdr:colOff>
      <xdr:row>482</xdr:row>
      <xdr:rowOff>114300</xdr:rowOff>
    </xdr:to>
    <xdr:sp macro="" textlink="">
      <xdr:nvSpPr>
        <xdr:cNvPr id="3492" name="Arrow: Down 3491">
          <a:extLst>
            <a:ext uri="{FF2B5EF4-FFF2-40B4-BE49-F238E27FC236}">
              <a16:creationId xmlns:a16="http://schemas.microsoft.com/office/drawing/2014/main" id="{2709CF1E-F5F3-491F-9C8B-D7DF7E396EE0}"/>
            </a:ext>
          </a:extLst>
        </xdr:cNvPr>
        <xdr:cNvSpPr/>
      </xdr:nvSpPr>
      <xdr:spPr>
        <a:xfrm rot="10800000">
          <a:off x="19019520" y="8806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482</xdr:row>
      <xdr:rowOff>0</xdr:rowOff>
    </xdr:from>
    <xdr:to>
      <xdr:col>24</xdr:col>
      <xdr:colOff>83820</xdr:colOff>
      <xdr:row>482</xdr:row>
      <xdr:rowOff>114300</xdr:rowOff>
    </xdr:to>
    <xdr:sp macro="" textlink="">
      <xdr:nvSpPr>
        <xdr:cNvPr id="3493" name="Arrow: Down 3492">
          <a:extLst>
            <a:ext uri="{FF2B5EF4-FFF2-40B4-BE49-F238E27FC236}">
              <a16:creationId xmlns:a16="http://schemas.microsoft.com/office/drawing/2014/main" id="{3A5B1909-89A1-4343-A055-BC570F92CCE5}"/>
            </a:ext>
          </a:extLst>
        </xdr:cNvPr>
        <xdr:cNvSpPr/>
      </xdr:nvSpPr>
      <xdr:spPr>
        <a:xfrm rot="10800000">
          <a:off x="833628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482</xdr:row>
      <xdr:rowOff>0</xdr:rowOff>
    </xdr:from>
    <xdr:to>
      <xdr:col>5</xdr:col>
      <xdr:colOff>83820</xdr:colOff>
      <xdr:row>482</xdr:row>
      <xdr:rowOff>114300</xdr:rowOff>
    </xdr:to>
    <xdr:sp macro="" textlink="">
      <xdr:nvSpPr>
        <xdr:cNvPr id="3494" name="Arrow: Down 3493">
          <a:extLst>
            <a:ext uri="{FF2B5EF4-FFF2-40B4-BE49-F238E27FC236}">
              <a16:creationId xmlns:a16="http://schemas.microsoft.com/office/drawing/2014/main" id="{DD04ADFE-2BBA-4B53-B0E4-30BA7DB57FD1}"/>
            </a:ext>
          </a:extLst>
        </xdr:cNvPr>
        <xdr:cNvSpPr/>
      </xdr:nvSpPr>
      <xdr:spPr>
        <a:xfrm rot="10800000">
          <a:off x="192786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482</xdr:row>
      <xdr:rowOff>0</xdr:rowOff>
    </xdr:from>
    <xdr:to>
      <xdr:col>11</xdr:col>
      <xdr:colOff>83820</xdr:colOff>
      <xdr:row>482</xdr:row>
      <xdr:rowOff>114300</xdr:rowOff>
    </xdr:to>
    <xdr:sp macro="" textlink="">
      <xdr:nvSpPr>
        <xdr:cNvPr id="3495" name="Arrow: Down 3494">
          <a:extLst>
            <a:ext uri="{FF2B5EF4-FFF2-40B4-BE49-F238E27FC236}">
              <a16:creationId xmlns:a16="http://schemas.microsoft.com/office/drawing/2014/main" id="{72D76777-5B03-4C2B-9FAE-7BDBA8B33D12}"/>
            </a:ext>
          </a:extLst>
        </xdr:cNvPr>
        <xdr:cNvSpPr/>
      </xdr:nvSpPr>
      <xdr:spPr>
        <a:xfrm rot="10800000">
          <a:off x="369570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483</xdr:row>
      <xdr:rowOff>0</xdr:rowOff>
    </xdr:from>
    <xdr:to>
      <xdr:col>45</xdr:col>
      <xdr:colOff>83820</xdr:colOff>
      <xdr:row>483</xdr:row>
      <xdr:rowOff>114300</xdr:rowOff>
    </xdr:to>
    <xdr:sp macro="" textlink="">
      <xdr:nvSpPr>
        <xdr:cNvPr id="3496" name="Arrow: Down 3495">
          <a:extLst>
            <a:ext uri="{FF2B5EF4-FFF2-40B4-BE49-F238E27FC236}">
              <a16:creationId xmlns:a16="http://schemas.microsoft.com/office/drawing/2014/main" id="{F9D9B63C-539B-484A-85D5-C12E5DEB09AD}"/>
            </a:ext>
          </a:extLst>
        </xdr:cNvPr>
        <xdr:cNvSpPr/>
      </xdr:nvSpPr>
      <xdr:spPr>
        <a:xfrm rot="10800000">
          <a:off x="1340358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483</xdr:row>
      <xdr:rowOff>0</xdr:rowOff>
    </xdr:from>
    <xdr:to>
      <xdr:col>71</xdr:col>
      <xdr:colOff>83820</xdr:colOff>
      <xdr:row>483</xdr:row>
      <xdr:rowOff>114300</xdr:rowOff>
    </xdr:to>
    <xdr:sp macro="" textlink="">
      <xdr:nvSpPr>
        <xdr:cNvPr id="3497" name="Arrow: Down 3496">
          <a:extLst>
            <a:ext uri="{FF2B5EF4-FFF2-40B4-BE49-F238E27FC236}">
              <a16:creationId xmlns:a16="http://schemas.microsoft.com/office/drawing/2014/main" id="{E61369A9-4270-4C7B-92AE-5A4765F47666}"/>
            </a:ext>
          </a:extLst>
        </xdr:cNvPr>
        <xdr:cNvSpPr/>
      </xdr:nvSpPr>
      <xdr:spPr>
        <a:xfrm>
          <a:off x="2157222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483</xdr:row>
      <xdr:rowOff>0</xdr:rowOff>
    </xdr:from>
    <xdr:to>
      <xdr:col>45</xdr:col>
      <xdr:colOff>83820</xdr:colOff>
      <xdr:row>483</xdr:row>
      <xdr:rowOff>114300</xdr:rowOff>
    </xdr:to>
    <xdr:sp macro="" textlink="">
      <xdr:nvSpPr>
        <xdr:cNvPr id="3498" name="Arrow: Down 3497">
          <a:extLst>
            <a:ext uri="{FF2B5EF4-FFF2-40B4-BE49-F238E27FC236}">
              <a16:creationId xmlns:a16="http://schemas.microsoft.com/office/drawing/2014/main" id="{F7446477-DF1D-42B9-AE75-A59A11B5ED5E}"/>
            </a:ext>
          </a:extLst>
        </xdr:cNvPr>
        <xdr:cNvSpPr/>
      </xdr:nvSpPr>
      <xdr:spPr>
        <a:xfrm rot="10800000">
          <a:off x="1340358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483</xdr:row>
      <xdr:rowOff>0</xdr:rowOff>
    </xdr:from>
    <xdr:to>
      <xdr:col>71</xdr:col>
      <xdr:colOff>83820</xdr:colOff>
      <xdr:row>483</xdr:row>
      <xdr:rowOff>114300</xdr:rowOff>
    </xdr:to>
    <xdr:sp macro="" textlink="">
      <xdr:nvSpPr>
        <xdr:cNvPr id="3501" name="Arrow: Down 3500">
          <a:extLst>
            <a:ext uri="{FF2B5EF4-FFF2-40B4-BE49-F238E27FC236}">
              <a16:creationId xmlns:a16="http://schemas.microsoft.com/office/drawing/2014/main" id="{1A23DCCC-0D51-424B-BD0C-976DA13D7FEC}"/>
            </a:ext>
          </a:extLst>
        </xdr:cNvPr>
        <xdr:cNvSpPr/>
      </xdr:nvSpPr>
      <xdr:spPr>
        <a:xfrm>
          <a:off x="2157222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483</xdr:row>
      <xdr:rowOff>0</xdr:rowOff>
    </xdr:from>
    <xdr:to>
      <xdr:col>60</xdr:col>
      <xdr:colOff>83820</xdr:colOff>
      <xdr:row>483</xdr:row>
      <xdr:rowOff>114300</xdr:rowOff>
    </xdr:to>
    <xdr:sp macro="" textlink="">
      <xdr:nvSpPr>
        <xdr:cNvPr id="3505" name="Arrow: Down 3504">
          <a:extLst>
            <a:ext uri="{FF2B5EF4-FFF2-40B4-BE49-F238E27FC236}">
              <a16:creationId xmlns:a16="http://schemas.microsoft.com/office/drawing/2014/main" id="{65746FB2-5868-462C-9C57-3141473BC50F}"/>
            </a:ext>
          </a:extLst>
        </xdr:cNvPr>
        <xdr:cNvSpPr/>
      </xdr:nvSpPr>
      <xdr:spPr>
        <a:xfrm rot="10800000">
          <a:off x="1901952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483</xdr:row>
      <xdr:rowOff>0</xdr:rowOff>
    </xdr:from>
    <xdr:to>
      <xdr:col>24</xdr:col>
      <xdr:colOff>83820</xdr:colOff>
      <xdr:row>483</xdr:row>
      <xdr:rowOff>114300</xdr:rowOff>
    </xdr:to>
    <xdr:sp macro="" textlink="">
      <xdr:nvSpPr>
        <xdr:cNvPr id="3507" name="Arrow: Down 3506">
          <a:extLst>
            <a:ext uri="{FF2B5EF4-FFF2-40B4-BE49-F238E27FC236}">
              <a16:creationId xmlns:a16="http://schemas.microsoft.com/office/drawing/2014/main" id="{3BADE39A-EC1F-430E-82A0-77E8C216C0BF}"/>
            </a:ext>
          </a:extLst>
        </xdr:cNvPr>
        <xdr:cNvSpPr/>
      </xdr:nvSpPr>
      <xdr:spPr>
        <a:xfrm rot="10800000">
          <a:off x="833628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483</xdr:row>
      <xdr:rowOff>0</xdr:rowOff>
    </xdr:from>
    <xdr:to>
      <xdr:col>5</xdr:col>
      <xdr:colOff>83820</xdr:colOff>
      <xdr:row>483</xdr:row>
      <xdr:rowOff>114300</xdr:rowOff>
    </xdr:to>
    <xdr:sp macro="" textlink="">
      <xdr:nvSpPr>
        <xdr:cNvPr id="3513" name="Arrow: Down 3512">
          <a:extLst>
            <a:ext uri="{FF2B5EF4-FFF2-40B4-BE49-F238E27FC236}">
              <a16:creationId xmlns:a16="http://schemas.microsoft.com/office/drawing/2014/main" id="{367A19E4-13B5-44E4-AA56-883619B45F08}"/>
            </a:ext>
          </a:extLst>
        </xdr:cNvPr>
        <xdr:cNvSpPr/>
      </xdr:nvSpPr>
      <xdr:spPr>
        <a:xfrm rot="10800000">
          <a:off x="192786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483</xdr:row>
      <xdr:rowOff>0</xdr:rowOff>
    </xdr:from>
    <xdr:to>
      <xdr:col>11</xdr:col>
      <xdr:colOff>83820</xdr:colOff>
      <xdr:row>483</xdr:row>
      <xdr:rowOff>114300</xdr:rowOff>
    </xdr:to>
    <xdr:sp macro="" textlink="">
      <xdr:nvSpPr>
        <xdr:cNvPr id="3515" name="Arrow: Down 3514">
          <a:extLst>
            <a:ext uri="{FF2B5EF4-FFF2-40B4-BE49-F238E27FC236}">
              <a16:creationId xmlns:a16="http://schemas.microsoft.com/office/drawing/2014/main" id="{A2C2C820-E959-47DA-9A6F-49E8DA971807}"/>
            </a:ext>
          </a:extLst>
        </xdr:cNvPr>
        <xdr:cNvSpPr/>
      </xdr:nvSpPr>
      <xdr:spPr>
        <a:xfrm rot="10800000">
          <a:off x="369570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483</xdr:row>
      <xdr:rowOff>0</xdr:rowOff>
    </xdr:from>
    <xdr:to>
      <xdr:col>39</xdr:col>
      <xdr:colOff>83820</xdr:colOff>
      <xdr:row>483</xdr:row>
      <xdr:rowOff>114300</xdr:rowOff>
    </xdr:to>
    <xdr:sp macro="" textlink="">
      <xdr:nvSpPr>
        <xdr:cNvPr id="3517" name="Arrow: Down 3516">
          <a:extLst>
            <a:ext uri="{FF2B5EF4-FFF2-40B4-BE49-F238E27FC236}">
              <a16:creationId xmlns:a16="http://schemas.microsoft.com/office/drawing/2014/main" id="{1A38A4DE-26CD-4536-97B4-38462115D541}"/>
            </a:ext>
          </a:extLst>
        </xdr:cNvPr>
        <xdr:cNvSpPr/>
      </xdr:nvSpPr>
      <xdr:spPr>
        <a:xfrm>
          <a:off x="1154430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484</xdr:row>
      <xdr:rowOff>0</xdr:rowOff>
    </xdr:from>
    <xdr:to>
      <xdr:col>45</xdr:col>
      <xdr:colOff>83820</xdr:colOff>
      <xdr:row>484</xdr:row>
      <xdr:rowOff>114300</xdr:rowOff>
    </xdr:to>
    <xdr:sp macro="" textlink="">
      <xdr:nvSpPr>
        <xdr:cNvPr id="3522" name="Arrow: Down 3521">
          <a:extLst>
            <a:ext uri="{FF2B5EF4-FFF2-40B4-BE49-F238E27FC236}">
              <a16:creationId xmlns:a16="http://schemas.microsoft.com/office/drawing/2014/main" id="{87AA2072-88F9-4BEB-921E-1DADD30E59B2}"/>
            </a:ext>
          </a:extLst>
        </xdr:cNvPr>
        <xdr:cNvSpPr/>
      </xdr:nvSpPr>
      <xdr:spPr>
        <a:xfrm rot="10800000">
          <a:off x="1340358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484</xdr:row>
      <xdr:rowOff>0</xdr:rowOff>
    </xdr:from>
    <xdr:to>
      <xdr:col>71</xdr:col>
      <xdr:colOff>83820</xdr:colOff>
      <xdr:row>484</xdr:row>
      <xdr:rowOff>114300</xdr:rowOff>
    </xdr:to>
    <xdr:sp macro="" textlink="">
      <xdr:nvSpPr>
        <xdr:cNvPr id="3523" name="Arrow: Down 3522">
          <a:extLst>
            <a:ext uri="{FF2B5EF4-FFF2-40B4-BE49-F238E27FC236}">
              <a16:creationId xmlns:a16="http://schemas.microsoft.com/office/drawing/2014/main" id="{4D95D375-9539-4CF2-9E54-CCC9C79E53EB}"/>
            </a:ext>
          </a:extLst>
        </xdr:cNvPr>
        <xdr:cNvSpPr/>
      </xdr:nvSpPr>
      <xdr:spPr>
        <a:xfrm>
          <a:off x="2157222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484</xdr:row>
      <xdr:rowOff>0</xdr:rowOff>
    </xdr:from>
    <xdr:to>
      <xdr:col>45</xdr:col>
      <xdr:colOff>83820</xdr:colOff>
      <xdr:row>484</xdr:row>
      <xdr:rowOff>114300</xdr:rowOff>
    </xdr:to>
    <xdr:sp macro="" textlink="">
      <xdr:nvSpPr>
        <xdr:cNvPr id="3524" name="Arrow: Down 3523">
          <a:extLst>
            <a:ext uri="{FF2B5EF4-FFF2-40B4-BE49-F238E27FC236}">
              <a16:creationId xmlns:a16="http://schemas.microsoft.com/office/drawing/2014/main" id="{376285DE-6698-447B-A2C1-86E3E742424B}"/>
            </a:ext>
          </a:extLst>
        </xdr:cNvPr>
        <xdr:cNvSpPr/>
      </xdr:nvSpPr>
      <xdr:spPr>
        <a:xfrm rot="10800000">
          <a:off x="1340358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484</xdr:row>
      <xdr:rowOff>0</xdr:rowOff>
    </xdr:from>
    <xdr:to>
      <xdr:col>71</xdr:col>
      <xdr:colOff>83820</xdr:colOff>
      <xdr:row>484</xdr:row>
      <xdr:rowOff>114300</xdr:rowOff>
    </xdr:to>
    <xdr:sp macro="" textlink="">
      <xdr:nvSpPr>
        <xdr:cNvPr id="3525" name="Arrow: Down 3524">
          <a:extLst>
            <a:ext uri="{FF2B5EF4-FFF2-40B4-BE49-F238E27FC236}">
              <a16:creationId xmlns:a16="http://schemas.microsoft.com/office/drawing/2014/main" id="{FD68D236-DDE2-4DC9-8599-B8E09233B2EF}"/>
            </a:ext>
          </a:extLst>
        </xdr:cNvPr>
        <xdr:cNvSpPr/>
      </xdr:nvSpPr>
      <xdr:spPr>
        <a:xfrm>
          <a:off x="2157222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484</xdr:row>
      <xdr:rowOff>0</xdr:rowOff>
    </xdr:from>
    <xdr:to>
      <xdr:col>24</xdr:col>
      <xdr:colOff>83820</xdr:colOff>
      <xdr:row>484</xdr:row>
      <xdr:rowOff>114300</xdr:rowOff>
    </xdr:to>
    <xdr:sp macro="" textlink="">
      <xdr:nvSpPr>
        <xdr:cNvPr id="3531" name="Arrow: Down 3530">
          <a:extLst>
            <a:ext uri="{FF2B5EF4-FFF2-40B4-BE49-F238E27FC236}">
              <a16:creationId xmlns:a16="http://schemas.microsoft.com/office/drawing/2014/main" id="{910EA1C1-C031-47C5-8411-42CC129FABE0}"/>
            </a:ext>
          </a:extLst>
        </xdr:cNvPr>
        <xdr:cNvSpPr/>
      </xdr:nvSpPr>
      <xdr:spPr>
        <a:xfrm rot="10800000">
          <a:off x="833628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484</xdr:row>
      <xdr:rowOff>0</xdr:rowOff>
    </xdr:from>
    <xdr:to>
      <xdr:col>5</xdr:col>
      <xdr:colOff>83820</xdr:colOff>
      <xdr:row>484</xdr:row>
      <xdr:rowOff>114300</xdr:rowOff>
    </xdr:to>
    <xdr:sp macro="" textlink="">
      <xdr:nvSpPr>
        <xdr:cNvPr id="3535" name="Arrow: Down 3534">
          <a:extLst>
            <a:ext uri="{FF2B5EF4-FFF2-40B4-BE49-F238E27FC236}">
              <a16:creationId xmlns:a16="http://schemas.microsoft.com/office/drawing/2014/main" id="{586DDF4B-3F61-4565-9A6E-B57035C75B6E}"/>
            </a:ext>
          </a:extLst>
        </xdr:cNvPr>
        <xdr:cNvSpPr/>
      </xdr:nvSpPr>
      <xdr:spPr>
        <a:xfrm rot="10800000">
          <a:off x="192786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484</xdr:row>
      <xdr:rowOff>0</xdr:rowOff>
    </xdr:from>
    <xdr:to>
      <xdr:col>11</xdr:col>
      <xdr:colOff>83820</xdr:colOff>
      <xdr:row>484</xdr:row>
      <xdr:rowOff>114300</xdr:rowOff>
    </xdr:to>
    <xdr:sp macro="" textlink="">
      <xdr:nvSpPr>
        <xdr:cNvPr id="3536" name="Arrow: Down 3535">
          <a:extLst>
            <a:ext uri="{FF2B5EF4-FFF2-40B4-BE49-F238E27FC236}">
              <a16:creationId xmlns:a16="http://schemas.microsoft.com/office/drawing/2014/main" id="{69325678-7C50-4F96-B8AE-12FE8248F443}"/>
            </a:ext>
          </a:extLst>
        </xdr:cNvPr>
        <xdr:cNvSpPr/>
      </xdr:nvSpPr>
      <xdr:spPr>
        <a:xfrm rot="10800000">
          <a:off x="369570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484</xdr:row>
      <xdr:rowOff>0</xdr:rowOff>
    </xdr:from>
    <xdr:to>
      <xdr:col>39</xdr:col>
      <xdr:colOff>83820</xdr:colOff>
      <xdr:row>484</xdr:row>
      <xdr:rowOff>114300</xdr:rowOff>
    </xdr:to>
    <xdr:sp macro="" textlink="">
      <xdr:nvSpPr>
        <xdr:cNvPr id="3550" name="Arrow: Down 3549">
          <a:extLst>
            <a:ext uri="{FF2B5EF4-FFF2-40B4-BE49-F238E27FC236}">
              <a16:creationId xmlns:a16="http://schemas.microsoft.com/office/drawing/2014/main" id="{8F7588DD-C756-4923-8D31-CBB5F2079018}"/>
            </a:ext>
          </a:extLst>
        </xdr:cNvPr>
        <xdr:cNvSpPr/>
      </xdr:nvSpPr>
      <xdr:spPr>
        <a:xfrm rot="10800000">
          <a:off x="1154430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484</xdr:row>
      <xdr:rowOff>0</xdr:rowOff>
    </xdr:from>
    <xdr:to>
      <xdr:col>60</xdr:col>
      <xdr:colOff>83820</xdr:colOff>
      <xdr:row>484</xdr:row>
      <xdr:rowOff>114300</xdr:rowOff>
    </xdr:to>
    <xdr:sp macro="" textlink="">
      <xdr:nvSpPr>
        <xdr:cNvPr id="3551" name="Arrow: Down 3550">
          <a:extLst>
            <a:ext uri="{FF2B5EF4-FFF2-40B4-BE49-F238E27FC236}">
              <a16:creationId xmlns:a16="http://schemas.microsoft.com/office/drawing/2014/main" id="{94C06168-4E40-4DCA-B5C0-826B2B67C60F}"/>
            </a:ext>
          </a:extLst>
        </xdr:cNvPr>
        <xdr:cNvSpPr/>
      </xdr:nvSpPr>
      <xdr:spPr>
        <a:xfrm>
          <a:off x="1901952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485</xdr:row>
      <xdr:rowOff>0</xdr:rowOff>
    </xdr:from>
    <xdr:to>
      <xdr:col>45</xdr:col>
      <xdr:colOff>83820</xdr:colOff>
      <xdr:row>485</xdr:row>
      <xdr:rowOff>114300</xdr:rowOff>
    </xdr:to>
    <xdr:sp macro="" textlink="">
      <xdr:nvSpPr>
        <xdr:cNvPr id="3552" name="Arrow: Down 3551">
          <a:extLst>
            <a:ext uri="{FF2B5EF4-FFF2-40B4-BE49-F238E27FC236}">
              <a16:creationId xmlns:a16="http://schemas.microsoft.com/office/drawing/2014/main" id="{A3428C22-60E4-472A-9190-877519CF58AA}"/>
            </a:ext>
          </a:extLst>
        </xdr:cNvPr>
        <xdr:cNvSpPr/>
      </xdr:nvSpPr>
      <xdr:spPr>
        <a:xfrm rot="10800000">
          <a:off x="1340358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485</xdr:row>
      <xdr:rowOff>0</xdr:rowOff>
    </xdr:from>
    <xdr:to>
      <xdr:col>71</xdr:col>
      <xdr:colOff>83820</xdr:colOff>
      <xdr:row>485</xdr:row>
      <xdr:rowOff>114300</xdr:rowOff>
    </xdr:to>
    <xdr:sp macro="" textlink="">
      <xdr:nvSpPr>
        <xdr:cNvPr id="3553" name="Arrow: Down 3552">
          <a:extLst>
            <a:ext uri="{FF2B5EF4-FFF2-40B4-BE49-F238E27FC236}">
              <a16:creationId xmlns:a16="http://schemas.microsoft.com/office/drawing/2014/main" id="{E4CA2B2A-946D-43D0-B99D-91BD5B558E9C}"/>
            </a:ext>
          </a:extLst>
        </xdr:cNvPr>
        <xdr:cNvSpPr/>
      </xdr:nvSpPr>
      <xdr:spPr>
        <a:xfrm>
          <a:off x="2157222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485</xdr:row>
      <xdr:rowOff>0</xdr:rowOff>
    </xdr:from>
    <xdr:to>
      <xdr:col>45</xdr:col>
      <xdr:colOff>83820</xdr:colOff>
      <xdr:row>485</xdr:row>
      <xdr:rowOff>114300</xdr:rowOff>
    </xdr:to>
    <xdr:sp macro="" textlink="">
      <xdr:nvSpPr>
        <xdr:cNvPr id="3554" name="Arrow: Down 3553">
          <a:extLst>
            <a:ext uri="{FF2B5EF4-FFF2-40B4-BE49-F238E27FC236}">
              <a16:creationId xmlns:a16="http://schemas.microsoft.com/office/drawing/2014/main" id="{6E5095C4-44D4-4F1B-847A-BF7493093AD6}"/>
            </a:ext>
          </a:extLst>
        </xdr:cNvPr>
        <xdr:cNvSpPr/>
      </xdr:nvSpPr>
      <xdr:spPr>
        <a:xfrm rot="10800000">
          <a:off x="1340358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485</xdr:row>
      <xdr:rowOff>0</xdr:rowOff>
    </xdr:from>
    <xdr:to>
      <xdr:col>71</xdr:col>
      <xdr:colOff>83820</xdr:colOff>
      <xdr:row>485</xdr:row>
      <xdr:rowOff>114300</xdr:rowOff>
    </xdr:to>
    <xdr:sp macro="" textlink="">
      <xdr:nvSpPr>
        <xdr:cNvPr id="3555" name="Arrow: Down 3554">
          <a:extLst>
            <a:ext uri="{FF2B5EF4-FFF2-40B4-BE49-F238E27FC236}">
              <a16:creationId xmlns:a16="http://schemas.microsoft.com/office/drawing/2014/main" id="{AAFC7AA4-F855-4550-B224-2BC8EF9BD28C}"/>
            </a:ext>
          </a:extLst>
        </xdr:cNvPr>
        <xdr:cNvSpPr/>
      </xdr:nvSpPr>
      <xdr:spPr>
        <a:xfrm>
          <a:off x="2157222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485</xdr:row>
      <xdr:rowOff>0</xdr:rowOff>
    </xdr:from>
    <xdr:to>
      <xdr:col>24</xdr:col>
      <xdr:colOff>83820</xdr:colOff>
      <xdr:row>485</xdr:row>
      <xdr:rowOff>114300</xdr:rowOff>
    </xdr:to>
    <xdr:sp macro="" textlink="">
      <xdr:nvSpPr>
        <xdr:cNvPr id="3556" name="Arrow: Down 3555">
          <a:extLst>
            <a:ext uri="{FF2B5EF4-FFF2-40B4-BE49-F238E27FC236}">
              <a16:creationId xmlns:a16="http://schemas.microsoft.com/office/drawing/2014/main" id="{1C54A570-0FCB-4709-81C0-BE7C339342DF}"/>
            </a:ext>
          </a:extLst>
        </xdr:cNvPr>
        <xdr:cNvSpPr/>
      </xdr:nvSpPr>
      <xdr:spPr>
        <a:xfrm rot="10800000">
          <a:off x="8336280" y="8861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485</xdr:row>
      <xdr:rowOff>0</xdr:rowOff>
    </xdr:from>
    <xdr:to>
      <xdr:col>5</xdr:col>
      <xdr:colOff>83820</xdr:colOff>
      <xdr:row>485</xdr:row>
      <xdr:rowOff>114300</xdr:rowOff>
    </xdr:to>
    <xdr:sp macro="" textlink="">
      <xdr:nvSpPr>
        <xdr:cNvPr id="3563" name="Arrow: Down 3562">
          <a:extLst>
            <a:ext uri="{FF2B5EF4-FFF2-40B4-BE49-F238E27FC236}">
              <a16:creationId xmlns:a16="http://schemas.microsoft.com/office/drawing/2014/main" id="{33EECF9B-BC51-4CAE-AF36-8C4077FDB105}"/>
            </a:ext>
          </a:extLst>
        </xdr:cNvPr>
        <xdr:cNvSpPr/>
      </xdr:nvSpPr>
      <xdr:spPr>
        <a:xfrm rot="10800000">
          <a:off x="1927860" y="8861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485</xdr:row>
      <xdr:rowOff>0</xdr:rowOff>
    </xdr:from>
    <xdr:to>
      <xdr:col>11</xdr:col>
      <xdr:colOff>83820</xdr:colOff>
      <xdr:row>485</xdr:row>
      <xdr:rowOff>114300</xdr:rowOff>
    </xdr:to>
    <xdr:sp macro="" textlink="">
      <xdr:nvSpPr>
        <xdr:cNvPr id="3569" name="Arrow: Down 3568">
          <a:extLst>
            <a:ext uri="{FF2B5EF4-FFF2-40B4-BE49-F238E27FC236}">
              <a16:creationId xmlns:a16="http://schemas.microsoft.com/office/drawing/2014/main" id="{B51B5923-051E-4D08-86E5-D14673E095EB}"/>
            </a:ext>
          </a:extLst>
        </xdr:cNvPr>
        <xdr:cNvSpPr/>
      </xdr:nvSpPr>
      <xdr:spPr>
        <a:xfrm rot="10800000">
          <a:off x="3695700" y="8861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485</xdr:row>
      <xdr:rowOff>0</xdr:rowOff>
    </xdr:from>
    <xdr:to>
      <xdr:col>60</xdr:col>
      <xdr:colOff>83820</xdr:colOff>
      <xdr:row>485</xdr:row>
      <xdr:rowOff>114300</xdr:rowOff>
    </xdr:to>
    <xdr:sp macro="" textlink="">
      <xdr:nvSpPr>
        <xdr:cNvPr id="3575" name="Arrow: Down 3574">
          <a:extLst>
            <a:ext uri="{FF2B5EF4-FFF2-40B4-BE49-F238E27FC236}">
              <a16:creationId xmlns:a16="http://schemas.microsoft.com/office/drawing/2014/main" id="{55F3B209-FC10-4A7E-B528-D5904721FD3A}"/>
            </a:ext>
          </a:extLst>
        </xdr:cNvPr>
        <xdr:cNvSpPr/>
      </xdr:nvSpPr>
      <xdr:spPr>
        <a:xfrm rot="10800000">
          <a:off x="1908048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485</xdr:row>
      <xdr:rowOff>0</xdr:rowOff>
    </xdr:from>
    <xdr:to>
      <xdr:col>39</xdr:col>
      <xdr:colOff>83820</xdr:colOff>
      <xdr:row>485</xdr:row>
      <xdr:rowOff>114300</xdr:rowOff>
    </xdr:to>
    <xdr:sp macro="" textlink="">
      <xdr:nvSpPr>
        <xdr:cNvPr id="3581" name="Arrow: Down 3580">
          <a:extLst>
            <a:ext uri="{FF2B5EF4-FFF2-40B4-BE49-F238E27FC236}">
              <a16:creationId xmlns:a16="http://schemas.microsoft.com/office/drawing/2014/main" id="{22A78E50-4190-4AC2-8A23-ED46B9BF7926}"/>
            </a:ext>
          </a:extLst>
        </xdr:cNvPr>
        <xdr:cNvSpPr/>
      </xdr:nvSpPr>
      <xdr:spPr>
        <a:xfrm>
          <a:off x="1154430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486</xdr:row>
      <xdr:rowOff>0</xdr:rowOff>
    </xdr:from>
    <xdr:to>
      <xdr:col>45</xdr:col>
      <xdr:colOff>83820</xdr:colOff>
      <xdr:row>486</xdr:row>
      <xdr:rowOff>114300</xdr:rowOff>
    </xdr:to>
    <xdr:sp macro="" textlink="">
      <xdr:nvSpPr>
        <xdr:cNvPr id="3582" name="Arrow: Down 3581">
          <a:extLst>
            <a:ext uri="{FF2B5EF4-FFF2-40B4-BE49-F238E27FC236}">
              <a16:creationId xmlns:a16="http://schemas.microsoft.com/office/drawing/2014/main" id="{A6EF182E-22CB-4140-8198-05E59842D514}"/>
            </a:ext>
          </a:extLst>
        </xdr:cNvPr>
        <xdr:cNvSpPr/>
      </xdr:nvSpPr>
      <xdr:spPr>
        <a:xfrm rot="10800000">
          <a:off x="1340358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486</xdr:row>
      <xdr:rowOff>0</xdr:rowOff>
    </xdr:from>
    <xdr:to>
      <xdr:col>71</xdr:col>
      <xdr:colOff>83820</xdr:colOff>
      <xdr:row>486</xdr:row>
      <xdr:rowOff>114300</xdr:rowOff>
    </xdr:to>
    <xdr:sp macro="" textlink="">
      <xdr:nvSpPr>
        <xdr:cNvPr id="3583" name="Arrow: Down 3582">
          <a:extLst>
            <a:ext uri="{FF2B5EF4-FFF2-40B4-BE49-F238E27FC236}">
              <a16:creationId xmlns:a16="http://schemas.microsoft.com/office/drawing/2014/main" id="{7621C505-F99A-4BE9-817F-3246A6AEA58D}"/>
            </a:ext>
          </a:extLst>
        </xdr:cNvPr>
        <xdr:cNvSpPr/>
      </xdr:nvSpPr>
      <xdr:spPr>
        <a:xfrm>
          <a:off x="2157222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486</xdr:row>
      <xdr:rowOff>0</xdr:rowOff>
    </xdr:from>
    <xdr:to>
      <xdr:col>45</xdr:col>
      <xdr:colOff>83820</xdr:colOff>
      <xdr:row>486</xdr:row>
      <xdr:rowOff>114300</xdr:rowOff>
    </xdr:to>
    <xdr:sp macro="" textlink="">
      <xdr:nvSpPr>
        <xdr:cNvPr id="3586" name="Arrow: Down 3585">
          <a:extLst>
            <a:ext uri="{FF2B5EF4-FFF2-40B4-BE49-F238E27FC236}">
              <a16:creationId xmlns:a16="http://schemas.microsoft.com/office/drawing/2014/main" id="{75A91DD0-828C-4891-8C2E-475E4C630B7F}"/>
            </a:ext>
          </a:extLst>
        </xdr:cNvPr>
        <xdr:cNvSpPr/>
      </xdr:nvSpPr>
      <xdr:spPr>
        <a:xfrm rot="10800000">
          <a:off x="1340358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486</xdr:row>
      <xdr:rowOff>0</xdr:rowOff>
    </xdr:from>
    <xdr:to>
      <xdr:col>71</xdr:col>
      <xdr:colOff>83820</xdr:colOff>
      <xdr:row>486</xdr:row>
      <xdr:rowOff>114300</xdr:rowOff>
    </xdr:to>
    <xdr:sp macro="" textlink="">
      <xdr:nvSpPr>
        <xdr:cNvPr id="3592" name="Arrow: Down 3591">
          <a:extLst>
            <a:ext uri="{FF2B5EF4-FFF2-40B4-BE49-F238E27FC236}">
              <a16:creationId xmlns:a16="http://schemas.microsoft.com/office/drawing/2014/main" id="{19A7EBCB-EBA2-460B-9532-C7FAAE791F11}"/>
            </a:ext>
          </a:extLst>
        </xdr:cNvPr>
        <xdr:cNvSpPr/>
      </xdr:nvSpPr>
      <xdr:spPr>
        <a:xfrm>
          <a:off x="2157222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486</xdr:row>
      <xdr:rowOff>0</xdr:rowOff>
    </xdr:from>
    <xdr:to>
      <xdr:col>60</xdr:col>
      <xdr:colOff>83820</xdr:colOff>
      <xdr:row>486</xdr:row>
      <xdr:rowOff>114300</xdr:rowOff>
    </xdr:to>
    <xdr:sp macro="" textlink="">
      <xdr:nvSpPr>
        <xdr:cNvPr id="3599" name="Arrow: Down 3598">
          <a:extLst>
            <a:ext uri="{FF2B5EF4-FFF2-40B4-BE49-F238E27FC236}">
              <a16:creationId xmlns:a16="http://schemas.microsoft.com/office/drawing/2014/main" id="{3EA5A31A-5E54-4B07-8DE5-36DA6F80458B}"/>
            </a:ext>
          </a:extLst>
        </xdr:cNvPr>
        <xdr:cNvSpPr/>
      </xdr:nvSpPr>
      <xdr:spPr>
        <a:xfrm rot="10800000">
          <a:off x="1901952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486</xdr:row>
      <xdr:rowOff>0</xdr:rowOff>
    </xdr:from>
    <xdr:to>
      <xdr:col>39</xdr:col>
      <xdr:colOff>83820</xdr:colOff>
      <xdr:row>486</xdr:row>
      <xdr:rowOff>114300</xdr:rowOff>
    </xdr:to>
    <xdr:sp macro="" textlink="">
      <xdr:nvSpPr>
        <xdr:cNvPr id="3608" name="Arrow: Down 3607">
          <a:extLst>
            <a:ext uri="{FF2B5EF4-FFF2-40B4-BE49-F238E27FC236}">
              <a16:creationId xmlns:a16="http://schemas.microsoft.com/office/drawing/2014/main" id="{61AAA145-CC93-4A0C-A3E8-299BD9C8945E}"/>
            </a:ext>
          </a:extLst>
        </xdr:cNvPr>
        <xdr:cNvSpPr/>
      </xdr:nvSpPr>
      <xdr:spPr>
        <a:xfrm>
          <a:off x="1154430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486</xdr:row>
      <xdr:rowOff>0</xdr:rowOff>
    </xdr:from>
    <xdr:to>
      <xdr:col>5</xdr:col>
      <xdr:colOff>83820</xdr:colOff>
      <xdr:row>486</xdr:row>
      <xdr:rowOff>114300</xdr:rowOff>
    </xdr:to>
    <xdr:sp macro="" textlink="">
      <xdr:nvSpPr>
        <xdr:cNvPr id="3609" name="Arrow: Down 3608">
          <a:extLst>
            <a:ext uri="{FF2B5EF4-FFF2-40B4-BE49-F238E27FC236}">
              <a16:creationId xmlns:a16="http://schemas.microsoft.com/office/drawing/2014/main" id="{F8C01A30-BB6B-4027-B90B-19FB3950B581}"/>
            </a:ext>
          </a:extLst>
        </xdr:cNvPr>
        <xdr:cNvSpPr/>
      </xdr:nvSpPr>
      <xdr:spPr>
        <a:xfrm>
          <a:off x="192786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486</xdr:row>
      <xdr:rowOff>0</xdr:rowOff>
    </xdr:from>
    <xdr:to>
      <xdr:col>11</xdr:col>
      <xdr:colOff>83820</xdr:colOff>
      <xdr:row>486</xdr:row>
      <xdr:rowOff>114300</xdr:rowOff>
    </xdr:to>
    <xdr:sp macro="" textlink="">
      <xdr:nvSpPr>
        <xdr:cNvPr id="3612" name="Arrow: Down 3611">
          <a:extLst>
            <a:ext uri="{FF2B5EF4-FFF2-40B4-BE49-F238E27FC236}">
              <a16:creationId xmlns:a16="http://schemas.microsoft.com/office/drawing/2014/main" id="{74B746D3-E535-43F5-9E6E-3575196349DA}"/>
            </a:ext>
          </a:extLst>
        </xdr:cNvPr>
        <xdr:cNvSpPr/>
      </xdr:nvSpPr>
      <xdr:spPr>
        <a:xfrm>
          <a:off x="369570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486</xdr:row>
      <xdr:rowOff>0</xdr:rowOff>
    </xdr:from>
    <xdr:to>
      <xdr:col>24</xdr:col>
      <xdr:colOff>83820</xdr:colOff>
      <xdr:row>486</xdr:row>
      <xdr:rowOff>114300</xdr:rowOff>
    </xdr:to>
    <xdr:sp macro="" textlink="">
      <xdr:nvSpPr>
        <xdr:cNvPr id="3615" name="Arrow: Down 3614">
          <a:extLst>
            <a:ext uri="{FF2B5EF4-FFF2-40B4-BE49-F238E27FC236}">
              <a16:creationId xmlns:a16="http://schemas.microsoft.com/office/drawing/2014/main" id="{7D4D36CE-E120-4185-B4B9-8EA8EEAD155E}"/>
            </a:ext>
          </a:extLst>
        </xdr:cNvPr>
        <xdr:cNvSpPr/>
      </xdr:nvSpPr>
      <xdr:spPr>
        <a:xfrm>
          <a:off x="833628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487</xdr:row>
      <xdr:rowOff>0</xdr:rowOff>
    </xdr:from>
    <xdr:to>
      <xdr:col>71</xdr:col>
      <xdr:colOff>83820</xdr:colOff>
      <xdr:row>487</xdr:row>
      <xdr:rowOff>114300</xdr:rowOff>
    </xdr:to>
    <xdr:sp macro="" textlink="">
      <xdr:nvSpPr>
        <xdr:cNvPr id="3622" name="Arrow: Down 3621">
          <a:extLst>
            <a:ext uri="{FF2B5EF4-FFF2-40B4-BE49-F238E27FC236}">
              <a16:creationId xmlns:a16="http://schemas.microsoft.com/office/drawing/2014/main" id="{9B204C58-6D5E-40BD-A4BD-DE99BB502344}"/>
            </a:ext>
          </a:extLst>
        </xdr:cNvPr>
        <xdr:cNvSpPr/>
      </xdr:nvSpPr>
      <xdr:spPr>
        <a:xfrm>
          <a:off x="2157222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487</xdr:row>
      <xdr:rowOff>0</xdr:rowOff>
    </xdr:from>
    <xdr:to>
      <xdr:col>71</xdr:col>
      <xdr:colOff>83820</xdr:colOff>
      <xdr:row>487</xdr:row>
      <xdr:rowOff>114300</xdr:rowOff>
    </xdr:to>
    <xdr:sp macro="" textlink="">
      <xdr:nvSpPr>
        <xdr:cNvPr id="3624" name="Arrow: Down 3623">
          <a:extLst>
            <a:ext uri="{FF2B5EF4-FFF2-40B4-BE49-F238E27FC236}">
              <a16:creationId xmlns:a16="http://schemas.microsoft.com/office/drawing/2014/main" id="{B615AB89-BE3E-4BC8-BBEA-7DD41B62FCBE}"/>
            </a:ext>
          </a:extLst>
        </xdr:cNvPr>
        <xdr:cNvSpPr/>
      </xdr:nvSpPr>
      <xdr:spPr>
        <a:xfrm>
          <a:off x="2157222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487</xdr:row>
      <xdr:rowOff>0</xdr:rowOff>
    </xdr:from>
    <xdr:to>
      <xdr:col>39</xdr:col>
      <xdr:colOff>83820</xdr:colOff>
      <xdr:row>487</xdr:row>
      <xdr:rowOff>114300</xdr:rowOff>
    </xdr:to>
    <xdr:sp macro="" textlink="">
      <xdr:nvSpPr>
        <xdr:cNvPr id="3628" name="Arrow: Down 3627">
          <a:extLst>
            <a:ext uri="{FF2B5EF4-FFF2-40B4-BE49-F238E27FC236}">
              <a16:creationId xmlns:a16="http://schemas.microsoft.com/office/drawing/2014/main" id="{FE55543E-D941-4C7F-B20E-1F3A6F71442F}"/>
            </a:ext>
          </a:extLst>
        </xdr:cNvPr>
        <xdr:cNvSpPr/>
      </xdr:nvSpPr>
      <xdr:spPr>
        <a:xfrm>
          <a:off x="11544300" y="8897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487</xdr:row>
      <xdr:rowOff>0</xdr:rowOff>
    </xdr:from>
    <xdr:to>
      <xdr:col>5</xdr:col>
      <xdr:colOff>83820</xdr:colOff>
      <xdr:row>487</xdr:row>
      <xdr:rowOff>114300</xdr:rowOff>
    </xdr:to>
    <xdr:sp macro="" textlink="">
      <xdr:nvSpPr>
        <xdr:cNvPr id="3630" name="Arrow: Down 3629">
          <a:extLst>
            <a:ext uri="{FF2B5EF4-FFF2-40B4-BE49-F238E27FC236}">
              <a16:creationId xmlns:a16="http://schemas.microsoft.com/office/drawing/2014/main" id="{F3C7D356-67B6-4C7F-8086-F60E605826DF}"/>
            </a:ext>
          </a:extLst>
        </xdr:cNvPr>
        <xdr:cNvSpPr/>
      </xdr:nvSpPr>
      <xdr:spPr>
        <a:xfrm>
          <a:off x="192786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487</xdr:row>
      <xdr:rowOff>0</xdr:rowOff>
    </xdr:from>
    <xdr:to>
      <xdr:col>11</xdr:col>
      <xdr:colOff>83820</xdr:colOff>
      <xdr:row>487</xdr:row>
      <xdr:rowOff>114300</xdr:rowOff>
    </xdr:to>
    <xdr:sp macro="" textlink="">
      <xdr:nvSpPr>
        <xdr:cNvPr id="3631" name="Arrow: Down 3630">
          <a:extLst>
            <a:ext uri="{FF2B5EF4-FFF2-40B4-BE49-F238E27FC236}">
              <a16:creationId xmlns:a16="http://schemas.microsoft.com/office/drawing/2014/main" id="{CB612460-E296-43D0-A6B2-F06CC6E7B98B}"/>
            </a:ext>
          </a:extLst>
        </xdr:cNvPr>
        <xdr:cNvSpPr/>
      </xdr:nvSpPr>
      <xdr:spPr>
        <a:xfrm>
          <a:off x="369570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487</xdr:row>
      <xdr:rowOff>0</xdr:rowOff>
    </xdr:from>
    <xdr:to>
      <xdr:col>24</xdr:col>
      <xdr:colOff>83820</xdr:colOff>
      <xdr:row>487</xdr:row>
      <xdr:rowOff>114300</xdr:rowOff>
    </xdr:to>
    <xdr:sp macro="" textlink="">
      <xdr:nvSpPr>
        <xdr:cNvPr id="3637" name="Arrow: Down 3636">
          <a:extLst>
            <a:ext uri="{FF2B5EF4-FFF2-40B4-BE49-F238E27FC236}">
              <a16:creationId xmlns:a16="http://schemas.microsoft.com/office/drawing/2014/main" id="{78D366F8-42C2-4F3E-BC70-E8ABDFEB0A73}"/>
            </a:ext>
          </a:extLst>
        </xdr:cNvPr>
        <xdr:cNvSpPr/>
      </xdr:nvSpPr>
      <xdr:spPr>
        <a:xfrm>
          <a:off x="833628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487</xdr:row>
      <xdr:rowOff>0</xdr:rowOff>
    </xdr:from>
    <xdr:to>
      <xdr:col>60</xdr:col>
      <xdr:colOff>83820</xdr:colOff>
      <xdr:row>487</xdr:row>
      <xdr:rowOff>114300</xdr:rowOff>
    </xdr:to>
    <xdr:sp macro="" textlink="">
      <xdr:nvSpPr>
        <xdr:cNvPr id="3638" name="Arrow: Down 3637">
          <a:extLst>
            <a:ext uri="{FF2B5EF4-FFF2-40B4-BE49-F238E27FC236}">
              <a16:creationId xmlns:a16="http://schemas.microsoft.com/office/drawing/2014/main" id="{B2A8D763-05FB-4BF5-879C-4FB10AE7F9FB}"/>
            </a:ext>
          </a:extLst>
        </xdr:cNvPr>
        <xdr:cNvSpPr/>
      </xdr:nvSpPr>
      <xdr:spPr>
        <a:xfrm>
          <a:off x="1901952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488</xdr:row>
      <xdr:rowOff>0</xdr:rowOff>
    </xdr:from>
    <xdr:to>
      <xdr:col>45</xdr:col>
      <xdr:colOff>83820</xdr:colOff>
      <xdr:row>488</xdr:row>
      <xdr:rowOff>114300</xdr:rowOff>
    </xdr:to>
    <xdr:sp macro="" textlink="">
      <xdr:nvSpPr>
        <xdr:cNvPr id="3476" name="Arrow: Down 3475">
          <a:extLst>
            <a:ext uri="{FF2B5EF4-FFF2-40B4-BE49-F238E27FC236}">
              <a16:creationId xmlns:a16="http://schemas.microsoft.com/office/drawing/2014/main" id="{9BCEBFAE-9B28-432E-BF91-D507A6F141FB}"/>
            </a:ext>
          </a:extLst>
        </xdr:cNvPr>
        <xdr:cNvSpPr/>
      </xdr:nvSpPr>
      <xdr:spPr>
        <a:xfrm rot="10800000">
          <a:off x="134035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488</xdr:row>
      <xdr:rowOff>0</xdr:rowOff>
    </xdr:from>
    <xdr:to>
      <xdr:col>71</xdr:col>
      <xdr:colOff>83820</xdr:colOff>
      <xdr:row>488</xdr:row>
      <xdr:rowOff>114300</xdr:rowOff>
    </xdr:to>
    <xdr:sp macro="" textlink="">
      <xdr:nvSpPr>
        <xdr:cNvPr id="3478" name="Arrow: Down 3477">
          <a:extLst>
            <a:ext uri="{FF2B5EF4-FFF2-40B4-BE49-F238E27FC236}">
              <a16:creationId xmlns:a16="http://schemas.microsoft.com/office/drawing/2014/main" id="{499D776F-6013-4650-9179-9748688A7A0F}"/>
            </a:ext>
          </a:extLst>
        </xdr:cNvPr>
        <xdr:cNvSpPr/>
      </xdr:nvSpPr>
      <xdr:spPr>
        <a:xfrm>
          <a:off x="216331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488</xdr:row>
      <xdr:rowOff>0</xdr:rowOff>
    </xdr:from>
    <xdr:to>
      <xdr:col>71</xdr:col>
      <xdr:colOff>83820</xdr:colOff>
      <xdr:row>488</xdr:row>
      <xdr:rowOff>114300</xdr:rowOff>
    </xdr:to>
    <xdr:sp macro="" textlink="">
      <xdr:nvSpPr>
        <xdr:cNvPr id="3504" name="Arrow: Down 3503">
          <a:extLst>
            <a:ext uri="{FF2B5EF4-FFF2-40B4-BE49-F238E27FC236}">
              <a16:creationId xmlns:a16="http://schemas.microsoft.com/office/drawing/2014/main" id="{95793CA2-0387-4B74-AD4E-A4602B2001C5}"/>
            </a:ext>
          </a:extLst>
        </xdr:cNvPr>
        <xdr:cNvSpPr/>
      </xdr:nvSpPr>
      <xdr:spPr>
        <a:xfrm>
          <a:off x="216331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488</xdr:row>
      <xdr:rowOff>0</xdr:rowOff>
    </xdr:from>
    <xdr:to>
      <xdr:col>60</xdr:col>
      <xdr:colOff>83820</xdr:colOff>
      <xdr:row>488</xdr:row>
      <xdr:rowOff>114300</xdr:rowOff>
    </xdr:to>
    <xdr:sp macro="" textlink="">
      <xdr:nvSpPr>
        <xdr:cNvPr id="3593" name="Arrow: Down 3592">
          <a:extLst>
            <a:ext uri="{FF2B5EF4-FFF2-40B4-BE49-F238E27FC236}">
              <a16:creationId xmlns:a16="http://schemas.microsoft.com/office/drawing/2014/main" id="{C4D2FA4D-ABB5-445B-8139-5363A6E2F3C5}"/>
            </a:ext>
          </a:extLst>
        </xdr:cNvPr>
        <xdr:cNvSpPr/>
      </xdr:nvSpPr>
      <xdr:spPr>
        <a:xfrm>
          <a:off x="190804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488</xdr:row>
      <xdr:rowOff>0</xdr:rowOff>
    </xdr:from>
    <xdr:to>
      <xdr:col>39</xdr:col>
      <xdr:colOff>83820</xdr:colOff>
      <xdr:row>488</xdr:row>
      <xdr:rowOff>114300</xdr:rowOff>
    </xdr:to>
    <xdr:sp macro="" textlink="">
      <xdr:nvSpPr>
        <xdr:cNvPr id="3596" name="Arrow: Down 3595">
          <a:extLst>
            <a:ext uri="{FF2B5EF4-FFF2-40B4-BE49-F238E27FC236}">
              <a16:creationId xmlns:a16="http://schemas.microsoft.com/office/drawing/2014/main" id="{C247C1B3-7A4B-4E54-A247-36E2124A571F}"/>
            </a:ext>
          </a:extLst>
        </xdr:cNvPr>
        <xdr:cNvSpPr/>
      </xdr:nvSpPr>
      <xdr:spPr>
        <a:xfrm rot="10800000">
          <a:off x="11544300" y="8934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488</xdr:row>
      <xdr:rowOff>0</xdr:rowOff>
    </xdr:from>
    <xdr:to>
      <xdr:col>11</xdr:col>
      <xdr:colOff>83820</xdr:colOff>
      <xdr:row>488</xdr:row>
      <xdr:rowOff>114300</xdr:rowOff>
    </xdr:to>
    <xdr:sp macro="" textlink="">
      <xdr:nvSpPr>
        <xdr:cNvPr id="3597" name="Arrow: Down 3596">
          <a:extLst>
            <a:ext uri="{FF2B5EF4-FFF2-40B4-BE49-F238E27FC236}">
              <a16:creationId xmlns:a16="http://schemas.microsoft.com/office/drawing/2014/main" id="{F88B272E-AE0B-4A61-A2DB-2FEED93C64E2}"/>
            </a:ext>
          </a:extLst>
        </xdr:cNvPr>
        <xdr:cNvSpPr/>
      </xdr:nvSpPr>
      <xdr:spPr>
        <a:xfrm rot="10800000">
          <a:off x="369570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488</xdr:row>
      <xdr:rowOff>0</xdr:rowOff>
    </xdr:from>
    <xdr:to>
      <xdr:col>5</xdr:col>
      <xdr:colOff>83820</xdr:colOff>
      <xdr:row>488</xdr:row>
      <xdr:rowOff>114300</xdr:rowOff>
    </xdr:to>
    <xdr:sp macro="" textlink="">
      <xdr:nvSpPr>
        <xdr:cNvPr id="3625" name="Arrow: Down 3624">
          <a:extLst>
            <a:ext uri="{FF2B5EF4-FFF2-40B4-BE49-F238E27FC236}">
              <a16:creationId xmlns:a16="http://schemas.microsoft.com/office/drawing/2014/main" id="{41C8412C-C1BE-4AD6-9693-0A64DDC53421}"/>
            </a:ext>
          </a:extLst>
        </xdr:cNvPr>
        <xdr:cNvSpPr/>
      </xdr:nvSpPr>
      <xdr:spPr>
        <a:xfrm rot="10800000">
          <a:off x="192786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488</xdr:row>
      <xdr:rowOff>0</xdr:rowOff>
    </xdr:from>
    <xdr:to>
      <xdr:col>24</xdr:col>
      <xdr:colOff>83820</xdr:colOff>
      <xdr:row>488</xdr:row>
      <xdr:rowOff>114300</xdr:rowOff>
    </xdr:to>
    <xdr:sp macro="" textlink="">
      <xdr:nvSpPr>
        <xdr:cNvPr id="3639" name="Arrow: Down 3638">
          <a:extLst>
            <a:ext uri="{FF2B5EF4-FFF2-40B4-BE49-F238E27FC236}">
              <a16:creationId xmlns:a16="http://schemas.microsoft.com/office/drawing/2014/main" id="{F12A5ACF-7F82-4F94-84F9-DB7ABAE1ADF9}"/>
            </a:ext>
          </a:extLst>
        </xdr:cNvPr>
        <xdr:cNvSpPr/>
      </xdr:nvSpPr>
      <xdr:spPr>
        <a:xfrm rot="10800000">
          <a:off x="833628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489</xdr:row>
      <xdr:rowOff>0</xdr:rowOff>
    </xdr:from>
    <xdr:to>
      <xdr:col>39</xdr:col>
      <xdr:colOff>83820</xdr:colOff>
      <xdr:row>489</xdr:row>
      <xdr:rowOff>114300</xdr:rowOff>
    </xdr:to>
    <xdr:sp macro="" textlink="">
      <xdr:nvSpPr>
        <xdr:cNvPr id="3657" name="Arrow: Down 3656">
          <a:extLst>
            <a:ext uri="{FF2B5EF4-FFF2-40B4-BE49-F238E27FC236}">
              <a16:creationId xmlns:a16="http://schemas.microsoft.com/office/drawing/2014/main" id="{ECAD70DD-288A-4072-BF41-D2B8C4CAF38A}"/>
            </a:ext>
          </a:extLst>
        </xdr:cNvPr>
        <xdr:cNvSpPr/>
      </xdr:nvSpPr>
      <xdr:spPr>
        <a:xfrm rot="10800000">
          <a:off x="11544300" y="8934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489</xdr:row>
      <xdr:rowOff>0</xdr:rowOff>
    </xdr:from>
    <xdr:to>
      <xdr:col>11</xdr:col>
      <xdr:colOff>83820</xdr:colOff>
      <xdr:row>489</xdr:row>
      <xdr:rowOff>114300</xdr:rowOff>
    </xdr:to>
    <xdr:sp macro="" textlink="">
      <xdr:nvSpPr>
        <xdr:cNvPr id="3660" name="Arrow: Down 3659">
          <a:extLst>
            <a:ext uri="{FF2B5EF4-FFF2-40B4-BE49-F238E27FC236}">
              <a16:creationId xmlns:a16="http://schemas.microsoft.com/office/drawing/2014/main" id="{71224986-CC09-4F60-811C-0CC17DD0DE00}"/>
            </a:ext>
          </a:extLst>
        </xdr:cNvPr>
        <xdr:cNvSpPr/>
      </xdr:nvSpPr>
      <xdr:spPr>
        <a:xfrm rot="10800000">
          <a:off x="369570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489</xdr:row>
      <xdr:rowOff>0</xdr:rowOff>
    </xdr:from>
    <xdr:to>
      <xdr:col>5</xdr:col>
      <xdr:colOff>83820</xdr:colOff>
      <xdr:row>489</xdr:row>
      <xdr:rowOff>114300</xdr:rowOff>
    </xdr:to>
    <xdr:sp macro="" textlink="">
      <xdr:nvSpPr>
        <xdr:cNvPr id="3669" name="Arrow: Down 3668">
          <a:extLst>
            <a:ext uri="{FF2B5EF4-FFF2-40B4-BE49-F238E27FC236}">
              <a16:creationId xmlns:a16="http://schemas.microsoft.com/office/drawing/2014/main" id="{745C464B-704D-4490-9746-0A293B8D15DE}"/>
            </a:ext>
          </a:extLst>
        </xdr:cNvPr>
        <xdr:cNvSpPr/>
      </xdr:nvSpPr>
      <xdr:spPr>
        <a:xfrm rot="10800000">
          <a:off x="192786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83820</xdr:colOff>
      <xdr:row>489</xdr:row>
      <xdr:rowOff>114300</xdr:rowOff>
    </xdr:to>
    <xdr:sp macro="" textlink="">
      <xdr:nvSpPr>
        <xdr:cNvPr id="3670" name="Arrow: Down 3669">
          <a:extLst>
            <a:ext uri="{FF2B5EF4-FFF2-40B4-BE49-F238E27FC236}">
              <a16:creationId xmlns:a16="http://schemas.microsoft.com/office/drawing/2014/main" id="{9B8CEDC1-4CA3-48FD-A402-EB259EA27FAA}"/>
            </a:ext>
          </a:extLst>
        </xdr:cNvPr>
        <xdr:cNvSpPr/>
      </xdr:nvSpPr>
      <xdr:spPr>
        <a:xfrm rot="10800000">
          <a:off x="833628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490</xdr:row>
      <xdr:rowOff>0</xdr:rowOff>
    </xdr:from>
    <xdr:to>
      <xdr:col>71</xdr:col>
      <xdr:colOff>83820</xdr:colOff>
      <xdr:row>490</xdr:row>
      <xdr:rowOff>114300</xdr:rowOff>
    </xdr:to>
    <xdr:sp macro="" textlink="">
      <xdr:nvSpPr>
        <xdr:cNvPr id="3679" name="Arrow: Down 3678">
          <a:extLst>
            <a:ext uri="{FF2B5EF4-FFF2-40B4-BE49-F238E27FC236}">
              <a16:creationId xmlns:a16="http://schemas.microsoft.com/office/drawing/2014/main" id="{7463D59E-659A-4FB5-86E8-F38F92A92AF3}"/>
            </a:ext>
          </a:extLst>
        </xdr:cNvPr>
        <xdr:cNvSpPr/>
      </xdr:nvSpPr>
      <xdr:spPr>
        <a:xfrm>
          <a:off x="2163318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490</xdr:row>
      <xdr:rowOff>0</xdr:rowOff>
    </xdr:from>
    <xdr:to>
      <xdr:col>71</xdr:col>
      <xdr:colOff>83820</xdr:colOff>
      <xdr:row>490</xdr:row>
      <xdr:rowOff>114300</xdr:rowOff>
    </xdr:to>
    <xdr:sp macro="" textlink="">
      <xdr:nvSpPr>
        <xdr:cNvPr id="3681" name="Arrow: Down 3680">
          <a:extLst>
            <a:ext uri="{FF2B5EF4-FFF2-40B4-BE49-F238E27FC236}">
              <a16:creationId xmlns:a16="http://schemas.microsoft.com/office/drawing/2014/main" id="{6753D5E6-6F7E-4369-9BBE-39955B04BF5C}"/>
            </a:ext>
          </a:extLst>
        </xdr:cNvPr>
        <xdr:cNvSpPr/>
      </xdr:nvSpPr>
      <xdr:spPr>
        <a:xfrm>
          <a:off x="2163318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490</xdr:row>
      <xdr:rowOff>0</xdr:rowOff>
    </xdr:from>
    <xdr:to>
      <xdr:col>60</xdr:col>
      <xdr:colOff>83820</xdr:colOff>
      <xdr:row>490</xdr:row>
      <xdr:rowOff>114300</xdr:rowOff>
    </xdr:to>
    <xdr:sp macro="" textlink="">
      <xdr:nvSpPr>
        <xdr:cNvPr id="3683" name="Arrow: Down 3682">
          <a:extLst>
            <a:ext uri="{FF2B5EF4-FFF2-40B4-BE49-F238E27FC236}">
              <a16:creationId xmlns:a16="http://schemas.microsoft.com/office/drawing/2014/main" id="{6A66C22F-A04A-4021-BBC2-02F283B9DBB1}"/>
            </a:ext>
          </a:extLst>
        </xdr:cNvPr>
        <xdr:cNvSpPr/>
      </xdr:nvSpPr>
      <xdr:spPr>
        <a:xfrm>
          <a:off x="1908048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490</xdr:row>
      <xdr:rowOff>0</xdr:rowOff>
    </xdr:from>
    <xdr:to>
      <xdr:col>39</xdr:col>
      <xdr:colOff>83820</xdr:colOff>
      <xdr:row>490</xdr:row>
      <xdr:rowOff>114300</xdr:rowOff>
    </xdr:to>
    <xdr:sp macro="" textlink="">
      <xdr:nvSpPr>
        <xdr:cNvPr id="3685" name="Arrow: Down 3684">
          <a:extLst>
            <a:ext uri="{FF2B5EF4-FFF2-40B4-BE49-F238E27FC236}">
              <a16:creationId xmlns:a16="http://schemas.microsoft.com/office/drawing/2014/main" id="{DBF1D68E-EA84-481E-B003-801D55FE84DD}"/>
            </a:ext>
          </a:extLst>
        </xdr:cNvPr>
        <xdr:cNvSpPr/>
      </xdr:nvSpPr>
      <xdr:spPr>
        <a:xfrm rot="10800000">
          <a:off x="1154430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490</xdr:row>
      <xdr:rowOff>0</xdr:rowOff>
    </xdr:from>
    <xdr:to>
      <xdr:col>5</xdr:col>
      <xdr:colOff>83820</xdr:colOff>
      <xdr:row>490</xdr:row>
      <xdr:rowOff>114300</xdr:rowOff>
    </xdr:to>
    <xdr:sp macro="" textlink="">
      <xdr:nvSpPr>
        <xdr:cNvPr id="3701" name="Arrow: Down 3700">
          <a:extLst>
            <a:ext uri="{FF2B5EF4-FFF2-40B4-BE49-F238E27FC236}">
              <a16:creationId xmlns:a16="http://schemas.microsoft.com/office/drawing/2014/main" id="{3E88FC87-4992-4000-934E-CFB943D43288}"/>
            </a:ext>
          </a:extLst>
        </xdr:cNvPr>
        <xdr:cNvSpPr/>
      </xdr:nvSpPr>
      <xdr:spPr>
        <a:xfrm>
          <a:off x="192786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490</xdr:row>
      <xdr:rowOff>0</xdr:rowOff>
    </xdr:from>
    <xdr:to>
      <xdr:col>11</xdr:col>
      <xdr:colOff>83820</xdr:colOff>
      <xdr:row>490</xdr:row>
      <xdr:rowOff>114300</xdr:rowOff>
    </xdr:to>
    <xdr:sp macro="" textlink="">
      <xdr:nvSpPr>
        <xdr:cNvPr id="3703" name="Arrow: Down 3702">
          <a:extLst>
            <a:ext uri="{FF2B5EF4-FFF2-40B4-BE49-F238E27FC236}">
              <a16:creationId xmlns:a16="http://schemas.microsoft.com/office/drawing/2014/main" id="{9DEB0C9F-1152-45D6-B193-8CF03900DC89}"/>
            </a:ext>
          </a:extLst>
        </xdr:cNvPr>
        <xdr:cNvSpPr/>
      </xdr:nvSpPr>
      <xdr:spPr>
        <a:xfrm>
          <a:off x="369570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489</xdr:row>
      <xdr:rowOff>0</xdr:rowOff>
    </xdr:from>
    <xdr:to>
      <xdr:col>60</xdr:col>
      <xdr:colOff>83820</xdr:colOff>
      <xdr:row>489</xdr:row>
      <xdr:rowOff>114300</xdr:rowOff>
    </xdr:to>
    <xdr:sp macro="" textlink="">
      <xdr:nvSpPr>
        <xdr:cNvPr id="3706" name="Arrow: Down 3705">
          <a:extLst>
            <a:ext uri="{FF2B5EF4-FFF2-40B4-BE49-F238E27FC236}">
              <a16:creationId xmlns:a16="http://schemas.microsoft.com/office/drawing/2014/main" id="{0C0E2EB6-7442-4436-B162-C595F3649F44}"/>
            </a:ext>
          </a:extLst>
        </xdr:cNvPr>
        <xdr:cNvSpPr/>
      </xdr:nvSpPr>
      <xdr:spPr>
        <a:xfrm rot="10800000">
          <a:off x="19080480" y="8952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491</xdr:row>
      <xdr:rowOff>0</xdr:rowOff>
    </xdr:from>
    <xdr:to>
      <xdr:col>71</xdr:col>
      <xdr:colOff>83820</xdr:colOff>
      <xdr:row>491</xdr:row>
      <xdr:rowOff>114300</xdr:rowOff>
    </xdr:to>
    <xdr:sp macro="" textlink="">
      <xdr:nvSpPr>
        <xdr:cNvPr id="3708" name="Arrow: Down 3707">
          <a:extLst>
            <a:ext uri="{FF2B5EF4-FFF2-40B4-BE49-F238E27FC236}">
              <a16:creationId xmlns:a16="http://schemas.microsoft.com/office/drawing/2014/main" id="{37D08B10-C122-41F6-AEFC-8E832743C7F4}"/>
            </a:ext>
          </a:extLst>
        </xdr:cNvPr>
        <xdr:cNvSpPr/>
      </xdr:nvSpPr>
      <xdr:spPr>
        <a:xfrm>
          <a:off x="2163318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491</xdr:row>
      <xdr:rowOff>0</xdr:rowOff>
    </xdr:from>
    <xdr:to>
      <xdr:col>71</xdr:col>
      <xdr:colOff>83820</xdr:colOff>
      <xdr:row>491</xdr:row>
      <xdr:rowOff>114300</xdr:rowOff>
    </xdr:to>
    <xdr:sp macro="" textlink="">
      <xdr:nvSpPr>
        <xdr:cNvPr id="3710" name="Arrow: Down 3709">
          <a:extLst>
            <a:ext uri="{FF2B5EF4-FFF2-40B4-BE49-F238E27FC236}">
              <a16:creationId xmlns:a16="http://schemas.microsoft.com/office/drawing/2014/main" id="{3610747A-8E96-4CF2-9A0F-DCF2F15E8389}"/>
            </a:ext>
          </a:extLst>
        </xdr:cNvPr>
        <xdr:cNvSpPr/>
      </xdr:nvSpPr>
      <xdr:spPr>
        <a:xfrm>
          <a:off x="2163318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491</xdr:row>
      <xdr:rowOff>0</xdr:rowOff>
    </xdr:from>
    <xdr:to>
      <xdr:col>24</xdr:col>
      <xdr:colOff>83820</xdr:colOff>
      <xdr:row>491</xdr:row>
      <xdr:rowOff>114300</xdr:rowOff>
    </xdr:to>
    <xdr:sp macro="" textlink="">
      <xdr:nvSpPr>
        <xdr:cNvPr id="3715" name="Arrow: Down 3714">
          <a:extLst>
            <a:ext uri="{FF2B5EF4-FFF2-40B4-BE49-F238E27FC236}">
              <a16:creationId xmlns:a16="http://schemas.microsoft.com/office/drawing/2014/main" id="{6531AA3B-5CEE-47C8-9C7D-7DCC45887BE9}"/>
            </a:ext>
          </a:extLst>
        </xdr:cNvPr>
        <xdr:cNvSpPr/>
      </xdr:nvSpPr>
      <xdr:spPr>
        <a:xfrm>
          <a:off x="833628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489</xdr:row>
      <xdr:rowOff>0</xdr:rowOff>
    </xdr:from>
    <xdr:to>
      <xdr:col>71</xdr:col>
      <xdr:colOff>83820</xdr:colOff>
      <xdr:row>489</xdr:row>
      <xdr:rowOff>114300</xdr:rowOff>
    </xdr:to>
    <xdr:sp macro="" textlink="">
      <xdr:nvSpPr>
        <xdr:cNvPr id="3716" name="Arrow: Down 3715">
          <a:extLst>
            <a:ext uri="{FF2B5EF4-FFF2-40B4-BE49-F238E27FC236}">
              <a16:creationId xmlns:a16="http://schemas.microsoft.com/office/drawing/2014/main" id="{92026720-61BC-4F16-9A85-8C0D025AD5D2}"/>
            </a:ext>
          </a:extLst>
        </xdr:cNvPr>
        <xdr:cNvSpPr/>
      </xdr:nvSpPr>
      <xdr:spPr>
        <a:xfrm rot="10800000">
          <a:off x="21633180" y="8952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491</xdr:row>
      <xdr:rowOff>0</xdr:rowOff>
    </xdr:from>
    <xdr:to>
      <xdr:col>60</xdr:col>
      <xdr:colOff>83820</xdr:colOff>
      <xdr:row>491</xdr:row>
      <xdr:rowOff>114300</xdr:rowOff>
    </xdr:to>
    <xdr:sp macro="" textlink="">
      <xdr:nvSpPr>
        <xdr:cNvPr id="3717" name="Arrow: Down 3716">
          <a:extLst>
            <a:ext uri="{FF2B5EF4-FFF2-40B4-BE49-F238E27FC236}">
              <a16:creationId xmlns:a16="http://schemas.microsoft.com/office/drawing/2014/main" id="{FD52346B-E7C2-4B5A-B10B-56CBF269D9DB}"/>
            </a:ext>
          </a:extLst>
        </xdr:cNvPr>
        <xdr:cNvSpPr/>
      </xdr:nvSpPr>
      <xdr:spPr>
        <a:xfrm rot="10800000">
          <a:off x="1908048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491</xdr:row>
      <xdr:rowOff>0</xdr:rowOff>
    </xdr:from>
    <xdr:to>
      <xdr:col>5</xdr:col>
      <xdr:colOff>83820</xdr:colOff>
      <xdr:row>491</xdr:row>
      <xdr:rowOff>114300</xdr:rowOff>
    </xdr:to>
    <xdr:sp macro="" textlink="">
      <xdr:nvSpPr>
        <xdr:cNvPr id="3718" name="Arrow: Down 3717">
          <a:extLst>
            <a:ext uri="{FF2B5EF4-FFF2-40B4-BE49-F238E27FC236}">
              <a16:creationId xmlns:a16="http://schemas.microsoft.com/office/drawing/2014/main" id="{9FE6B9FF-934D-45F7-B559-55052443F9FF}"/>
            </a:ext>
          </a:extLst>
        </xdr:cNvPr>
        <xdr:cNvSpPr/>
      </xdr:nvSpPr>
      <xdr:spPr>
        <a:xfrm rot="10800000">
          <a:off x="192786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490</xdr:row>
      <xdr:rowOff>0</xdr:rowOff>
    </xdr:from>
    <xdr:to>
      <xdr:col>24</xdr:col>
      <xdr:colOff>83820</xdr:colOff>
      <xdr:row>490</xdr:row>
      <xdr:rowOff>114300</xdr:rowOff>
    </xdr:to>
    <xdr:sp macro="" textlink="">
      <xdr:nvSpPr>
        <xdr:cNvPr id="3719" name="Arrow: Down 3718">
          <a:extLst>
            <a:ext uri="{FF2B5EF4-FFF2-40B4-BE49-F238E27FC236}">
              <a16:creationId xmlns:a16="http://schemas.microsoft.com/office/drawing/2014/main" id="{78330655-C610-499B-A664-51A5B4D35D5B}"/>
            </a:ext>
          </a:extLst>
        </xdr:cNvPr>
        <xdr:cNvSpPr/>
      </xdr:nvSpPr>
      <xdr:spPr>
        <a:xfrm rot="10800000">
          <a:off x="8336280" y="8971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491</xdr:row>
      <xdr:rowOff>0</xdr:rowOff>
    </xdr:from>
    <xdr:to>
      <xdr:col>39</xdr:col>
      <xdr:colOff>83820</xdr:colOff>
      <xdr:row>491</xdr:row>
      <xdr:rowOff>114300</xdr:rowOff>
    </xdr:to>
    <xdr:sp macro="" textlink="">
      <xdr:nvSpPr>
        <xdr:cNvPr id="3720" name="Arrow: Down 3719">
          <a:extLst>
            <a:ext uri="{FF2B5EF4-FFF2-40B4-BE49-F238E27FC236}">
              <a16:creationId xmlns:a16="http://schemas.microsoft.com/office/drawing/2014/main" id="{76AF3164-04BD-42F9-856E-E595A080BD72}"/>
            </a:ext>
          </a:extLst>
        </xdr:cNvPr>
        <xdr:cNvSpPr/>
      </xdr:nvSpPr>
      <xdr:spPr>
        <a:xfrm>
          <a:off x="1154430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487</xdr:row>
      <xdr:rowOff>0</xdr:rowOff>
    </xdr:from>
    <xdr:to>
      <xdr:col>45</xdr:col>
      <xdr:colOff>83820</xdr:colOff>
      <xdr:row>487</xdr:row>
      <xdr:rowOff>114300</xdr:rowOff>
    </xdr:to>
    <xdr:sp macro="" textlink="">
      <xdr:nvSpPr>
        <xdr:cNvPr id="3722" name="Arrow: Down 3721">
          <a:extLst>
            <a:ext uri="{FF2B5EF4-FFF2-40B4-BE49-F238E27FC236}">
              <a16:creationId xmlns:a16="http://schemas.microsoft.com/office/drawing/2014/main" id="{A861752D-5019-4AC7-B245-8D39E449F9E0}"/>
            </a:ext>
          </a:extLst>
        </xdr:cNvPr>
        <xdr:cNvSpPr/>
      </xdr:nvSpPr>
      <xdr:spPr>
        <a:xfrm>
          <a:off x="13403580" y="8916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489</xdr:row>
      <xdr:rowOff>0</xdr:rowOff>
    </xdr:from>
    <xdr:to>
      <xdr:col>45</xdr:col>
      <xdr:colOff>83820</xdr:colOff>
      <xdr:row>489</xdr:row>
      <xdr:rowOff>114300</xdr:rowOff>
    </xdr:to>
    <xdr:sp macro="" textlink="">
      <xdr:nvSpPr>
        <xdr:cNvPr id="3723" name="Arrow: Down 3722">
          <a:extLst>
            <a:ext uri="{FF2B5EF4-FFF2-40B4-BE49-F238E27FC236}">
              <a16:creationId xmlns:a16="http://schemas.microsoft.com/office/drawing/2014/main" id="{35B47623-1B67-4303-9ECD-E0B2D9410A6F}"/>
            </a:ext>
          </a:extLst>
        </xdr:cNvPr>
        <xdr:cNvSpPr/>
      </xdr:nvSpPr>
      <xdr:spPr>
        <a:xfrm>
          <a:off x="13403580" y="8952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490</xdr:row>
      <xdr:rowOff>0</xdr:rowOff>
    </xdr:from>
    <xdr:to>
      <xdr:col>45</xdr:col>
      <xdr:colOff>83820</xdr:colOff>
      <xdr:row>490</xdr:row>
      <xdr:rowOff>114300</xdr:rowOff>
    </xdr:to>
    <xdr:sp macro="" textlink="">
      <xdr:nvSpPr>
        <xdr:cNvPr id="3724" name="Arrow: Down 3723">
          <a:extLst>
            <a:ext uri="{FF2B5EF4-FFF2-40B4-BE49-F238E27FC236}">
              <a16:creationId xmlns:a16="http://schemas.microsoft.com/office/drawing/2014/main" id="{90CA69D2-199E-4CB3-AE87-56DF1CDDBA8D}"/>
            </a:ext>
          </a:extLst>
        </xdr:cNvPr>
        <xdr:cNvSpPr/>
      </xdr:nvSpPr>
      <xdr:spPr>
        <a:xfrm>
          <a:off x="13403580" y="8971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491</xdr:row>
      <xdr:rowOff>0</xdr:rowOff>
    </xdr:from>
    <xdr:to>
      <xdr:col>45</xdr:col>
      <xdr:colOff>83820</xdr:colOff>
      <xdr:row>491</xdr:row>
      <xdr:rowOff>114300</xdr:rowOff>
    </xdr:to>
    <xdr:sp macro="" textlink="">
      <xdr:nvSpPr>
        <xdr:cNvPr id="3725" name="Arrow: Down 3724">
          <a:extLst>
            <a:ext uri="{FF2B5EF4-FFF2-40B4-BE49-F238E27FC236}">
              <a16:creationId xmlns:a16="http://schemas.microsoft.com/office/drawing/2014/main" id="{780693C7-BE51-4696-A68D-F5B2394BFF5A}"/>
            </a:ext>
          </a:extLst>
        </xdr:cNvPr>
        <xdr:cNvSpPr/>
      </xdr:nvSpPr>
      <xdr:spPr>
        <a:xfrm>
          <a:off x="1340358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492</xdr:row>
      <xdr:rowOff>0</xdr:rowOff>
    </xdr:from>
    <xdr:to>
      <xdr:col>71</xdr:col>
      <xdr:colOff>83820</xdr:colOff>
      <xdr:row>492</xdr:row>
      <xdr:rowOff>114300</xdr:rowOff>
    </xdr:to>
    <xdr:sp macro="" textlink="">
      <xdr:nvSpPr>
        <xdr:cNvPr id="3726" name="Arrow: Down 3725">
          <a:extLst>
            <a:ext uri="{FF2B5EF4-FFF2-40B4-BE49-F238E27FC236}">
              <a16:creationId xmlns:a16="http://schemas.microsoft.com/office/drawing/2014/main" id="{546CD945-5F8C-4DE0-BD13-8BCC822DF212}"/>
            </a:ext>
          </a:extLst>
        </xdr:cNvPr>
        <xdr:cNvSpPr/>
      </xdr:nvSpPr>
      <xdr:spPr>
        <a:xfrm>
          <a:off x="21633180" y="8989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492</xdr:row>
      <xdr:rowOff>0</xdr:rowOff>
    </xdr:from>
    <xdr:to>
      <xdr:col>71</xdr:col>
      <xdr:colOff>83820</xdr:colOff>
      <xdr:row>492</xdr:row>
      <xdr:rowOff>114300</xdr:rowOff>
    </xdr:to>
    <xdr:sp macro="" textlink="">
      <xdr:nvSpPr>
        <xdr:cNvPr id="3727" name="Arrow: Down 3726">
          <a:extLst>
            <a:ext uri="{FF2B5EF4-FFF2-40B4-BE49-F238E27FC236}">
              <a16:creationId xmlns:a16="http://schemas.microsoft.com/office/drawing/2014/main" id="{3E6EF53E-2CBB-49A5-B3D9-9219E7307476}"/>
            </a:ext>
          </a:extLst>
        </xdr:cNvPr>
        <xdr:cNvSpPr/>
      </xdr:nvSpPr>
      <xdr:spPr>
        <a:xfrm>
          <a:off x="21633180" y="8989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492</xdr:row>
      <xdr:rowOff>0</xdr:rowOff>
    </xdr:from>
    <xdr:to>
      <xdr:col>24</xdr:col>
      <xdr:colOff>83820</xdr:colOff>
      <xdr:row>492</xdr:row>
      <xdr:rowOff>114300</xdr:rowOff>
    </xdr:to>
    <xdr:sp macro="" textlink="">
      <xdr:nvSpPr>
        <xdr:cNvPr id="3729" name="Arrow: Down 3728">
          <a:extLst>
            <a:ext uri="{FF2B5EF4-FFF2-40B4-BE49-F238E27FC236}">
              <a16:creationId xmlns:a16="http://schemas.microsoft.com/office/drawing/2014/main" id="{ABE702EB-F454-492B-A2B1-62D32958FA75}"/>
            </a:ext>
          </a:extLst>
        </xdr:cNvPr>
        <xdr:cNvSpPr/>
      </xdr:nvSpPr>
      <xdr:spPr>
        <a:xfrm>
          <a:off x="8336280" y="8989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492</xdr:row>
      <xdr:rowOff>0</xdr:rowOff>
    </xdr:from>
    <xdr:to>
      <xdr:col>5</xdr:col>
      <xdr:colOff>83820</xdr:colOff>
      <xdr:row>492</xdr:row>
      <xdr:rowOff>114300</xdr:rowOff>
    </xdr:to>
    <xdr:sp macro="" textlink="">
      <xdr:nvSpPr>
        <xdr:cNvPr id="3731" name="Arrow: Down 3730">
          <a:extLst>
            <a:ext uri="{FF2B5EF4-FFF2-40B4-BE49-F238E27FC236}">
              <a16:creationId xmlns:a16="http://schemas.microsoft.com/office/drawing/2014/main" id="{190A8F44-C957-47E4-B463-D10CD1E96236}"/>
            </a:ext>
          </a:extLst>
        </xdr:cNvPr>
        <xdr:cNvSpPr/>
      </xdr:nvSpPr>
      <xdr:spPr>
        <a:xfrm rot="10800000">
          <a:off x="192786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492</xdr:row>
      <xdr:rowOff>0</xdr:rowOff>
    </xdr:from>
    <xdr:to>
      <xdr:col>39</xdr:col>
      <xdr:colOff>83820</xdr:colOff>
      <xdr:row>492</xdr:row>
      <xdr:rowOff>114300</xdr:rowOff>
    </xdr:to>
    <xdr:sp macro="" textlink="">
      <xdr:nvSpPr>
        <xdr:cNvPr id="3732" name="Arrow: Down 3731">
          <a:extLst>
            <a:ext uri="{FF2B5EF4-FFF2-40B4-BE49-F238E27FC236}">
              <a16:creationId xmlns:a16="http://schemas.microsoft.com/office/drawing/2014/main" id="{12385760-9844-47B9-A520-376AD9D82588}"/>
            </a:ext>
          </a:extLst>
        </xdr:cNvPr>
        <xdr:cNvSpPr/>
      </xdr:nvSpPr>
      <xdr:spPr>
        <a:xfrm>
          <a:off x="1154430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492</xdr:row>
      <xdr:rowOff>0</xdr:rowOff>
    </xdr:from>
    <xdr:to>
      <xdr:col>45</xdr:col>
      <xdr:colOff>83820</xdr:colOff>
      <xdr:row>492</xdr:row>
      <xdr:rowOff>114300</xdr:rowOff>
    </xdr:to>
    <xdr:sp macro="" textlink="">
      <xdr:nvSpPr>
        <xdr:cNvPr id="3733" name="Arrow: Down 3732">
          <a:extLst>
            <a:ext uri="{FF2B5EF4-FFF2-40B4-BE49-F238E27FC236}">
              <a16:creationId xmlns:a16="http://schemas.microsoft.com/office/drawing/2014/main" id="{3D8A3549-6DBB-44F2-9ED9-ADEC1BAF959A}"/>
            </a:ext>
          </a:extLst>
        </xdr:cNvPr>
        <xdr:cNvSpPr/>
      </xdr:nvSpPr>
      <xdr:spPr>
        <a:xfrm>
          <a:off x="1340358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492</xdr:row>
      <xdr:rowOff>0</xdr:rowOff>
    </xdr:from>
    <xdr:to>
      <xdr:col>60</xdr:col>
      <xdr:colOff>83820</xdr:colOff>
      <xdr:row>492</xdr:row>
      <xdr:rowOff>114300</xdr:rowOff>
    </xdr:to>
    <xdr:sp macro="" textlink="">
      <xdr:nvSpPr>
        <xdr:cNvPr id="3735" name="Arrow: Down 3734">
          <a:extLst>
            <a:ext uri="{FF2B5EF4-FFF2-40B4-BE49-F238E27FC236}">
              <a16:creationId xmlns:a16="http://schemas.microsoft.com/office/drawing/2014/main" id="{885D8EAF-9D44-429E-9A9E-1AA98390B51B}"/>
            </a:ext>
          </a:extLst>
        </xdr:cNvPr>
        <xdr:cNvSpPr/>
      </xdr:nvSpPr>
      <xdr:spPr>
        <a:xfrm>
          <a:off x="19080480" y="9007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493</xdr:row>
      <xdr:rowOff>0</xdr:rowOff>
    </xdr:from>
    <xdr:to>
      <xdr:col>11</xdr:col>
      <xdr:colOff>83820</xdr:colOff>
      <xdr:row>493</xdr:row>
      <xdr:rowOff>114300</xdr:rowOff>
    </xdr:to>
    <xdr:sp macro="" textlink="">
      <xdr:nvSpPr>
        <xdr:cNvPr id="3738" name="Arrow: Down 3737">
          <a:extLst>
            <a:ext uri="{FF2B5EF4-FFF2-40B4-BE49-F238E27FC236}">
              <a16:creationId xmlns:a16="http://schemas.microsoft.com/office/drawing/2014/main" id="{DB1471D5-B755-43BD-B1FC-AD1BE51E207F}"/>
            </a:ext>
          </a:extLst>
        </xdr:cNvPr>
        <xdr:cNvSpPr/>
      </xdr:nvSpPr>
      <xdr:spPr>
        <a:xfrm>
          <a:off x="3695700" y="9007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493</xdr:row>
      <xdr:rowOff>0</xdr:rowOff>
    </xdr:from>
    <xdr:to>
      <xdr:col>24</xdr:col>
      <xdr:colOff>83820</xdr:colOff>
      <xdr:row>493</xdr:row>
      <xdr:rowOff>114300</xdr:rowOff>
    </xdr:to>
    <xdr:sp macro="" textlink="">
      <xdr:nvSpPr>
        <xdr:cNvPr id="3739" name="Arrow: Down 3738">
          <a:extLst>
            <a:ext uri="{FF2B5EF4-FFF2-40B4-BE49-F238E27FC236}">
              <a16:creationId xmlns:a16="http://schemas.microsoft.com/office/drawing/2014/main" id="{6AF86430-97E2-40A2-A21D-B49FB9D1AB30}"/>
            </a:ext>
          </a:extLst>
        </xdr:cNvPr>
        <xdr:cNvSpPr/>
      </xdr:nvSpPr>
      <xdr:spPr>
        <a:xfrm>
          <a:off x="8336280" y="9007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493</xdr:row>
      <xdr:rowOff>0</xdr:rowOff>
    </xdr:from>
    <xdr:to>
      <xdr:col>39</xdr:col>
      <xdr:colOff>83820</xdr:colOff>
      <xdr:row>493</xdr:row>
      <xdr:rowOff>114300</xdr:rowOff>
    </xdr:to>
    <xdr:sp macro="" textlink="">
      <xdr:nvSpPr>
        <xdr:cNvPr id="3741" name="Arrow: Down 3740">
          <a:extLst>
            <a:ext uri="{FF2B5EF4-FFF2-40B4-BE49-F238E27FC236}">
              <a16:creationId xmlns:a16="http://schemas.microsoft.com/office/drawing/2014/main" id="{E2F76ED0-6F6B-4324-A922-9FB71CCCF7A8}"/>
            </a:ext>
          </a:extLst>
        </xdr:cNvPr>
        <xdr:cNvSpPr/>
      </xdr:nvSpPr>
      <xdr:spPr>
        <a:xfrm>
          <a:off x="11544300" y="9007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493</xdr:row>
      <xdr:rowOff>0</xdr:rowOff>
    </xdr:from>
    <xdr:to>
      <xdr:col>45</xdr:col>
      <xdr:colOff>83820</xdr:colOff>
      <xdr:row>493</xdr:row>
      <xdr:rowOff>114300</xdr:rowOff>
    </xdr:to>
    <xdr:sp macro="" textlink="">
      <xdr:nvSpPr>
        <xdr:cNvPr id="3742" name="Arrow: Down 3741">
          <a:extLst>
            <a:ext uri="{FF2B5EF4-FFF2-40B4-BE49-F238E27FC236}">
              <a16:creationId xmlns:a16="http://schemas.microsoft.com/office/drawing/2014/main" id="{C275CF86-DE2F-47F6-8377-CD43DBCEFFFF}"/>
            </a:ext>
          </a:extLst>
        </xdr:cNvPr>
        <xdr:cNvSpPr/>
      </xdr:nvSpPr>
      <xdr:spPr>
        <a:xfrm>
          <a:off x="13403580" y="9007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493</xdr:row>
      <xdr:rowOff>0</xdr:rowOff>
    </xdr:from>
    <xdr:to>
      <xdr:col>60</xdr:col>
      <xdr:colOff>83820</xdr:colOff>
      <xdr:row>493</xdr:row>
      <xdr:rowOff>114300</xdr:rowOff>
    </xdr:to>
    <xdr:sp macro="" textlink="">
      <xdr:nvSpPr>
        <xdr:cNvPr id="3744" name="Arrow: Down 3743">
          <a:extLst>
            <a:ext uri="{FF2B5EF4-FFF2-40B4-BE49-F238E27FC236}">
              <a16:creationId xmlns:a16="http://schemas.microsoft.com/office/drawing/2014/main" id="{47A20CA7-AA77-4B6A-9551-A9D9E6A00B0D}"/>
            </a:ext>
          </a:extLst>
        </xdr:cNvPr>
        <xdr:cNvSpPr/>
      </xdr:nvSpPr>
      <xdr:spPr>
        <a:xfrm rot="10800000">
          <a:off x="19080480" y="9025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493</xdr:row>
      <xdr:rowOff>0</xdr:rowOff>
    </xdr:from>
    <xdr:to>
      <xdr:col>71</xdr:col>
      <xdr:colOff>83820</xdr:colOff>
      <xdr:row>493</xdr:row>
      <xdr:rowOff>114300</xdr:rowOff>
    </xdr:to>
    <xdr:sp macro="" textlink="">
      <xdr:nvSpPr>
        <xdr:cNvPr id="3746" name="Arrow: Down 3745">
          <a:extLst>
            <a:ext uri="{FF2B5EF4-FFF2-40B4-BE49-F238E27FC236}">
              <a16:creationId xmlns:a16="http://schemas.microsoft.com/office/drawing/2014/main" id="{DBD3AA3E-81DE-4456-9944-E971CDE8D1D2}"/>
            </a:ext>
          </a:extLst>
        </xdr:cNvPr>
        <xdr:cNvSpPr/>
      </xdr:nvSpPr>
      <xdr:spPr>
        <a:xfrm rot="10800000">
          <a:off x="21633180" y="9025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491</xdr:row>
      <xdr:rowOff>0</xdr:rowOff>
    </xdr:from>
    <xdr:to>
      <xdr:col>11</xdr:col>
      <xdr:colOff>83820</xdr:colOff>
      <xdr:row>491</xdr:row>
      <xdr:rowOff>114300</xdr:rowOff>
    </xdr:to>
    <xdr:sp macro="" textlink="">
      <xdr:nvSpPr>
        <xdr:cNvPr id="3748" name="Arrow: Down 3747">
          <a:extLst>
            <a:ext uri="{FF2B5EF4-FFF2-40B4-BE49-F238E27FC236}">
              <a16:creationId xmlns:a16="http://schemas.microsoft.com/office/drawing/2014/main" id="{9F3DFA5D-8438-47F4-96BF-E2FC437C6DBC}"/>
            </a:ext>
          </a:extLst>
        </xdr:cNvPr>
        <xdr:cNvSpPr/>
      </xdr:nvSpPr>
      <xdr:spPr>
        <a:xfrm rot="10800000">
          <a:off x="369570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492</xdr:row>
      <xdr:rowOff>0</xdr:rowOff>
    </xdr:from>
    <xdr:to>
      <xdr:col>11</xdr:col>
      <xdr:colOff>83820</xdr:colOff>
      <xdr:row>492</xdr:row>
      <xdr:rowOff>114300</xdr:rowOff>
    </xdr:to>
    <xdr:sp macro="" textlink="">
      <xdr:nvSpPr>
        <xdr:cNvPr id="3750" name="Arrow: Down 3749">
          <a:extLst>
            <a:ext uri="{FF2B5EF4-FFF2-40B4-BE49-F238E27FC236}">
              <a16:creationId xmlns:a16="http://schemas.microsoft.com/office/drawing/2014/main" id="{A9D20D00-61E4-44E3-90F5-FC404A1335FF}"/>
            </a:ext>
          </a:extLst>
        </xdr:cNvPr>
        <xdr:cNvSpPr/>
      </xdr:nvSpPr>
      <xdr:spPr>
        <a:xfrm rot="10800000">
          <a:off x="3695700" y="9007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493</xdr:row>
      <xdr:rowOff>0</xdr:rowOff>
    </xdr:from>
    <xdr:to>
      <xdr:col>5</xdr:col>
      <xdr:colOff>83820</xdr:colOff>
      <xdr:row>493</xdr:row>
      <xdr:rowOff>114300</xdr:rowOff>
    </xdr:to>
    <xdr:sp macro="" textlink="">
      <xdr:nvSpPr>
        <xdr:cNvPr id="3751" name="Arrow: Down 3750">
          <a:extLst>
            <a:ext uri="{FF2B5EF4-FFF2-40B4-BE49-F238E27FC236}">
              <a16:creationId xmlns:a16="http://schemas.microsoft.com/office/drawing/2014/main" id="{11E2550C-FEEF-4023-9205-2ACABC76C847}"/>
            </a:ext>
          </a:extLst>
        </xdr:cNvPr>
        <xdr:cNvSpPr/>
      </xdr:nvSpPr>
      <xdr:spPr>
        <a:xfrm>
          <a:off x="192786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494</xdr:row>
      <xdr:rowOff>0</xdr:rowOff>
    </xdr:from>
    <xdr:to>
      <xdr:col>11</xdr:col>
      <xdr:colOff>83820</xdr:colOff>
      <xdr:row>494</xdr:row>
      <xdr:rowOff>114300</xdr:rowOff>
    </xdr:to>
    <xdr:sp macro="" textlink="">
      <xdr:nvSpPr>
        <xdr:cNvPr id="3752" name="Arrow: Down 3751">
          <a:extLst>
            <a:ext uri="{FF2B5EF4-FFF2-40B4-BE49-F238E27FC236}">
              <a16:creationId xmlns:a16="http://schemas.microsoft.com/office/drawing/2014/main" id="{085CB1E6-0949-4918-BA8D-7BAB522BA59D}"/>
            </a:ext>
          </a:extLst>
        </xdr:cNvPr>
        <xdr:cNvSpPr/>
      </xdr:nvSpPr>
      <xdr:spPr>
        <a:xfrm>
          <a:off x="369570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494</xdr:row>
      <xdr:rowOff>0</xdr:rowOff>
    </xdr:from>
    <xdr:to>
      <xdr:col>24</xdr:col>
      <xdr:colOff>83820</xdr:colOff>
      <xdr:row>494</xdr:row>
      <xdr:rowOff>114300</xdr:rowOff>
    </xdr:to>
    <xdr:sp macro="" textlink="">
      <xdr:nvSpPr>
        <xdr:cNvPr id="3753" name="Arrow: Down 3752">
          <a:extLst>
            <a:ext uri="{FF2B5EF4-FFF2-40B4-BE49-F238E27FC236}">
              <a16:creationId xmlns:a16="http://schemas.microsoft.com/office/drawing/2014/main" id="{2EFF8081-7640-4381-9E05-819F60209B42}"/>
            </a:ext>
          </a:extLst>
        </xdr:cNvPr>
        <xdr:cNvSpPr/>
      </xdr:nvSpPr>
      <xdr:spPr>
        <a:xfrm>
          <a:off x="833628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494</xdr:row>
      <xdr:rowOff>0</xdr:rowOff>
    </xdr:from>
    <xdr:to>
      <xdr:col>5</xdr:col>
      <xdr:colOff>83820</xdr:colOff>
      <xdr:row>494</xdr:row>
      <xdr:rowOff>114300</xdr:rowOff>
    </xdr:to>
    <xdr:sp macro="" textlink="">
      <xdr:nvSpPr>
        <xdr:cNvPr id="3758" name="Arrow: Down 3757">
          <a:extLst>
            <a:ext uri="{FF2B5EF4-FFF2-40B4-BE49-F238E27FC236}">
              <a16:creationId xmlns:a16="http://schemas.microsoft.com/office/drawing/2014/main" id="{1A4D70F7-8968-4A98-8345-D9C3EBC0116F}"/>
            </a:ext>
          </a:extLst>
        </xdr:cNvPr>
        <xdr:cNvSpPr/>
      </xdr:nvSpPr>
      <xdr:spPr>
        <a:xfrm>
          <a:off x="192786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494</xdr:row>
      <xdr:rowOff>0</xdr:rowOff>
    </xdr:from>
    <xdr:to>
      <xdr:col>71</xdr:col>
      <xdr:colOff>83820</xdr:colOff>
      <xdr:row>494</xdr:row>
      <xdr:rowOff>114300</xdr:rowOff>
    </xdr:to>
    <xdr:sp macro="" textlink="">
      <xdr:nvSpPr>
        <xdr:cNvPr id="3759" name="Arrow: Down 3758">
          <a:extLst>
            <a:ext uri="{FF2B5EF4-FFF2-40B4-BE49-F238E27FC236}">
              <a16:creationId xmlns:a16="http://schemas.microsoft.com/office/drawing/2014/main" id="{F90AB740-8D59-4FA7-8123-FB1E92EAF657}"/>
            </a:ext>
          </a:extLst>
        </xdr:cNvPr>
        <xdr:cNvSpPr/>
      </xdr:nvSpPr>
      <xdr:spPr>
        <a:xfrm>
          <a:off x="216331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494</xdr:row>
      <xdr:rowOff>0</xdr:rowOff>
    </xdr:from>
    <xdr:to>
      <xdr:col>39</xdr:col>
      <xdr:colOff>83820</xdr:colOff>
      <xdr:row>494</xdr:row>
      <xdr:rowOff>114300</xdr:rowOff>
    </xdr:to>
    <xdr:sp macro="" textlink="">
      <xdr:nvSpPr>
        <xdr:cNvPr id="3761" name="Arrow: Down 3760">
          <a:extLst>
            <a:ext uri="{FF2B5EF4-FFF2-40B4-BE49-F238E27FC236}">
              <a16:creationId xmlns:a16="http://schemas.microsoft.com/office/drawing/2014/main" id="{1E25D1BB-4009-4B15-94BD-CB017A84CBA5}"/>
            </a:ext>
          </a:extLst>
        </xdr:cNvPr>
        <xdr:cNvSpPr/>
      </xdr:nvSpPr>
      <xdr:spPr>
        <a:xfrm rot="10800000">
          <a:off x="1154430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494</xdr:row>
      <xdr:rowOff>0</xdr:rowOff>
    </xdr:from>
    <xdr:to>
      <xdr:col>60</xdr:col>
      <xdr:colOff>83820</xdr:colOff>
      <xdr:row>494</xdr:row>
      <xdr:rowOff>114300</xdr:rowOff>
    </xdr:to>
    <xdr:sp macro="" textlink="">
      <xdr:nvSpPr>
        <xdr:cNvPr id="3763" name="Arrow: Down 3762">
          <a:extLst>
            <a:ext uri="{FF2B5EF4-FFF2-40B4-BE49-F238E27FC236}">
              <a16:creationId xmlns:a16="http://schemas.microsoft.com/office/drawing/2014/main" id="{50B638DE-BFBB-40AE-AD78-45E39F0426ED}"/>
            </a:ext>
          </a:extLst>
        </xdr:cNvPr>
        <xdr:cNvSpPr/>
      </xdr:nvSpPr>
      <xdr:spPr>
        <a:xfrm>
          <a:off x="190804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495</xdr:row>
      <xdr:rowOff>0</xdr:rowOff>
    </xdr:from>
    <xdr:to>
      <xdr:col>71</xdr:col>
      <xdr:colOff>83820</xdr:colOff>
      <xdr:row>495</xdr:row>
      <xdr:rowOff>114300</xdr:rowOff>
    </xdr:to>
    <xdr:sp macro="" textlink="">
      <xdr:nvSpPr>
        <xdr:cNvPr id="3767" name="Arrow: Down 3766">
          <a:extLst>
            <a:ext uri="{FF2B5EF4-FFF2-40B4-BE49-F238E27FC236}">
              <a16:creationId xmlns:a16="http://schemas.microsoft.com/office/drawing/2014/main" id="{75C5D6C2-B5D6-436A-ABB4-A2CDE30A6C59}"/>
            </a:ext>
          </a:extLst>
        </xdr:cNvPr>
        <xdr:cNvSpPr/>
      </xdr:nvSpPr>
      <xdr:spPr>
        <a:xfrm>
          <a:off x="216331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495</xdr:row>
      <xdr:rowOff>0</xdr:rowOff>
    </xdr:from>
    <xdr:to>
      <xdr:col>39</xdr:col>
      <xdr:colOff>83820</xdr:colOff>
      <xdr:row>495</xdr:row>
      <xdr:rowOff>114300</xdr:rowOff>
    </xdr:to>
    <xdr:sp macro="" textlink="">
      <xdr:nvSpPr>
        <xdr:cNvPr id="3768" name="Arrow: Down 3767">
          <a:extLst>
            <a:ext uri="{FF2B5EF4-FFF2-40B4-BE49-F238E27FC236}">
              <a16:creationId xmlns:a16="http://schemas.microsoft.com/office/drawing/2014/main" id="{DB1C7CC1-56C4-4BBE-9EC7-B1997B3A8140}"/>
            </a:ext>
          </a:extLst>
        </xdr:cNvPr>
        <xdr:cNvSpPr/>
      </xdr:nvSpPr>
      <xdr:spPr>
        <a:xfrm rot="10800000">
          <a:off x="1154430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495</xdr:row>
      <xdr:rowOff>0</xdr:rowOff>
    </xdr:from>
    <xdr:to>
      <xdr:col>45</xdr:col>
      <xdr:colOff>83820</xdr:colOff>
      <xdr:row>495</xdr:row>
      <xdr:rowOff>114300</xdr:rowOff>
    </xdr:to>
    <xdr:sp macro="" textlink="">
      <xdr:nvSpPr>
        <xdr:cNvPr id="3769" name="Arrow: Down 3768">
          <a:extLst>
            <a:ext uri="{FF2B5EF4-FFF2-40B4-BE49-F238E27FC236}">
              <a16:creationId xmlns:a16="http://schemas.microsoft.com/office/drawing/2014/main" id="{C1B2CE0C-EB42-449C-AB20-BC67CB122858}"/>
            </a:ext>
          </a:extLst>
        </xdr:cNvPr>
        <xdr:cNvSpPr/>
      </xdr:nvSpPr>
      <xdr:spPr>
        <a:xfrm rot="10800000">
          <a:off x="134035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495</xdr:row>
      <xdr:rowOff>0</xdr:rowOff>
    </xdr:from>
    <xdr:to>
      <xdr:col>60</xdr:col>
      <xdr:colOff>83820</xdr:colOff>
      <xdr:row>495</xdr:row>
      <xdr:rowOff>114300</xdr:rowOff>
    </xdr:to>
    <xdr:sp macro="" textlink="">
      <xdr:nvSpPr>
        <xdr:cNvPr id="3770" name="Arrow: Down 3769">
          <a:extLst>
            <a:ext uri="{FF2B5EF4-FFF2-40B4-BE49-F238E27FC236}">
              <a16:creationId xmlns:a16="http://schemas.microsoft.com/office/drawing/2014/main" id="{503C4AA2-8A0D-4E33-B391-9591EB6E1612}"/>
            </a:ext>
          </a:extLst>
        </xdr:cNvPr>
        <xdr:cNvSpPr/>
      </xdr:nvSpPr>
      <xdr:spPr>
        <a:xfrm>
          <a:off x="190804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497</xdr:row>
      <xdr:rowOff>0</xdr:rowOff>
    </xdr:from>
    <xdr:to>
      <xdr:col>39</xdr:col>
      <xdr:colOff>83820</xdr:colOff>
      <xdr:row>497</xdr:row>
      <xdr:rowOff>114300</xdr:rowOff>
    </xdr:to>
    <xdr:sp macro="" textlink="">
      <xdr:nvSpPr>
        <xdr:cNvPr id="3782" name="Arrow: Down 3781">
          <a:extLst>
            <a:ext uri="{FF2B5EF4-FFF2-40B4-BE49-F238E27FC236}">
              <a16:creationId xmlns:a16="http://schemas.microsoft.com/office/drawing/2014/main" id="{32FDA1A9-B2CD-4084-ACBF-6114F13AE479}"/>
            </a:ext>
          </a:extLst>
        </xdr:cNvPr>
        <xdr:cNvSpPr/>
      </xdr:nvSpPr>
      <xdr:spPr>
        <a:xfrm rot="10800000">
          <a:off x="11544300" y="9080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495</xdr:row>
      <xdr:rowOff>0</xdr:rowOff>
    </xdr:from>
    <xdr:to>
      <xdr:col>5</xdr:col>
      <xdr:colOff>83820</xdr:colOff>
      <xdr:row>495</xdr:row>
      <xdr:rowOff>114300</xdr:rowOff>
    </xdr:to>
    <xdr:sp macro="" textlink="">
      <xdr:nvSpPr>
        <xdr:cNvPr id="3785" name="Arrow: Down 3784">
          <a:extLst>
            <a:ext uri="{FF2B5EF4-FFF2-40B4-BE49-F238E27FC236}">
              <a16:creationId xmlns:a16="http://schemas.microsoft.com/office/drawing/2014/main" id="{5D1B9FAE-2372-4990-AC25-95DAAEA89B74}"/>
            </a:ext>
          </a:extLst>
        </xdr:cNvPr>
        <xdr:cNvSpPr/>
      </xdr:nvSpPr>
      <xdr:spPr>
        <a:xfrm rot="10800000">
          <a:off x="1927860" y="9062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495</xdr:row>
      <xdr:rowOff>0</xdr:rowOff>
    </xdr:from>
    <xdr:to>
      <xdr:col>11</xdr:col>
      <xdr:colOff>83820</xdr:colOff>
      <xdr:row>495</xdr:row>
      <xdr:rowOff>114300</xdr:rowOff>
    </xdr:to>
    <xdr:sp macro="" textlink="">
      <xdr:nvSpPr>
        <xdr:cNvPr id="3787" name="Arrow: Down 3786">
          <a:extLst>
            <a:ext uri="{FF2B5EF4-FFF2-40B4-BE49-F238E27FC236}">
              <a16:creationId xmlns:a16="http://schemas.microsoft.com/office/drawing/2014/main" id="{56B1C970-96C0-48EE-AC54-2ECC0200759F}"/>
            </a:ext>
          </a:extLst>
        </xdr:cNvPr>
        <xdr:cNvSpPr/>
      </xdr:nvSpPr>
      <xdr:spPr>
        <a:xfrm rot="10800000">
          <a:off x="3695700" y="9062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496</xdr:row>
      <xdr:rowOff>0</xdr:rowOff>
    </xdr:from>
    <xdr:to>
      <xdr:col>5</xdr:col>
      <xdr:colOff>83820</xdr:colOff>
      <xdr:row>496</xdr:row>
      <xdr:rowOff>114300</xdr:rowOff>
    </xdr:to>
    <xdr:sp macro="" textlink="">
      <xdr:nvSpPr>
        <xdr:cNvPr id="3788" name="Arrow: Down 3787">
          <a:extLst>
            <a:ext uri="{FF2B5EF4-FFF2-40B4-BE49-F238E27FC236}">
              <a16:creationId xmlns:a16="http://schemas.microsoft.com/office/drawing/2014/main" id="{4635D51E-91AC-4DF5-8A27-A032ECBB5DA3}"/>
            </a:ext>
          </a:extLst>
        </xdr:cNvPr>
        <xdr:cNvSpPr/>
      </xdr:nvSpPr>
      <xdr:spPr>
        <a:xfrm rot="10800000">
          <a:off x="192786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496</xdr:row>
      <xdr:rowOff>0</xdr:rowOff>
    </xdr:from>
    <xdr:to>
      <xdr:col>11</xdr:col>
      <xdr:colOff>83820</xdr:colOff>
      <xdr:row>496</xdr:row>
      <xdr:rowOff>114300</xdr:rowOff>
    </xdr:to>
    <xdr:sp macro="" textlink="">
      <xdr:nvSpPr>
        <xdr:cNvPr id="3789" name="Arrow: Down 3788">
          <a:extLst>
            <a:ext uri="{FF2B5EF4-FFF2-40B4-BE49-F238E27FC236}">
              <a16:creationId xmlns:a16="http://schemas.microsoft.com/office/drawing/2014/main" id="{2F5FE8DF-3184-4B4D-958B-C3F05411DCAD}"/>
            </a:ext>
          </a:extLst>
        </xdr:cNvPr>
        <xdr:cNvSpPr/>
      </xdr:nvSpPr>
      <xdr:spPr>
        <a:xfrm rot="10800000">
          <a:off x="369570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497</xdr:row>
      <xdr:rowOff>0</xdr:rowOff>
    </xdr:from>
    <xdr:to>
      <xdr:col>5</xdr:col>
      <xdr:colOff>83820</xdr:colOff>
      <xdr:row>497</xdr:row>
      <xdr:rowOff>114300</xdr:rowOff>
    </xdr:to>
    <xdr:sp macro="" textlink="">
      <xdr:nvSpPr>
        <xdr:cNvPr id="3790" name="Arrow: Down 3789">
          <a:extLst>
            <a:ext uri="{FF2B5EF4-FFF2-40B4-BE49-F238E27FC236}">
              <a16:creationId xmlns:a16="http://schemas.microsoft.com/office/drawing/2014/main" id="{56D9E1A8-4E99-4AD0-82B6-246E52930E6E}"/>
            </a:ext>
          </a:extLst>
        </xdr:cNvPr>
        <xdr:cNvSpPr/>
      </xdr:nvSpPr>
      <xdr:spPr>
        <a:xfrm rot="10800000">
          <a:off x="192786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497</xdr:row>
      <xdr:rowOff>0</xdr:rowOff>
    </xdr:from>
    <xdr:to>
      <xdr:col>11</xdr:col>
      <xdr:colOff>83820</xdr:colOff>
      <xdr:row>497</xdr:row>
      <xdr:rowOff>114300</xdr:rowOff>
    </xdr:to>
    <xdr:sp macro="" textlink="">
      <xdr:nvSpPr>
        <xdr:cNvPr id="3792" name="Arrow: Down 3791">
          <a:extLst>
            <a:ext uri="{FF2B5EF4-FFF2-40B4-BE49-F238E27FC236}">
              <a16:creationId xmlns:a16="http://schemas.microsoft.com/office/drawing/2014/main" id="{D2215BB8-382E-4A6D-9DA0-AB77743FA296}"/>
            </a:ext>
          </a:extLst>
        </xdr:cNvPr>
        <xdr:cNvSpPr/>
      </xdr:nvSpPr>
      <xdr:spPr>
        <a:xfrm rot="10800000">
          <a:off x="369570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495</xdr:row>
      <xdr:rowOff>0</xdr:rowOff>
    </xdr:from>
    <xdr:to>
      <xdr:col>24</xdr:col>
      <xdr:colOff>83820</xdr:colOff>
      <xdr:row>495</xdr:row>
      <xdr:rowOff>114300</xdr:rowOff>
    </xdr:to>
    <xdr:sp macro="" textlink="">
      <xdr:nvSpPr>
        <xdr:cNvPr id="3793" name="Arrow: Down 3792">
          <a:extLst>
            <a:ext uri="{FF2B5EF4-FFF2-40B4-BE49-F238E27FC236}">
              <a16:creationId xmlns:a16="http://schemas.microsoft.com/office/drawing/2014/main" id="{4222F034-99FA-4BAA-B281-35753F99B236}"/>
            </a:ext>
          </a:extLst>
        </xdr:cNvPr>
        <xdr:cNvSpPr/>
      </xdr:nvSpPr>
      <xdr:spPr>
        <a:xfrm rot="10800000">
          <a:off x="8336280" y="9062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496</xdr:row>
      <xdr:rowOff>0</xdr:rowOff>
    </xdr:from>
    <xdr:to>
      <xdr:col>24</xdr:col>
      <xdr:colOff>83820</xdr:colOff>
      <xdr:row>496</xdr:row>
      <xdr:rowOff>114300</xdr:rowOff>
    </xdr:to>
    <xdr:sp macro="" textlink="">
      <xdr:nvSpPr>
        <xdr:cNvPr id="3794" name="Arrow: Down 3793">
          <a:extLst>
            <a:ext uri="{FF2B5EF4-FFF2-40B4-BE49-F238E27FC236}">
              <a16:creationId xmlns:a16="http://schemas.microsoft.com/office/drawing/2014/main" id="{94E0A9EE-96AB-4105-B922-4EDC20FD3209}"/>
            </a:ext>
          </a:extLst>
        </xdr:cNvPr>
        <xdr:cNvSpPr/>
      </xdr:nvSpPr>
      <xdr:spPr>
        <a:xfrm rot="10800000">
          <a:off x="83362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497</xdr:row>
      <xdr:rowOff>0</xdr:rowOff>
    </xdr:from>
    <xdr:to>
      <xdr:col>24</xdr:col>
      <xdr:colOff>83820</xdr:colOff>
      <xdr:row>497</xdr:row>
      <xdr:rowOff>114300</xdr:rowOff>
    </xdr:to>
    <xdr:sp macro="" textlink="">
      <xdr:nvSpPr>
        <xdr:cNvPr id="3795" name="Arrow: Down 3794">
          <a:extLst>
            <a:ext uri="{FF2B5EF4-FFF2-40B4-BE49-F238E27FC236}">
              <a16:creationId xmlns:a16="http://schemas.microsoft.com/office/drawing/2014/main" id="{49A262E3-35D0-44BD-9856-212C17DD66B5}"/>
            </a:ext>
          </a:extLst>
        </xdr:cNvPr>
        <xdr:cNvSpPr/>
      </xdr:nvSpPr>
      <xdr:spPr>
        <a:xfrm rot="10800000">
          <a:off x="83362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496</xdr:row>
      <xdr:rowOff>0</xdr:rowOff>
    </xdr:from>
    <xdr:to>
      <xdr:col>39</xdr:col>
      <xdr:colOff>83820</xdr:colOff>
      <xdr:row>496</xdr:row>
      <xdr:rowOff>114300</xdr:rowOff>
    </xdr:to>
    <xdr:sp macro="" textlink="">
      <xdr:nvSpPr>
        <xdr:cNvPr id="3796" name="Arrow: Down 3795">
          <a:extLst>
            <a:ext uri="{FF2B5EF4-FFF2-40B4-BE49-F238E27FC236}">
              <a16:creationId xmlns:a16="http://schemas.microsoft.com/office/drawing/2014/main" id="{59B9CE03-5BE9-4D51-8E72-2122D8DBA095}"/>
            </a:ext>
          </a:extLst>
        </xdr:cNvPr>
        <xdr:cNvSpPr/>
      </xdr:nvSpPr>
      <xdr:spPr>
        <a:xfrm>
          <a:off x="1154430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494</xdr:row>
      <xdr:rowOff>0</xdr:rowOff>
    </xdr:from>
    <xdr:to>
      <xdr:col>45</xdr:col>
      <xdr:colOff>83820</xdr:colOff>
      <xdr:row>494</xdr:row>
      <xdr:rowOff>114300</xdr:rowOff>
    </xdr:to>
    <xdr:sp macro="" textlink="">
      <xdr:nvSpPr>
        <xdr:cNvPr id="3797" name="Arrow: Down 3796">
          <a:extLst>
            <a:ext uri="{FF2B5EF4-FFF2-40B4-BE49-F238E27FC236}">
              <a16:creationId xmlns:a16="http://schemas.microsoft.com/office/drawing/2014/main" id="{2FBCA5DA-92F5-4CD0-9ECD-AB25CFF6A181}"/>
            </a:ext>
          </a:extLst>
        </xdr:cNvPr>
        <xdr:cNvSpPr/>
      </xdr:nvSpPr>
      <xdr:spPr>
        <a:xfrm>
          <a:off x="13403580" y="9044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496</xdr:row>
      <xdr:rowOff>0</xdr:rowOff>
    </xdr:from>
    <xdr:to>
      <xdr:col>45</xdr:col>
      <xdr:colOff>83820</xdr:colOff>
      <xdr:row>496</xdr:row>
      <xdr:rowOff>114300</xdr:rowOff>
    </xdr:to>
    <xdr:sp macro="" textlink="">
      <xdr:nvSpPr>
        <xdr:cNvPr id="3798" name="Arrow: Down 3797">
          <a:extLst>
            <a:ext uri="{FF2B5EF4-FFF2-40B4-BE49-F238E27FC236}">
              <a16:creationId xmlns:a16="http://schemas.microsoft.com/office/drawing/2014/main" id="{25612134-8DFF-447B-87D6-702CD05FFAD9}"/>
            </a:ext>
          </a:extLst>
        </xdr:cNvPr>
        <xdr:cNvSpPr/>
      </xdr:nvSpPr>
      <xdr:spPr>
        <a:xfrm>
          <a:off x="134035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497</xdr:row>
      <xdr:rowOff>0</xdr:rowOff>
    </xdr:from>
    <xdr:to>
      <xdr:col>45</xdr:col>
      <xdr:colOff>83820</xdr:colOff>
      <xdr:row>497</xdr:row>
      <xdr:rowOff>114300</xdr:rowOff>
    </xdr:to>
    <xdr:sp macro="" textlink="">
      <xdr:nvSpPr>
        <xdr:cNvPr id="3799" name="Arrow: Down 3798">
          <a:extLst>
            <a:ext uri="{FF2B5EF4-FFF2-40B4-BE49-F238E27FC236}">
              <a16:creationId xmlns:a16="http://schemas.microsoft.com/office/drawing/2014/main" id="{560DB7B4-E8C7-450E-B36E-815A03BF1AF3}"/>
            </a:ext>
          </a:extLst>
        </xdr:cNvPr>
        <xdr:cNvSpPr/>
      </xdr:nvSpPr>
      <xdr:spPr>
        <a:xfrm>
          <a:off x="134035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497</xdr:row>
      <xdr:rowOff>0</xdr:rowOff>
    </xdr:from>
    <xdr:to>
      <xdr:col>60</xdr:col>
      <xdr:colOff>83820</xdr:colOff>
      <xdr:row>497</xdr:row>
      <xdr:rowOff>114300</xdr:rowOff>
    </xdr:to>
    <xdr:sp macro="" textlink="">
      <xdr:nvSpPr>
        <xdr:cNvPr id="3800" name="Arrow: Down 3799">
          <a:extLst>
            <a:ext uri="{FF2B5EF4-FFF2-40B4-BE49-F238E27FC236}">
              <a16:creationId xmlns:a16="http://schemas.microsoft.com/office/drawing/2014/main" id="{DB8AC3EA-0086-44E3-B4D8-29A688133D85}"/>
            </a:ext>
          </a:extLst>
        </xdr:cNvPr>
        <xdr:cNvSpPr/>
      </xdr:nvSpPr>
      <xdr:spPr>
        <a:xfrm rot="10800000">
          <a:off x="190804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496</xdr:row>
      <xdr:rowOff>0</xdr:rowOff>
    </xdr:from>
    <xdr:to>
      <xdr:col>60</xdr:col>
      <xdr:colOff>83820</xdr:colOff>
      <xdr:row>496</xdr:row>
      <xdr:rowOff>114300</xdr:rowOff>
    </xdr:to>
    <xdr:sp macro="" textlink="">
      <xdr:nvSpPr>
        <xdr:cNvPr id="3802" name="Arrow: Down 3801">
          <a:extLst>
            <a:ext uri="{FF2B5EF4-FFF2-40B4-BE49-F238E27FC236}">
              <a16:creationId xmlns:a16="http://schemas.microsoft.com/office/drawing/2014/main" id="{5E4244D0-1815-4D8F-AA28-0055170FD68A}"/>
            </a:ext>
          </a:extLst>
        </xdr:cNvPr>
        <xdr:cNvSpPr/>
      </xdr:nvSpPr>
      <xdr:spPr>
        <a:xfrm rot="10800000">
          <a:off x="190804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497</xdr:row>
      <xdr:rowOff>0</xdr:rowOff>
    </xdr:from>
    <xdr:to>
      <xdr:col>71</xdr:col>
      <xdr:colOff>83820</xdr:colOff>
      <xdr:row>497</xdr:row>
      <xdr:rowOff>114300</xdr:rowOff>
    </xdr:to>
    <xdr:sp macro="" textlink="">
      <xdr:nvSpPr>
        <xdr:cNvPr id="3803" name="Arrow: Down 3802">
          <a:extLst>
            <a:ext uri="{FF2B5EF4-FFF2-40B4-BE49-F238E27FC236}">
              <a16:creationId xmlns:a16="http://schemas.microsoft.com/office/drawing/2014/main" id="{EAF8C33F-84B3-445D-BD71-31336D62A3E1}"/>
            </a:ext>
          </a:extLst>
        </xdr:cNvPr>
        <xdr:cNvSpPr/>
      </xdr:nvSpPr>
      <xdr:spPr>
        <a:xfrm rot="10800000">
          <a:off x="216331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496</xdr:row>
      <xdr:rowOff>0</xdr:rowOff>
    </xdr:from>
    <xdr:to>
      <xdr:col>71</xdr:col>
      <xdr:colOff>83820</xdr:colOff>
      <xdr:row>496</xdr:row>
      <xdr:rowOff>114300</xdr:rowOff>
    </xdr:to>
    <xdr:sp macro="" textlink="">
      <xdr:nvSpPr>
        <xdr:cNvPr id="3805" name="Arrow: Down 3804">
          <a:extLst>
            <a:ext uri="{FF2B5EF4-FFF2-40B4-BE49-F238E27FC236}">
              <a16:creationId xmlns:a16="http://schemas.microsoft.com/office/drawing/2014/main" id="{ACB65F93-5B79-4758-85D8-E56768F249C4}"/>
            </a:ext>
          </a:extLst>
        </xdr:cNvPr>
        <xdr:cNvSpPr/>
      </xdr:nvSpPr>
      <xdr:spPr>
        <a:xfrm rot="10800000">
          <a:off x="216331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498</xdr:row>
      <xdr:rowOff>0</xdr:rowOff>
    </xdr:from>
    <xdr:to>
      <xdr:col>5</xdr:col>
      <xdr:colOff>83820</xdr:colOff>
      <xdr:row>498</xdr:row>
      <xdr:rowOff>114300</xdr:rowOff>
    </xdr:to>
    <xdr:sp macro="" textlink="">
      <xdr:nvSpPr>
        <xdr:cNvPr id="3807" name="Arrow: Down 3806">
          <a:extLst>
            <a:ext uri="{FF2B5EF4-FFF2-40B4-BE49-F238E27FC236}">
              <a16:creationId xmlns:a16="http://schemas.microsoft.com/office/drawing/2014/main" id="{A7C86C41-FD1A-4A66-A598-D918F0D2DBCA}"/>
            </a:ext>
          </a:extLst>
        </xdr:cNvPr>
        <xdr:cNvSpPr/>
      </xdr:nvSpPr>
      <xdr:spPr>
        <a:xfrm rot="10800000">
          <a:off x="192786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498</xdr:row>
      <xdr:rowOff>0</xdr:rowOff>
    </xdr:from>
    <xdr:to>
      <xdr:col>11</xdr:col>
      <xdr:colOff>83820</xdr:colOff>
      <xdr:row>498</xdr:row>
      <xdr:rowOff>114300</xdr:rowOff>
    </xdr:to>
    <xdr:sp macro="" textlink="">
      <xdr:nvSpPr>
        <xdr:cNvPr id="3808" name="Arrow: Down 3807">
          <a:extLst>
            <a:ext uri="{FF2B5EF4-FFF2-40B4-BE49-F238E27FC236}">
              <a16:creationId xmlns:a16="http://schemas.microsoft.com/office/drawing/2014/main" id="{AAF2D148-60BD-4151-9534-458D2B97533C}"/>
            </a:ext>
          </a:extLst>
        </xdr:cNvPr>
        <xdr:cNvSpPr/>
      </xdr:nvSpPr>
      <xdr:spPr>
        <a:xfrm rot="10800000">
          <a:off x="369570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498</xdr:row>
      <xdr:rowOff>0</xdr:rowOff>
    </xdr:from>
    <xdr:to>
      <xdr:col>45</xdr:col>
      <xdr:colOff>83820</xdr:colOff>
      <xdr:row>498</xdr:row>
      <xdr:rowOff>114300</xdr:rowOff>
    </xdr:to>
    <xdr:sp macro="" textlink="">
      <xdr:nvSpPr>
        <xdr:cNvPr id="3810" name="Arrow: Down 3809">
          <a:extLst>
            <a:ext uri="{FF2B5EF4-FFF2-40B4-BE49-F238E27FC236}">
              <a16:creationId xmlns:a16="http://schemas.microsoft.com/office/drawing/2014/main" id="{501541AB-7907-4D4F-ABD8-4659B2E4A6B4}"/>
            </a:ext>
          </a:extLst>
        </xdr:cNvPr>
        <xdr:cNvSpPr/>
      </xdr:nvSpPr>
      <xdr:spPr>
        <a:xfrm>
          <a:off x="134035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498</xdr:row>
      <xdr:rowOff>0</xdr:rowOff>
    </xdr:from>
    <xdr:to>
      <xdr:col>71</xdr:col>
      <xdr:colOff>83820</xdr:colOff>
      <xdr:row>498</xdr:row>
      <xdr:rowOff>114300</xdr:rowOff>
    </xdr:to>
    <xdr:sp macro="" textlink="">
      <xdr:nvSpPr>
        <xdr:cNvPr id="3812" name="Arrow: Down 3811">
          <a:extLst>
            <a:ext uri="{FF2B5EF4-FFF2-40B4-BE49-F238E27FC236}">
              <a16:creationId xmlns:a16="http://schemas.microsoft.com/office/drawing/2014/main" id="{116C65F8-9AE8-43DE-9048-6955A539E7D6}"/>
            </a:ext>
          </a:extLst>
        </xdr:cNvPr>
        <xdr:cNvSpPr/>
      </xdr:nvSpPr>
      <xdr:spPr>
        <a:xfrm rot="10800000">
          <a:off x="216331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498</xdr:row>
      <xdr:rowOff>0</xdr:rowOff>
    </xdr:from>
    <xdr:to>
      <xdr:col>24</xdr:col>
      <xdr:colOff>83820</xdr:colOff>
      <xdr:row>498</xdr:row>
      <xdr:rowOff>114300</xdr:rowOff>
    </xdr:to>
    <xdr:sp macro="" textlink="">
      <xdr:nvSpPr>
        <xdr:cNvPr id="3813" name="Arrow: Down 3812">
          <a:extLst>
            <a:ext uri="{FF2B5EF4-FFF2-40B4-BE49-F238E27FC236}">
              <a16:creationId xmlns:a16="http://schemas.microsoft.com/office/drawing/2014/main" id="{3842D30B-9C9B-4EE4-916B-829C56A8EA54}"/>
            </a:ext>
          </a:extLst>
        </xdr:cNvPr>
        <xdr:cNvSpPr/>
      </xdr:nvSpPr>
      <xdr:spPr>
        <a:xfrm>
          <a:off x="8336280" y="9117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498</xdr:row>
      <xdr:rowOff>0</xdr:rowOff>
    </xdr:from>
    <xdr:to>
      <xdr:col>39</xdr:col>
      <xdr:colOff>83820</xdr:colOff>
      <xdr:row>498</xdr:row>
      <xdr:rowOff>114300</xdr:rowOff>
    </xdr:to>
    <xdr:sp macro="" textlink="">
      <xdr:nvSpPr>
        <xdr:cNvPr id="3814" name="Arrow: Down 3813">
          <a:extLst>
            <a:ext uri="{FF2B5EF4-FFF2-40B4-BE49-F238E27FC236}">
              <a16:creationId xmlns:a16="http://schemas.microsoft.com/office/drawing/2014/main" id="{9DBB91CA-D593-433A-9423-24DCFF248D7B}"/>
            </a:ext>
          </a:extLst>
        </xdr:cNvPr>
        <xdr:cNvSpPr/>
      </xdr:nvSpPr>
      <xdr:spPr>
        <a:xfrm>
          <a:off x="1154430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498</xdr:row>
      <xdr:rowOff>0</xdr:rowOff>
    </xdr:from>
    <xdr:to>
      <xdr:col>60</xdr:col>
      <xdr:colOff>83820</xdr:colOff>
      <xdr:row>498</xdr:row>
      <xdr:rowOff>114300</xdr:rowOff>
    </xdr:to>
    <xdr:sp macro="" textlink="">
      <xdr:nvSpPr>
        <xdr:cNvPr id="3816" name="Arrow: Down 3815">
          <a:extLst>
            <a:ext uri="{FF2B5EF4-FFF2-40B4-BE49-F238E27FC236}">
              <a16:creationId xmlns:a16="http://schemas.microsoft.com/office/drawing/2014/main" id="{71E2B152-BD33-480C-9ED4-725707443FF8}"/>
            </a:ext>
          </a:extLst>
        </xdr:cNvPr>
        <xdr:cNvSpPr/>
      </xdr:nvSpPr>
      <xdr:spPr>
        <a:xfrm>
          <a:off x="19080480" y="9117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499</xdr:row>
      <xdr:rowOff>0</xdr:rowOff>
    </xdr:from>
    <xdr:to>
      <xdr:col>5</xdr:col>
      <xdr:colOff>83820</xdr:colOff>
      <xdr:row>499</xdr:row>
      <xdr:rowOff>114300</xdr:rowOff>
    </xdr:to>
    <xdr:sp macro="" textlink="">
      <xdr:nvSpPr>
        <xdr:cNvPr id="3824" name="Arrow: Down 3823">
          <a:extLst>
            <a:ext uri="{FF2B5EF4-FFF2-40B4-BE49-F238E27FC236}">
              <a16:creationId xmlns:a16="http://schemas.microsoft.com/office/drawing/2014/main" id="{A7D24ECF-49BC-4E7D-9AED-2C783C4DB717}"/>
            </a:ext>
          </a:extLst>
        </xdr:cNvPr>
        <xdr:cNvSpPr/>
      </xdr:nvSpPr>
      <xdr:spPr>
        <a:xfrm rot="10800000">
          <a:off x="192786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499</xdr:row>
      <xdr:rowOff>0</xdr:rowOff>
    </xdr:from>
    <xdr:to>
      <xdr:col>11</xdr:col>
      <xdr:colOff>83820</xdr:colOff>
      <xdr:row>499</xdr:row>
      <xdr:rowOff>114300</xdr:rowOff>
    </xdr:to>
    <xdr:sp macro="" textlink="">
      <xdr:nvSpPr>
        <xdr:cNvPr id="3825" name="Arrow: Down 3824">
          <a:extLst>
            <a:ext uri="{FF2B5EF4-FFF2-40B4-BE49-F238E27FC236}">
              <a16:creationId xmlns:a16="http://schemas.microsoft.com/office/drawing/2014/main" id="{9BC93DA8-F14E-4909-925C-A21BB5032788}"/>
            </a:ext>
          </a:extLst>
        </xdr:cNvPr>
        <xdr:cNvSpPr/>
      </xdr:nvSpPr>
      <xdr:spPr>
        <a:xfrm rot="10800000">
          <a:off x="369570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499</xdr:row>
      <xdr:rowOff>0</xdr:rowOff>
    </xdr:from>
    <xdr:to>
      <xdr:col>45</xdr:col>
      <xdr:colOff>83820</xdr:colOff>
      <xdr:row>499</xdr:row>
      <xdr:rowOff>114300</xdr:rowOff>
    </xdr:to>
    <xdr:sp macro="" textlink="">
      <xdr:nvSpPr>
        <xdr:cNvPr id="3826" name="Arrow: Down 3825">
          <a:extLst>
            <a:ext uri="{FF2B5EF4-FFF2-40B4-BE49-F238E27FC236}">
              <a16:creationId xmlns:a16="http://schemas.microsoft.com/office/drawing/2014/main" id="{6A389DDA-DC21-4A16-9374-7F7696EDA8DF}"/>
            </a:ext>
          </a:extLst>
        </xdr:cNvPr>
        <xdr:cNvSpPr/>
      </xdr:nvSpPr>
      <xdr:spPr>
        <a:xfrm>
          <a:off x="1340358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499</xdr:row>
      <xdr:rowOff>0</xdr:rowOff>
    </xdr:from>
    <xdr:to>
      <xdr:col>71</xdr:col>
      <xdr:colOff>83820</xdr:colOff>
      <xdr:row>499</xdr:row>
      <xdr:rowOff>114300</xdr:rowOff>
    </xdr:to>
    <xdr:sp macro="" textlink="">
      <xdr:nvSpPr>
        <xdr:cNvPr id="3827" name="Arrow: Down 3826">
          <a:extLst>
            <a:ext uri="{FF2B5EF4-FFF2-40B4-BE49-F238E27FC236}">
              <a16:creationId xmlns:a16="http://schemas.microsoft.com/office/drawing/2014/main" id="{B3CF9090-1FB7-4B31-B183-19280EED6809}"/>
            </a:ext>
          </a:extLst>
        </xdr:cNvPr>
        <xdr:cNvSpPr/>
      </xdr:nvSpPr>
      <xdr:spPr>
        <a:xfrm rot="10800000">
          <a:off x="2163318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499</xdr:row>
      <xdr:rowOff>0</xdr:rowOff>
    </xdr:from>
    <xdr:to>
      <xdr:col>39</xdr:col>
      <xdr:colOff>83820</xdr:colOff>
      <xdr:row>499</xdr:row>
      <xdr:rowOff>114300</xdr:rowOff>
    </xdr:to>
    <xdr:sp macro="" textlink="">
      <xdr:nvSpPr>
        <xdr:cNvPr id="3829" name="Arrow: Down 3828">
          <a:extLst>
            <a:ext uri="{FF2B5EF4-FFF2-40B4-BE49-F238E27FC236}">
              <a16:creationId xmlns:a16="http://schemas.microsoft.com/office/drawing/2014/main" id="{4B9C42C8-F184-4DFC-944D-28EF9E2CA80E}"/>
            </a:ext>
          </a:extLst>
        </xdr:cNvPr>
        <xdr:cNvSpPr/>
      </xdr:nvSpPr>
      <xdr:spPr>
        <a:xfrm>
          <a:off x="1154430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499</xdr:row>
      <xdr:rowOff>0</xdr:rowOff>
    </xdr:from>
    <xdr:to>
      <xdr:col>60</xdr:col>
      <xdr:colOff>83820</xdr:colOff>
      <xdr:row>499</xdr:row>
      <xdr:rowOff>114300</xdr:rowOff>
    </xdr:to>
    <xdr:sp macro="" textlink="">
      <xdr:nvSpPr>
        <xdr:cNvPr id="3831" name="Arrow: Down 3830">
          <a:extLst>
            <a:ext uri="{FF2B5EF4-FFF2-40B4-BE49-F238E27FC236}">
              <a16:creationId xmlns:a16="http://schemas.microsoft.com/office/drawing/2014/main" id="{B99FAB53-5BF7-409E-AB6E-989EE34344B4}"/>
            </a:ext>
          </a:extLst>
        </xdr:cNvPr>
        <xdr:cNvSpPr/>
      </xdr:nvSpPr>
      <xdr:spPr>
        <a:xfrm rot="10800000">
          <a:off x="190804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499</xdr:row>
      <xdr:rowOff>0</xdr:rowOff>
    </xdr:from>
    <xdr:to>
      <xdr:col>24</xdr:col>
      <xdr:colOff>83820</xdr:colOff>
      <xdr:row>499</xdr:row>
      <xdr:rowOff>114300</xdr:rowOff>
    </xdr:to>
    <xdr:sp macro="" textlink="">
      <xdr:nvSpPr>
        <xdr:cNvPr id="3832" name="Arrow: Down 3831">
          <a:extLst>
            <a:ext uri="{FF2B5EF4-FFF2-40B4-BE49-F238E27FC236}">
              <a16:creationId xmlns:a16="http://schemas.microsoft.com/office/drawing/2014/main" id="{D6841296-448E-4D46-8B38-9CA268669629}"/>
            </a:ext>
          </a:extLst>
        </xdr:cNvPr>
        <xdr:cNvSpPr/>
      </xdr:nvSpPr>
      <xdr:spPr>
        <a:xfrm rot="10800000">
          <a:off x="83362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500</xdr:row>
      <xdr:rowOff>0</xdr:rowOff>
    </xdr:from>
    <xdr:to>
      <xdr:col>71</xdr:col>
      <xdr:colOff>83820</xdr:colOff>
      <xdr:row>500</xdr:row>
      <xdr:rowOff>114300</xdr:rowOff>
    </xdr:to>
    <xdr:sp macro="" textlink="">
      <xdr:nvSpPr>
        <xdr:cNvPr id="3836" name="Arrow: Down 3835">
          <a:extLst>
            <a:ext uri="{FF2B5EF4-FFF2-40B4-BE49-F238E27FC236}">
              <a16:creationId xmlns:a16="http://schemas.microsoft.com/office/drawing/2014/main" id="{0CC49CF4-3737-400C-8FB2-DBCED7EFAD1A}"/>
            </a:ext>
          </a:extLst>
        </xdr:cNvPr>
        <xdr:cNvSpPr/>
      </xdr:nvSpPr>
      <xdr:spPr>
        <a:xfrm rot="10800000">
          <a:off x="216331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500</xdr:row>
      <xdr:rowOff>0</xdr:rowOff>
    </xdr:from>
    <xdr:to>
      <xdr:col>39</xdr:col>
      <xdr:colOff>83820</xdr:colOff>
      <xdr:row>500</xdr:row>
      <xdr:rowOff>114300</xdr:rowOff>
    </xdr:to>
    <xdr:sp macro="" textlink="">
      <xdr:nvSpPr>
        <xdr:cNvPr id="3837" name="Arrow: Down 3836">
          <a:extLst>
            <a:ext uri="{FF2B5EF4-FFF2-40B4-BE49-F238E27FC236}">
              <a16:creationId xmlns:a16="http://schemas.microsoft.com/office/drawing/2014/main" id="{BA97A1F6-532F-4978-B0FA-FF4D4402DDC5}"/>
            </a:ext>
          </a:extLst>
        </xdr:cNvPr>
        <xdr:cNvSpPr/>
      </xdr:nvSpPr>
      <xdr:spPr>
        <a:xfrm>
          <a:off x="1154430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500</xdr:row>
      <xdr:rowOff>0</xdr:rowOff>
    </xdr:from>
    <xdr:to>
      <xdr:col>60</xdr:col>
      <xdr:colOff>83820</xdr:colOff>
      <xdr:row>500</xdr:row>
      <xdr:rowOff>114300</xdr:rowOff>
    </xdr:to>
    <xdr:sp macro="" textlink="">
      <xdr:nvSpPr>
        <xdr:cNvPr id="3838" name="Arrow: Down 3837">
          <a:extLst>
            <a:ext uri="{FF2B5EF4-FFF2-40B4-BE49-F238E27FC236}">
              <a16:creationId xmlns:a16="http://schemas.microsoft.com/office/drawing/2014/main" id="{C78B6A2D-4E74-4965-B7BB-6DBAAA18FEE0}"/>
            </a:ext>
          </a:extLst>
        </xdr:cNvPr>
        <xdr:cNvSpPr/>
      </xdr:nvSpPr>
      <xdr:spPr>
        <a:xfrm rot="10800000">
          <a:off x="190804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500</xdr:row>
      <xdr:rowOff>0</xdr:rowOff>
    </xdr:from>
    <xdr:to>
      <xdr:col>24</xdr:col>
      <xdr:colOff>83820</xdr:colOff>
      <xdr:row>500</xdr:row>
      <xdr:rowOff>114300</xdr:rowOff>
    </xdr:to>
    <xdr:sp macro="" textlink="">
      <xdr:nvSpPr>
        <xdr:cNvPr id="3840" name="Arrow: Down 3839">
          <a:extLst>
            <a:ext uri="{FF2B5EF4-FFF2-40B4-BE49-F238E27FC236}">
              <a16:creationId xmlns:a16="http://schemas.microsoft.com/office/drawing/2014/main" id="{065F812B-94E1-4FF8-9720-589F25FD84DD}"/>
            </a:ext>
          </a:extLst>
        </xdr:cNvPr>
        <xdr:cNvSpPr/>
      </xdr:nvSpPr>
      <xdr:spPr>
        <a:xfrm>
          <a:off x="833628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500</xdr:row>
      <xdr:rowOff>0</xdr:rowOff>
    </xdr:from>
    <xdr:to>
      <xdr:col>11</xdr:col>
      <xdr:colOff>83820</xdr:colOff>
      <xdr:row>500</xdr:row>
      <xdr:rowOff>114300</xdr:rowOff>
    </xdr:to>
    <xdr:sp macro="" textlink="">
      <xdr:nvSpPr>
        <xdr:cNvPr id="3841" name="Arrow: Down 3840">
          <a:extLst>
            <a:ext uri="{FF2B5EF4-FFF2-40B4-BE49-F238E27FC236}">
              <a16:creationId xmlns:a16="http://schemas.microsoft.com/office/drawing/2014/main" id="{A73359F2-16E8-40E3-86A4-BCFF82EA25E9}"/>
            </a:ext>
          </a:extLst>
        </xdr:cNvPr>
        <xdr:cNvSpPr/>
      </xdr:nvSpPr>
      <xdr:spPr>
        <a:xfrm>
          <a:off x="369570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500</xdr:row>
      <xdr:rowOff>0</xdr:rowOff>
    </xdr:from>
    <xdr:to>
      <xdr:col>5</xdr:col>
      <xdr:colOff>83820</xdr:colOff>
      <xdr:row>500</xdr:row>
      <xdr:rowOff>114300</xdr:rowOff>
    </xdr:to>
    <xdr:sp macro="" textlink="">
      <xdr:nvSpPr>
        <xdr:cNvPr id="3843" name="Arrow: Down 3842">
          <a:extLst>
            <a:ext uri="{FF2B5EF4-FFF2-40B4-BE49-F238E27FC236}">
              <a16:creationId xmlns:a16="http://schemas.microsoft.com/office/drawing/2014/main" id="{07647007-B587-4FF0-B402-7FEA962A89C1}"/>
            </a:ext>
          </a:extLst>
        </xdr:cNvPr>
        <xdr:cNvSpPr/>
      </xdr:nvSpPr>
      <xdr:spPr>
        <a:xfrm>
          <a:off x="192786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501</xdr:row>
      <xdr:rowOff>0</xdr:rowOff>
    </xdr:from>
    <xdr:to>
      <xdr:col>39</xdr:col>
      <xdr:colOff>83820</xdr:colOff>
      <xdr:row>501</xdr:row>
      <xdr:rowOff>114300</xdr:rowOff>
    </xdr:to>
    <xdr:sp macro="" textlink="">
      <xdr:nvSpPr>
        <xdr:cNvPr id="3846" name="Arrow: Down 3845">
          <a:extLst>
            <a:ext uri="{FF2B5EF4-FFF2-40B4-BE49-F238E27FC236}">
              <a16:creationId xmlns:a16="http://schemas.microsoft.com/office/drawing/2014/main" id="{0C86E9AD-BB67-4F3F-9821-7076D25B41FB}"/>
            </a:ext>
          </a:extLst>
        </xdr:cNvPr>
        <xdr:cNvSpPr/>
      </xdr:nvSpPr>
      <xdr:spPr>
        <a:xfrm>
          <a:off x="11544300" y="9153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501</xdr:row>
      <xdr:rowOff>0</xdr:rowOff>
    </xdr:from>
    <xdr:to>
      <xdr:col>24</xdr:col>
      <xdr:colOff>83820</xdr:colOff>
      <xdr:row>501</xdr:row>
      <xdr:rowOff>114300</xdr:rowOff>
    </xdr:to>
    <xdr:sp macro="" textlink="">
      <xdr:nvSpPr>
        <xdr:cNvPr id="3848" name="Arrow: Down 3847">
          <a:extLst>
            <a:ext uri="{FF2B5EF4-FFF2-40B4-BE49-F238E27FC236}">
              <a16:creationId xmlns:a16="http://schemas.microsoft.com/office/drawing/2014/main" id="{7E7C2D16-1FB7-44B2-B8FA-F262CD4396FC}"/>
            </a:ext>
          </a:extLst>
        </xdr:cNvPr>
        <xdr:cNvSpPr/>
      </xdr:nvSpPr>
      <xdr:spPr>
        <a:xfrm>
          <a:off x="833628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501</xdr:row>
      <xdr:rowOff>0</xdr:rowOff>
    </xdr:from>
    <xdr:to>
      <xdr:col>11</xdr:col>
      <xdr:colOff>83820</xdr:colOff>
      <xdr:row>501</xdr:row>
      <xdr:rowOff>114300</xdr:rowOff>
    </xdr:to>
    <xdr:sp macro="" textlink="">
      <xdr:nvSpPr>
        <xdr:cNvPr id="3849" name="Arrow: Down 3848">
          <a:extLst>
            <a:ext uri="{FF2B5EF4-FFF2-40B4-BE49-F238E27FC236}">
              <a16:creationId xmlns:a16="http://schemas.microsoft.com/office/drawing/2014/main" id="{CFE33308-290B-40BD-92D0-B2C6840AFD27}"/>
            </a:ext>
          </a:extLst>
        </xdr:cNvPr>
        <xdr:cNvSpPr/>
      </xdr:nvSpPr>
      <xdr:spPr>
        <a:xfrm>
          <a:off x="369570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501</xdr:row>
      <xdr:rowOff>0</xdr:rowOff>
    </xdr:from>
    <xdr:to>
      <xdr:col>5</xdr:col>
      <xdr:colOff>83820</xdr:colOff>
      <xdr:row>501</xdr:row>
      <xdr:rowOff>114300</xdr:rowOff>
    </xdr:to>
    <xdr:sp macro="" textlink="">
      <xdr:nvSpPr>
        <xdr:cNvPr id="3850" name="Arrow: Down 3849">
          <a:extLst>
            <a:ext uri="{FF2B5EF4-FFF2-40B4-BE49-F238E27FC236}">
              <a16:creationId xmlns:a16="http://schemas.microsoft.com/office/drawing/2014/main" id="{83926C1E-672A-4C8C-B33D-BE85A434F9D4}"/>
            </a:ext>
          </a:extLst>
        </xdr:cNvPr>
        <xdr:cNvSpPr/>
      </xdr:nvSpPr>
      <xdr:spPr>
        <a:xfrm>
          <a:off x="192786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500</xdr:row>
      <xdr:rowOff>0</xdr:rowOff>
    </xdr:from>
    <xdr:to>
      <xdr:col>45</xdr:col>
      <xdr:colOff>83820</xdr:colOff>
      <xdr:row>500</xdr:row>
      <xdr:rowOff>114300</xdr:rowOff>
    </xdr:to>
    <xdr:sp macro="" textlink="">
      <xdr:nvSpPr>
        <xdr:cNvPr id="3851" name="Arrow: Down 3850">
          <a:extLst>
            <a:ext uri="{FF2B5EF4-FFF2-40B4-BE49-F238E27FC236}">
              <a16:creationId xmlns:a16="http://schemas.microsoft.com/office/drawing/2014/main" id="{118523EF-8EBF-48C1-BF51-1F7A5FC8EDBA}"/>
            </a:ext>
          </a:extLst>
        </xdr:cNvPr>
        <xdr:cNvSpPr/>
      </xdr:nvSpPr>
      <xdr:spPr>
        <a:xfrm rot="10800000">
          <a:off x="1340358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501</xdr:row>
      <xdr:rowOff>0</xdr:rowOff>
    </xdr:from>
    <xdr:to>
      <xdr:col>60</xdr:col>
      <xdr:colOff>83820</xdr:colOff>
      <xdr:row>501</xdr:row>
      <xdr:rowOff>114300</xdr:rowOff>
    </xdr:to>
    <xdr:sp macro="" textlink="">
      <xdr:nvSpPr>
        <xdr:cNvPr id="3854" name="Arrow: Down 3853">
          <a:extLst>
            <a:ext uri="{FF2B5EF4-FFF2-40B4-BE49-F238E27FC236}">
              <a16:creationId xmlns:a16="http://schemas.microsoft.com/office/drawing/2014/main" id="{257939EC-B358-4A9B-8A55-44DADBFE760A}"/>
            </a:ext>
          </a:extLst>
        </xdr:cNvPr>
        <xdr:cNvSpPr/>
      </xdr:nvSpPr>
      <xdr:spPr>
        <a:xfrm>
          <a:off x="19080480" y="9172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501</xdr:row>
      <xdr:rowOff>0</xdr:rowOff>
    </xdr:from>
    <xdr:to>
      <xdr:col>71</xdr:col>
      <xdr:colOff>83820</xdr:colOff>
      <xdr:row>501</xdr:row>
      <xdr:rowOff>114300</xdr:rowOff>
    </xdr:to>
    <xdr:sp macro="" textlink="">
      <xdr:nvSpPr>
        <xdr:cNvPr id="3855" name="Arrow: Down 3854">
          <a:extLst>
            <a:ext uri="{FF2B5EF4-FFF2-40B4-BE49-F238E27FC236}">
              <a16:creationId xmlns:a16="http://schemas.microsoft.com/office/drawing/2014/main" id="{60ECAE3C-BCF3-4589-AA5D-9D42C711B461}"/>
            </a:ext>
          </a:extLst>
        </xdr:cNvPr>
        <xdr:cNvSpPr/>
      </xdr:nvSpPr>
      <xdr:spPr>
        <a:xfrm>
          <a:off x="21633180" y="9172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501</xdr:row>
      <xdr:rowOff>0</xdr:rowOff>
    </xdr:from>
    <xdr:to>
      <xdr:col>45</xdr:col>
      <xdr:colOff>83820</xdr:colOff>
      <xdr:row>501</xdr:row>
      <xdr:rowOff>114300</xdr:rowOff>
    </xdr:to>
    <xdr:sp macro="" textlink="">
      <xdr:nvSpPr>
        <xdr:cNvPr id="3857" name="Arrow: Down 3856">
          <a:extLst>
            <a:ext uri="{FF2B5EF4-FFF2-40B4-BE49-F238E27FC236}">
              <a16:creationId xmlns:a16="http://schemas.microsoft.com/office/drawing/2014/main" id="{3C889A9E-4D4D-4434-980D-C9561D8B2771}"/>
            </a:ext>
          </a:extLst>
        </xdr:cNvPr>
        <xdr:cNvSpPr/>
      </xdr:nvSpPr>
      <xdr:spPr>
        <a:xfrm>
          <a:off x="13403580" y="9172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502</xdr:row>
      <xdr:rowOff>0</xdr:rowOff>
    </xdr:from>
    <xdr:to>
      <xdr:col>71</xdr:col>
      <xdr:colOff>83820</xdr:colOff>
      <xdr:row>502</xdr:row>
      <xdr:rowOff>114300</xdr:rowOff>
    </xdr:to>
    <xdr:sp macro="" textlink="">
      <xdr:nvSpPr>
        <xdr:cNvPr id="3863" name="Arrow: Down 3862">
          <a:extLst>
            <a:ext uri="{FF2B5EF4-FFF2-40B4-BE49-F238E27FC236}">
              <a16:creationId xmlns:a16="http://schemas.microsoft.com/office/drawing/2014/main" id="{8C5BDFD9-FCF8-4AF2-B6FE-40BEA0A7DC5E}"/>
            </a:ext>
          </a:extLst>
        </xdr:cNvPr>
        <xdr:cNvSpPr/>
      </xdr:nvSpPr>
      <xdr:spPr>
        <a:xfrm>
          <a:off x="21633180" y="9172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502</xdr:row>
      <xdr:rowOff>0</xdr:rowOff>
    </xdr:from>
    <xdr:to>
      <xdr:col>45</xdr:col>
      <xdr:colOff>83820</xdr:colOff>
      <xdr:row>502</xdr:row>
      <xdr:rowOff>114300</xdr:rowOff>
    </xdr:to>
    <xdr:sp macro="" textlink="">
      <xdr:nvSpPr>
        <xdr:cNvPr id="3864" name="Arrow: Down 3863">
          <a:extLst>
            <a:ext uri="{FF2B5EF4-FFF2-40B4-BE49-F238E27FC236}">
              <a16:creationId xmlns:a16="http://schemas.microsoft.com/office/drawing/2014/main" id="{3C701EC4-13D4-4F81-B0A6-00C6FEB0A45F}"/>
            </a:ext>
          </a:extLst>
        </xdr:cNvPr>
        <xdr:cNvSpPr/>
      </xdr:nvSpPr>
      <xdr:spPr>
        <a:xfrm>
          <a:off x="13403580" y="9172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502</xdr:row>
      <xdr:rowOff>0</xdr:rowOff>
    </xdr:from>
    <xdr:to>
      <xdr:col>60</xdr:col>
      <xdr:colOff>83820</xdr:colOff>
      <xdr:row>502</xdr:row>
      <xdr:rowOff>114300</xdr:rowOff>
    </xdr:to>
    <xdr:sp macro="" textlink="">
      <xdr:nvSpPr>
        <xdr:cNvPr id="3866" name="Arrow: Down 3865">
          <a:extLst>
            <a:ext uri="{FF2B5EF4-FFF2-40B4-BE49-F238E27FC236}">
              <a16:creationId xmlns:a16="http://schemas.microsoft.com/office/drawing/2014/main" id="{CE646AAC-C477-42FC-9698-567DA1D2C1FE}"/>
            </a:ext>
          </a:extLst>
        </xdr:cNvPr>
        <xdr:cNvSpPr/>
      </xdr:nvSpPr>
      <xdr:spPr>
        <a:xfrm rot="10800000">
          <a:off x="190804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502</xdr:row>
      <xdr:rowOff>0</xdr:rowOff>
    </xdr:from>
    <xdr:to>
      <xdr:col>39</xdr:col>
      <xdr:colOff>83820</xdr:colOff>
      <xdr:row>502</xdr:row>
      <xdr:rowOff>114300</xdr:rowOff>
    </xdr:to>
    <xdr:sp macro="" textlink="">
      <xdr:nvSpPr>
        <xdr:cNvPr id="3867" name="Arrow: Down 3866">
          <a:extLst>
            <a:ext uri="{FF2B5EF4-FFF2-40B4-BE49-F238E27FC236}">
              <a16:creationId xmlns:a16="http://schemas.microsoft.com/office/drawing/2014/main" id="{22948619-876C-47FD-BEFB-2F5FD21EA613}"/>
            </a:ext>
          </a:extLst>
        </xdr:cNvPr>
        <xdr:cNvSpPr/>
      </xdr:nvSpPr>
      <xdr:spPr>
        <a:xfrm rot="10800000">
          <a:off x="11544300" y="9190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502</xdr:row>
      <xdr:rowOff>0</xdr:rowOff>
    </xdr:from>
    <xdr:to>
      <xdr:col>11</xdr:col>
      <xdr:colOff>83820</xdr:colOff>
      <xdr:row>502</xdr:row>
      <xdr:rowOff>114300</xdr:rowOff>
    </xdr:to>
    <xdr:sp macro="" textlink="">
      <xdr:nvSpPr>
        <xdr:cNvPr id="3868" name="Arrow: Down 3867">
          <a:extLst>
            <a:ext uri="{FF2B5EF4-FFF2-40B4-BE49-F238E27FC236}">
              <a16:creationId xmlns:a16="http://schemas.microsoft.com/office/drawing/2014/main" id="{7BA253AB-D6DB-4466-9C7D-97E5D5430ADE}"/>
            </a:ext>
          </a:extLst>
        </xdr:cNvPr>
        <xdr:cNvSpPr/>
      </xdr:nvSpPr>
      <xdr:spPr>
        <a:xfrm rot="10800000">
          <a:off x="369570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502</xdr:row>
      <xdr:rowOff>0</xdr:rowOff>
    </xdr:from>
    <xdr:to>
      <xdr:col>24</xdr:col>
      <xdr:colOff>83820</xdr:colOff>
      <xdr:row>502</xdr:row>
      <xdr:rowOff>114300</xdr:rowOff>
    </xdr:to>
    <xdr:sp macro="" textlink="">
      <xdr:nvSpPr>
        <xdr:cNvPr id="3870" name="Arrow: Down 3869">
          <a:extLst>
            <a:ext uri="{FF2B5EF4-FFF2-40B4-BE49-F238E27FC236}">
              <a16:creationId xmlns:a16="http://schemas.microsoft.com/office/drawing/2014/main" id="{CE50E83C-082C-4771-828E-FF05326F8980}"/>
            </a:ext>
          </a:extLst>
        </xdr:cNvPr>
        <xdr:cNvSpPr/>
      </xdr:nvSpPr>
      <xdr:spPr>
        <a:xfrm rot="10800000">
          <a:off x="83362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502</xdr:row>
      <xdr:rowOff>0</xdr:rowOff>
    </xdr:from>
    <xdr:to>
      <xdr:col>5</xdr:col>
      <xdr:colOff>83820</xdr:colOff>
      <xdr:row>502</xdr:row>
      <xdr:rowOff>114300</xdr:rowOff>
    </xdr:to>
    <xdr:sp macro="" textlink="">
      <xdr:nvSpPr>
        <xdr:cNvPr id="3871" name="Arrow: Down 3870">
          <a:extLst>
            <a:ext uri="{FF2B5EF4-FFF2-40B4-BE49-F238E27FC236}">
              <a16:creationId xmlns:a16="http://schemas.microsoft.com/office/drawing/2014/main" id="{51619980-1464-4E7B-B5A6-BF616F4123D3}"/>
            </a:ext>
          </a:extLst>
        </xdr:cNvPr>
        <xdr:cNvSpPr/>
      </xdr:nvSpPr>
      <xdr:spPr>
        <a:xfrm rot="10800000">
          <a:off x="192786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503</xdr:row>
      <xdr:rowOff>0</xdr:rowOff>
    </xdr:from>
    <xdr:to>
      <xdr:col>45</xdr:col>
      <xdr:colOff>83820</xdr:colOff>
      <xdr:row>503</xdr:row>
      <xdr:rowOff>114300</xdr:rowOff>
    </xdr:to>
    <xdr:sp macro="" textlink="">
      <xdr:nvSpPr>
        <xdr:cNvPr id="3873" name="Arrow: Down 3872">
          <a:extLst>
            <a:ext uri="{FF2B5EF4-FFF2-40B4-BE49-F238E27FC236}">
              <a16:creationId xmlns:a16="http://schemas.microsoft.com/office/drawing/2014/main" id="{25A74736-F0BE-4E6E-9FAA-52EA677355CB}"/>
            </a:ext>
          </a:extLst>
        </xdr:cNvPr>
        <xdr:cNvSpPr/>
      </xdr:nvSpPr>
      <xdr:spPr>
        <a:xfrm>
          <a:off x="134035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503</xdr:row>
      <xdr:rowOff>0</xdr:rowOff>
    </xdr:from>
    <xdr:to>
      <xdr:col>60</xdr:col>
      <xdr:colOff>83820</xdr:colOff>
      <xdr:row>503</xdr:row>
      <xdr:rowOff>114300</xdr:rowOff>
    </xdr:to>
    <xdr:sp macro="" textlink="">
      <xdr:nvSpPr>
        <xdr:cNvPr id="3874" name="Arrow: Down 3873">
          <a:extLst>
            <a:ext uri="{FF2B5EF4-FFF2-40B4-BE49-F238E27FC236}">
              <a16:creationId xmlns:a16="http://schemas.microsoft.com/office/drawing/2014/main" id="{D7F029FB-22DB-426F-A88E-DFB63225C6DC}"/>
            </a:ext>
          </a:extLst>
        </xdr:cNvPr>
        <xdr:cNvSpPr/>
      </xdr:nvSpPr>
      <xdr:spPr>
        <a:xfrm rot="10800000">
          <a:off x="190804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503</xdr:row>
      <xdr:rowOff>0</xdr:rowOff>
    </xdr:from>
    <xdr:to>
      <xdr:col>11</xdr:col>
      <xdr:colOff>83820</xdr:colOff>
      <xdr:row>503</xdr:row>
      <xdr:rowOff>114300</xdr:rowOff>
    </xdr:to>
    <xdr:sp macro="" textlink="">
      <xdr:nvSpPr>
        <xdr:cNvPr id="3876" name="Arrow: Down 3875">
          <a:extLst>
            <a:ext uri="{FF2B5EF4-FFF2-40B4-BE49-F238E27FC236}">
              <a16:creationId xmlns:a16="http://schemas.microsoft.com/office/drawing/2014/main" id="{8C5855C0-4300-4ED1-8871-FF24EC566772}"/>
            </a:ext>
          </a:extLst>
        </xdr:cNvPr>
        <xdr:cNvSpPr/>
      </xdr:nvSpPr>
      <xdr:spPr>
        <a:xfrm rot="10800000">
          <a:off x="369570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503</xdr:row>
      <xdr:rowOff>0</xdr:rowOff>
    </xdr:from>
    <xdr:to>
      <xdr:col>24</xdr:col>
      <xdr:colOff>83820</xdr:colOff>
      <xdr:row>503</xdr:row>
      <xdr:rowOff>114300</xdr:rowOff>
    </xdr:to>
    <xdr:sp macro="" textlink="">
      <xdr:nvSpPr>
        <xdr:cNvPr id="3877" name="Arrow: Down 3876">
          <a:extLst>
            <a:ext uri="{FF2B5EF4-FFF2-40B4-BE49-F238E27FC236}">
              <a16:creationId xmlns:a16="http://schemas.microsoft.com/office/drawing/2014/main" id="{E72456F4-1B83-4B91-ACA0-72123A18813B}"/>
            </a:ext>
          </a:extLst>
        </xdr:cNvPr>
        <xdr:cNvSpPr/>
      </xdr:nvSpPr>
      <xdr:spPr>
        <a:xfrm rot="10800000">
          <a:off x="83362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503</xdr:row>
      <xdr:rowOff>0</xdr:rowOff>
    </xdr:from>
    <xdr:to>
      <xdr:col>5</xdr:col>
      <xdr:colOff>83820</xdr:colOff>
      <xdr:row>503</xdr:row>
      <xdr:rowOff>114300</xdr:rowOff>
    </xdr:to>
    <xdr:sp macro="" textlink="">
      <xdr:nvSpPr>
        <xdr:cNvPr id="3878" name="Arrow: Down 3877">
          <a:extLst>
            <a:ext uri="{FF2B5EF4-FFF2-40B4-BE49-F238E27FC236}">
              <a16:creationId xmlns:a16="http://schemas.microsoft.com/office/drawing/2014/main" id="{BA50387C-A12E-46D4-AAE8-4AD3775C2C4E}"/>
            </a:ext>
          </a:extLst>
        </xdr:cNvPr>
        <xdr:cNvSpPr/>
      </xdr:nvSpPr>
      <xdr:spPr>
        <a:xfrm rot="10800000">
          <a:off x="192786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503</xdr:row>
      <xdr:rowOff>0</xdr:rowOff>
    </xdr:from>
    <xdr:to>
      <xdr:col>39</xdr:col>
      <xdr:colOff>83820</xdr:colOff>
      <xdr:row>503</xdr:row>
      <xdr:rowOff>114300</xdr:rowOff>
    </xdr:to>
    <xdr:sp macro="" textlink="">
      <xdr:nvSpPr>
        <xdr:cNvPr id="3879" name="Arrow: Down 3878">
          <a:extLst>
            <a:ext uri="{FF2B5EF4-FFF2-40B4-BE49-F238E27FC236}">
              <a16:creationId xmlns:a16="http://schemas.microsoft.com/office/drawing/2014/main" id="{6825C708-01A7-4452-A6AF-7016AEFAA949}"/>
            </a:ext>
          </a:extLst>
        </xdr:cNvPr>
        <xdr:cNvSpPr/>
      </xdr:nvSpPr>
      <xdr:spPr>
        <a:xfrm>
          <a:off x="1154430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504</xdr:row>
      <xdr:rowOff>0</xdr:rowOff>
    </xdr:from>
    <xdr:to>
      <xdr:col>45</xdr:col>
      <xdr:colOff>83820</xdr:colOff>
      <xdr:row>504</xdr:row>
      <xdr:rowOff>114300</xdr:rowOff>
    </xdr:to>
    <xdr:sp macro="" textlink="">
      <xdr:nvSpPr>
        <xdr:cNvPr id="3881" name="Arrow: Down 3880">
          <a:extLst>
            <a:ext uri="{FF2B5EF4-FFF2-40B4-BE49-F238E27FC236}">
              <a16:creationId xmlns:a16="http://schemas.microsoft.com/office/drawing/2014/main" id="{E5AD0A99-8829-4A11-8585-DEC55A6D015A}"/>
            </a:ext>
          </a:extLst>
        </xdr:cNvPr>
        <xdr:cNvSpPr/>
      </xdr:nvSpPr>
      <xdr:spPr>
        <a:xfrm>
          <a:off x="134035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504</xdr:row>
      <xdr:rowOff>0</xdr:rowOff>
    </xdr:from>
    <xdr:to>
      <xdr:col>60</xdr:col>
      <xdr:colOff>83820</xdr:colOff>
      <xdr:row>504</xdr:row>
      <xdr:rowOff>114300</xdr:rowOff>
    </xdr:to>
    <xdr:sp macro="" textlink="">
      <xdr:nvSpPr>
        <xdr:cNvPr id="3882" name="Arrow: Down 3881">
          <a:extLst>
            <a:ext uri="{FF2B5EF4-FFF2-40B4-BE49-F238E27FC236}">
              <a16:creationId xmlns:a16="http://schemas.microsoft.com/office/drawing/2014/main" id="{8F663840-EA1F-49AE-B6AE-32ED4AB9CC1B}"/>
            </a:ext>
          </a:extLst>
        </xdr:cNvPr>
        <xdr:cNvSpPr/>
      </xdr:nvSpPr>
      <xdr:spPr>
        <a:xfrm rot="10800000">
          <a:off x="190804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504</xdr:row>
      <xdr:rowOff>0</xdr:rowOff>
    </xdr:from>
    <xdr:to>
      <xdr:col>11</xdr:col>
      <xdr:colOff>83820</xdr:colOff>
      <xdr:row>504</xdr:row>
      <xdr:rowOff>114300</xdr:rowOff>
    </xdr:to>
    <xdr:sp macro="" textlink="">
      <xdr:nvSpPr>
        <xdr:cNvPr id="3883" name="Arrow: Down 3882">
          <a:extLst>
            <a:ext uri="{FF2B5EF4-FFF2-40B4-BE49-F238E27FC236}">
              <a16:creationId xmlns:a16="http://schemas.microsoft.com/office/drawing/2014/main" id="{A4AB65F5-F123-4FC6-AD9A-AC772BA843F4}"/>
            </a:ext>
          </a:extLst>
        </xdr:cNvPr>
        <xdr:cNvSpPr/>
      </xdr:nvSpPr>
      <xdr:spPr>
        <a:xfrm rot="10800000">
          <a:off x="369570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504</xdr:row>
      <xdr:rowOff>0</xdr:rowOff>
    </xdr:from>
    <xdr:to>
      <xdr:col>24</xdr:col>
      <xdr:colOff>83820</xdr:colOff>
      <xdr:row>504</xdr:row>
      <xdr:rowOff>114300</xdr:rowOff>
    </xdr:to>
    <xdr:sp macro="" textlink="">
      <xdr:nvSpPr>
        <xdr:cNvPr id="3884" name="Arrow: Down 3883">
          <a:extLst>
            <a:ext uri="{FF2B5EF4-FFF2-40B4-BE49-F238E27FC236}">
              <a16:creationId xmlns:a16="http://schemas.microsoft.com/office/drawing/2014/main" id="{862A1E1C-1A80-4B26-A371-DC7DA1740780}"/>
            </a:ext>
          </a:extLst>
        </xdr:cNvPr>
        <xdr:cNvSpPr/>
      </xdr:nvSpPr>
      <xdr:spPr>
        <a:xfrm rot="10800000">
          <a:off x="83362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504</xdr:row>
      <xdr:rowOff>0</xdr:rowOff>
    </xdr:from>
    <xdr:to>
      <xdr:col>5</xdr:col>
      <xdr:colOff>83820</xdr:colOff>
      <xdr:row>504</xdr:row>
      <xdr:rowOff>114300</xdr:rowOff>
    </xdr:to>
    <xdr:sp macro="" textlink="">
      <xdr:nvSpPr>
        <xdr:cNvPr id="3885" name="Arrow: Down 3884">
          <a:extLst>
            <a:ext uri="{FF2B5EF4-FFF2-40B4-BE49-F238E27FC236}">
              <a16:creationId xmlns:a16="http://schemas.microsoft.com/office/drawing/2014/main" id="{D6493298-BE13-41E5-8701-086BD68D5271}"/>
            </a:ext>
          </a:extLst>
        </xdr:cNvPr>
        <xdr:cNvSpPr/>
      </xdr:nvSpPr>
      <xdr:spPr>
        <a:xfrm rot="10800000">
          <a:off x="192786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504</xdr:row>
      <xdr:rowOff>0</xdr:rowOff>
    </xdr:from>
    <xdr:to>
      <xdr:col>39</xdr:col>
      <xdr:colOff>83820</xdr:colOff>
      <xdr:row>504</xdr:row>
      <xdr:rowOff>114300</xdr:rowOff>
    </xdr:to>
    <xdr:sp macro="" textlink="">
      <xdr:nvSpPr>
        <xdr:cNvPr id="3886" name="Arrow: Down 3885">
          <a:extLst>
            <a:ext uri="{FF2B5EF4-FFF2-40B4-BE49-F238E27FC236}">
              <a16:creationId xmlns:a16="http://schemas.microsoft.com/office/drawing/2014/main" id="{9771886D-E6CA-46EF-8BF2-6A52C09DA244}"/>
            </a:ext>
          </a:extLst>
        </xdr:cNvPr>
        <xdr:cNvSpPr/>
      </xdr:nvSpPr>
      <xdr:spPr>
        <a:xfrm>
          <a:off x="1154430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503</xdr:row>
      <xdr:rowOff>0</xdr:rowOff>
    </xdr:from>
    <xdr:to>
      <xdr:col>71</xdr:col>
      <xdr:colOff>83820</xdr:colOff>
      <xdr:row>503</xdr:row>
      <xdr:rowOff>114300</xdr:rowOff>
    </xdr:to>
    <xdr:sp macro="" textlink="">
      <xdr:nvSpPr>
        <xdr:cNvPr id="3887" name="Arrow: Down 3886">
          <a:extLst>
            <a:ext uri="{FF2B5EF4-FFF2-40B4-BE49-F238E27FC236}">
              <a16:creationId xmlns:a16="http://schemas.microsoft.com/office/drawing/2014/main" id="{37C1E501-1B87-4BB8-A2A5-21AFA450B2C6}"/>
            </a:ext>
          </a:extLst>
        </xdr:cNvPr>
        <xdr:cNvSpPr/>
      </xdr:nvSpPr>
      <xdr:spPr>
        <a:xfrm rot="10800000">
          <a:off x="216331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504</xdr:row>
      <xdr:rowOff>0</xdr:rowOff>
    </xdr:from>
    <xdr:to>
      <xdr:col>71</xdr:col>
      <xdr:colOff>83820</xdr:colOff>
      <xdr:row>504</xdr:row>
      <xdr:rowOff>114300</xdr:rowOff>
    </xdr:to>
    <xdr:sp macro="" textlink="">
      <xdr:nvSpPr>
        <xdr:cNvPr id="3888" name="Arrow: Down 3887">
          <a:extLst>
            <a:ext uri="{FF2B5EF4-FFF2-40B4-BE49-F238E27FC236}">
              <a16:creationId xmlns:a16="http://schemas.microsoft.com/office/drawing/2014/main" id="{0F0E4666-7653-4EF7-B240-6879C285ECFE}"/>
            </a:ext>
          </a:extLst>
        </xdr:cNvPr>
        <xdr:cNvSpPr/>
      </xdr:nvSpPr>
      <xdr:spPr>
        <a:xfrm rot="10800000">
          <a:off x="216331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505</xdr:row>
      <xdr:rowOff>0</xdr:rowOff>
    </xdr:from>
    <xdr:to>
      <xdr:col>45</xdr:col>
      <xdr:colOff>83820</xdr:colOff>
      <xdr:row>505</xdr:row>
      <xdr:rowOff>114300</xdr:rowOff>
    </xdr:to>
    <xdr:sp macro="" textlink="">
      <xdr:nvSpPr>
        <xdr:cNvPr id="3896" name="Arrow: Down 3895">
          <a:extLst>
            <a:ext uri="{FF2B5EF4-FFF2-40B4-BE49-F238E27FC236}">
              <a16:creationId xmlns:a16="http://schemas.microsoft.com/office/drawing/2014/main" id="{97088C7B-C404-4B0B-8B96-0DD6105B54BF}"/>
            </a:ext>
          </a:extLst>
        </xdr:cNvPr>
        <xdr:cNvSpPr/>
      </xdr:nvSpPr>
      <xdr:spPr>
        <a:xfrm>
          <a:off x="134035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505</xdr:row>
      <xdr:rowOff>0</xdr:rowOff>
    </xdr:from>
    <xdr:to>
      <xdr:col>11</xdr:col>
      <xdr:colOff>83820</xdr:colOff>
      <xdr:row>505</xdr:row>
      <xdr:rowOff>114300</xdr:rowOff>
    </xdr:to>
    <xdr:sp macro="" textlink="">
      <xdr:nvSpPr>
        <xdr:cNvPr id="3898" name="Arrow: Down 3897">
          <a:extLst>
            <a:ext uri="{FF2B5EF4-FFF2-40B4-BE49-F238E27FC236}">
              <a16:creationId xmlns:a16="http://schemas.microsoft.com/office/drawing/2014/main" id="{E6698A16-288A-460D-AA40-A7B64247AB69}"/>
            </a:ext>
          </a:extLst>
        </xdr:cNvPr>
        <xdr:cNvSpPr/>
      </xdr:nvSpPr>
      <xdr:spPr>
        <a:xfrm rot="10800000">
          <a:off x="369570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505</xdr:row>
      <xdr:rowOff>0</xdr:rowOff>
    </xdr:from>
    <xdr:to>
      <xdr:col>24</xdr:col>
      <xdr:colOff>83820</xdr:colOff>
      <xdr:row>505</xdr:row>
      <xdr:rowOff>114300</xdr:rowOff>
    </xdr:to>
    <xdr:sp macro="" textlink="">
      <xdr:nvSpPr>
        <xdr:cNvPr id="3899" name="Arrow: Down 3898">
          <a:extLst>
            <a:ext uri="{FF2B5EF4-FFF2-40B4-BE49-F238E27FC236}">
              <a16:creationId xmlns:a16="http://schemas.microsoft.com/office/drawing/2014/main" id="{4930FD20-4FC3-4790-AD77-1C7850C6CA12}"/>
            </a:ext>
          </a:extLst>
        </xdr:cNvPr>
        <xdr:cNvSpPr/>
      </xdr:nvSpPr>
      <xdr:spPr>
        <a:xfrm rot="10800000">
          <a:off x="83362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505</xdr:row>
      <xdr:rowOff>0</xdr:rowOff>
    </xdr:from>
    <xdr:to>
      <xdr:col>5</xdr:col>
      <xdr:colOff>83820</xdr:colOff>
      <xdr:row>505</xdr:row>
      <xdr:rowOff>114300</xdr:rowOff>
    </xdr:to>
    <xdr:sp macro="" textlink="">
      <xdr:nvSpPr>
        <xdr:cNvPr id="3900" name="Arrow: Down 3899">
          <a:extLst>
            <a:ext uri="{FF2B5EF4-FFF2-40B4-BE49-F238E27FC236}">
              <a16:creationId xmlns:a16="http://schemas.microsoft.com/office/drawing/2014/main" id="{A71FEAEB-2EEE-4BB8-99D3-466D50C0BF02}"/>
            </a:ext>
          </a:extLst>
        </xdr:cNvPr>
        <xdr:cNvSpPr/>
      </xdr:nvSpPr>
      <xdr:spPr>
        <a:xfrm rot="10800000">
          <a:off x="192786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505</xdr:row>
      <xdr:rowOff>0</xdr:rowOff>
    </xdr:from>
    <xdr:to>
      <xdr:col>71</xdr:col>
      <xdr:colOff>83820</xdr:colOff>
      <xdr:row>505</xdr:row>
      <xdr:rowOff>114300</xdr:rowOff>
    </xdr:to>
    <xdr:sp macro="" textlink="">
      <xdr:nvSpPr>
        <xdr:cNvPr id="3902" name="Arrow: Down 3901">
          <a:extLst>
            <a:ext uri="{FF2B5EF4-FFF2-40B4-BE49-F238E27FC236}">
              <a16:creationId xmlns:a16="http://schemas.microsoft.com/office/drawing/2014/main" id="{E10613E4-4B91-44B2-AF86-43084E129FBA}"/>
            </a:ext>
          </a:extLst>
        </xdr:cNvPr>
        <xdr:cNvSpPr/>
      </xdr:nvSpPr>
      <xdr:spPr>
        <a:xfrm rot="10800000">
          <a:off x="216331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505</xdr:row>
      <xdr:rowOff>0</xdr:rowOff>
    </xdr:from>
    <xdr:to>
      <xdr:col>39</xdr:col>
      <xdr:colOff>83820</xdr:colOff>
      <xdr:row>505</xdr:row>
      <xdr:rowOff>114300</xdr:rowOff>
    </xdr:to>
    <xdr:sp macro="" textlink="">
      <xdr:nvSpPr>
        <xdr:cNvPr id="3904" name="Arrow: Down 3903">
          <a:extLst>
            <a:ext uri="{FF2B5EF4-FFF2-40B4-BE49-F238E27FC236}">
              <a16:creationId xmlns:a16="http://schemas.microsoft.com/office/drawing/2014/main" id="{C4800284-2545-467D-BE3D-79EE110FACED}"/>
            </a:ext>
          </a:extLst>
        </xdr:cNvPr>
        <xdr:cNvSpPr/>
      </xdr:nvSpPr>
      <xdr:spPr>
        <a:xfrm rot="10800000">
          <a:off x="11544300" y="9245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506</xdr:row>
      <xdr:rowOff>0</xdr:rowOff>
    </xdr:from>
    <xdr:to>
      <xdr:col>45</xdr:col>
      <xdr:colOff>83820</xdr:colOff>
      <xdr:row>506</xdr:row>
      <xdr:rowOff>114300</xdr:rowOff>
    </xdr:to>
    <xdr:sp macro="" textlink="">
      <xdr:nvSpPr>
        <xdr:cNvPr id="3905" name="Arrow: Down 3904">
          <a:extLst>
            <a:ext uri="{FF2B5EF4-FFF2-40B4-BE49-F238E27FC236}">
              <a16:creationId xmlns:a16="http://schemas.microsoft.com/office/drawing/2014/main" id="{1AE0580F-E422-475D-8922-86631010DB10}"/>
            </a:ext>
          </a:extLst>
        </xdr:cNvPr>
        <xdr:cNvSpPr/>
      </xdr:nvSpPr>
      <xdr:spPr>
        <a:xfrm>
          <a:off x="1340358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506</xdr:row>
      <xdr:rowOff>0</xdr:rowOff>
    </xdr:from>
    <xdr:to>
      <xdr:col>11</xdr:col>
      <xdr:colOff>83820</xdr:colOff>
      <xdr:row>506</xdr:row>
      <xdr:rowOff>114300</xdr:rowOff>
    </xdr:to>
    <xdr:sp macro="" textlink="">
      <xdr:nvSpPr>
        <xdr:cNvPr id="3907" name="Arrow: Down 3906">
          <a:extLst>
            <a:ext uri="{FF2B5EF4-FFF2-40B4-BE49-F238E27FC236}">
              <a16:creationId xmlns:a16="http://schemas.microsoft.com/office/drawing/2014/main" id="{12E893C9-3D31-47FA-B71E-447BAA8F9F67}"/>
            </a:ext>
          </a:extLst>
        </xdr:cNvPr>
        <xdr:cNvSpPr/>
      </xdr:nvSpPr>
      <xdr:spPr>
        <a:xfrm rot="10800000">
          <a:off x="369570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506</xdr:row>
      <xdr:rowOff>0</xdr:rowOff>
    </xdr:from>
    <xdr:to>
      <xdr:col>24</xdr:col>
      <xdr:colOff>83820</xdr:colOff>
      <xdr:row>506</xdr:row>
      <xdr:rowOff>114300</xdr:rowOff>
    </xdr:to>
    <xdr:sp macro="" textlink="">
      <xdr:nvSpPr>
        <xdr:cNvPr id="3908" name="Arrow: Down 3907">
          <a:extLst>
            <a:ext uri="{FF2B5EF4-FFF2-40B4-BE49-F238E27FC236}">
              <a16:creationId xmlns:a16="http://schemas.microsoft.com/office/drawing/2014/main" id="{FFBE416B-CCDF-4063-8C52-E60F4DDC9EF3}"/>
            </a:ext>
          </a:extLst>
        </xdr:cNvPr>
        <xdr:cNvSpPr/>
      </xdr:nvSpPr>
      <xdr:spPr>
        <a:xfrm rot="10800000">
          <a:off x="833628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506</xdr:row>
      <xdr:rowOff>0</xdr:rowOff>
    </xdr:from>
    <xdr:to>
      <xdr:col>5</xdr:col>
      <xdr:colOff>83820</xdr:colOff>
      <xdr:row>506</xdr:row>
      <xdr:rowOff>114300</xdr:rowOff>
    </xdr:to>
    <xdr:sp macro="" textlink="">
      <xdr:nvSpPr>
        <xdr:cNvPr id="3909" name="Arrow: Down 3908">
          <a:extLst>
            <a:ext uri="{FF2B5EF4-FFF2-40B4-BE49-F238E27FC236}">
              <a16:creationId xmlns:a16="http://schemas.microsoft.com/office/drawing/2014/main" id="{D321B410-5025-464F-A021-7824C7EBD732}"/>
            </a:ext>
          </a:extLst>
        </xdr:cNvPr>
        <xdr:cNvSpPr/>
      </xdr:nvSpPr>
      <xdr:spPr>
        <a:xfrm rot="10800000">
          <a:off x="192786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506</xdr:row>
      <xdr:rowOff>0</xdr:rowOff>
    </xdr:from>
    <xdr:to>
      <xdr:col>39</xdr:col>
      <xdr:colOff>83820</xdr:colOff>
      <xdr:row>506</xdr:row>
      <xdr:rowOff>114300</xdr:rowOff>
    </xdr:to>
    <xdr:sp macro="" textlink="">
      <xdr:nvSpPr>
        <xdr:cNvPr id="3912" name="Arrow: Down 3911">
          <a:extLst>
            <a:ext uri="{FF2B5EF4-FFF2-40B4-BE49-F238E27FC236}">
              <a16:creationId xmlns:a16="http://schemas.microsoft.com/office/drawing/2014/main" id="{3C31E7E5-97F5-4837-A064-1AA87DD4966A}"/>
            </a:ext>
          </a:extLst>
        </xdr:cNvPr>
        <xdr:cNvSpPr/>
      </xdr:nvSpPr>
      <xdr:spPr>
        <a:xfrm>
          <a:off x="11544300" y="9263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506</xdr:row>
      <xdr:rowOff>0</xdr:rowOff>
    </xdr:from>
    <xdr:to>
      <xdr:col>71</xdr:col>
      <xdr:colOff>83820</xdr:colOff>
      <xdr:row>506</xdr:row>
      <xdr:rowOff>114300</xdr:rowOff>
    </xdr:to>
    <xdr:sp macro="" textlink="">
      <xdr:nvSpPr>
        <xdr:cNvPr id="3913" name="Arrow: Down 3912">
          <a:extLst>
            <a:ext uri="{FF2B5EF4-FFF2-40B4-BE49-F238E27FC236}">
              <a16:creationId xmlns:a16="http://schemas.microsoft.com/office/drawing/2014/main" id="{82FE3A62-A893-4AB2-8D75-83CC83F0B528}"/>
            </a:ext>
          </a:extLst>
        </xdr:cNvPr>
        <xdr:cNvSpPr/>
      </xdr:nvSpPr>
      <xdr:spPr>
        <a:xfrm>
          <a:off x="21633180" y="9263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507</xdr:row>
      <xdr:rowOff>0</xdr:rowOff>
    </xdr:from>
    <xdr:to>
      <xdr:col>45</xdr:col>
      <xdr:colOff>83820</xdr:colOff>
      <xdr:row>507</xdr:row>
      <xdr:rowOff>114300</xdr:rowOff>
    </xdr:to>
    <xdr:sp macro="" textlink="">
      <xdr:nvSpPr>
        <xdr:cNvPr id="3914" name="Arrow: Down 3913">
          <a:extLst>
            <a:ext uri="{FF2B5EF4-FFF2-40B4-BE49-F238E27FC236}">
              <a16:creationId xmlns:a16="http://schemas.microsoft.com/office/drawing/2014/main" id="{F091E01C-2F67-45F3-8CF8-F280C3F08919}"/>
            </a:ext>
          </a:extLst>
        </xdr:cNvPr>
        <xdr:cNvSpPr/>
      </xdr:nvSpPr>
      <xdr:spPr>
        <a:xfrm>
          <a:off x="13403580" y="9263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507</xdr:row>
      <xdr:rowOff>0</xdr:rowOff>
    </xdr:from>
    <xdr:to>
      <xdr:col>60</xdr:col>
      <xdr:colOff>83820</xdr:colOff>
      <xdr:row>507</xdr:row>
      <xdr:rowOff>114300</xdr:rowOff>
    </xdr:to>
    <xdr:sp macro="" textlink="">
      <xdr:nvSpPr>
        <xdr:cNvPr id="3915" name="Arrow: Down 3914">
          <a:extLst>
            <a:ext uri="{FF2B5EF4-FFF2-40B4-BE49-F238E27FC236}">
              <a16:creationId xmlns:a16="http://schemas.microsoft.com/office/drawing/2014/main" id="{29E86EDF-5C8D-483A-BAB7-5EC17AEB07FE}"/>
            </a:ext>
          </a:extLst>
        </xdr:cNvPr>
        <xdr:cNvSpPr/>
      </xdr:nvSpPr>
      <xdr:spPr>
        <a:xfrm rot="10800000">
          <a:off x="19080480" y="9263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507</xdr:row>
      <xdr:rowOff>0</xdr:rowOff>
    </xdr:from>
    <xdr:to>
      <xdr:col>71</xdr:col>
      <xdr:colOff>83820</xdr:colOff>
      <xdr:row>507</xdr:row>
      <xdr:rowOff>114300</xdr:rowOff>
    </xdr:to>
    <xdr:sp macro="" textlink="">
      <xdr:nvSpPr>
        <xdr:cNvPr id="3921" name="Arrow: Down 3920">
          <a:extLst>
            <a:ext uri="{FF2B5EF4-FFF2-40B4-BE49-F238E27FC236}">
              <a16:creationId xmlns:a16="http://schemas.microsoft.com/office/drawing/2014/main" id="{12228DCC-3D69-42E3-8F82-2E2ABABA8DB1}"/>
            </a:ext>
          </a:extLst>
        </xdr:cNvPr>
        <xdr:cNvSpPr/>
      </xdr:nvSpPr>
      <xdr:spPr>
        <a:xfrm rot="10800000">
          <a:off x="21633180" y="9281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507</xdr:row>
      <xdr:rowOff>0</xdr:rowOff>
    </xdr:from>
    <xdr:to>
      <xdr:col>5</xdr:col>
      <xdr:colOff>83820</xdr:colOff>
      <xdr:row>507</xdr:row>
      <xdr:rowOff>114300</xdr:rowOff>
    </xdr:to>
    <xdr:sp macro="" textlink="">
      <xdr:nvSpPr>
        <xdr:cNvPr id="3922" name="Arrow: Down 3921">
          <a:extLst>
            <a:ext uri="{FF2B5EF4-FFF2-40B4-BE49-F238E27FC236}">
              <a16:creationId xmlns:a16="http://schemas.microsoft.com/office/drawing/2014/main" id="{44974784-51B4-4DFF-BBAA-99CE777DB970}"/>
            </a:ext>
          </a:extLst>
        </xdr:cNvPr>
        <xdr:cNvSpPr/>
      </xdr:nvSpPr>
      <xdr:spPr>
        <a:xfrm>
          <a:off x="192786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507</xdr:row>
      <xdr:rowOff>0</xdr:rowOff>
    </xdr:from>
    <xdr:to>
      <xdr:col>11</xdr:col>
      <xdr:colOff>83820</xdr:colOff>
      <xdr:row>507</xdr:row>
      <xdr:rowOff>114300</xdr:rowOff>
    </xdr:to>
    <xdr:sp macro="" textlink="">
      <xdr:nvSpPr>
        <xdr:cNvPr id="3923" name="Arrow: Down 3922">
          <a:extLst>
            <a:ext uri="{FF2B5EF4-FFF2-40B4-BE49-F238E27FC236}">
              <a16:creationId xmlns:a16="http://schemas.microsoft.com/office/drawing/2014/main" id="{BA418423-4504-4DDA-824A-8EB31019A5F1}"/>
            </a:ext>
          </a:extLst>
        </xdr:cNvPr>
        <xdr:cNvSpPr/>
      </xdr:nvSpPr>
      <xdr:spPr>
        <a:xfrm>
          <a:off x="369570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507</xdr:row>
      <xdr:rowOff>0</xdr:rowOff>
    </xdr:from>
    <xdr:to>
      <xdr:col>24</xdr:col>
      <xdr:colOff>83820</xdr:colOff>
      <xdr:row>507</xdr:row>
      <xdr:rowOff>114300</xdr:rowOff>
    </xdr:to>
    <xdr:sp macro="" textlink="">
      <xdr:nvSpPr>
        <xdr:cNvPr id="3924" name="Arrow: Down 3923">
          <a:extLst>
            <a:ext uri="{FF2B5EF4-FFF2-40B4-BE49-F238E27FC236}">
              <a16:creationId xmlns:a16="http://schemas.microsoft.com/office/drawing/2014/main" id="{4E4A4D3C-6559-4780-9534-373C049D3B28}"/>
            </a:ext>
          </a:extLst>
        </xdr:cNvPr>
        <xdr:cNvSpPr/>
      </xdr:nvSpPr>
      <xdr:spPr>
        <a:xfrm>
          <a:off x="833628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507</xdr:row>
      <xdr:rowOff>0</xdr:rowOff>
    </xdr:from>
    <xdr:to>
      <xdr:col>39</xdr:col>
      <xdr:colOff>83820</xdr:colOff>
      <xdr:row>507</xdr:row>
      <xdr:rowOff>114300</xdr:rowOff>
    </xdr:to>
    <xdr:sp macro="" textlink="">
      <xdr:nvSpPr>
        <xdr:cNvPr id="3926" name="Arrow: Down 3925">
          <a:extLst>
            <a:ext uri="{FF2B5EF4-FFF2-40B4-BE49-F238E27FC236}">
              <a16:creationId xmlns:a16="http://schemas.microsoft.com/office/drawing/2014/main" id="{F65509A8-2B6D-4581-B61D-EE64BCE8AA7F}"/>
            </a:ext>
          </a:extLst>
        </xdr:cNvPr>
        <xdr:cNvSpPr/>
      </xdr:nvSpPr>
      <xdr:spPr>
        <a:xfrm rot="10800000">
          <a:off x="1154430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505</xdr:row>
      <xdr:rowOff>0</xdr:rowOff>
    </xdr:from>
    <xdr:to>
      <xdr:col>60</xdr:col>
      <xdr:colOff>83820</xdr:colOff>
      <xdr:row>505</xdr:row>
      <xdr:rowOff>114300</xdr:rowOff>
    </xdr:to>
    <xdr:sp macro="" textlink="">
      <xdr:nvSpPr>
        <xdr:cNvPr id="3928" name="Arrow: Down 3927">
          <a:extLst>
            <a:ext uri="{FF2B5EF4-FFF2-40B4-BE49-F238E27FC236}">
              <a16:creationId xmlns:a16="http://schemas.microsoft.com/office/drawing/2014/main" id="{CD74943D-A3D7-4683-968A-0DB7ADFFFD04}"/>
            </a:ext>
          </a:extLst>
        </xdr:cNvPr>
        <xdr:cNvSpPr/>
      </xdr:nvSpPr>
      <xdr:spPr>
        <a:xfrm>
          <a:off x="19080480" y="9245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506</xdr:row>
      <xdr:rowOff>0</xdr:rowOff>
    </xdr:from>
    <xdr:to>
      <xdr:col>60</xdr:col>
      <xdr:colOff>83820</xdr:colOff>
      <xdr:row>506</xdr:row>
      <xdr:rowOff>114300</xdr:rowOff>
    </xdr:to>
    <xdr:sp macro="" textlink="">
      <xdr:nvSpPr>
        <xdr:cNvPr id="3929" name="Arrow: Down 3928">
          <a:extLst>
            <a:ext uri="{FF2B5EF4-FFF2-40B4-BE49-F238E27FC236}">
              <a16:creationId xmlns:a16="http://schemas.microsoft.com/office/drawing/2014/main" id="{CA1CC9F9-4BC9-4B15-A208-09F48C47F74E}"/>
            </a:ext>
          </a:extLst>
        </xdr:cNvPr>
        <xdr:cNvSpPr/>
      </xdr:nvSpPr>
      <xdr:spPr>
        <a:xfrm>
          <a:off x="19080480" y="9263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508</xdr:row>
      <xdr:rowOff>0</xdr:rowOff>
    </xdr:from>
    <xdr:to>
      <xdr:col>45</xdr:col>
      <xdr:colOff>83820</xdr:colOff>
      <xdr:row>508</xdr:row>
      <xdr:rowOff>114300</xdr:rowOff>
    </xdr:to>
    <xdr:sp macro="" textlink="">
      <xdr:nvSpPr>
        <xdr:cNvPr id="3930" name="Arrow: Down 3929">
          <a:extLst>
            <a:ext uri="{FF2B5EF4-FFF2-40B4-BE49-F238E27FC236}">
              <a16:creationId xmlns:a16="http://schemas.microsoft.com/office/drawing/2014/main" id="{AB875D2E-BE6C-41A0-A104-D264969AAB84}"/>
            </a:ext>
          </a:extLst>
        </xdr:cNvPr>
        <xdr:cNvSpPr/>
      </xdr:nvSpPr>
      <xdr:spPr>
        <a:xfrm>
          <a:off x="13403580" y="9281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508</xdr:row>
      <xdr:rowOff>0</xdr:rowOff>
    </xdr:from>
    <xdr:to>
      <xdr:col>5</xdr:col>
      <xdr:colOff>83820</xdr:colOff>
      <xdr:row>508</xdr:row>
      <xdr:rowOff>114300</xdr:rowOff>
    </xdr:to>
    <xdr:sp macro="" textlink="">
      <xdr:nvSpPr>
        <xdr:cNvPr id="3933" name="Arrow: Down 3932">
          <a:extLst>
            <a:ext uri="{FF2B5EF4-FFF2-40B4-BE49-F238E27FC236}">
              <a16:creationId xmlns:a16="http://schemas.microsoft.com/office/drawing/2014/main" id="{DC5856A3-E427-446C-93AC-5911F211A093}"/>
            </a:ext>
          </a:extLst>
        </xdr:cNvPr>
        <xdr:cNvSpPr/>
      </xdr:nvSpPr>
      <xdr:spPr>
        <a:xfrm>
          <a:off x="192786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508</xdr:row>
      <xdr:rowOff>0</xdr:rowOff>
    </xdr:from>
    <xdr:to>
      <xdr:col>11</xdr:col>
      <xdr:colOff>83820</xdr:colOff>
      <xdr:row>508</xdr:row>
      <xdr:rowOff>114300</xdr:rowOff>
    </xdr:to>
    <xdr:sp macro="" textlink="">
      <xdr:nvSpPr>
        <xdr:cNvPr id="3934" name="Arrow: Down 3933">
          <a:extLst>
            <a:ext uri="{FF2B5EF4-FFF2-40B4-BE49-F238E27FC236}">
              <a16:creationId xmlns:a16="http://schemas.microsoft.com/office/drawing/2014/main" id="{8A06AC97-4557-4CAB-9C55-3A60DB7FB37D}"/>
            </a:ext>
          </a:extLst>
        </xdr:cNvPr>
        <xdr:cNvSpPr/>
      </xdr:nvSpPr>
      <xdr:spPr>
        <a:xfrm>
          <a:off x="369570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508</xdr:row>
      <xdr:rowOff>0</xdr:rowOff>
    </xdr:from>
    <xdr:to>
      <xdr:col>24</xdr:col>
      <xdr:colOff>83820</xdr:colOff>
      <xdr:row>508</xdr:row>
      <xdr:rowOff>114300</xdr:rowOff>
    </xdr:to>
    <xdr:sp macro="" textlink="">
      <xdr:nvSpPr>
        <xdr:cNvPr id="3935" name="Arrow: Down 3934">
          <a:extLst>
            <a:ext uri="{FF2B5EF4-FFF2-40B4-BE49-F238E27FC236}">
              <a16:creationId xmlns:a16="http://schemas.microsoft.com/office/drawing/2014/main" id="{6355A8DE-DF69-4A67-A6E5-4AFA4C4E21F5}"/>
            </a:ext>
          </a:extLst>
        </xdr:cNvPr>
        <xdr:cNvSpPr/>
      </xdr:nvSpPr>
      <xdr:spPr>
        <a:xfrm>
          <a:off x="833628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508</xdr:row>
      <xdr:rowOff>0</xdr:rowOff>
    </xdr:from>
    <xdr:to>
      <xdr:col>60</xdr:col>
      <xdr:colOff>83820</xdr:colOff>
      <xdr:row>508</xdr:row>
      <xdr:rowOff>114300</xdr:rowOff>
    </xdr:to>
    <xdr:sp macro="" textlink="">
      <xdr:nvSpPr>
        <xdr:cNvPr id="3939" name="Arrow: Down 3938">
          <a:extLst>
            <a:ext uri="{FF2B5EF4-FFF2-40B4-BE49-F238E27FC236}">
              <a16:creationId xmlns:a16="http://schemas.microsoft.com/office/drawing/2014/main" id="{335343DD-7DA8-4DA8-A025-19EF72369B9E}"/>
            </a:ext>
          </a:extLst>
        </xdr:cNvPr>
        <xdr:cNvSpPr/>
      </xdr:nvSpPr>
      <xdr:spPr>
        <a:xfrm>
          <a:off x="19080480" y="9300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508</xdr:row>
      <xdr:rowOff>0</xdr:rowOff>
    </xdr:from>
    <xdr:to>
      <xdr:col>71</xdr:col>
      <xdr:colOff>83820</xdr:colOff>
      <xdr:row>508</xdr:row>
      <xdr:rowOff>114300</xdr:rowOff>
    </xdr:to>
    <xdr:sp macro="" textlink="">
      <xdr:nvSpPr>
        <xdr:cNvPr id="3941" name="Arrow: Down 3940">
          <a:extLst>
            <a:ext uri="{FF2B5EF4-FFF2-40B4-BE49-F238E27FC236}">
              <a16:creationId xmlns:a16="http://schemas.microsoft.com/office/drawing/2014/main" id="{BF119AA2-82B1-432A-BDC0-3A8979EF250D}"/>
            </a:ext>
          </a:extLst>
        </xdr:cNvPr>
        <xdr:cNvSpPr/>
      </xdr:nvSpPr>
      <xdr:spPr>
        <a:xfrm rot="10800000">
          <a:off x="21633180" y="9300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508</xdr:row>
      <xdr:rowOff>0</xdr:rowOff>
    </xdr:from>
    <xdr:to>
      <xdr:col>39</xdr:col>
      <xdr:colOff>83820</xdr:colOff>
      <xdr:row>508</xdr:row>
      <xdr:rowOff>114300</xdr:rowOff>
    </xdr:to>
    <xdr:sp macro="" textlink="">
      <xdr:nvSpPr>
        <xdr:cNvPr id="3943" name="Arrow: Down 3942">
          <a:extLst>
            <a:ext uri="{FF2B5EF4-FFF2-40B4-BE49-F238E27FC236}">
              <a16:creationId xmlns:a16="http://schemas.microsoft.com/office/drawing/2014/main" id="{1F1658C3-ACF7-4C27-8F6F-40A409F5A9EC}"/>
            </a:ext>
          </a:extLst>
        </xdr:cNvPr>
        <xdr:cNvSpPr/>
      </xdr:nvSpPr>
      <xdr:spPr>
        <a:xfrm>
          <a:off x="11544300" y="9300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509</xdr:row>
      <xdr:rowOff>0</xdr:rowOff>
    </xdr:from>
    <xdr:to>
      <xdr:col>45</xdr:col>
      <xdr:colOff>83820</xdr:colOff>
      <xdr:row>509</xdr:row>
      <xdr:rowOff>114300</xdr:rowOff>
    </xdr:to>
    <xdr:sp macro="" textlink="">
      <xdr:nvSpPr>
        <xdr:cNvPr id="3621" name="Arrow: Down 3620">
          <a:extLst>
            <a:ext uri="{FF2B5EF4-FFF2-40B4-BE49-F238E27FC236}">
              <a16:creationId xmlns:a16="http://schemas.microsoft.com/office/drawing/2014/main" id="{58ED6A2D-1303-42D9-8780-8E85AC0484DF}"/>
            </a:ext>
          </a:extLst>
        </xdr:cNvPr>
        <xdr:cNvSpPr/>
      </xdr:nvSpPr>
      <xdr:spPr>
        <a:xfrm>
          <a:off x="13403580" y="9300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509</xdr:row>
      <xdr:rowOff>0</xdr:rowOff>
    </xdr:from>
    <xdr:to>
      <xdr:col>60</xdr:col>
      <xdr:colOff>83820</xdr:colOff>
      <xdr:row>509</xdr:row>
      <xdr:rowOff>114300</xdr:rowOff>
    </xdr:to>
    <xdr:sp macro="" textlink="">
      <xdr:nvSpPr>
        <xdr:cNvPr id="3646" name="Arrow: Down 3645">
          <a:extLst>
            <a:ext uri="{FF2B5EF4-FFF2-40B4-BE49-F238E27FC236}">
              <a16:creationId xmlns:a16="http://schemas.microsoft.com/office/drawing/2014/main" id="{5D9E1B14-CC10-4D5E-BFEF-10EF14795FC4}"/>
            </a:ext>
          </a:extLst>
        </xdr:cNvPr>
        <xdr:cNvSpPr/>
      </xdr:nvSpPr>
      <xdr:spPr>
        <a:xfrm>
          <a:off x="19080480" y="9300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509</xdr:row>
      <xdr:rowOff>0</xdr:rowOff>
    </xdr:from>
    <xdr:to>
      <xdr:col>5</xdr:col>
      <xdr:colOff>83820</xdr:colOff>
      <xdr:row>509</xdr:row>
      <xdr:rowOff>114300</xdr:rowOff>
    </xdr:to>
    <xdr:sp macro="" textlink="">
      <xdr:nvSpPr>
        <xdr:cNvPr id="3680" name="Arrow: Down 3679">
          <a:extLst>
            <a:ext uri="{FF2B5EF4-FFF2-40B4-BE49-F238E27FC236}">
              <a16:creationId xmlns:a16="http://schemas.microsoft.com/office/drawing/2014/main" id="{8F7CBB9C-5E40-4FE4-9361-308D6657711F}"/>
            </a:ext>
          </a:extLst>
        </xdr:cNvPr>
        <xdr:cNvSpPr/>
      </xdr:nvSpPr>
      <xdr:spPr>
        <a:xfrm rot="10800000">
          <a:off x="192786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509</xdr:row>
      <xdr:rowOff>0</xdr:rowOff>
    </xdr:from>
    <xdr:to>
      <xdr:col>11</xdr:col>
      <xdr:colOff>83820</xdr:colOff>
      <xdr:row>509</xdr:row>
      <xdr:rowOff>114300</xdr:rowOff>
    </xdr:to>
    <xdr:sp macro="" textlink="">
      <xdr:nvSpPr>
        <xdr:cNvPr id="3695" name="Arrow: Down 3694">
          <a:extLst>
            <a:ext uri="{FF2B5EF4-FFF2-40B4-BE49-F238E27FC236}">
              <a16:creationId xmlns:a16="http://schemas.microsoft.com/office/drawing/2014/main" id="{AC2F106E-0566-4059-A5E5-BF7E9518829A}"/>
            </a:ext>
          </a:extLst>
        </xdr:cNvPr>
        <xdr:cNvSpPr/>
      </xdr:nvSpPr>
      <xdr:spPr>
        <a:xfrm rot="10800000">
          <a:off x="369570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509</xdr:row>
      <xdr:rowOff>0</xdr:rowOff>
    </xdr:from>
    <xdr:to>
      <xdr:col>24</xdr:col>
      <xdr:colOff>83820</xdr:colOff>
      <xdr:row>509</xdr:row>
      <xdr:rowOff>114300</xdr:rowOff>
    </xdr:to>
    <xdr:sp macro="" textlink="">
      <xdr:nvSpPr>
        <xdr:cNvPr id="3700" name="Arrow: Down 3699">
          <a:extLst>
            <a:ext uri="{FF2B5EF4-FFF2-40B4-BE49-F238E27FC236}">
              <a16:creationId xmlns:a16="http://schemas.microsoft.com/office/drawing/2014/main" id="{87AB0BAD-FD44-4782-82CA-174FC852E5E9}"/>
            </a:ext>
          </a:extLst>
        </xdr:cNvPr>
        <xdr:cNvSpPr/>
      </xdr:nvSpPr>
      <xdr:spPr>
        <a:xfrm rot="10800000">
          <a:off x="833628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509</xdr:row>
      <xdr:rowOff>0</xdr:rowOff>
    </xdr:from>
    <xdr:to>
      <xdr:col>39</xdr:col>
      <xdr:colOff>83820</xdr:colOff>
      <xdr:row>509</xdr:row>
      <xdr:rowOff>114300</xdr:rowOff>
    </xdr:to>
    <xdr:sp macro="" textlink="">
      <xdr:nvSpPr>
        <xdr:cNvPr id="3702" name="Arrow: Down 3701">
          <a:extLst>
            <a:ext uri="{FF2B5EF4-FFF2-40B4-BE49-F238E27FC236}">
              <a16:creationId xmlns:a16="http://schemas.microsoft.com/office/drawing/2014/main" id="{269D6D7F-9558-43FB-913C-BBA34FDD9CDE}"/>
            </a:ext>
          </a:extLst>
        </xdr:cNvPr>
        <xdr:cNvSpPr/>
      </xdr:nvSpPr>
      <xdr:spPr>
        <a:xfrm rot="10800000">
          <a:off x="1154430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509</xdr:row>
      <xdr:rowOff>0</xdr:rowOff>
    </xdr:from>
    <xdr:to>
      <xdr:col>71</xdr:col>
      <xdr:colOff>83820</xdr:colOff>
      <xdr:row>509</xdr:row>
      <xdr:rowOff>114300</xdr:rowOff>
    </xdr:to>
    <xdr:sp macro="" textlink="">
      <xdr:nvSpPr>
        <xdr:cNvPr id="3704" name="Arrow: Down 3703">
          <a:extLst>
            <a:ext uri="{FF2B5EF4-FFF2-40B4-BE49-F238E27FC236}">
              <a16:creationId xmlns:a16="http://schemas.microsoft.com/office/drawing/2014/main" id="{9669DAB3-FF5A-437D-842B-A2FC7598F632}"/>
            </a:ext>
          </a:extLst>
        </xdr:cNvPr>
        <xdr:cNvSpPr/>
      </xdr:nvSpPr>
      <xdr:spPr>
        <a:xfrm>
          <a:off x="2163318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510</xdr:row>
      <xdr:rowOff>0</xdr:rowOff>
    </xdr:from>
    <xdr:to>
      <xdr:col>45</xdr:col>
      <xdr:colOff>83820</xdr:colOff>
      <xdr:row>510</xdr:row>
      <xdr:rowOff>114300</xdr:rowOff>
    </xdr:to>
    <xdr:sp macro="" textlink="">
      <xdr:nvSpPr>
        <xdr:cNvPr id="3705" name="Arrow: Down 3704">
          <a:extLst>
            <a:ext uri="{FF2B5EF4-FFF2-40B4-BE49-F238E27FC236}">
              <a16:creationId xmlns:a16="http://schemas.microsoft.com/office/drawing/2014/main" id="{1A6D92CC-8F5D-4553-852F-5220D2D72F68}"/>
            </a:ext>
          </a:extLst>
        </xdr:cNvPr>
        <xdr:cNvSpPr/>
      </xdr:nvSpPr>
      <xdr:spPr>
        <a:xfrm>
          <a:off x="1340358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510</xdr:row>
      <xdr:rowOff>0</xdr:rowOff>
    </xdr:from>
    <xdr:to>
      <xdr:col>60</xdr:col>
      <xdr:colOff>83820</xdr:colOff>
      <xdr:row>510</xdr:row>
      <xdr:rowOff>114300</xdr:rowOff>
    </xdr:to>
    <xdr:sp macro="" textlink="">
      <xdr:nvSpPr>
        <xdr:cNvPr id="3707" name="Arrow: Down 3706">
          <a:extLst>
            <a:ext uri="{FF2B5EF4-FFF2-40B4-BE49-F238E27FC236}">
              <a16:creationId xmlns:a16="http://schemas.microsoft.com/office/drawing/2014/main" id="{90B9EFD7-5346-4177-9B35-832CCBFD8C07}"/>
            </a:ext>
          </a:extLst>
        </xdr:cNvPr>
        <xdr:cNvSpPr/>
      </xdr:nvSpPr>
      <xdr:spPr>
        <a:xfrm>
          <a:off x="1908048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510</xdr:row>
      <xdr:rowOff>0</xdr:rowOff>
    </xdr:from>
    <xdr:to>
      <xdr:col>5</xdr:col>
      <xdr:colOff>83820</xdr:colOff>
      <xdr:row>510</xdr:row>
      <xdr:rowOff>114300</xdr:rowOff>
    </xdr:to>
    <xdr:sp macro="" textlink="">
      <xdr:nvSpPr>
        <xdr:cNvPr id="3709" name="Arrow: Down 3708">
          <a:extLst>
            <a:ext uri="{FF2B5EF4-FFF2-40B4-BE49-F238E27FC236}">
              <a16:creationId xmlns:a16="http://schemas.microsoft.com/office/drawing/2014/main" id="{49D432F5-5987-4556-89C3-231C886E9DCA}"/>
            </a:ext>
          </a:extLst>
        </xdr:cNvPr>
        <xdr:cNvSpPr/>
      </xdr:nvSpPr>
      <xdr:spPr>
        <a:xfrm rot="10800000">
          <a:off x="192786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510</xdr:row>
      <xdr:rowOff>0</xdr:rowOff>
    </xdr:from>
    <xdr:to>
      <xdr:col>11</xdr:col>
      <xdr:colOff>83820</xdr:colOff>
      <xdr:row>510</xdr:row>
      <xdr:rowOff>114300</xdr:rowOff>
    </xdr:to>
    <xdr:sp macro="" textlink="">
      <xdr:nvSpPr>
        <xdr:cNvPr id="3711" name="Arrow: Down 3710">
          <a:extLst>
            <a:ext uri="{FF2B5EF4-FFF2-40B4-BE49-F238E27FC236}">
              <a16:creationId xmlns:a16="http://schemas.microsoft.com/office/drawing/2014/main" id="{97277CF6-10EE-4263-BD6D-47359EAA980C}"/>
            </a:ext>
          </a:extLst>
        </xdr:cNvPr>
        <xdr:cNvSpPr/>
      </xdr:nvSpPr>
      <xdr:spPr>
        <a:xfrm rot="10800000">
          <a:off x="369570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510</xdr:row>
      <xdr:rowOff>0</xdr:rowOff>
    </xdr:from>
    <xdr:to>
      <xdr:col>24</xdr:col>
      <xdr:colOff>83820</xdr:colOff>
      <xdr:row>510</xdr:row>
      <xdr:rowOff>114300</xdr:rowOff>
    </xdr:to>
    <xdr:sp macro="" textlink="">
      <xdr:nvSpPr>
        <xdr:cNvPr id="3712" name="Arrow: Down 3711">
          <a:extLst>
            <a:ext uri="{FF2B5EF4-FFF2-40B4-BE49-F238E27FC236}">
              <a16:creationId xmlns:a16="http://schemas.microsoft.com/office/drawing/2014/main" id="{E46DA1E1-C42E-4364-9A97-2BB2EA8D7B58}"/>
            </a:ext>
          </a:extLst>
        </xdr:cNvPr>
        <xdr:cNvSpPr/>
      </xdr:nvSpPr>
      <xdr:spPr>
        <a:xfrm rot="10800000">
          <a:off x="833628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510</xdr:row>
      <xdr:rowOff>0</xdr:rowOff>
    </xdr:from>
    <xdr:to>
      <xdr:col>71</xdr:col>
      <xdr:colOff>83820</xdr:colOff>
      <xdr:row>510</xdr:row>
      <xdr:rowOff>114300</xdr:rowOff>
    </xdr:to>
    <xdr:sp macro="" textlink="">
      <xdr:nvSpPr>
        <xdr:cNvPr id="3714" name="Arrow: Down 3713">
          <a:extLst>
            <a:ext uri="{FF2B5EF4-FFF2-40B4-BE49-F238E27FC236}">
              <a16:creationId xmlns:a16="http://schemas.microsoft.com/office/drawing/2014/main" id="{D175B4B4-C9D3-45A4-B8E1-C6A904FDE859}"/>
            </a:ext>
          </a:extLst>
        </xdr:cNvPr>
        <xdr:cNvSpPr/>
      </xdr:nvSpPr>
      <xdr:spPr>
        <a:xfrm>
          <a:off x="2163318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510</xdr:row>
      <xdr:rowOff>0</xdr:rowOff>
    </xdr:from>
    <xdr:to>
      <xdr:col>39</xdr:col>
      <xdr:colOff>83820</xdr:colOff>
      <xdr:row>510</xdr:row>
      <xdr:rowOff>114300</xdr:rowOff>
    </xdr:to>
    <xdr:sp macro="" textlink="">
      <xdr:nvSpPr>
        <xdr:cNvPr id="3721" name="Arrow: Down 3720">
          <a:extLst>
            <a:ext uri="{FF2B5EF4-FFF2-40B4-BE49-F238E27FC236}">
              <a16:creationId xmlns:a16="http://schemas.microsoft.com/office/drawing/2014/main" id="{A97919A6-E1A4-405C-8FB3-F086F0AA4F43}"/>
            </a:ext>
          </a:extLst>
        </xdr:cNvPr>
        <xdr:cNvSpPr/>
      </xdr:nvSpPr>
      <xdr:spPr>
        <a:xfrm>
          <a:off x="1154430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511</xdr:row>
      <xdr:rowOff>0</xdr:rowOff>
    </xdr:from>
    <xdr:to>
      <xdr:col>45</xdr:col>
      <xdr:colOff>83820</xdr:colOff>
      <xdr:row>511</xdr:row>
      <xdr:rowOff>114300</xdr:rowOff>
    </xdr:to>
    <xdr:sp macro="" textlink="">
      <xdr:nvSpPr>
        <xdr:cNvPr id="3745" name="Arrow: Down 3744">
          <a:extLst>
            <a:ext uri="{FF2B5EF4-FFF2-40B4-BE49-F238E27FC236}">
              <a16:creationId xmlns:a16="http://schemas.microsoft.com/office/drawing/2014/main" id="{38D96FD1-6D55-4797-9E85-77AE89B70EA7}"/>
            </a:ext>
          </a:extLst>
        </xdr:cNvPr>
        <xdr:cNvSpPr/>
      </xdr:nvSpPr>
      <xdr:spPr>
        <a:xfrm>
          <a:off x="1340358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511</xdr:row>
      <xdr:rowOff>0</xdr:rowOff>
    </xdr:from>
    <xdr:to>
      <xdr:col>5</xdr:col>
      <xdr:colOff>83820</xdr:colOff>
      <xdr:row>511</xdr:row>
      <xdr:rowOff>114300</xdr:rowOff>
    </xdr:to>
    <xdr:sp macro="" textlink="">
      <xdr:nvSpPr>
        <xdr:cNvPr id="3749" name="Arrow: Down 3748">
          <a:extLst>
            <a:ext uri="{FF2B5EF4-FFF2-40B4-BE49-F238E27FC236}">
              <a16:creationId xmlns:a16="http://schemas.microsoft.com/office/drawing/2014/main" id="{B447331F-1C94-45C9-81B0-B4C71D424BC5}"/>
            </a:ext>
          </a:extLst>
        </xdr:cNvPr>
        <xdr:cNvSpPr/>
      </xdr:nvSpPr>
      <xdr:spPr>
        <a:xfrm rot="10800000">
          <a:off x="192786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511</xdr:row>
      <xdr:rowOff>0</xdr:rowOff>
    </xdr:from>
    <xdr:to>
      <xdr:col>11</xdr:col>
      <xdr:colOff>83820</xdr:colOff>
      <xdr:row>511</xdr:row>
      <xdr:rowOff>114300</xdr:rowOff>
    </xdr:to>
    <xdr:sp macro="" textlink="">
      <xdr:nvSpPr>
        <xdr:cNvPr id="3754" name="Arrow: Down 3753">
          <a:extLst>
            <a:ext uri="{FF2B5EF4-FFF2-40B4-BE49-F238E27FC236}">
              <a16:creationId xmlns:a16="http://schemas.microsoft.com/office/drawing/2014/main" id="{CF93DC43-D6B4-4F50-9AFF-87595F0AC0E1}"/>
            </a:ext>
          </a:extLst>
        </xdr:cNvPr>
        <xdr:cNvSpPr/>
      </xdr:nvSpPr>
      <xdr:spPr>
        <a:xfrm rot="10800000">
          <a:off x="369570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511</xdr:row>
      <xdr:rowOff>0</xdr:rowOff>
    </xdr:from>
    <xdr:to>
      <xdr:col>24</xdr:col>
      <xdr:colOff>83820</xdr:colOff>
      <xdr:row>511</xdr:row>
      <xdr:rowOff>114300</xdr:rowOff>
    </xdr:to>
    <xdr:sp macro="" textlink="">
      <xdr:nvSpPr>
        <xdr:cNvPr id="3755" name="Arrow: Down 3754">
          <a:extLst>
            <a:ext uri="{FF2B5EF4-FFF2-40B4-BE49-F238E27FC236}">
              <a16:creationId xmlns:a16="http://schemas.microsoft.com/office/drawing/2014/main" id="{78DBB87C-B265-46FB-BBDF-BFBFA6659040}"/>
            </a:ext>
          </a:extLst>
        </xdr:cNvPr>
        <xdr:cNvSpPr/>
      </xdr:nvSpPr>
      <xdr:spPr>
        <a:xfrm rot="10800000">
          <a:off x="833628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511</xdr:row>
      <xdr:rowOff>0</xdr:rowOff>
    </xdr:from>
    <xdr:to>
      <xdr:col>39</xdr:col>
      <xdr:colOff>83820</xdr:colOff>
      <xdr:row>511</xdr:row>
      <xdr:rowOff>114300</xdr:rowOff>
    </xdr:to>
    <xdr:sp macro="" textlink="">
      <xdr:nvSpPr>
        <xdr:cNvPr id="3757" name="Arrow: Down 3756">
          <a:extLst>
            <a:ext uri="{FF2B5EF4-FFF2-40B4-BE49-F238E27FC236}">
              <a16:creationId xmlns:a16="http://schemas.microsoft.com/office/drawing/2014/main" id="{1456C8B9-DF62-4704-9FC2-4C095FA72227}"/>
            </a:ext>
          </a:extLst>
        </xdr:cNvPr>
        <xdr:cNvSpPr/>
      </xdr:nvSpPr>
      <xdr:spPr>
        <a:xfrm>
          <a:off x="1154430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511</xdr:row>
      <xdr:rowOff>0</xdr:rowOff>
    </xdr:from>
    <xdr:to>
      <xdr:col>71</xdr:col>
      <xdr:colOff>83820</xdr:colOff>
      <xdr:row>511</xdr:row>
      <xdr:rowOff>114300</xdr:rowOff>
    </xdr:to>
    <xdr:sp macro="" textlink="">
      <xdr:nvSpPr>
        <xdr:cNvPr id="3760" name="Arrow: Down 3759">
          <a:extLst>
            <a:ext uri="{FF2B5EF4-FFF2-40B4-BE49-F238E27FC236}">
              <a16:creationId xmlns:a16="http://schemas.microsoft.com/office/drawing/2014/main" id="{CC833DBE-66D6-44F7-8EB0-A0DFF090127F}"/>
            </a:ext>
          </a:extLst>
        </xdr:cNvPr>
        <xdr:cNvSpPr/>
      </xdr:nvSpPr>
      <xdr:spPr>
        <a:xfrm rot="10800000">
          <a:off x="216331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511</xdr:row>
      <xdr:rowOff>0</xdr:rowOff>
    </xdr:from>
    <xdr:to>
      <xdr:col>60</xdr:col>
      <xdr:colOff>83820</xdr:colOff>
      <xdr:row>511</xdr:row>
      <xdr:rowOff>114300</xdr:rowOff>
    </xdr:to>
    <xdr:sp macro="" textlink="">
      <xdr:nvSpPr>
        <xdr:cNvPr id="3762" name="Arrow: Down 3761">
          <a:extLst>
            <a:ext uri="{FF2B5EF4-FFF2-40B4-BE49-F238E27FC236}">
              <a16:creationId xmlns:a16="http://schemas.microsoft.com/office/drawing/2014/main" id="{5547B8A4-8965-4AB2-87E9-57A39C0F7EF6}"/>
            </a:ext>
          </a:extLst>
        </xdr:cNvPr>
        <xdr:cNvSpPr/>
      </xdr:nvSpPr>
      <xdr:spPr>
        <a:xfrm rot="10800000">
          <a:off x="190804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512</xdr:row>
      <xdr:rowOff>0</xdr:rowOff>
    </xdr:from>
    <xdr:to>
      <xdr:col>45</xdr:col>
      <xdr:colOff>83820</xdr:colOff>
      <xdr:row>512</xdr:row>
      <xdr:rowOff>114300</xdr:rowOff>
    </xdr:to>
    <xdr:sp macro="" textlink="">
      <xdr:nvSpPr>
        <xdr:cNvPr id="3764" name="Arrow: Down 3763">
          <a:extLst>
            <a:ext uri="{FF2B5EF4-FFF2-40B4-BE49-F238E27FC236}">
              <a16:creationId xmlns:a16="http://schemas.microsoft.com/office/drawing/2014/main" id="{41FB5D87-5A70-4B95-8A2A-3E9AD8E88E79}"/>
            </a:ext>
          </a:extLst>
        </xdr:cNvPr>
        <xdr:cNvSpPr/>
      </xdr:nvSpPr>
      <xdr:spPr>
        <a:xfrm>
          <a:off x="134035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512</xdr:row>
      <xdr:rowOff>0</xdr:rowOff>
    </xdr:from>
    <xdr:to>
      <xdr:col>5</xdr:col>
      <xdr:colOff>83820</xdr:colOff>
      <xdr:row>512</xdr:row>
      <xdr:rowOff>114300</xdr:rowOff>
    </xdr:to>
    <xdr:sp macro="" textlink="">
      <xdr:nvSpPr>
        <xdr:cNvPr id="3765" name="Arrow: Down 3764">
          <a:extLst>
            <a:ext uri="{FF2B5EF4-FFF2-40B4-BE49-F238E27FC236}">
              <a16:creationId xmlns:a16="http://schemas.microsoft.com/office/drawing/2014/main" id="{5D97CBFA-27E1-4304-A45B-723DBC87B0D9}"/>
            </a:ext>
          </a:extLst>
        </xdr:cNvPr>
        <xdr:cNvSpPr/>
      </xdr:nvSpPr>
      <xdr:spPr>
        <a:xfrm rot="10800000">
          <a:off x="192786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512</xdr:row>
      <xdr:rowOff>0</xdr:rowOff>
    </xdr:from>
    <xdr:to>
      <xdr:col>11</xdr:col>
      <xdr:colOff>83820</xdr:colOff>
      <xdr:row>512</xdr:row>
      <xdr:rowOff>114300</xdr:rowOff>
    </xdr:to>
    <xdr:sp macro="" textlink="">
      <xdr:nvSpPr>
        <xdr:cNvPr id="3766" name="Arrow: Down 3765">
          <a:extLst>
            <a:ext uri="{FF2B5EF4-FFF2-40B4-BE49-F238E27FC236}">
              <a16:creationId xmlns:a16="http://schemas.microsoft.com/office/drawing/2014/main" id="{795B2D30-31A6-4FE1-8F7D-250AE22792D4}"/>
            </a:ext>
          </a:extLst>
        </xdr:cNvPr>
        <xdr:cNvSpPr/>
      </xdr:nvSpPr>
      <xdr:spPr>
        <a:xfrm rot="10800000">
          <a:off x="369570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512</xdr:row>
      <xdr:rowOff>0</xdr:rowOff>
    </xdr:from>
    <xdr:to>
      <xdr:col>39</xdr:col>
      <xdr:colOff>83820</xdr:colOff>
      <xdr:row>512</xdr:row>
      <xdr:rowOff>114300</xdr:rowOff>
    </xdr:to>
    <xdr:sp macro="" textlink="">
      <xdr:nvSpPr>
        <xdr:cNvPr id="3772" name="Arrow: Down 3771">
          <a:extLst>
            <a:ext uri="{FF2B5EF4-FFF2-40B4-BE49-F238E27FC236}">
              <a16:creationId xmlns:a16="http://schemas.microsoft.com/office/drawing/2014/main" id="{91B9A419-130F-48AD-87D6-D76AD2EBF095}"/>
            </a:ext>
          </a:extLst>
        </xdr:cNvPr>
        <xdr:cNvSpPr/>
      </xdr:nvSpPr>
      <xdr:spPr>
        <a:xfrm>
          <a:off x="1154430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512</xdr:row>
      <xdr:rowOff>0</xdr:rowOff>
    </xdr:from>
    <xdr:to>
      <xdr:col>71</xdr:col>
      <xdr:colOff>83820</xdr:colOff>
      <xdr:row>512</xdr:row>
      <xdr:rowOff>114300</xdr:rowOff>
    </xdr:to>
    <xdr:sp macro="" textlink="">
      <xdr:nvSpPr>
        <xdr:cNvPr id="3773" name="Arrow: Down 3772">
          <a:extLst>
            <a:ext uri="{FF2B5EF4-FFF2-40B4-BE49-F238E27FC236}">
              <a16:creationId xmlns:a16="http://schemas.microsoft.com/office/drawing/2014/main" id="{B9CB268E-C010-4122-9836-B283EF06B26F}"/>
            </a:ext>
          </a:extLst>
        </xdr:cNvPr>
        <xdr:cNvSpPr/>
      </xdr:nvSpPr>
      <xdr:spPr>
        <a:xfrm rot="10800000">
          <a:off x="216331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512</xdr:row>
      <xdr:rowOff>0</xdr:rowOff>
    </xdr:from>
    <xdr:to>
      <xdr:col>60</xdr:col>
      <xdr:colOff>83820</xdr:colOff>
      <xdr:row>512</xdr:row>
      <xdr:rowOff>114300</xdr:rowOff>
    </xdr:to>
    <xdr:sp macro="" textlink="">
      <xdr:nvSpPr>
        <xdr:cNvPr id="3774" name="Arrow: Down 3773">
          <a:extLst>
            <a:ext uri="{FF2B5EF4-FFF2-40B4-BE49-F238E27FC236}">
              <a16:creationId xmlns:a16="http://schemas.microsoft.com/office/drawing/2014/main" id="{426AB16C-4950-4B37-8758-460E936F2245}"/>
            </a:ext>
          </a:extLst>
        </xdr:cNvPr>
        <xdr:cNvSpPr/>
      </xdr:nvSpPr>
      <xdr:spPr>
        <a:xfrm rot="10800000">
          <a:off x="190804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512</xdr:row>
      <xdr:rowOff>0</xdr:rowOff>
    </xdr:from>
    <xdr:to>
      <xdr:col>24</xdr:col>
      <xdr:colOff>83820</xdr:colOff>
      <xdr:row>512</xdr:row>
      <xdr:rowOff>114300</xdr:rowOff>
    </xdr:to>
    <xdr:sp macro="" textlink="">
      <xdr:nvSpPr>
        <xdr:cNvPr id="3775" name="Arrow: Down 3774">
          <a:extLst>
            <a:ext uri="{FF2B5EF4-FFF2-40B4-BE49-F238E27FC236}">
              <a16:creationId xmlns:a16="http://schemas.microsoft.com/office/drawing/2014/main" id="{67F62FB7-2910-431F-8A48-CF24C59DC8C1}"/>
            </a:ext>
          </a:extLst>
        </xdr:cNvPr>
        <xdr:cNvSpPr/>
      </xdr:nvSpPr>
      <xdr:spPr>
        <a:xfrm>
          <a:off x="8336280" y="9373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513</xdr:row>
      <xdr:rowOff>0</xdr:rowOff>
    </xdr:from>
    <xdr:to>
      <xdr:col>45</xdr:col>
      <xdr:colOff>83820</xdr:colOff>
      <xdr:row>513</xdr:row>
      <xdr:rowOff>114300</xdr:rowOff>
    </xdr:to>
    <xdr:sp macro="" textlink="">
      <xdr:nvSpPr>
        <xdr:cNvPr id="3776" name="Arrow: Down 3775">
          <a:extLst>
            <a:ext uri="{FF2B5EF4-FFF2-40B4-BE49-F238E27FC236}">
              <a16:creationId xmlns:a16="http://schemas.microsoft.com/office/drawing/2014/main" id="{32087E1C-9A4F-447F-B66C-7A700C9E0AC0}"/>
            </a:ext>
          </a:extLst>
        </xdr:cNvPr>
        <xdr:cNvSpPr/>
      </xdr:nvSpPr>
      <xdr:spPr>
        <a:xfrm>
          <a:off x="1340358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513</xdr:row>
      <xdr:rowOff>0</xdr:rowOff>
    </xdr:from>
    <xdr:to>
      <xdr:col>5</xdr:col>
      <xdr:colOff>83820</xdr:colOff>
      <xdr:row>513</xdr:row>
      <xdr:rowOff>114300</xdr:rowOff>
    </xdr:to>
    <xdr:sp macro="" textlink="">
      <xdr:nvSpPr>
        <xdr:cNvPr id="3777" name="Arrow: Down 3776">
          <a:extLst>
            <a:ext uri="{FF2B5EF4-FFF2-40B4-BE49-F238E27FC236}">
              <a16:creationId xmlns:a16="http://schemas.microsoft.com/office/drawing/2014/main" id="{215A0471-243C-4189-96E4-08A477A3EE89}"/>
            </a:ext>
          </a:extLst>
        </xdr:cNvPr>
        <xdr:cNvSpPr/>
      </xdr:nvSpPr>
      <xdr:spPr>
        <a:xfrm rot="10800000">
          <a:off x="192786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513</xdr:row>
      <xdr:rowOff>0</xdr:rowOff>
    </xdr:from>
    <xdr:to>
      <xdr:col>11</xdr:col>
      <xdr:colOff>83820</xdr:colOff>
      <xdr:row>513</xdr:row>
      <xdr:rowOff>114300</xdr:rowOff>
    </xdr:to>
    <xdr:sp macro="" textlink="">
      <xdr:nvSpPr>
        <xdr:cNvPr id="3778" name="Arrow: Down 3777">
          <a:extLst>
            <a:ext uri="{FF2B5EF4-FFF2-40B4-BE49-F238E27FC236}">
              <a16:creationId xmlns:a16="http://schemas.microsoft.com/office/drawing/2014/main" id="{19A3049A-AA93-4FEB-B099-1128220F36D9}"/>
            </a:ext>
          </a:extLst>
        </xdr:cNvPr>
        <xdr:cNvSpPr/>
      </xdr:nvSpPr>
      <xdr:spPr>
        <a:xfrm rot="10800000">
          <a:off x="369570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513</xdr:row>
      <xdr:rowOff>0</xdr:rowOff>
    </xdr:from>
    <xdr:to>
      <xdr:col>71</xdr:col>
      <xdr:colOff>83820</xdr:colOff>
      <xdr:row>513</xdr:row>
      <xdr:rowOff>114300</xdr:rowOff>
    </xdr:to>
    <xdr:sp macro="" textlink="">
      <xdr:nvSpPr>
        <xdr:cNvPr id="3780" name="Arrow: Down 3779">
          <a:extLst>
            <a:ext uri="{FF2B5EF4-FFF2-40B4-BE49-F238E27FC236}">
              <a16:creationId xmlns:a16="http://schemas.microsoft.com/office/drawing/2014/main" id="{F8E3E1F6-13DE-4F43-BCFE-B814DC31053A}"/>
            </a:ext>
          </a:extLst>
        </xdr:cNvPr>
        <xdr:cNvSpPr/>
      </xdr:nvSpPr>
      <xdr:spPr>
        <a:xfrm rot="10800000">
          <a:off x="2163318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513</xdr:row>
      <xdr:rowOff>0</xdr:rowOff>
    </xdr:from>
    <xdr:to>
      <xdr:col>24</xdr:col>
      <xdr:colOff>83820</xdr:colOff>
      <xdr:row>513</xdr:row>
      <xdr:rowOff>114300</xdr:rowOff>
    </xdr:to>
    <xdr:sp macro="" textlink="">
      <xdr:nvSpPr>
        <xdr:cNvPr id="3784" name="Arrow: Down 3783">
          <a:extLst>
            <a:ext uri="{FF2B5EF4-FFF2-40B4-BE49-F238E27FC236}">
              <a16:creationId xmlns:a16="http://schemas.microsoft.com/office/drawing/2014/main" id="{4E4EBA04-B6EB-432D-B47F-ADA14C56C1FF}"/>
            </a:ext>
          </a:extLst>
        </xdr:cNvPr>
        <xdr:cNvSpPr/>
      </xdr:nvSpPr>
      <xdr:spPr>
        <a:xfrm rot="10800000">
          <a:off x="8336280" y="9391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513</xdr:row>
      <xdr:rowOff>0</xdr:rowOff>
    </xdr:from>
    <xdr:to>
      <xdr:col>39</xdr:col>
      <xdr:colOff>83820</xdr:colOff>
      <xdr:row>513</xdr:row>
      <xdr:rowOff>114300</xdr:rowOff>
    </xdr:to>
    <xdr:sp macro="" textlink="">
      <xdr:nvSpPr>
        <xdr:cNvPr id="3786" name="Arrow: Down 3785">
          <a:extLst>
            <a:ext uri="{FF2B5EF4-FFF2-40B4-BE49-F238E27FC236}">
              <a16:creationId xmlns:a16="http://schemas.microsoft.com/office/drawing/2014/main" id="{F96C4706-0DE8-4694-A30A-757463513A68}"/>
            </a:ext>
          </a:extLst>
        </xdr:cNvPr>
        <xdr:cNvSpPr/>
      </xdr:nvSpPr>
      <xdr:spPr>
        <a:xfrm rot="10800000">
          <a:off x="11544300" y="9391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513</xdr:row>
      <xdr:rowOff>0</xdr:rowOff>
    </xdr:from>
    <xdr:to>
      <xdr:col>60</xdr:col>
      <xdr:colOff>83820</xdr:colOff>
      <xdr:row>513</xdr:row>
      <xdr:rowOff>114300</xdr:rowOff>
    </xdr:to>
    <xdr:sp macro="" textlink="">
      <xdr:nvSpPr>
        <xdr:cNvPr id="3801" name="Arrow: Down 3800">
          <a:extLst>
            <a:ext uri="{FF2B5EF4-FFF2-40B4-BE49-F238E27FC236}">
              <a16:creationId xmlns:a16="http://schemas.microsoft.com/office/drawing/2014/main" id="{190D90A4-92B8-45CB-8F9D-858298058EF5}"/>
            </a:ext>
          </a:extLst>
        </xdr:cNvPr>
        <xdr:cNvSpPr/>
      </xdr:nvSpPr>
      <xdr:spPr>
        <a:xfrm>
          <a:off x="19080480" y="9391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514</xdr:row>
      <xdr:rowOff>0</xdr:rowOff>
    </xdr:from>
    <xdr:to>
      <xdr:col>45</xdr:col>
      <xdr:colOff>83820</xdr:colOff>
      <xdr:row>514</xdr:row>
      <xdr:rowOff>114300</xdr:rowOff>
    </xdr:to>
    <xdr:sp macro="" textlink="">
      <xdr:nvSpPr>
        <xdr:cNvPr id="3804" name="Arrow: Down 3803">
          <a:extLst>
            <a:ext uri="{FF2B5EF4-FFF2-40B4-BE49-F238E27FC236}">
              <a16:creationId xmlns:a16="http://schemas.microsoft.com/office/drawing/2014/main" id="{D203F449-026C-4F25-AE6C-3732B4786D3F}"/>
            </a:ext>
          </a:extLst>
        </xdr:cNvPr>
        <xdr:cNvSpPr/>
      </xdr:nvSpPr>
      <xdr:spPr>
        <a:xfrm>
          <a:off x="13403580" y="9391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514</xdr:row>
      <xdr:rowOff>0</xdr:rowOff>
    </xdr:from>
    <xdr:to>
      <xdr:col>71</xdr:col>
      <xdr:colOff>83820</xdr:colOff>
      <xdr:row>514</xdr:row>
      <xdr:rowOff>114300</xdr:rowOff>
    </xdr:to>
    <xdr:sp macro="" textlink="">
      <xdr:nvSpPr>
        <xdr:cNvPr id="3811" name="Arrow: Down 3810">
          <a:extLst>
            <a:ext uri="{FF2B5EF4-FFF2-40B4-BE49-F238E27FC236}">
              <a16:creationId xmlns:a16="http://schemas.microsoft.com/office/drawing/2014/main" id="{5D7F0CDA-57C2-4C03-ABD5-EA72BDD61BFF}"/>
            </a:ext>
          </a:extLst>
        </xdr:cNvPr>
        <xdr:cNvSpPr/>
      </xdr:nvSpPr>
      <xdr:spPr>
        <a:xfrm rot="10800000">
          <a:off x="21633180" y="9391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514</xdr:row>
      <xdr:rowOff>0</xdr:rowOff>
    </xdr:from>
    <xdr:to>
      <xdr:col>60</xdr:col>
      <xdr:colOff>83820</xdr:colOff>
      <xdr:row>514</xdr:row>
      <xdr:rowOff>114300</xdr:rowOff>
    </xdr:to>
    <xdr:sp macro="" textlink="">
      <xdr:nvSpPr>
        <xdr:cNvPr id="3818" name="Arrow: Down 3817">
          <a:extLst>
            <a:ext uri="{FF2B5EF4-FFF2-40B4-BE49-F238E27FC236}">
              <a16:creationId xmlns:a16="http://schemas.microsoft.com/office/drawing/2014/main" id="{B771A243-1324-4B77-8E55-5970E4E8CC08}"/>
            </a:ext>
          </a:extLst>
        </xdr:cNvPr>
        <xdr:cNvSpPr/>
      </xdr:nvSpPr>
      <xdr:spPr>
        <a:xfrm>
          <a:off x="19080480" y="9391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514</xdr:row>
      <xdr:rowOff>0</xdr:rowOff>
    </xdr:from>
    <xdr:to>
      <xdr:col>39</xdr:col>
      <xdr:colOff>83820</xdr:colOff>
      <xdr:row>514</xdr:row>
      <xdr:rowOff>114300</xdr:rowOff>
    </xdr:to>
    <xdr:sp macro="" textlink="">
      <xdr:nvSpPr>
        <xdr:cNvPr id="3820" name="Arrow: Down 3819">
          <a:extLst>
            <a:ext uri="{FF2B5EF4-FFF2-40B4-BE49-F238E27FC236}">
              <a16:creationId xmlns:a16="http://schemas.microsoft.com/office/drawing/2014/main" id="{3FB38879-3181-4F4F-8982-DBF1EECBC2F5}"/>
            </a:ext>
          </a:extLst>
        </xdr:cNvPr>
        <xdr:cNvSpPr/>
      </xdr:nvSpPr>
      <xdr:spPr>
        <a:xfrm>
          <a:off x="11544300" y="9409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514</xdr:row>
      <xdr:rowOff>0</xdr:rowOff>
    </xdr:from>
    <xdr:to>
      <xdr:col>5</xdr:col>
      <xdr:colOff>83820</xdr:colOff>
      <xdr:row>514</xdr:row>
      <xdr:rowOff>114300</xdr:rowOff>
    </xdr:to>
    <xdr:sp macro="" textlink="">
      <xdr:nvSpPr>
        <xdr:cNvPr id="3821" name="Arrow: Down 3820">
          <a:extLst>
            <a:ext uri="{FF2B5EF4-FFF2-40B4-BE49-F238E27FC236}">
              <a16:creationId xmlns:a16="http://schemas.microsoft.com/office/drawing/2014/main" id="{D7FE6C69-5A5A-4A25-A44A-F937E53F1F21}"/>
            </a:ext>
          </a:extLst>
        </xdr:cNvPr>
        <xdr:cNvSpPr/>
      </xdr:nvSpPr>
      <xdr:spPr>
        <a:xfrm>
          <a:off x="192786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514</xdr:row>
      <xdr:rowOff>0</xdr:rowOff>
    </xdr:from>
    <xdr:to>
      <xdr:col>11</xdr:col>
      <xdr:colOff>83820</xdr:colOff>
      <xdr:row>514</xdr:row>
      <xdr:rowOff>114300</xdr:rowOff>
    </xdr:to>
    <xdr:sp macro="" textlink="">
      <xdr:nvSpPr>
        <xdr:cNvPr id="3822" name="Arrow: Down 3821">
          <a:extLst>
            <a:ext uri="{FF2B5EF4-FFF2-40B4-BE49-F238E27FC236}">
              <a16:creationId xmlns:a16="http://schemas.microsoft.com/office/drawing/2014/main" id="{710D1823-0A72-4CBD-A76D-89D10E2F1CF2}"/>
            </a:ext>
          </a:extLst>
        </xdr:cNvPr>
        <xdr:cNvSpPr/>
      </xdr:nvSpPr>
      <xdr:spPr>
        <a:xfrm>
          <a:off x="369570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514</xdr:row>
      <xdr:rowOff>0</xdr:rowOff>
    </xdr:from>
    <xdr:to>
      <xdr:col>24</xdr:col>
      <xdr:colOff>83820</xdr:colOff>
      <xdr:row>514</xdr:row>
      <xdr:rowOff>114300</xdr:rowOff>
    </xdr:to>
    <xdr:sp macro="" textlink="">
      <xdr:nvSpPr>
        <xdr:cNvPr id="3823" name="Arrow: Down 3822">
          <a:extLst>
            <a:ext uri="{FF2B5EF4-FFF2-40B4-BE49-F238E27FC236}">
              <a16:creationId xmlns:a16="http://schemas.microsoft.com/office/drawing/2014/main" id="{40B45EC2-155B-408A-89B9-8FE3D6B36A0C}"/>
            </a:ext>
          </a:extLst>
        </xdr:cNvPr>
        <xdr:cNvSpPr/>
      </xdr:nvSpPr>
      <xdr:spPr>
        <a:xfrm>
          <a:off x="833628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515</xdr:row>
      <xdr:rowOff>0</xdr:rowOff>
    </xdr:from>
    <xdr:to>
      <xdr:col>45</xdr:col>
      <xdr:colOff>83820</xdr:colOff>
      <xdr:row>515</xdr:row>
      <xdr:rowOff>114300</xdr:rowOff>
    </xdr:to>
    <xdr:sp macro="" textlink="">
      <xdr:nvSpPr>
        <xdr:cNvPr id="3828" name="Arrow: Down 3827">
          <a:extLst>
            <a:ext uri="{FF2B5EF4-FFF2-40B4-BE49-F238E27FC236}">
              <a16:creationId xmlns:a16="http://schemas.microsoft.com/office/drawing/2014/main" id="{E7D2752C-62EA-4B4B-8A44-7A272BDB8659}"/>
            </a:ext>
          </a:extLst>
        </xdr:cNvPr>
        <xdr:cNvSpPr/>
      </xdr:nvSpPr>
      <xdr:spPr>
        <a:xfrm>
          <a:off x="13403580" y="9409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515</xdr:row>
      <xdr:rowOff>0</xdr:rowOff>
    </xdr:from>
    <xdr:to>
      <xdr:col>60</xdr:col>
      <xdr:colOff>83820</xdr:colOff>
      <xdr:row>515</xdr:row>
      <xdr:rowOff>114300</xdr:rowOff>
    </xdr:to>
    <xdr:sp macro="" textlink="">
      <xdr:nvSpPr>
        <xdr:cNvPr id="3833" name="Arrow: Down 3832">
          <a:extLst>
            <a:ext uri="{FF2B5EF4-FFF2-40B4-BE49-F238E27FC236}">
              <a16:creationId xmlns:a16="http://schemas.microsoft.com/office/drawing/2014/main" id="{3F56D210-36B2-4469-9BA7-93A15EF7F07E}"/>
            </a:ext>
          </a:extLst>
        </xdr:cNvPr>
        <xdr:cNvSpPr/>
      </xdr:nvSpPr>
      <xdr:spPr>
        <a:xfrm>
          <a:off x="1908048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515</xdr:row>
      <xdr:rowOff>0</xdr:rowOff>
    </xdr:from>
    <xdr:to>
      <xdr:col>39</xdr:col>
      <xdr:colOff>83820</xdr:colOff>
      <xdr:row>515</xdr:row>
      <xdr:rowOff>114300</xdr:rowOff>
    </xdr:to>
    <xdr:sp macro="" textlink="">
      <xdr:nvSpPr>
        <xdr:cNvPr id="3834" name="Arrow: Down 3833">
          <a:extLst>
            <a:ext uri="{FF2B5EF4-FFF2-40B4-BE49-F238E27FC236}">
              <a16:creationId xmlns:a16="http://schemas.microsoft.com/office/drawing/2014/main" id="{99715FDD-44A4-45CA-BE08-CF66796DB891}"/>
            </a:ext>
          </a:extLst>
        </xdr:cNvPr>
        <xdr:cNvSpPr/>
      </xdr:nvSpPr>
      <xdr:spPr>
        <a:xfrm>
          <a:off x="11544300" y="9409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515</xdr:row>
      <xdr:rowOff>0</xdr:rowOff>
    </xdr:from>
    <xdr:to>
      <xdr:col>5</xdr:col>
      <xdr:colOff>83820</xdr:colOff>
      <xdr:row>515</xdr:row>
      <xdr:rowOff>114300</xdr:rowOff>
    </xdr:to>
    <xdr:sp macro="" textlink="">
      <xdr:nvSpPr>
        <xdr:cNvPr id="3835" name="Arrow: Down 3834">
          <a:extLst>
            <a:ext uri="{FF2B5EF4-FFF2-40B4-BE49-F238E27FC236}">
              <a16:creationId xmlns:a16="http://schemas.microsoft.com/office/drawing/2014/main" id="{ADA0ADDB-FF06-460C-8352-8FDDB63D25A3}"/>
            </a:ext>
          </a:extLst>
        </xdr:cNvPr>
        <xdr:cNvSpPr/>
      </xdr:nvSpPr>
      <xdr:spPr>
        <a:xfrm>
          <a:off x="192786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515</xdr:row>
      <xdr:rowOff>0</xdr:rowOff>
    </xdr:from>
    <xdr:to>
      <xdr:col>11</xdr:col>
      <xdr:colOff>83820</xdr:colOff>
      <xdr:row>515</xdr:row>
      <xdr:rowOff>114300</xdr:rowOff>
    </xdr:to>
    <xdr:sp macro="" textlink="">
      <xdr:nvSpPr>
        <xdr:cNvPr id="3839" name="Arrow: Down 3838">
          <a:extLst>
            <a:ext uri="{FF2B5EF4-FFF2-40B4-BE49-F238E27FC236}">
              <a16:creationId xmlns:a16="http://schemas.microsoft.com/office/drawing/2014/main" id="{81FEA34F-5916-4B37-9ABE-12EB4E59F836}"/>
            </a:ext>
          </a:extLst>
        </xdr:cNvPr>
        <xdr:cNvSpPr/>
      </xdr:nvSpPr>
      <xdr:spPr>
        <a:xfrm>
          <a:off x="369570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515</xdr:row>
      <xdr:rowOff>0</xdr:rowOff>
    </xdr:from>
    <xdr:to>
      <xdr:col>24</xdr:col>
      <xdr:colOff>83820</xdr:colOff>
      <xdr:row>515</xdr:row>
      <xdr:rowOff>114300</xdr:rowOff>
    </xdr:to>
    <xdr:sp macro="" textlink="">
      <xdr:nvSpPr>
        <xdr:cNvPr id="3842" name="Arrow: Down 3841">
          <a:extLst>
            <a:ext uri="{FF2B5EF4-FFF2-40B4-BE49-F238E27FC236}">
              <a16:creationId xmlns:a16="http://schemas.microsoft.com/office/drawing/2014/main" id="{46262146-6D20-4530-AA97-88665B5B07CE}"/>
            </a:ext>
          </a:extLst>
        </xdr:cNvPr>
        <xdr:cNvSpPr/>
      </xdr:nvSpPr>
      <xdr:spPr>
        <a:xfrm>
          <a:off x="833628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515</xdr:row>
      <xdr:rowOff>0</xdr:rowOff>
    </xdr:from>
    <xdr:to>
      <xdr:col>71</xdr:col>
      <xdr:colOff>83820</xdr:colOff>
      <xdr:row>515</xdr:row>
      <xdr:rowOff>114300</xdr:rowOff>
    </xdr:to>
    <xdr:sp macro="" textlink="">
      <xdr:nvSpPr>
        <xdr:cNvPr id="3844" name="Arrow: Down 3843">
          <a:extLst>
            <a:ext uri="{FF2B5EF4-FFF2-40B4-BE49-F238E27FC236}">
              <a16:creationId xmlns:a16="http://schemas.microsoft.com/office/drawing/2014/main" id="{9E6F32C4-4D82-4FB8-B0FC-0CE78BB2A886}"/>
            </a:ext>
          </a:extLst>
        </xdr:cNvPr>
        <xdr:cNvSpPr/>
      </xdr:nvSpPr>
      <xdr:spPr>
        <a:xfrm>
          <a:off x="21633180" y="9428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516</xdr:row>
      <xdr:rowOff>0</xdr:rowOff>
    </xdr:from>
    <xdr:to>
      <xdr:col>45</xdr:col>
      <xdr:colOff>83820</xdr:colOff>
      <xdr:row>516</xdr:row>
      <xdr:rowOff>114300</xdr:rowOff>
    </xdr:to>
    <xdr:sp macro="" textlink="">
      <xdr:nvSpPr>
        <xdr:cNvPr id="3671" name="Arrow: Down 3670">
          <a:extLst>
            <a:ext uri="{FF2B5EF4-FFF2-40B4-BE49-F238E27FC236}">
              <a16:creationId xmlns:a16="http://schemas.microsoft.com/office/drawing/2014/main" id="{84F7631C-7F69-4D88-8F85-8F140957C855}"/>
            </a:ext>
          </a:extLst>
        </xdr:cNvPr>
        <xdr:cNvSpPr/>
      </xdr:nvSpPr>
      <xdr:spPr>
        <a:xfrm>
          <a:off x="13403580" y="9428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516</xdr:row>
      <xdr:rowOff>0</xdr:rowOff>
    </xdr:from>
    <xdr:to>
      <xdr:col>71</xdr:col>
      <xdr:colOff>83820</xdr:colOff>
      <xdr:row>516</xdr:row>
      <xdr:rowOff>114300</xdr:rowOff>
    </xdr:to>
    <xdr:sp macro="" textlink="">
      <xdr:nvSpPr>
        <xdr:cNvPr id="3736" name="Arrow: Down 3735">
          <a:extLst>
            <a:ext uri="{FF2B5EF4-FFF2-40B4-BE49-F238E27FC236}">
              <a16:creationId xmlns:a16="http://schemas.microsoft.com/office/drawing/2014/main" id="{53F999F7-D7E9-47F9-9E79-F648729E87A5}"/>
            </a:ext>
          </a:extLst>
        </xdr:cNvPr>
        <xdr:cNvSpPr/>
      </xdr:nvSpPr>
      <xdr:spPr>
        <a:xfrm>
          <a:off x="21633180" y="9428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516</xdr:row>
      <xdr:rowOff>0</xdr:rowOff>
    </xdr:from>
    <xdr:to>
      <xdr:col>39</xdr:col>
      <xdr:colOff>83820</xdr:colOff>
      <xdr:row>516</xdr:row>
      <xdr:rowOff>114300</xdr:rowOff>
    </xdr:to>
    <xdr:sp macro="" textlink="">
      <xdr:nvSpPr>
        <xdr:cNvPr id="3740" name="Arrow: Down 3739">
          <a:extLst>
            <a:ext uri="{FF2B5EF4-FFF2-40B4-BE49-F238E27FC236}">
              <a16:creationId xmlns:a16="http://schemas.microsoft.com/office/drawing/2014/main" id="{F5F0C135-0C59-40EC-928C-33C593ED4C46}"/>
            </a:ext>
          </a:extLst>
        </xdr:cNvPr>
        <xdr:cNvSpPr/>
      </xdr:nvSpPr>
      <xdr:spPr>
        <a:xfrm rot="10800000">
          <a:off x="11544300" y="9446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516</xdr:row>
      <xdr:rowOff>0</xdr:rowOff>
    </xdr:from>
    <xdr:to>
      <xdr:col>5</xdr:col>
      <xdr:colOff>83820</xdr:colOff>
      <xdr:row>516</xdr:row>
      <xdr:rowOff>114300</xdr:rowOff>
    </xdr:to>
    <xdr:sp macro="" textlink="">
      <xdr:nvSpPr>
        <xdr:cNvPr id="3743" name="Arrow: Down 3742">
          <a:extLst>
            <a:ext uri="{FF2B5EF4-FFF2-40B4-BE49-F238E27FC236}">
              <a16:creationId xmlns:a16="http://schemas.microsoft.com/office/drawing/2014/main" id="{76140EAE-9580-4ACB-B678-E7D8C653A7B2}"/>
            </a:ext>
          </a:extLst>
        </xdr:cNvPr>
        <xdr:cNvSpPr/>
      </xdr:nvSpPr>
      <xdr:spPr>
        <a:xfrm rot="10800000">
          <a:off x="192786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516</xdr:row>
      <xdr:rowOff>0</xdr:rowOff>
    </xdr:from>
    <xdr:to>
      <xdr:col>11</xdr:col>
      <xdr:colOff>83820</xdr:colOff>
      <xdr:row>516</xdr:row>
      <xdr:rowOff>114300</xdr:rowOff>
    </xdr:to>
    <xdr:sp macro="" textlink="">
      <xdr:nvSpPr>
        <xdr:cNvPr id="3756" name="Arrow: Down 3755">
          <a:extLst>
            <a:ext uri="{FF2B5EF4-FFF2-40B4-BE49-F238E27FC236}">
              <a16:creationId xmlns:a16="http://schemas.microsoft.com/office/drawing/2014/main" id="{C4F1BB63-E21C-4A10-B4BC-F05D312F16F2}"/>
            </a:ext>
          </a:extLst>
        </xdr:cNvPr>
        <xdr:cNvSpPr/>
      </xdr:nvSpPr>
      <xdr:spPr>
        <a:xfrm rot="10800000">
          <a:off x="369570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516</xdr:row>
      <xdr:rowOff>0</xdr:rowOff>
    </xdr:from>
    <xdr:to>
      <xdr:col>24</xdr:col>
      <xdr:colOff>83820</xdr:colOff>
      <xdr:row>516</xdr:row>
      <xdr:rowOff>114300</xdr:rowOff>
    </xdr:to>
    <xdr:sp macro="" textlink="">
      <xdr:nvSpPr>
        <xdr:cNvPr id="3779" name="Arrow: Down 3778">
          <a:extLst>
            <a:ext uri="{FF2B5EF4-FFF2-40B4-BE49-F238E27FC236}">
              <a16:creationId xmlns:a16="http://schemas.microsoft.com/office/drawing/2014/main" id="{C7850EB8-3A4F-4E52-8484-9FD1E7786223}"/>
            </a:ext>
          </a:extLst>
        </xdr:cNvPr>
        <xdr:cNvSpPr/>
      </xdr:nvSpPr>
      <xdr:spPr>
        <a:xfrm rot="10800000">
          <a:off x="83362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517</xdr:row>
      <xdr:rowOff>0</xdr:rowOff>
    </xdr:from>
    <xdr:to>
      <xdr:col>45</xdr:col>
      <xdr:colOff>83820</xdr:colOff>
      <xdr:row>517</xdr:row>
      <xdr:rowOff>114300</xdr:rowOff>
    </xdr:to>
    <xdr:sp macro="" textlink="">
      <xdr:nvSpPr>
        <xdr:cNvPr id="3781" name="Arrow: Down 3780">
          <a:extLst>
            <a:ext uri="{FF2B5EF4-FFF2-40B4-BE49-F238E27FC236}">
              <a16:creationId xmlns:a16="http://schemas.microsoft.com/office/drawing/2014/main" id="{BC32666A-1108-40F8-B40D-65C47C028B33}"/>
            </a:ext>
          </a:extLst>
        </xdr:cNvPr>
        <xdr:cNvSpPr/>
      </xdr:nvSpPr>
      <xdr:spPr>
        <a:xfrm>
          <a:off x="134035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517</xdr:row>
      <xdr:rowOff>0</xdr:rowOff>
    </xdr:from>
    <xdr:to>
      <xdr:col>24</xdr:col>
      <xdr:colOff>83820</xdr:colOff>
      <xdr:row>517</xdr:row>
      <xdr:rowOff>114300</xdr:rowOff>
    </xdr:to>
    <xdr:sp macro="" textlink="">
      <xdr:nvSpPr>
        <xdr:cNvPr id="3817" name="Arrow: Down 3816">
          <a:extLst>
            <a:ext uri="{FF2B5EF4-FFF2-40B4-BE49-F238E27FC236}">
              <a16:creationId xmlns:a16="http://schemas.microsoft.com/office/drawing/2014/main" id="{915B14F1-0A6D-4A39-ACE7-7BF9051F4C4B}"/>
            </a:ext>
          </a:extLst>
        </xdr:cNvPr>
        <xdr:cNvSpPr/>
      </xdr:nvSpPr>
      <xdr:spPr>
        <a:xfrm rot="10800000">
          <a:off x="83362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517</xdr:row>
      <xdr:rowOff>0</xdr:rowOff>
    </xdr:from>
    <xdr:to>
      <xdr:col>5</xdr:col>
      <xdr:colOff>83820</xdr:colOff>
      <xdr:row>517</xdr:row>
      <xdr:rowOff>114300</xdr:rowOff>
    </xdr:to>
    <xdr:sp macro="" textlink="">
      <xdr:nvSpPr>
        <xdr:cNvPr id="3819" name="Arrow: Down 3818">
          <a:extLst>
            <a:ext uri="{FF2B5EF4-FFF2-40B4-BE49-F238E27FC236}">
              <a16:creationId xmlns:a16="http://schemas.microsoft.com/office/drawing/2014/main" id="{5A51F690-D763-4B2C-A267-DD8D00E8D6DF}"/>
            </a:ext>
          </a:extLst>
        </xdr:cNvPr>
        <xdr:cNvSpPr/>
      </xdr:nvSpPr>
      <xdr:spPr>
        <a:xfrm>
          <a:off x="1927860" y="9464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517</xdr:row>
      <xdr:rowOff>0</xdr:rowOff>
    </xdr:from>
    <xdr:to>
      <xdr:col>11</xdr:col>
      <xdr:colOff>83820</xdr:colOff>
      <xdr:row>517</xdr:row>
      <xdr:rowOff>114300</xdr:rowOff>
    </xdr:to>
    <xdr:sp macro="" textlink="">
      <xdr:nvSpPr>
        <xdr:cNvPr id="3830" name="Arrow: Down 3829">
          <a:extLst>
            <a:ext uri="{FF2B5EF4-FFF2-40B4-BE49-F238E27FC236}">
              <a16:creationId xmlns:a16="http://schemas.microsoft.com/office/drawing/2014/main" id="{8DD2833D-5D82-4863-A4D4-A291B25BA245}"/>
            </a:ext>
          </a:extLst>
        </xdr:cNvPr>
        <xdr:cNvSpPr/>
      </xdr:nvSpPr>
      <xdr:spPr>
        <a:xfrm>
          <a:off x="3695700" y="9464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517</xdr:row>
      <xdr:rowOff>0</xdr:rowOff>
    </xdr:from>
    <xdr:to>
      <xdr:col>39</xdr:col>
      <xdr:colOff>83820</xdr:colOff>
      <xdr:row>517</xdr:row>
      <xdr:rowOff>114300</xdr:rowOff>
    </xdr:to>
    <xdr:sp macro="" textlink="">
      <xdr:nvSpPr>
        <xdr:cNvPr id="3845" name="Arrow: Down 3844">
          <a:extLst>
            <a:ext uri="{FF2B5EF4-FFF2-40B4-BE49-F238E27FC236}">
              <a16:creationId xmlns:a16="http://schemas.microsoft.com/office/drawing/2014/main" id="{51FC16DF-B26C-4899-B30D-2996A6805613}"/>
            </a:ext>
          </a:extLst>
        </xdr:cNvPr>
        <xdr:cNvSpPr/>
      </xdr:nvSpPr>
      <xdr:spPr>
        <a:xfrm>
          <a:off x="1154430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517</xdr:row>
      <xdr:rowOff>0</xdr:rowOff>
    </xdr:from>
    <xdr:to>
      <xdr:col>71</xdr:col>
      <xdr:colOff>83820</xdr:colOff>
      <xdr:row>517</xdr:row>
      <xdr:rowOff>114300</xdr:rowOff>
    </xdr:to>
    <xdr:sp macro="" textlink="">
      <xdr:nvSpPr>
        <xdr:cNvPr id="3847" name="Arrow: Down 3846">
          <a:extLst>
            <a:ext uri="{FF2B5EF4-FFF2-40B4-BE49-F238E27FC236}">
              <a16:creationId xmlns:a16="http://schemas.microsoft.com/office/drawing/2014/main" id="{AA4DC3B3-5088-43F4-B03F-02F15233C2D9}"/>
            </a:ext>
          </a:extLst>
        </xdr:cNvPr>
        <xdr:cNvSpPr/>
      </xdr:nvSpPr>
      <xdr:spPr>
        <a:xfrm rot="10800000">
          <a:off x="2163318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516</xdr:row>
      <xdr:rowOff>0</xdr:rowOff>
    </xdr:from>
    <xdr:to>
      <xdr:col>60</xdr:col>
      <xdr:colOff>83820</xdr:colOff>
      <xdr:row>516</xdr:row>
      <xdr:rowOff>114300</xdr:rowOff>
    </xdr:to>
    <xdr:sp macro="" textlink="">
      <xdr:nvSpPr>
        <xdr:cNvPr id="3853" name="Arrow: Down 3852">
          <a:extLst>
            <a:ext uri="{FF2B5EF4-FFF2-40B4-BE49-F238E27FC236}">
              <a16:creationId xmlns:a16="http://schemas.microsoft.com/office/drawing/2014/main" id="{429A9168-536D-41B0-A665-95E56CF1012F}"/>
            </a:ext>
          </a:extLst>
        </xdr:cNvPr>
        <xdr:cNvSpPr/>
      </xdr:nvSpPr>
      <xdr:spPr>
        <a:xfrm rot="10800000">
          <a:off x="190804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517</xdr:row>
      <xdr:rowOff>0</xdr:rowOff>
    </xdr:from>
    <xdr:to>
      <xdr:col>60</xdr:col>
      <xdr:colOff>83820</xdr:colOff>
      <xdr:row>517</xdr:row>
      <xdr:rowOff>114300</xdr:rowOff>
    </xdr:to>
    <xdr:sp macro="" textlink="">
      <xdr:nvSpPr>
        <xdr:cNvPr id="3858" name="Arrow: Down 3857">
          <a:extLst>
            <a:ext uri="{FF2B5EF4-FFF2-40B4-BE49-F238E27FC236}">
              <a16:creationId xmlns:a16="http://schemas.microsoft.com/office/drawing/2014/main" id="{C048CF89-A667-4FBC-8DB5-A78741342DC3}"/>
            </a:ext>
          </a:extLst>
        </xdr:cNvPr>
        <xdr:cNvSpPr/>
      </xdr:nvSpPr>
      <xdr:spPr>
        <a:xfrm rot="10800000">
          <a:off x="1908048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518</xdr:row>
      <xdr:rowOff>0</xdr:rowOff>
    </xdr:from>
    <xdr:to>
      <xdr:col>45</xdr:col>
      <xdr:colOff>83820</xdr:colOff>
      <xdr:row>518</xdr:row>
      <xdr:rowOff>114300</xdr:rowOff>
    </xdr:to>
    <xdr:sp macro="" textlink="">
      <xdr:nvSpPr>
        <xdr:cNvPr id="3875" name="Arrow: Down 3874">
          <a:extLst>
            <a:ext uri="{FF2B5EF4-FFF2-40B4-BE49-F238E27FC236}">
              <a16:creationId xmlns:a16="http://schemas.microsoft.com/office/drawing/2014/main" id="{E843CA67-29DC-4054-B453-D9EDE662AD6B}"/>
            </a:ext>
          </a:extLst>
        </xdr:cNvPr>
        <xdr:cNvSpPr/>
      </xdr:nvSpPr>
      <xdr:spPr>
        <a:xfrm>
          <a:off x="1340358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518</xdr:row>
      <xdr:rowOff>0</xdr:rowOff>
    </xdr:from>
    <xdr:to>
      <xdr:col>60</xdr:col>
      <xdr:colOff>83820</xdr:colOff>
      <xdr:row>518</xdr:row>
      <xdr:rowOff>114300</xdr:rowOff>
    </xdr:to>
    <xdr:sp macro="" textlink="">
      <xdr:nvSpPr>
        <xdr:cNvPr id="3894" name="Arrow: Down 3893">
          <a:extLst>
            <a:ext uri="{FF2B5EF4-FFF2-40B4-BE49-F238E27FC236}">
              <a16:creationId xmlns:a16="http://schemas.microsoft.com/office/drawing/2014/main" id="{52E8FC8E-844F-4D6F-B1BA-E6807072C10D}"/>
            </a:ext>
          </a:extLst>
        </xdr:cNvPr>
        <xdr:cNvSpPr/>
      </xdr:nvSpPr>
      <xdr:spPr>
        <a:xfrm>
          <a:off x="1908048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518</xdr:row>
      <xdr:rowOff>0</xdr:rowOff>
    </xdr:from>
    <xdr:to>
      <xdr:col>71</xdr:col>
      <xdr:colOff>83820</xdr:colOff>
      <xdr:row>518</xdr:row>
      <xdr:rowOff>114300</xdr:rowOff>
    </xdr:to>
    <xdr:sp macro="" textlink="">
      <xdr:nvSpPr>
        <xdr:cNvPr id="3895" name="Arrow: Down 3894">
          <a:extLst>
            <a:ext uri="{FF2B5EF4-FFF2-40B4-BE49-F238E27FC236}">
              <a16:creationId xmlns:a16="http://schemas.microsoft.com/office/drawing/2014/main" id="{4FF0A1C7-69A2-4C5F-9604-6DB1AD737BE5}"/>
            </a:ext>
          </a:extLst>
        </xdr:cNvPr>
        <xdr:cNvSpPr/>
      </xdr:nvSpPr>
      <xdr:spPr>
        <a:xfrm>
          <a:off x="2163318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518</xdr:row>
      <xdr:rowOff>0</xdr:rowOff>
    </xdr:from>
    <xdr:to>
      <xdr:col>24</xdr:col>
      <xdr:colOff>83820</xdr:colOff>
      <xdr:row>518</xdr:row>
      <xdr:rowOff>114300</xdr:rowOff>
    </xdr:to>
    <xdr:sp macro="" textlink="">
      <xdr:nvSpPr>
        <xdr:cNvPr id="3897" name="Arrow: Down 3896">
          <a:extLst>
            <a:ext uri="{FF2B5EF4-FFF2-40B4-BE49-F238E27FC236}">
              <a16:creationId xmlns:a16="http://schemas.microsoft.com/office/drawing/2014/main" id="{6172E8D6-2D39-43EC-A189-AF3580B1B02D}"/>
            </a:ext>
          </a:extLst>
        </xdr:cNvPr>
        <xdr:cNvSpPr/>
      </xdr:nvSpPr>
      <xdr:spPr>
        <a:xfrm>
          <a:off x="833628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518</xdr:row>
      <xdr:rowOff>0</xdr:rowOff>
    </xdr:from>
    <xdr:to>
      <xdr:col>39</xdr:col>
      <xdr:colOff>83820</xdr:colOff>
      <xdr:row>518</xdr:row>
      <xdr:rowOff>114300</xdr:rowOff>
    </xdr:to>
    <xdr:sp macro="" textlink="">
      <xdr:nvSpPr>
        <xdr:cNvPr id="3901" name="Arrow: Down 3900">
          <a:extLst>
            <a:ext uri="{FF2B5EF4-FFF2-40B4-BE49-F238E27FC236}">
              <a16:creationId xmlns:a16="http://schemas.microsoft.com/office/drawing/2014/main" id="{CF8B29F3-137E-4327-AB03-B3CAF9835D04}"/>
            </a:ext>
          </a:extLst>
        </xdr:cNvPr>
        <xdr:cNvSpPr/>
      </xdr:nvSpPr>
      <xdr:spPr>
        <a:xfrm rot="10800000">
          <a:off x="1154430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518</xdr:row>
      <xdr:rowOff>0</xdr:rowOff>
    </xdr:from>
    <xdr:to>
      <xdr:col>11</xdr:col>
      <xdr:colOff>83820</xdr:colOff>
      <xdr:row>518</xdr:row>
      <xdr:rowOff>114300</xdr:rowOff>
    </xdr:to>
    <xdr:sp macro="" textlink="">
      <xdr:nvSpPr>
        <xdr:cNvPr id="3903" name="Arrow: Down 3902">
          <a:extLst>
            <a:ext uri="{FF2B5EF4-FFF2-40B4-BE49-F238E27FC236}">
              <a16:creationId xmlns:a16="http://schemas.microsoft.com/office/drawing/2014/main" id="{A8274F65-ED15-4C07-9751-4D44D316F7A2}"/>
            </a:ext>
          </a:extLst>
        </xdr:cNvPr>
        <xdr:cNvSpPr/>
      </xdr:nvSpPr>
      <xdr:spPr>
        <a:xfrm rot="10800000">
          <a:off x="3695700" y="9483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518</xdr:row>
      <xdr:rowOff>0</xdr:rowOff>
    </xdr:from>
    <xdr:to>
      <xdr:col>5</xdr:col>
      <xdr:colOff>83820</xdr:colOff>
      <xdr:row>518</xdr:row>
      <xdr:rowOff>114300</xdr:rowOff>
    </xdr:to>
    <xdr:sp macro="" textlink="">
      <xdr:nvSpPr>
        <xdr:cNvPr id="3906" name="Arrow: Down 3905">
          <a:extLst>
            <a:ext uri="{FF2B5EF4-FFF2-40B4-BE49-F238E27FC236}">
              <a16:creationId xmlns:a16="http://schemas.microsoft.com/office/drawing/2014/main" id="{66DD130F-A5C9-4B28-85E4-603AE0FC000A}"/>
            </a:ext>
          </a:extLst>
        </xdr:cNvPr>
        <xdr:cNvSpPr/>
      </xdr:nvSpPr>
      <xdr:spPr>
        <a:xfrm rot="10800000">
          <a:off x="1927860" y="9483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519</xdr:row>
      <xdr:rowOff>0</xdr:rowOff>
    </xdr:from>
    <xdr:to>
      <xdr:col>45</xdr:col>
      <xdr:colOff>83820</xdr:colOff>
      <xdr:row>519</xdr:row>
      <xdr:rowOff>114300</xdr:rowOff>
    </xdr:to>
    <xdr:sp macro="" textlink="">
      <xdr:nvSpPr>
        <xdr:cNvPr id="3910" name="Arrow: Down 3909">
          <a:extLst>
            <a:ext uri="{FF2B5EF4-FFF2-40B4-BE49-F238E27FC236}">
              <a16:creationId xmlns:a16="http://schemas.microsoft.com/office/drawing/2014/main" id="{1A0B703E-AD6C-41A3-B81B-B88D703A034B}"/>
            </a:ext>
          </a:extLst>
        </xdr:cNvPr>
        <xdr:cNvSpPr/>
      </xdr:nvSpPr>
      <xdr:spPr>
        <a:xfrm>
          <a:off x="13403580" y="9483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519</xdr:row>
      <xdr:rowOff>0</xdr:rowOff>
    </xdr:from>
    <xdr:to>
      <xdr:col>71</xdr:col>
      <xdr:colOff>83820</xdr:colOff>
      <xdr:row>519</xdr:row>
      <xdr:rowOff>114300</xdr:rowOff>
    </xdr:to>
    <xdr:sp macro="" textlink="">
      <xdr:nvSpPr>
        <xdr:cNvPr id="3927" name="Arrow: Down 3926">
          <a:extLst>
            <a:ext uri="{FF2B5EF4-FFF2-40B4-BE49-F238E27FC236}">
              <a16:creationId xmlns:a16="http://schemas.microsoft.com/office/drawing/2014/main" id="{C40AF5C1-A7A6-4217-9DE8-AFECC4C42B8C}"/>
            </a:ext>
          </a:extLst>
        </xdr:cNvPr>
        <xdr:cNvSpPr/>
      </xdr:nvSpPr>
      <xdr:spPr>
        <a:xfrm rot="10800000">
          <a:off x="216331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519</xdr:row>
      <xdr:rowOff>0</xdr:rowOff>
    </xdr:from>
    <xdr:to>
      <xdr:col>60</xdr:col>
      <xdr:colOff>83820</xdr:colOff>
      <xdr:row>519</xdr:row>
      <xdr:rowOff>114300</xdr:rowOff>
    </xdr:to>
    <xdr:sp macro="" textlink="">
      <xdr:nvSpPr>
        <xdr:cNvPr id="3931" name="Arrow: Down 3930">
          <a:extLst>
            <a:ext uri="{FF2B5EF4-FFF2-40B4-BE49-F238E27FC236}">
              <a16:creationId xmlns:a16="http://schemas.microsoft.com/office/drawing/2014/main" id="{4124C662-063C-45CE-9256-61E57EFFB694}"/>
            </a:ext>
          </a:extLst>
        </xdr:cNvPr>
        <xdr:cNvSpPr/>
      </xdr:nvSpPr>
      <xdr:spPr>
        <a:xfrm rot="10800000">
          <a:off x="190804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519</xdr:row>
      <xdr:rowOff>0</xdr:rowOff>
    </xdr:from>
    <xdr:to>
      <xdr:col>5</xdr:col>
      <xdr:colOff>83820</xdr:colOff>
      <xdr:row>519</xdr:row>
      <xdr:rowOff>114300</xdr:rowOff>
    </xdr:to>
    <xdr:sp macro="" textlink="">
      <xdr:nvSpPr>
        <xdr:cNvPr id="3932" name="Arrow: Down 3931">
          <a:extLst>
            <a:ext uri="{FF2B5EF4-FFF2-40B4-BE49-F238E27FC236}">
              <a16:creationId xmlns:a16="http://schemas.microsoft.com/office/drawing/2014/main" id="{08598EE5-E1A5-4ABD-BC9E-7D151160681A}"/>
            </a:ext>
          </a:extLst>
        </xdr:cNvPr>
        <xdr:cNvSpPr/>
      </xdr:nvSpPr>
      <xdr:spPr>
        <a:xfrm>
          <a:off x="1927860" y="9501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519</xdr:row>
      <xdr:rowOff>0</xdr:rowOff>
    </xdr:from>
    <xdr:to>
      <xdr:col>11</xdr:col>
      <xdr:colOff>83820</xdr:colOff>
      <xdr:row>519</xdr:row>
      <xdr:rowOff>114300</xdr:rowOff>
    </xdr:to>
    <xdr:sp macro="" textlink="">
      <xdr:nvSpPr>
        <xdr:cNvPr id="3936" name="Arrow: Down 3935">
          <a:extLst>
            <a:ext uri="{FF2B5EF4-FFF2-40B4-BE49-F238E27FC236}">
              <a16:creationId xmlns:a16="http://schemas.microsoft.com/office/drawing/2014/main" id="{8BBE6D55-6DA8-441B-A924-3848EF111DEA}"/>
            </a:ext>
          </a:extLst>
        </xdr:cNvPr>
        <xdr:cNvSpPr/>
      </xdr:nvSpPr>
      <xdr:spPr>
        <a:xfrm>
          <a:off x="3695700" y="9501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519</xdr:row>
      <xdr:rowOff>0</xdr:rowOff>
    </xdr:from>
    <xdr:to>
      <xdr:col>39</xdr:col>
      <xdr:colOff>83820</xdr:colOff>
      <xdr:row>519</xdr:row>
      <xdr:rowOff>114300</xdr:rowOff>
    </xdr:to>
    <xdr:sp macro="" textlink="">
      <xdr:nvSpPr>
        <xdr:cNvPr id="3937" name="Arrow: Down 3936">
          <a:extLst>
            <a:ext uri="{FF2B5EF4-FFF2-40B4-BE49-F238E27FC236}">
              <a16:creationId xmlns:a16="http://schemas.microsoft.com/office/drawing/2014/main" id="{CE571756-3F46-4E80-A3A8-3940ABB4EAAA}"/>
            </a:ext>
          </a:extLst>
        </xdr:cNvPr>
        <xdr:cNvSpPr/>
      </xdr:nvSpPr>
      <xdr:spPr>
        <a:xfrm>
          <a:off x="1154430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519</xdr:row>
      <xdr:rowOff>0</xdr:rowOff>
    </xdr:from>
    <xdr:to>
      <xdr:col>24</xdr:col>
      <xdr:colOff>83820</xdr:colOff>
      <xdr:row>519</xdr:row>
      <xdr:rowOff>114300</xdr:rowOff>
    </xdr:to>
    <xdr:sp macro="" textlink="">
      <xdr:nvSpPr>
        <xdr:cNvPr id="3938" name="Arrow: Down 3937">
          <a:extLst>
            <a:ext uri="{FF2B5EF4-FFF2-40B4-BE49-F238E27FC236}">
              <a16:creationId xmlns:a16="http://schemas.microsoft.com/office/drawing/2014/main" id="{BD5FCDD4-E202-4C94-9224-37A680695292}"/>
            </a:ext>
          </a:extLst>
        </xdr:cNvPr>
        <xdr:cNvSpPr/>
      </xdr:nvSpPr>
      <xdr:spPr>
        <a:xfrm rot="10800000">
          <a:off x="83362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520</xdr:row>
      <xdr:rowOff>0</xdr:rowOff>
    </xdr:from>
    <xdr:to>
      <xdr:col>45</xdr:col>
      <xdr:colOff>83820</xdr:colOff>
      <xdr:row>520</xdr:row>
      <xdr:rowOff>114300</xdr:rowOff>
    </xdr:to>
    <xdr:sp macro="" textlink="">
      <xdr:nvSpPr>
        <xdr:cNvPr id="3940" name="Arrow: Down 3939">
          <a:extLst>
            <a:ext uri="{FF2B5EF4-FFF2-40B4-BE49-F238E27FC236}">
              <a16:creationId xmlns:a16="http://schemas.microsoft.com/office/drawing/2014/main" id="{F41A4114-5375-46C5-9682-2AD39081D36C}"/>
            </a:ext>
          </a:extLst>
        </xdr:cNvPr>
        <xdr:cNvSpPr/>
      </xdr:nvSpPr>
      <xdr:spPr>
        <a:xfrm>
          <a:off x="134035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520</xdr:row>
      <xdr:rowOff>0</xdr:rowOff>
    </xdr:from>
    <xdr:to>
      <xdr:col>71</xdr:col>
      <xdr:colOff>83820</xdr:colOff>
      <xdr:row>520</xdr:row>
      <xdr:rowOff>114300</xdr:rowOff>
    </xdr:to>
    <xdr:sp macro="" textlink="">
      <xdr:nvSpPr>
        <xdr:cNvPr id="3942" name="Arrow: Down 3941">
          <a:extLst>
            <a:ext uri="{FF2B5EF4-FFF2-40B4-BE49-F238E27FC236}">
              <a16:creationId xmlns:a16="http://schemas.microsoft.com/office/drawing/2014/main" id="{D200FEAC-7C1F-48D2-B162-036ECC5657F3}"/>
            </a:ext>
          </a:extLst>
        </xdr:cNvPr>
        <xdr:cNvSpPr/>
      </xdr:nvSpPr>
      <xdr:spPr>
        <a:xfrm rot="10800000">
          <a:off x="216331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520</xdr:row>
      <xdr:rowOff>0</xdr:rowOff>
    </xdr:from>
    <xdr:to>
      <xdr:col>39</xdr:col>
      <xdr:colOff>83820</xdr:colOff>
      <xdr:row>520</xdr:row>
      <xdr:rowOff>114300</xdr:rowOff>
    </xdr:to>
    <xdr:sp macro="" textlink="">
      <xdr:nvSpPr>
        <xdr:cNvPr id="3947" name="Arrow: Down 3946">
          <a:extLst>
            <a:ext uri="{FF2B5EF4-FFF2-40B4-BE49-F238E27FC236}">
              <a16:creationId xmlns:a16="http://schemas.microsoft.com/office/drawing/2014/main" id="{0C6DA01E-A536-459E-B515-ECD666F03A9B}"/>
            </a:ext>
          </a:extLst>
        </xdr:cNvPr>
        <xdr:cNvSpPr/>
      </xdr:nvSpPr>
      <xdr:spPr>
        <a:xfrm>
          <a:off x="1154430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520</xdr:row>
      <xdr:rowOff>0</xdr:rowOff>
    </xdr:from>
    <xdr:to>
      <xdr:col>60</xdr:col>
      <xdr:colOff>83820</xdr:colOff>
      <xdr:row>520</xdr:row>
      <xdr:rowOff>114300</xdr:rowOff>
    </xdr:to>
    <xdr:sp macro="" textlink="">
      <xdr:nvSpPr>
        <xdr:cNvPr id="3949" name="Arrow: Down 3948">
          <a:extLst>
            <a:ext uri="{FF2B5EF4-FFF2-40B4-BE49-F238E27FC236}">
              <a16:creationId xmlns:a16="http://schemas.microsoft.com/office/drawing/2014/main" id="{53327E4C-4A00-4E38-BA73-036CCDDEC9E5}"/>
            </a:ext>
          </a:extLst>
        </xdr:cNvPr>
        <xdr:cNvSpPr/>
      </xdr:nvSpPr>
      <xdr:spPr>
        <a:xfrm>
          <a:off x="19080480" y="9519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520</xdr:row>
      <xdr:rowOff>0</xdr:rowOff>
    </xdr:from>
    <xdr:to>
      <xdr:col>11</xdr:col>
      <xdr:colOff>83820</xdr:colOff>
      <xdr:row>520</xdr:row>
      <xdr:rowOff>114300</xdr:rowOff>
    </xdr:to>
    <xdr:sp macro="" textlink="">
      <xdr:nvSpPr>
        <xdr:cNvPr id="3950" name="Arrow: Down 3949">
          <a:extLst>
            <a:ext uri="{FF2B5EF4-FFF2-40B4-BE49-F238E27FC236}">
              <a16:creationId xmlns:a16="http://schemas.microsoft.com/office/drawing/2014/main" id="{C35CC6AE-B067-4927-BB18-0CAC0E75075B}"/>
            </a:ext>
          </a:extLst>
        </xdr:cNvPr>
        <xdr:cNvSpPr/>
      </xdr:nvSpPr>
      <xdr:spPr>
        <a:xfrm rot="10800000">
          <a:off x="369570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520</xdr:row>
      <xdr:rowOff>0</xdr:rowOff>
    </xdr:from>
    <xdr:to>
      <xdr:col>5</xdr:col>
      <xdr:colOff>83820</xdr:colOff>
      <xdr:row>520</xdr:row>
      <xdr:rowOff>114300</xdr:rowOff>
    </xdr:to>
    <xdr:sp macro="" textlink="">
      <xdr:nvSpPr>
        <xdr:cNvPr id="3951" name="Arrow: Down 3950">
          <a:extLst>
            <a:ext uri="{FF2B5EF4-FFF2-40B4-BE49-F238E27FC236}">
              <a16:creationId xmlns:a16="http://schemas.microsoft.com/office/drawing/2014/main" id="{179596F7-454D-448A-8646-A984F475CCD0}"/>
            </a:ext>
          </a:extLst>
        </xdr:cNvPr>
        <xdr:cNvSpPr/>
      </xdr:nvSpPr>
      <xdr:spPr>
        <a:xfrm rot="10800000">
          <a:off x="192786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520</xdr:row>
      <xdr:rowOff>0</xdr:rowOff>
    </xdr:from>
    <xdr:to>
      <xdr:col>24</xdr:col>
      <xdr:colOff>83820</xdr:colOff>
      <xdr:row>520</xdr:row>
      <xdr:rowOff>114300</xdr:rowOff>
    </xdr:to>
    <xdr:sp macro="" textlink="">
      <xdr:nvSpPr>
        <xdr:cNvPr id="3952" name="Arrow: Down 3951">
          <a:extLst>
            <a:ext uri="{FF2B5EF4-FFF2-40B4-BE49-F238E27FC236}">
              <a16:creationId xmlns:a16="http://schemas.microsoft.com/office/drawing/2014/main" id="{2B0D2F88-330E-4B5F-B4A6-31CF4A1C4683}"/>
            </a:ext>
          </a:extLst>
        </xdr:cNvPr>
        <xdr:cNvSpPr/>
      </xdr:nvSpPr>
      <xdr:spPr>
        <a:xfrm rot="10800000">
          <a:off x="833628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521</xdr:row>
      <xdr:rowOff>0</xdr:rowOff>
    </xdr:from>
    <xdr:to>
      <xdr:col>45</xdr:col>
      <xdr:colOff>83820</xdr:colOff>
      <xdr:row>521</xdr:row>
      <xdr:rowOff>114300</xdr:rowOff>
    </xdr:to>
    <xdr:sp macro="" textlink="">
      <xdr:nvSpPr>
        <xdr:cNvPr id="3953" name="Arrow: Down 3952">
          <a:extLst>
            <a:ext uri="{FF2B5EF4-FFF2-40B4-BE49-F238E27FC236}">
              <a16:creationId xmlns:a16="http://schemas.microsoft.com/office/drawing/2014/main" id="{31202471-9B03-46E4-BF7F-41DF373BC94C}"/>
            </a:ext>
          </a:extLst>
        </xdr:cNvPr>
        <xdr:cNvSpPr/>
      </xdr:nvSpPr>
      <xdr:spPr>
        <a:xfrm>
          <a:off x="1340358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521</xdr:row>
      <xdr:rowOff>0</xdr:rowOff>
    </xdr:from>
    <xdr:to>
      <xdr:col>71</xdr:col>
      <xdr:colOff>83820</xdr:colOff>
      <xdr:row>521</xdr:row>
      <xdr:rowOff>114300</xdr:rowOff>
    </xdr:to>
    <xdr:sp macro="" textlink="">
      <xdr:nvSpPr>
        <xdr:cNvPr id="3954" name="Arrow: Down 3953">
          <a:extLst>
            <a:ext uri="{FF2B5EF4-FFF2-40B4-BE49-F238E27FC236}">
              <a16:creationId xmlns:a16="http://schemas.microsoft.com/office/drawing/2014/main" id="{699AEB88-7BCA-436B-91B2-B13C2AEB46EB}"/>
            </a:ext>
          </a:extLst>
        </xdr:cNvPr>
        <xdr:cNvSpPr/>
      </xdr:nvSpPr>
      <xdr:spPr>
        <a:xfrm rot="10800000">
          <a:off x="2163318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521</xdr:row>
      <xdr:rowOff>0</xdr:rowOff>
    </xdr:from>
    <xdr:to>
      <xdr:col>39</xdr:col>
      <xdr:colOff>83820</xdr:colOff>
      <xdr:row>521</xdr:row>
      <xdr:rowOff>114300</xdr:rowOff>
    </xdr:to>
    <xdr:sp macro="" textlink="">
      <xdr:nvSpPr>
        <xdr:cNvPr id="3955" name="Arrow: Down 3954">
          <a:extLst>
            <a:ext uri="{FF2B5EF4-FFF2-40B4-BE49-F238E27FC236}">
              <a16:creationId xmlns:a16="http://schemas.microsoft.com/office/drawing/2014/main" id="{5B4B7A71-8805-4A88-B3FD-EAD326DD93AE}"/>
            </a:ext>
          </a:extLst>
        </xdr:cNvPr>
        <xdr:cNvSpPr/>
      </xdr:nvSpPr>
      <xdr:spPr>
        <a:xfrm>
          <a:off x="1154430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521</xdr:row>
      <xdr:rowOff>0</xdr:rowOff>
    </xdr:from>
    <xdr:to>
      <xdr:col>60</xdr:col>
      <xdr:colOff>83820</xdr:colOff>
      <xdr:row>521</xdr:row>
      <xdr:rowOff>114300</xdr:rowOff>
    </xdr:to>
    <xdr:sp macro="" textlink="">
      <xdr:nvSpPr>
        <xdr:cNvPr id="3961" name="Arrow: Down 3960">
          <a:extLst>
            <a:ext uri="{FF2B5EF4-FFF2-40B4-BE49-F238E27FC236}">
              <a16:creationId xmlns:a16="http://schemas.microsoft.com/office/drawing/2014/main" id="{7F6FAEE6-F6E3-42C7-A22A-B3D1E1983015}"/>
            </a:ext>
          </a:extLst>
        </xdr:cNvPr>
        <xdr:cNvSpPr/>
      </xdr:nvSpPr>
      <xdr:spPr>
        <a:xfrm rot="10800000">
          <a:off x="19080480" y="9537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521</xdr:row>
      <xdr:rowOff>0</xdr:rowOff>
    </xdr:from>
    <xdr:to>
      <xdr:col>11</xdr:col>
      <xdr:colOff>83820</xdr:colOff>
      <xdr:row>521</xdr:row>
      <xdr:rowOff>114300</xdr:rowOff>
    </xdr:to>
    <xdr:sp macro="" textlink="">
      <xdr:nvSpPr>
        <xdr:cNvPr id="3962" name="Arrow: Down 3961">
          <a:extLst>
            <a:ext uri="{FF2B5EF4-FFF2-40B4-BE49-F238E27FC236}">
              <a16:creationId xmlns:a16="http://schemas.microsoft.com/office/drawing/2014/main" id="{8CAD3062-59D2-45E7-917B-3E29801B0408}"/>
            </a:ext>
          </a:extLst>
        </xdr:cNvPr>
        <xdr:cNvSpPr/>
      </xdr:nvSpPr>
      <xdr:spPr>
        <a:xfrm>
          <a:off x="369570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521</xdr:row>
      <xdr:rowOff>0</xdr:rowOff>
    </xdr:from>
    <xdr:to>
      <xdr:col>5</xdr:col>
      <xdr:colOff>83820</xdr:colOff>
      <xdr:row>521</xdr:row>
      <xdr:rowOff>114300</xdr:rowOff>
    </xdr:to>
    <xdr:sp macro="" textlink="">
      <xdr:nvSpPr>
        <xdr:cNvPr id="3964" name="Arrow: Down 3963">
          <a:extLst>
            <a:ext uri="{FF2B5EF4-FFF2-40B4-BE49-F238E27FC236}">
              <a16:creationId xmlns:a16="http://schemas.microsoft.com/office/drawing/2014/main" id="{F7C1E7EF-05C4-4A59-823E-5C84DEBC326F}"/>
            </a:ext>
          </a:extLst>
        </xdr:cNvPr>
        <xdr:cNvSpPr/>
      </xdr:nvSpPr>
      <xdr:spPr>
        <a:xfrm>
          <a:off x="192786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521</xdr:row>
      <xdr:rowOff>0</xdr:rowOff>
    </xdr:from>
    <xdr:to>
      <xdr:col>24</xdr:col>
      <xdr:colOff>83820</xdr:colOff>
      <xdr:row>521</xdr:row>
      <xdr:rowOff>114300</xdr:rowOff>
    </xdr:to>
    <xdr:sp macro="" textlink="">
      <xdr:nvSpPr>
        <xdr:cNvPr id="3965" name="Arrow: Down 3964">
          <a:extLst>
            <a:ext uri="{FF2B5EF4-FFF2-40B4-BE49-F238E27FC236}">
              <a16:creationId xmlns:a16="http://schemas.microsoft.com/office/drawing/2014/main" id="{4135C5F1-149B-4C2B-8D38-AF08207A1738}"/>
            </a:ext>
          </a:extLst>
        </xdr:cNvPr>
        <xdr:cNvSpPr/>
      </xdr:nvSpPr>
      <xdr:spPr>
        <a:xfrm>
          <a:off x="833628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522</xdr:row>
      <xdr:rowOff>0</xdr:rowOff>
    </xdr:from>
    <xdr:to>
      <xdr:col>45</xdr:col>
      <xdr:colOff>83820</xdr:colOff>
      <xdr:row>522</xdr:row>
      <xdr:rowOff>114300</xdr:rowOff>
    </xdr:to>
    <xdr:sp macro="" textlink="">
      <xdr:nvSpPr>
        <xdr:cNvPr id="3966" name="Arrow: Down 3965">
          <a:extLst>
            <a:ext uri="{FF2B5EF4-FFF2-40B4-BE49-F238E27FC236}">
              <a16:creationId xmlns:a16="http://schemas.microsoft.com/office/drawing/2014/main" id="{CBB3A835-B052-414C-B891-343A3F61ACB4}"/>
            </a:ext>
          </a:extLst>
        </xdr:cNvPr>
        <xdr:cNvSpPr/>
      </xdr:nvSpPr>
      <xdr:spPr>
        <a:xfrm>
          <a:off x="13403580" y="9537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522</xdr:row>
      <xdr:rowOff>0</xdr:rowOff>
    </xdr:from>
    <xdr:to>
      <xdr:col>39</xdr:col>
      <xdr:colOff>83820</xdr:colOff>
      <xdr:row>522</xdr:row>
      <xdr:rowOff>114300</xdr:rowOff>
    </xdr:to>
    <xdr:sp macro="" textlink="">
      <xdr:nvSpPr>
        <xdr:cNvPr id="3968" name="Arrow: Down 3967">
          <a:extLst>
            <a:ext uri="{FF2B5EF4-FFF2-40B4-BE49-F238E27FC236}">
              <a16:creationId xmlns:a16="http://schemas.microsoft.com/office/drawing/2014/main" id="{6536441A-4F05-4D27-888D-C2A16D8227C2}"/>
            </a:ext>
          </a:extLst>
        </xdr:cNvPr>
        <xdr:cNvSpPr/>
      </xdr:nvSpPr>
      <xdr:spPr>
        <a:xfrm>
          <a:off x="11544300" y="9537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522</xdr:row>
      <xdr:rowOff>0</xdr:rowOff>
    </xdr:from>
    <xdr:to>
      <xdr:col>11</xdr:col>
      <xdr:colOff>83820</xdr:colOff>
      <xdr:row>522</xdr:row>
      <xdr:rowOff>114300</xdr:rowOff>
    </xdr:to>
    <xdr:sp macro="" textlink="">
      <xdr:nvSpPr>
        <xdr:cNvPr id="3970" name="Arrow: Down 3969">
          <a:extLst>
            <a:ext uri="{FF2B5EF4-FFF2-40B4-BE49-F238E27FC236}">
              <a16:creationId xmlns:a16="http://schemas.microsoft.com/office/drawing/2014/main" id="{31DDF852-C9B6-4297-B4E6-7BF196352330}"/>
            </a:ext>
          </a:extLst>
        </xdr:cNvPr>
        <xdr:cNvSpPr/>
      </xdr:nvSpPr>
      <xdr:spPr>
        <a:xfrm>
          <a:off x="369570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522</xdr:row>
      <xdr:rowOff>0</xdr:rowOff>
    </xdr:from>
    <xdr:to>
      <xdr:col>5</xdr:col>
      <xdr:colOff>83820</xdr:colOff>
      <xdr:row>522</xdr:row>
      <xdr:rowOff>114300</xdr:rowOff>
    </xdr:to>
    <xdr:sp macro="" textlink="">
      <xdr:nvSpPr>
        <xdr:cNvPr id="3971" name="Arrow: Down 3970">
          <a:extLst>
            <a:ext uri="{FF2B5EF4-FFF2-40B4-BE49-F238E27FC236}">
              <a16:creationId xmlns:a16="http://schemas.microsoft.com/office/drawing/2014/main" id="{196DCD1A-72E0-47F4-8C3B-8454AF96B14E}"/>
            </a:ext>
          </a:extLst>
        </xdr:cNvPr>
        <xdr:cNvSpPr/>
      </xdr:nvSpPr>
      <xdr:spPr>
        <a:xfrm>
          <a:off x="192786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522</xdr:row>
      <xdr:rowOff>0</xdr:rowOff>
    </xdr:from>
    <xdr:to>
      <xdr:col>24</xdr:col>
      <xdr:colOff>83820</xdr:colOff>
      <xdr:row>522</xdr:row>
      <xdr:rowOff>114300</xdr:rowOff>
    </xdr:to>
    <xdr:sp macro="" textlink="">
      <xdr:nvSpPr>
        <xdr:cNvPr id="3972" name="Arrow: Down 3971">
          <a:extLst>
            <a:ext uri="{FF2B5EF4-FFF2-40B4-BE49-F238E27FC236}">
              <a16:creationId xmlns:a16="http://schemas.microsoft.com/office/drawing/2014/main" id="{A11D8E29-D3A4-4896-87EF-5E43FAAA751E}"/>
            </a:ext>
          </a:extLst>
        </xdr:cNvPr>
        <xdr:cNvSpPr/>
      </xdr:nvSpPr>
      <xdr:spPr>
        <a:xfrm>
          <a:off x="833628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522</xdr:row>
      <xdr:rowOff>0</xdr:rowOff>
    </xdr:from>
    <xdr:to>
      <xdr:col>71</xdr:col>
      <xdr:colOff>83820</xdr:colOff>
      <xdr:row>522</xdr:row>
      <xdr:rowOff>114300</xdr:rowOff>
    </xdr:to>
    <xdr:sp macro="" textlink="">
      <xdr:nvSpPr>
        <xdr:cNvPr id="3973" name="Arrow: Down 3972">
          <a:extLst>
            <a:ext uri="{FF2B5EF4-FFF2-40B4-BE49-F238E27FC236}">
              <a16:creationId xmlns:a16="http://schemas.microsoft.com/office/drawing/2014/main" id="{A1EC7D35-4BA5-4D95-9EB4-310B5FDEC4F0}"/>
            </a:ext>
          </a:extLst>
        </xdr:cNvPr>
        <xdr:cNvSpPr/>
      </xdr:nvSpPr>
      <xdr:spPr>
        <a:xfrm>
          <a:off x="216331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522</xdr:row>
      <xdr:rowOff>0</xdr:rowOff>
    </xdr:from>
    <xdr:to>
      <xdr:col>60</xdr:col>
      <xdr:colOff>83820</xdr:colOff>
      <xdr:row>522</xdr:row>
      <xdr:rowOff>114300</xdr:rowOff>
    </xdr:to>
    <xdr:sp macro="" textlink="">
      <xdr:nvSpPr>
        <xdr:cNvPr id="3974" name="Arrow: Down 3973">
          <a:extLst>
            <a:ext uri="{FF2B5EF4-FFF2-40B4-BE49-F238E27FC236}">
              <a16:creationId xmlns:a16="http://schemas.microsoft.com/office/drawing/2014/main" id="{35C4CA02-E5DD-43E7-BD33-735F1787294D}"/>
            </a:ext>
          </a:extLst>
        </xdr:cNvPr>
        <xdr:cNvSpPr/>
      </xdr:nvSpPr>
      <xdr:spPr>
        <a:xfrm>
          <a:off x="190804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523</xdr:row>
      <xdr:rowOff>0</xdr:rowOff>
    </xdr:from>
    <xdr:to>
      <xdr:col>45</xdr:col>
      <xdr:colOff>83820</xdr:colOff>
      <xdr:row>523</xdr:row>
      <xdr:rowOff>114300</xdr:rowOff>
    </xdr:to>
    <xdr:sp macro="" textlink="">
      <xdr:nvSpPr>
        <xdr:cNvPr id="3975" name="Arrow: Down 3974">
          <a:extLst>
            <a:ext uri="{FF2B5EF4-FFF2-40B4-BE49-F238E27FC236}">
              <a16:creationId xmlns:a16="http://schemas.microsoft.com/office/drawing/2014/main" id="{C6FE060D-EDA1-4D73-AA1C-E4E7CB99EACB}"/>
            </a:ext>
          </a:extLst>
        </xdr:cNvPr>
        <xdr:cNvSpPr/>
      </xdr:nvSpPr>
      <xdr:spPr>
        <a:xfrm>
          <a:off x="13403580" y="9556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523</xdr:row>
      <xdr:rowOff>0</xdr:rowOff>
    </xdr:from>
    <xdr:to>
      <xdr:col>71</xdr:col>
      <xdr:colOff>83820</xdr:colOff>
      <xdr:row>523</xdr:row>
      <xdr:rowOff>114300</xdr:rowOff>
    </xdr:to>
    <xdr:sp macro="" textlink="">
      <xdr:nvSpPr>
        <xdr:cNvPr id="3980" name="Arrow: Down 3979">
          <a:extLst>
            <a:ext uri="{FF2B5EF4-FFF2-40B4-BE49-F238E27FC236}">
              <a16:creationId xmlns:a16="http://schemas.microsoft.com/office/drawing/2014/main" id="{0A6C9488-8417-413C-8906-B8FFF6F1CD90}"/>
            </a:ext>
          </a:extLst>
        </xdr:cNvPr>
        <xdr:cNvSpPr/>
      </xdr:nvSpPr>
      <xdr:spPr>
        <a:xfrm>
          <a:off x="216331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523</xdr:row>
      <xdr:rowOff>0</xdr:rowOff>
    </xdr:from>
    <xdr:to>
      <xdr:col>60</xdr:col>
      <xdr:colOff>83820</xdr:colOff>
      <xdr:row>523</xdr:row>
      <xdr:rowOff>114300</xdr:rowOff>
    </xdr:to>
    <xdr:sp macro="" textlink="">
      <xdr:nvSpPr>
        <xdr:cNvPr id="3981" name="Arrow: Down 3980">
          <a:extLst>
            <a:ext uri="{FF2B5EF4-FFF2-40B4-BE49-F238E27FC236}">
              <a16:creationId xmlns:a16="http://schemas.microsoft.com/office/drawing/2014/main" id="{19587E03-A3FE-48C3-A1F4-FBE0C0970098}"/>
            </a:ext>
          </a:extLst>
        </xdr:cNvPr>
        <xdr:cNvSpPr/>
      </xdr:nvSpPr>
      <xdr:spPr>
        <a:xfrm>
          <a:off x="190804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523</xdr:row>
      <xdr:rowOff>0</xdr:rowOff>
    </xdr:from>
    <xdr:to>
      <xdr:col>11</xdr:col>
      <xdr:colOff>83820</xdr:colOff>
      <xdr:row>523</xdr:row>
      <xdr:rowOff>114300</xdr:rowOff>
    </xdr:to>
    <xdr:sp macro="" textlink="">
      <xdr:nvSpPr>
        <xdr:cNvPr id="3982" name="Arrow: Down 3981">
          <a:extLst>
            <a:ext uri="{FF2B5EF4-FFF2-40B4-BE49-F238E27FC236}">
              <a16:creationId xmlns:a16="http://schemas.microsoft.com/office/drawing/2014/main" id="{079F1A88-BB64-448F-8C02-E3A772953B49}"/>
            </a:ext>
          </a:extLst>
        </xdr:cNvPr>
        <xdr:cNvSpPr/>
      </xdr:nvSpPr>
      <xdr:spPr>
        <a:xfrm rot="10800000">
          <a:off x="369570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523</xdr:row>
      <xdr:rowOff>0</xdr:rowOff>
    </xdr:from>
    <xdr:to>
      <xdr:col>5</xdr:col>
      <xdr:colOff>83820</xdr:colOff>
      <xdr:row>523</xdr:row>
      <xdr:rowOff>114300</xdr:rowOff>
    </xdr:to>
    <xdr:sp macro="" textlink="">
      <xdr:nvSpPr>
        <xdr:cNvPr id="3983" name="Arrow: Down 3982">
          <a:extLst>
            <a:ext uri="{FF2B5EF4-FFF2-40B4-BE49-F238E27FC236}">
              <a16:creationId xmlns:a16="http://schemas.microsoft.com/office/drawing/2014/main" id="{ECDD707F-7D2F-49FD-A684-A47718F5AEB1}"/>
            </a:ext>
          </a:extLst>
        </xdr:cNvPr>
        <xdr:cNvSpPr/>
      </xdr:nvSpPr>
      <xdr:spPr>
        <a:xfrm rot="10800000">
          <a:off x="192786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523</xdr:row>
      <xdr:rowOff>0</xdr:rowOff>
    </xdr:from>
    <xdr:to>
      <xdr:col>24</xdr:col>
      <xdr:colOff>83820</xdr:colOff>
      <xdr:row>523</xdr:row>
      <xdr:rowOff>114300</xdr:rowOff>
    </xdr:to>
    <xdr:sp macro="" textlink="">
      <xdr:nvSpPr>
        <xdr:cNvPr id="3984" name="Arrow: Down 3983">
          <a:extLst>
            <a:ext uri="{FF2B5EF4-FFF2-40B4-BE49-F238E27FC236}">
              <a16:creationId xmlns:a16="http://schemas.microsoft.com/office/drawing/2014/main" id="{B8A2668D-04A9-48E4-8295-EC0E58D4E042}"/>
            </a:ext>
          </a:extLst>
        </xdr:cNvPr>
        <xdr:cNvSpPr/>
      </xdr:nvSpPr>
      <xdr:spPr>
        <a:xfrm rot="10800000">
          <a:off x="833628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523</xdr:row>
      <xdr:rowOff>0</xdr:rowOff>
    </xdr:from>
    <xdr:to>
      <xdr:col>39</xdr:col>
      <xdr:colOff>83820</xdr:colOff>
      <xdr:row>523</xdr:row>
      <xdr:rowOff>114300</xdr:rowOff>
    </xdr:to>
    <xdr:sp macro="" textlink="">
      <xdr:nvSpPr>
        <xdr:cNvPr id="3985" name="Arrow: Down 3984">
          <a:extLst>
            <a:ext uri="{FF2B5EF4-FFF2-40B4-BE49-F238E27FC236}">
              <a16:creationId xmlns:a16="http://schemas.microsoft.com/office/drawing/2014/main" id="{10CE9CC7-E78C-4D08-87A4-2A5010858C3C}"/>
            </a:ext>
          </a:extLst>
        </xdr:cNvPr>
        <xdr:cNvSpPr/>
      </xdr:nvSpPr>
      <xdr:spPr>
        <a:xfrm rot="10800000">
          <a:off x="11544300" y="9574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524</xdr:row>
      <xdr:rowOff>0</xdr:rowOff>
    </xdr:from>
    <xdr:to>
      <xdr:col>45</xdr:col>
      <xdr:colOff>83820</xdr:colOff>
      <xdr:row>524</xdr:row>
      <xdr:rowOff>114300</xdr:rowOff>
    </xdr:to>
    <xdr:sp macro="" textlink="">
      <xdr:nvSpPr>
        <xdr:cNvPr id="3986" name="Arrow: Down 3985">
          <a:extLst>
            <a:ext uri="{FF2B5EF4-FFF2-40B4-BE49-F238E27FC236}">
              <a16:creationId xmlns:a16="http://schemas.microsoft.com/office/drawing/2014/main" id="{6ADF42EC-41CC-4980-9EE2-BB73116BE644}"/>
            </a:ext>
          </a:extLst>
        </xdr:cNvPr>
        <xdr:cNvSpPr/>
      </xdr:nvSpPr>
      <xdr:spPr>
        <a:xfrm>
          <a:off x="1340358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524</xdr:row>
      <xdr:rowOff>0</xdr:rowOff>
    </xdr:from>
    <xdr:to>
      <xdr:col>71</xdr:col>
      <xdr:colOff>83820</xdr:colOff>
      <xdr:row>524</xdr:row>
      <xdr:rowOff>114300</xdr:rowOff>
    </xdr:to>
    <xdr:sp macro="" textlink="">
      <xdr:nvSpPr>
        <xdr:cNvPr id="3987" name="Arrow: Down 3986">
          <a:extLst>
            <a:ext uri="{FF2B5EF4-FFF2-40B4-BE49-F238E27FC236}">
              <a16:creationId xmlns:a16="http://schemas.microsoft.com/office/drawing/2014/main" id="{BC49E8FC-8848-484B-BE8A-52DD23BB1D16}"/>
            </a:ext>
          </a:extLst>
        </xdr:cNvPr>
        <xdr:cNvSpPr/>
      </xdr:nvSpPr>
      <xdr:spPr>
        <a:xfrm>
          <a:off x="21633180" y="9574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524</xdr:row>
      <xdr:rowOff>0</xdr:rowOff>
    </xdr:from>
    <xdr:to>
      <xdr:col>11</xdr:col>
      <xdr:colOff>83820</xdr:colOff>
      <xdr:row>524</xdr:row>
      <xdr:rowOff>114300</xdr:rowOff>
    </xdr:to>
    <xdr:sp macro="" textlink="">
      <xdr:nvSpPr>
        <xdr:cNvPr id="3989" name="Arrow: Down 3988">
          <a:extLst>
            <a:ext uri="{FF2B5EF4-FFF2-40B4-BE49-F238E27FC236}">
              <a16:creationId xmlns:a16="http://schemas.microsoft.com/office/drawing/2014/main" id="{A5C38C4B-F476-4A31-A7FD-2A8F70751A06}"/>
            </a:ext>
          </a:extLst>
        </xdr:cNvPr>
        <xdr:cNvSpPr/>
      </xdr:nvSpPr>
      <xdr:spPr>
        <a:xfrm rot="10800000">
          <a:off x="369570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524</xdr:row>
      <xdr:rowOff>0</xdr:rowOff>
    </xdr:from>
    <xdr:to>
      <xdr:col>5</xdr:col>
      <xdr:colOff>83820</xdr:colOff>
      <xdr:row>524</xdr:row>
      <xdr:rowOff>114300</xdr:rowOff>
    </xdr:to>
    <xdr:sp macro="" textlink="">
      <xdr:nvSpPr>
        <xdr:cNvPr id="3990" name="Arrow: Down 3989">
          <a:extLst>
            <a:ext uri="{FF2B5EF4-FFF2-40B4-BE49-F238E27FC236}">
              <a16:creationId xmlns:a16="http://schemas.microsoft.com/office/drawing/2014/main" id="{5678C4C3-19D1-4CE3-BD28-859DE7054F52}"/>
            </a:ext>
          </a:extLst>
        </xdr:cNvPr>
        <xdr:cNvSpPr/>
      </xdr:nvSpPr>
      <xdr:spPr>
        <a:xfrm rot="10800000">
          <a:off x="192786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524</xdr:row>
      <xdr:rowOff>0</xdr:rowOff>
    </xdr:from>
    <xdr:to>
      <xdr:col>24</xdr:col>
      <xdr:colOff>83820</xdr:colOff>
      <xdr:row>524</xdr:row>
      <xdr:rowOff>114300</xdr:rowOff>
    </xdr:to>
    <xdr:sp macro="" textlink="">
      <xdr:nvSpPr>
        <xdr:cNvPr id="3991" name="Arrow: Down 3990">
          <a:extLst>
            <a:ext uri="{FF2B5EF4-FFF2-40B4-BE49-F238E27FC236}">
              <a16:creationId xmlns:a16="http://schemas.microsoft.com/office/drawing/2014/main" id="{C71CB0E9-BB1C-4484-9C3E-1D2C89F57DA2}"/>
            </a:ext>
          </a:extLst>
        </xdr:cNvPr>
        <xdr:cNvSpPr/>
      </xdr:nvSpPr>
      <xdr:spPr>
        <a:xfrm rot="10800000">
          <a:off x="833628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524</xdr:row>
      <xdr:rowOff>0</xdr:rowOff>
    </xdr:from>
    <xdr:to>
      <xdr:col>60</xdr:col>
      <xdr:colOff>83820</xdr:colOff>
      <xdr:row>524</xdr:row>
      <xdr:rowOff>114300</xdr:rowOff>
    </xdr:to>
    <xdr:sp macro="" textlink="">
      <xdr:nvSpPr>
        <xdr:cNvPr id="3993" name="Arrow: Down 3992">
          <a:extLst>
            <a:ext uri="{FF2B5EF4-FFF2-40B4-BE49-F238E27FC236}">
              <a16:creationId xmlns:a16="http://schemas.microsoft.com/office/drawing/2014/main" id="{F5F2D596-A16A-4BF4-A234-547B666831DA}"/>
            </a:ext>
          </a:extLst>
        </xdr:cNvPr>
        <xdr:cNvSpPr/>
      </xdr:nvSpPr>
      <xdr:spPr>
        <a:xfrm rot="10800000">
          <a:off x="190804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524</xdr:row>
      <xdr:rowOff>0</xdr:rowOff>
    </xdr:from>
    <xdr:to>
      <xdr:col>39</xdr:col>
      <xdr:colOff>83820</xdr:colOff>
      <xdr:row>524</xdr:row>
      <xdr:rowOff>114300</xdr:rowOff>
    </xdr:to>
    <xdr:sp macro="" textlink="">
      <xdr:nvSpPr>
        <xdr:cNvPr id="3994" name="Arrow: Down 3993">
          <a:extLst>
            <a:ext uri="{FF2B5EF4-FFF2-40B4-BE49-F238E27FC236}">
              <a16:creationId xmlns:a16="http://schemas.microsoft.com/office/drawing/2014/main" id="{4CAC3015-5D84-4377-A1EA-65557A5D9914}"/>
            </a:ext>
          </a:extLst>
        </xdr:cNvPr>
        <xdr:cNvSpPr/>
      </xdr:nvSpPr>
      <xdr:spPr>
        <a:xfrm>
          <a:off x="1154430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525</xdr:row>
      <xdr:rowOff>0</xdr:rowOff>
    </xdr:from>
    <xdr:to>
      <xdr:col>45</xdr:col>
      <xdr:colOff>83820</xdr:colOff>
      <xdr:row>525</xdr:row>
      <xdr:rowOff>114300</xdr:rowOff>
    </xdr:to>
    <xdr:sp macro="" textlink="">
      <xdr:nvSpPr>
        <xdr:cNvPr id="3995" name="Arrow: Down 3994">
          <a:extLst>
            <a:ext uri="{FF2B5EF4-FFF2-40B4-BE49-F238E27FC236}">
              <a16:creationId xmlns:a16="http://schemas.microsoft.com/office/drawing/2014/main" id="{613416F5-768E-4CB4-8D5C-A6AF5B9FF323}"/>
            </a:ext>
          </a:extLst>
        </xdr:cNvPr>
        <xdr:cNvSpPr/>
      </xdr:nvSpPr>
      <xdr:spPr>
        <a:xfrm>
          <a:off x="134035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525</xdr:row>
      <xdr:rowOff>0</xdr:rowOff>
    </xdr:from>
    <xdr:to>
      <xdr:col>11</xdr:col>
      <xdr:colOff>83820</xdr:colOff>
      <xdr:row>525</xdr:row>
      <xdr:rowOff>114300</xdr:rowOff>
    </xdr:to>
    <xdr:sp macro="" textlink="">
      <xdr:nvSpPr>
        <xdr:cNvPr id="3997" name="Arrow: Down 3996">
          <a:extLst>
            <a:ext uri="{FF2B5EF4-FFF2-40B4-BE49-F238E27FC236}">
              <a16:creationId xmlns:a16="http://schemas.microsoft.com/office/drawing/2014/main" id="{268611ED-4CE7-499A-B702-02CB6AE80214}"/>
            </a:ext>
          </a:extLst>
        </xdr:cNvPr>
        <xdr:cNvSpPr/>
      </xdr:nvSpPr>
      <xdr:spPr>
        <a:xfrm rot="10800000">
          <a:off x="369570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525</xdr:row>
      <xdr:rowOff>0</xdr:rowOff>
    </xdr:from>
    <xdr:to>
      <xdr:col>5</xdr:col>
      <xdr:colOff>83820</xdr:colOff>
      <xdr:row>525</xdr:row>
      <xdr:rowOff>114300</xdr:rowOff>
    </xdr:to>
    <xdr:sp macro="" textlink="">
      <xdr:nvSpPr>
        <xdr:cNvPr id="3998" name="Arrow: Down 3997">
          <a:extLst>
            <a:ext uri="{FF2B5EF4-FFF2-40B4-BE49-F238E27FC236}">
              <a16:creationId xmlns:a16="http://schemas.microsoft.com/office/drawing/2014/main" id="{D0A2143C-0886-405D-ACCD-A053F5F9F539}"/>
            </a:ext>
          </a:extLst>
        </xdr:cNvPr>
        <xdr:cNvSpPr/>
      </xdr:nvSpPr>
      <xdr:spPr>
        <a:xfrm rot="10800000">
          <a:off x="192786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525</xdr:row>
      <xdr:rowOff>0</xdr:rowOff>
    </xdr:from>
    <xdr:to>
      <xdr:col>24</xdr:col>
      <xdr:colOff>83820</xdr:colOff>
      <xdr:row>525</xdr:row>
      <xdr:rowOff>114300</xdr:rowOff>
    </xdr:to>
    <xdr:sp macro="" textlink="">
      <xdr:nvSpPr>
        <xdr:cNvPr id="3999" name="Arrow: Down 3998">
          <a:extLst>
            <a:ext uri="{FF2B5EF4-FFF2-40B4-BE49-F238E27FC236}">
              <a16:creationId xmlns:a16="http://schemas.microsoft.com/office/drawing/2014/main" id="{065B68FF-2B10-40F3-B8B2-0BA866B3EC2F}"/>
            </a:ext>
          </a:extLst>
        </xdr:cNvPr>
        <xdr:cNvSpPr/>
      </xdr:nvSpPr>
      <xdr:spPr>
        <a:xfrm rot="10800000">
          <a:off x="83362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525</xdr:row>
      <xdr:rowOff>0</xdr:rowOff>
    </xdr:from>
    <xdr:to>
      <xdr:col>60</xdr:col>
      <xdr:colOff>83820</xdr:colOff>
      <xdr:row>525</xdr:row>
      <xdr:rowOff>114300</xdr:rowOff>
    </xdr:to>
    <xdr:sp macro="" textlink="">
      <xdr:nvSpPr>
        <xdr:cNvPr id="4000" name="Arrow: Down 3999">
          <a:extLst>
            <a:ext uri="{FF2B5EF4-FFF2-40B4-BE49-F238E27FC236}">
              <a16:creationId xmlns:a16="http://schemas.microsoft.com/office/drawing/2014/main" id="{A1DF6868-B0C4-4250-AAC1-FD6F0037B4C6}"/>
            </a:ext>
          </a:extLst>
        </xdr:cNvPr>
        <xdr:cNvSpPr/>
      </xdr:nvSpPr>
      <xdr:spPr>
        <a:xfrm rot="10800000">
          <a:off x="190804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525</xdr:row>
      <xdr:rowOff>0</xdr:rowOff>
    </xdr:from>
    <xdr:to>
      <xdr:col>39</xdr:col>
      <xdr:colOff>83820</xdr:colOff>
      <xdr:row>525</xdr:row>
      <xdr:rowOff>114300</xdr:rowOff>
    </xdr:to>
    <xdr:sp macro="" textlink="">
      <xdr:nvSpPr>
        <xdr:cNvPr id="4001" name="Arrow: Down 4000">
          <a:extLst>
            <a:ext uri="{FF2B5EF4-FFF2-40B4-BE49-F238E27FC236}">
              <a16:creationId xmlns:a16="http://schemas.microsoft.com/office/drawing/2014/main" id="{148AA985-CD4D-462F-8606-2B81CC37635A}"/>
            </a:ext>
          </a:extLst>
        </xdr:cNvPr>
        <xdr:cNvSpPr/>
      </xdr:nvSpPr>
      <xdr:spPr>
        <a:xfrm>
          <a:off x="1154430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525</xdr:row>
      <xdr:rowOff>0</xdr:rowOff>
    </xdr:from>
    <xdr:to>
      <xdr:col>71</xdr:col>
      <xdr:colOff>83820</xdr:colOff>
      <xdr:row>525</xdr:row>
      <xdr:rowOff>114300</xdr:rowOff>
    </xdr:to>
    <xdr:sp macro="" textlink="">
      <xdr:nvSpPr>
        <xdr:cNvPr id="4002" name="Arrow: Down 4001">
          <a:extLst>
            <a:ext uri="{FF2B5EF4-FFF2-40B4-BE49-F238E27FC236}">
              <a16:creationId xmlns:a16="http://schemas.microsoft.com/office/drawing/2014/main" id="{4A6750BB-F5E3-4235-8CC7-9B5F9B053BD6}"/>
            </a:ext>
          </a:extLst>
        </xdr:cNvPr>
        <xdr:cNvSpPr/>
      </xdr:nvSpPr>
      <xdr:spPr>
        <a:xfrm rot="10800000">
          <a:off x="2163318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526</xdr:row>
      <xdr:rowOff>0</xdr:rowOff>
    </xdr:from>
    <xdr:to>
      <xdr:col>45</xdr:col>
      <xdr:colOff>83820</xdr:colOff>
      <xdr:row>526</xdr:row>
      <xdr:rowOff>114300</xdr:rowOff>
    </xdr:to>
    <xdr:sp macro="" textlink="">
      <xdr:nvSpPr>
        <xdr:cNvPr id="4003" name="Arrow: Down 4002">
          <a:extLst>
            <a:ext uri="{FF2B5EF4-FFF2-40B4-BE49-F238E27FC236}">
              <a16:creationId xmlns:a16="http://schemas.microsoft.com/office/drawing/2014/main" id="{8E57C150-8F02-4A02-9A71-9BF4CA2C1774}"/>
            </a:ext>
          </a:extLst>
        </xdr:cNvPr>
        <xdr:cNvSpPr/>
      </xdr:nvSpPr>
      <xdr:spPr>
        <a:xfrm>
          <a:off x="1340358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526</xdr:row>
      <xdr:rowOff>0</xdr:rowOff>
    </xdr:from>
    <xdr:to>
      <xdr:col>39</xdr:col>
      <xdr:colOff>83820</xdr:colOff>
      <xdr:row>526</xdr:row>
      <xdr:rowOff>114300</xdr:rowOff>
    </xdr:to>
    <xdr:sp macro="" textlink="">
      <xdr:nvSpPr>
        <xdr:cNvPr id="4008" name="Arrow: Down 4007">
          <a:extLst>
            <a:ext uri="{FF2B5EF4-FFF2-40B4-BE49-F238E27FC236}">
              <a16:creationId xmlns:a16="http://schemas.microsoft.com/office/drawing/2014/main" id="{65D52E07-7D5E-423E-91F6-60506C513F93}"/>
            </a:ext>
          </a:extLst>
        </xdr:cNvPr>
        <xdr:cNvSpPr/>
      </xdr:nvSpPr>
      <xdr:spPr>
        <a:xfrm>
          <a:off x="1154430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526</xdr:row>
      <xdr:rowOff>0</xdr:rowOff>
    </xdr:from>
    <xdr:to>
      <xdr:col>71</xdr:col>
      <xdr:colOff>83820</xdr:colOff>
      <xdr:row>526</xdr:row>
      <xdr:rowOff>114300</xdr:rowOff>
    </xdr:to>
    <xdr:sp macro="" textlink="">
      <xdr:nvSpPr>
        <xdr:cNvPr id="4009" name="Arrow: Down 4008">
          <a:extLst>
            <a:ext uri="{FF2B5EF4-FFF2-40B4-BE49-F238E27FC236}">
              <a16:creationId xmlns:a16="http://schemas.microsoft.com/office/drawing/2014/main" id="{4CE3612E-9BFE-4AD3-A521-F5A2C8AB6D1D}"/>
            </a:ext>
          </a:extLst>
        </xdr:cNvPr>
        <xdr:cNvSpPr/>
      </xdr:nvSpPr>
      <xdr:spPr>
        <a:xfrm rot="10800000">
          <a:off x="2163318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526</xdr:row>
      <xdr:rowOff>0</xdr:rowOff>
    </xdr:from>
    <xdr:to>
      <xdr:col>5</xdr:col>
      <xdr:colOff>83820</xdr:colOff>
      <xdr:row>526</xdr:row>
      <xdr:rowOff>114300</xdr:rowOff>
    </xdr:to>
    <xdr:sp macro="" textlink="">
      <xdr:nvSpPr>
        <xdr:cNvPr id="4010" name="Arrow: Down 4009">
          <a:extLst>
            <a:ext uri="{FF2B5EF4-FFF2-40B4-BE49-F238E27FC236}">
              <a16:creationId xmlns:a16="http://schemas.microsoft.com/office/drawing/2014/main" id="{91BDE59A-0602-48BE-AA14-004A293798E2}"/>
            </a:ext>
          </a:extLst>
        </xdr:cNvPr>
        <xdr:cNvSpPr/>
      </xdr:nvSpPr>
      <xdr:spPr>
        <a:xfrm>
          <a:off x="192786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526</xdr:row>
      <xdr:rowOff>0</xdr:rowOff>
    </xdr:from>
    <xdr:to>
      <xdr:col>11</xdr:col>
      <xdr:colOff>83820</xdr:colOff>
      <xdr:row>526</xdr:row>
      <xdr:rowOff>114300</xdr:rowOff>
    </xdr:to>
    <xdr:sp macro="" textlink="">
      <xdr:nvSpPr>
        <xdr:cNvPr id="4011" name="Arrow: Down 4010">
          <a:extLst>
            <a:ext uri="{FF2B5EF4-FFF2-40B4-BE49-F238E27FC236}">
              <a16:creationId xmlns:a16="http://schemas.microsoft.com/office/drawing/2014/main" id="{B54E07FC-83A2-415F-8769-79737E04B74F}"/>
            </a:ext>
          </a:extLst>
        </xdr:cNvPr>
        <xdr:cNvSpPr/>
      </xdr:nvSpPr>
      <xdr:spPr>
        <a:xfrm>
          <a:off x="369570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526</xdr:row>
      <xdr:rowOff>0</xdr:rowOff>
    </xdr:from>
    <xdr:to>
      <xdr:col>24</xdr:col>
      <xdr:colOff>83820</xdr:colOff>
      <xdr:row>526</xdr:row>
      <xdr:rowOff>114300</xdr:rowOff>
    </xdr:to>
    <xdr:sp macro="" textlink="">
      <xdr:nvSpPr>
        <xdr:cNvPr id="4013" name="Arrow: Down 4012">
          <a:extLst>
            <a:ext uri="{FF2B5EF4-FFF2-40B4-BE49-F238E27FC236}">
              <a16:creationId xmlns:a16="http://schemas.microsoft.com/office/drawing/2014/main" id="{F7C3BD95-0B7F-42C8-A8AD-D4BF5298C4B2}"/>
            </a:ext>
          </a:extLst>
        </xdr:cNvPr>
        <xdr:cNvSpPr/>
      </xdr:nvSpPr>
      <xdr:spPr>
        <a:xfrm>
          <a:off x="833628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526</xdr:row>
      <xdr:rowOff>0</xdr:rowOff>
    </xdr:from>
    <xdr:to>
      <xdr:col>60</xdr:col>
      <xdr:colOff>83820</xdr:colOff>
      <xdr:row>526</xdr:row>
      <xdr:rowOff>114300</xdr:rowOff>
    </xdr:to>
    <xdr:sp macro="" textlink="">
      <xdr:nvSpPr>
        <xdr:cNvPr id="4015" name="Arrow: Down 4014">
          <a:extLst>
            <a:ext uri="{FF2B5EF4-FFF2-40B4-BE49-F238E27FC236}">
              <a16:creationId xmlns:a16="http://schemas.microsoft.com/office/drawing/2014/main" id="{610E8CF8-7DA0-49BD-B911-2C282470439F}"/>
            </a:ext>
          </a:extLst>
        </xdr:cNvPr>
        <xdr:cNvSpPr/>
      </xdr:nvSpPr>
      <xdr:spPr>
        <a:xfrm>
          <a:off x="1908048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527</xdr:row>
      <xdr:rowOff>0</xdr:rowOff>
    </xdr:from>
    <xdr:to>
      <xdr:col>45</xdr:col>
      <xdr:colOff>83820</xdr:colOff>
      <xdr:row>527</xdr:row>
      <xdr:rowOff>114300</xdr:rowOff>
    </xdr:to>
    <xdr:sp macro="" textlink="">
      <xdr:nvSpPr>
        <xdr:cNvPr id="3852" name="Arrow: Down 3851">
          <a:extLst>
            <a:ext uri="{FF2B5EF4-FFF2-40B4-BE49-F238E27FC236}">
              <a16:creationId xmlns:a16="http://schemas.microsoft.com/office/drawing/2014/main" id="{8116E2A4-018D-4F6D-8045-D4F81B6CDA76}"/>
            </a:ext>
          </a:extLst>
        </xdr:cNvPr>
        <xdr:cNvSpPr/>
      </xdr:nvSpPr>
      <xdr:spPr>
        <a:xfrm>
          <a:off x="13403580" y="9629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527</xdr:row>
      <xdr:rowOff>0</xdr:rowOff>
    </xdr:from>
    <xdr:to>
      <xdr:col>39</xdr:col>
      <xdr:colOff>83820</xdr:colOff>
      <xdr:row>527</xdr:row>
      <xdr:rowOff>114300</xdr:rowOff>
    </xdr:to>
    <xdr:sp macro="" textlink="">
      <xdr:nvSpPr>
        <xdr:cNvPr id="3856" name="Arrow: Down 3855">
          <a:extLst>
            <a:ext uri="{FF2B5EF4-FFF2-40B4-BE49-F238E27FC236}">
              <a16:creationId xmlns:a16="http://schemas.microsoft.com/office/drawing/2014/main" id="{894E5765-7314-44C3-B10A-B4473697C460}"/>
            </a:ext>
          </a:extLst>
        </xdr:cNvPr>
        <xdr:cNvSpPr/>
      </xdr:nvSpPr>
      <xdr:spPr>
        <a:xfrm>
          <a:off x="11544300" y="9629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527</xdr:row>
      <xdr:rowOff>0</xdr:rowOff>
    </xdr:from>
    <xdr:to>
      <xdr:col>71</xdr:col>
      <xdr:colOff>83820</xdr:colOff>
      <xdr:row>527</xdr:row>
      <xdr:rowOff>114300</xdr:rowOff>
    </xdr:to>
    <xdr:sp macro="" textlink="">
      <xdr:nvSpPr>
        <xdr:cNvPr id="3859" name="Arrow: Down 3858">
          <a:extLst>
            <a:ext uri="{FF2B5EF4-FFF2-40B4-BE49-F238E27FC236}">
              <a16:creationId xmlns:a16="http://schemas.microsoft.com/office/drawing/2014/main" id="{BED6D7B1-FDBE-4FD8-88EC-18A0C3650D0A}"/>
            </a:ext>
          </a:extLst>
        </xdr:cNvPr>
        <xdr:cNvSpPr/>
      </xdr:nvSpPr>
      <xdr:spPr>
        <a:xfrm rot="10800000">
          <a:off x="21633180" y="9629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527</xdr:row>
      <xdr:rowOff>0</xdr:rowOff>
    </xdr:from>
    <xdr:to>
      <xdr:col>5</xdr:col>
      <xdr:colOff>83820</xdr:colOff>
      <xdr:row>527</xdr:row>
      <xdr:rowOff>114300</xdr:rowOff>
    </xdr:to>
    <xdr:sp macro="" textlink="">
      <xdr:nvSpPr>
        <xdr:cNvPr id="3860" name="Arrow: Down 3859">
          <a:extLst>
            <a:ext uri="{FF2B5EF4-FFF2-40B4-BE49-F238E27FC236}">
              <a16:creationId xmlns:a16="http://schemas.microsoft.com/office/drawing/2014/main" id="{3CF500C1-E9E0-4241-8690-16FF0A4EFFC0}"/>
            </a:ext>
          </a:extLst>
        </xdr:cNvPr>
        <xdr:cNvSpPr/>
      </xdr:nvSpPr>
      <xdr:spPr>
        <a:xfrm>
          <a:off x="192786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527</xdr:row>
      <xdr:rowOff>0</xdr:rowOff>
    </xdr:from>
    <xdr:to>
      <xdr:col>11</xdr:col>
      <xdr:colOff>83820</xdr:colOff>
      <xdr:row>527</xdr:row>
      <xdr:rowOff>114300</xdr:rowOff>
    </xdr:to>
    <xdr:sp macro="" textlink="">
      <xdr:nvSpPr>
        <xdr:cNvPr id="3861" name="Arrow: Down 3860">
          <a:extLst>
            <a:ext uri="{FF2B5EF4-FFF2-40B4-BE49-F238E27FC236}">
              <a16:creationId xmlns:a16="http://schemas.microsoft.com/office/drawing/2014/main" id="{295D0352-88B7-4FD6-816D-7B3743BAE7CC}"/>
            </a:ext>
          </a:extLst>
        </xdr:cNvPr>
        <xdr:cNvSpPr/>
      </xdr:nvSpPr>
      <xdr:spPr>
        <a:xfrm>
          <a:off x="369570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527</xdr:row>
      <xdr:rowOff>0</xdr:rowOff>
    </xdr:from>
    <xdr:to>
      <xdr:col>60</xdr:col>
      <xdr:colOff>83820</xdr:colOff>
      <xdr:row>527</xdr:row>
      <xdr:rowOff>114300</xdr:rowOff>
    </xdr:to>
    <xdr:sp macro="" textlink="">
      <xdr:nvSpPr>
        <xdr:cNvPr id="3865" name="Arrow: Down 3864">
          <a:extLst>
            <a:ext uri="{FF2B5EF4-FFF2-40B4-BE49-F238E27FC236}">
              <a16:creationId xmlns:a16="http://schemas.microsoft.com/office/drawing/2014/main" id="{A2940E54-1776-4DD5-A222-B61238FE5EDC}"/>
            </a:ext>
          </a:extLst>
        </xdr:cNvPr>
        <xdr:cNvSpPr/>
      </xdr:nvSpPr>
      <xdr:spPr>
        <a:xfrm>
          <a:off x="1908048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527</xdr:row>
      <xdr:rowOff>0</xdr:rowOff>
    </xdr:from>
    <xdr:to>
      <xdr:col>24</xdr:col>
      <xdr:colOff>83820</xdr:colOff>
      <xdr:row>527</xdr:row>
      <xdr:rowOff>114300</xdr:rowOff>
    </xdr:to>
    <xdr:sp macro="" textlink="">
      <xdr:nvSpPr>
        <xdr:cNvPr id="3869" name="Arrow: Down 3868">
          <a:extLst>
            <a:ext uri="{FF2B5EF4-FFF2-40B4-BE49-F238E27FC236}">
              <a16:creationId xmlns:a16="http://schemas.microsoft.com/office/drawing/2014/main" id="{A311A206-00C7-43AD-9762-41BEF90DE209}"/>
            </a:ext>
          </a:extLst>
        </xdr:cNvPr>
        <xdr:cNvSpPr/>
      </xdr:nvSpPr>
      <xdr:spPr>
        <a:xfrm rot="10800000">
          <a:off x="833628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528</xdr:row>
      <xdr:rowOff>0</xdr:rowOff>
    </xdr:from>
    <xdr:to>
      <xdr:col>45</xdr:col>
      <xdr:colOff>83820</xdr:colOff>
      <xdr:row>528</xdr:row>
      <xdr:rowOff>114300</xdr:rowOff>
    </xdr:to>
    <xdr:sp macro="" textlink="">
      <xdr:nvSpPr>
        <xdr:cNvPr id="3872" name="Arrow: Down 3871">
          <a:extLst>
            <a:ext uri="{FF2B5EF4-FFF2-40B4-BE49-F238E27FC236}">
              <a16:creationId xmlns:a16="http://schemas.microsoft.com/office/drawing/2014/main" id="{BA98207E-8C20-4E27-8040-77015F969CFC}"/>
            </a:ext>
          </a:extLst>
        </xdr:cNvPr>
        <xdr:cNvSpPr/>
      </xdr:nvSpPr>
      <xdr:spPr>
        <a:xfrm>
          <a:off x="1340358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528</xdr:row>
      <xdr:rowOff>0</xdr:rowOff>
    </xdr:from>
    <xdr:to>
      <xdr:col>39</xdr:col>
      <xdr:colOff>83820</xdr:colOff>
      <xdr:row>528</xdr:row>
      <xdr:rowOff>114300</xdr:rowOff>
    </xdr:to>
    <xdr:sp macro="" textlink="">
      <xdr:nvSpPr>
        <xdr:cNvPr id="3880" name="Arrow: Down 3879">
          <a:extLst>
            <a:ext uri="{FF2B5EF4-FFF2-40B4-BE49-F238E27FC236}">
              <a16:creationId xmlns:a16="http://schemas.microsoft.com/office/drawing/2014/main" id="{F597E5A5-EE10-47E5-8F33-D47641F9446D}"/>
            </a:ext>
          </a:extLst>
        </xdr:cNvPr>
        <xdr:cNvSpPr/>
      </xdr:nvSpPr>
      <xdr:spPr>
        <a:xfrm>
          <a:off x="1154430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528</xdr:row>
      <xdr:rowOff>0</xdr:rowOff>
    </xdr:from>
    <xdr:to>
      <xdr:col>71</xdr:col>
      <xdr:colOff>83820</xdr:colOff>
      <xdr:row>528</xdr:row>
      <xdr:rowOff>114300</xdr:rowOff>
    </xdr:to>
    <xdr:sp macro="" textlink="">
      <xdr:nvSpPr>
        <xdr:cNvPr id="3889" name="Arrow: Down 3888">
          <a:extLst>
            <a:ext uri="{FF2B5EF4-FFF2-40B4-BE49-F238E27FC236}">
              <a16:creationId xmlns:a16="http://schemas.microsoft.com/office/drawing/2014/main" id="{234DD00E-BC4A-4FBB-B299-C0EAC5F0734C}"/>
            </a:ext>
          </a:extLst>
        </xdr:cNvPr>
        <xdr:cNvSpPr/>
      </xdr:nvSpPr>
      <xdr:spPr>
        <a:xfrm rot="10800000">
          <a:off x="2163318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528</xdr:row>
      <xdr:rowOff>0</xdr:rowOff>
    </xdr:from>
    <xdr:to>
      <xdr:col>5</xdr:col>
      <xdr:colOff>83820</xdr:colOff>
      <xdr:row>528</xdr:row>
      <xdr:rowOff>114300</xdr:rowOff>
    </xdr:to>
    <xdr:sp macro="" textlink="">
      <xdr:nvSpPr>
        <xdr:cNvPr id="3890" name="Arrow: Down 3889">
          <a:extLst>
            <a:ext uri="{FF2B5EF4-FFF2-40B4-BE49-F238E27FC236}">
              <a16:creationId xmlns:a16="http://schemas.microsoft.com/office/drawing/2014/main" id="{8818574F-BE8A-406D-B902-B7441651458F}"/>
            </a:ext>
          </a:extLst>
        </xdr:cNvPr>
        <xdr:cNvSpPr/>
      </xdr:nvSpPr>
      <xdr:spPr>
        <a:xfrm>
          <a:off x="1927860" y="9647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528</xdr:row>
      <xdr:rowOff>0</xdr:rowOff>
    </xdr:from>
    <xdr:to>
      <xdr:col>11</xdr:col>
      <xdr:colOff>83820</xdr:colOff>
      <xdr:row>528</xdr:row>
      <xdr:rowOff>114300</xdr:rowOff>
    </xdr:to>
    <xdr:sp macro="" textlink="">
      <xdr:nvSpPr>
        <xdr:cNvPr id="3891" name="Arrow: Down 3890">
          <a:extLst>
            <a:ext uri="{FF2B5EF4-FFF2-40B4-BE49-F238E27FC236}">
              <a16:creationId xmlns:a16="http://schemas.microsoft.com/office/drawing/2014/main" id="{AD7ABDD9-81E0-4CE9-BDA6-3885DE7C3303}"/>
            </a:ext>
          </a:extLst>
        </xdr:cNvPr>
        <xdr:cNvSpPr/>
      </xdr:nvSpPr>
      <xdr:spPr>
        <a:xfrm>
          <a:off x="3695700" y="9647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528</xdr:row>
      <xdr:rowOff>0</xdr:rowOff>
    </xdr:from>
    <xdr:to>
      <xdr:col>24</xdr:col>
      <xdr:colOff>83820</xdr:colOff>
      <xdr:row>528</xdr:row>
      <xdr:rowOff>114300</xdr:rowOff>
    </xdr:to>
    <xdr:sp macro="" textlink="">
      <xdr:nvSpPr>
        <xdr:cNvPr id="3916" name="Arrow: Down 3915">
          <a:extLst>
            <a:ext uri="{FF2B5EF4-FFF2-40B4-BE49-F238E27FC236}">
              <a16:creationId xmlns:a16="http://schemas.microsoft.com/office/drawing/2014/main" id="{A9A99D6B-A16C-4BDA-A5D2-60EB54B3ADA1}"/>
            </a:ext>
          </a:extLst>
        </xdr:cNvPr>
        <xdr:cNvSpPr/>
      </xdr:nvSpPr>
      <xdr:spPr>
        <a:xfrm>
          <a:off x="833628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528</xdr:row>
      <xdr:rowOff>0</xdr:rowOff>
    </xdr:from>
    <xdr:to>
      <xdr:col>60</xdr:col>
      <xdr:colOff>83820</xdr:colOff>
      <xdr:row>528</xdr:row>
      <xdr:rowOff>114300</xdr:rowOff>
    </xdr:to>
    <xdr:sp macro="" textlink="">
      <xdr:nvSpPr>
        <xdr:cNvPr id="3917" name="Arrow: Down 3916">
          <a:extLst>
            <a:ext uri="{FF2B5EF4-FFF2-40B4-BE49-F238E27FC236}">
              <a16:creationId xmlns:a16="http://schemas.microsoft.com/office/drawing/2014/main" id="{EB812C46-92F0-4FF2-A49D-40D1408E645D}"/>
            </a:ext>
          </a:extLst>
        </xdr:cNvPr>
        <xdr:cNvSpPr/>
      </xdr:nvSpPr>
      <xdr:spPr>
        <a:xfrm rot="10800000">
          <a:off x="1908048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529</xdr:row>
      <xdr:rowOff>0</xdr:rowOff>
    </xdr:from>
    <xdr:to>
      <xdr:col>45</xdr:col>
      <xdr:colOff>83820</xdr:colOff>
      <xdr:row>529</xdr:row>
      <xdr:rowOff>114300</xdr:rowOff>
    </xdr:to>
    <xdr:sp macro="" textlink="">
      <xdr:nvSpPr>
        <xdr:cNvPr id="3918" name="Arrow: Down 3917">
          <a:extLst>
            <a:ext uri="{FF2B5EF4-FFF2-40B4-BE49-F238E27FC236}">
              <a16:creationId xmlns:a16="http://schemas.microsoft.com/office/drawing/2014/main" id="{881C2743-526F-47FF-A5ED-00B9FF246626}"/>
            </a:ext>
          </a:extLst>
        </xdr:cNvPr>
        <xdr:cNvSpPr/>
      </xdr:nvSpPr>
      <xdr:spPr>
        <a:xfrm>
          <a:off x="1340358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529</xdr:row>
      <xdr:rowOff>0</xdr:rowOff>
    </xdr:from>
    <xdr:to>
      <xdr:col>39</xdr:col>
      <xdr:colOff>83820</xdr:colOff>
      <xdr:row>529</xdr:row>
      <xdr:rowOff>114300</xdr:rowOff>
    </xdr:to>
    <xdr:sp macro="" textlink="">
      <xdr:nvSpPr>
        <xdr:cNvPr id="3919" name="Arrow: Down 3918">
          <a:extLst>
            <a:ext uri="{FF2B5EF4-FFF2-40B4-BE49-F238E27FC236}">
              <a16:creationId xmlns:a16="http://schemas.microsoft.com/office/drawing/2014/main" id="{68357846-2055-4CA1-8F27-1010A4482D70}"/>
            </a:ext>
          </a:extLst>
        </xdr:cNvPr>
        <xdr:cNvSpPr/>
      </xdr:nvSpPr>
      <xdr:spPr>
        <a:xfrm>
          <a:off x="1154430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529</xdr:row>
      <xdr:rowOff>0</xdr:rowOff>
    </xdr:from>
    <xdr:to>
      <xdr:col>71</xdr:col>
      <xdr:colOff>83820</xdr:colOff>
      <xdr:row>529</xdr:row>
      <xdr:rowOff>114300</xdr:rowOff>
    </xdr:to>
    <xdr:sp macro="" textlink="">
      <xdr:nvSpPr>
        <xdr:cNvPr id="3920" name="Arrow: Down 3919">
          <a:extLst>
            <a:ext uri="{FF2B5EF4-FFF2-40B4-BE49-F238E27FC236}">
              <a16:creationId xmlns:a16="http://schemas.microsoft.com/office/drawing/2014/main" id="{48EB93F6-3840-4100-A1B6-8FDD03096415}"/>
            </a:ext>
          </a:extLst>
        </xdr:cNvPr>
        <xdr:cNvSpPr/>
      </xdr:nvSpPr>
      <xdr:spPr>
        <a:xfrm rot="10800000">
          <a:off x="2163318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529</xdr:row>
      <xdr:rowOff>0</xdr:rowOff>
    </xdr:from>
    <xdr:to>
      <xdr:col>5</xdr:col>
      <xdr:colOff>83820</xdr:colOff>
      <xdr:row>529</xdr:row>
      <xdr:rowOff>114300</xdr:rowOff>
    </xdr:to>
    <xdr:sp macro="" textlink="">
      <xdr:nvSpPr>
        <xdr:cNvPr id="3925" name="Arrow: Down 3924">
          <a:extLst>
            <a:ext uri="{FF2B5EF4-FFF2-40B4-BE49-F238E27FC236}">
              <a16:creationId xmlns:a16="http://schemas.microsoft.com/office/drawing/2014/main" id="{71064211-894E-45A4-BF2A-66B2DD7B8632}"/>
            </a:ext>
          </a:extLst>
        </xdr:cNvPr>
        <xdr:cNvSpPr/>
      </xdr:nvSpPr>
      <xdr:spPr>
        <a:xfrm>
          <a:off x="192786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529</xdr:row>
      <xdr:rowOff>0</xdr:rowOff>
    </xdr:from>
    <xdr:to>
      <xdr:col>11</xdr:col>
      <xdr:colOff>83820</xdr:colOff>
      <xdr:row>529</xdr:row>
      <xdr:rowOff>114300</xdr:rowOff>
    </xdr:to>
    <xdr:sp macro="" textlink="">
      <xdr:nvSpPr>
        <xdr:cNvPr id="3944" name="Arrow: Down 3943">
          <a:extLst>
            <a:ext uri="{FF2B5EF4-FFF2-40B4-BE49-F238E27FC236}">
              <a16:creationId xmlns:a16="http://schemas.microsoft.com/office/drawing/2014/main" id="{5D0AC454-9C2A-44E1-9D3F-9FBFE43A0FBF}"/>
            </a:ext>
          </a:extLst>
        </xdr:cNvPr>
        <xdr:cNvSpPr/>
      </xdr:nvSpPr>
      <xdr:spPr>
        <a:xfrm>
          <a:off x="369570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529</xdr:row>
      <xdr:rowOff>0</xdr:rowOff>
    </xdr:from>
    <xdr:to>
      <xdr:col>24</xdr:col>
      <xdr:colOff>83820</xdr:colOff>
      <xdr:row>529</xdr:row>
      <xdr:rowOff>114300</xdr:rowOff>
    </xdr:to>
    <xdr:sp macro="" textlink="">
      <xdr:nvSpPr>
        <xdr:cNvPr id="3945" name="Arrow: Down 3944">
          <a:extLst>
            <a:ext uri="{FF2B5EF4-FFF2-40B4-BE49-F238E27FC236}">
              <a16:creationId xmlns:a16="http://schemas.microsoft.com/office/drawing/2014/main" id="{19C37FEC-8B49-4ACE-8CD3-3A92BFAAD9BE}"/>
            </a:ext>
          </a:extLst>
        </xdr:cNvPr>
        <xdr:cNvSpPr/>
      </xdr:nvSpPr>
      <xdr:spPr>
        <a:xfrm>
          <a:off x="833628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529</xdr:row>
      <xdr:rowOff>0</xdr:rowOff>
    </xdr:from>
    <xdr:to>
      <xdr:col>60</xdr:col>
      <xdr:colOff>83820</xdr:colOff>
      <xdr:row>529</xdr:row>
      <xdr:rowOff>114300</xdr:rowOff>
    </xdr:to>
    <xdr:sp macro="" textlink="">
      <xdr:nvSpPr>
        <xdr:cNvPr id="3948" name="Arrow: Down 3947">
          <a:extLst>
            <a:ext uri="{FF2B5EF4-FFF2-40B4-BE49-F238E27FC236}">
              <a16:creationId xmlns:a16="http://schemas.microsoft.com/office/drawing/2014/main" id="{497278DC-FD15-40CD-BC19-5FE955274C21}"/>
            </a:ext>
          </a:extLst>
        </xdr:cNvPr>
        <xdr:cNvSpPr/>
      </xdr:nvSpPr>
      <xdr:spPr>
        <a:xfrm>
          <a:off x="19080480" y="9684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530</xdr:row>
      <xdr:rowOff>0</xdr:rowOff>
    </xdr:from>
    <xdr:to>
      <xdr:col>60</xdr:col>
      <xdr:colOff>83820</xdr:colOff>
      <xdr:row>530</xdr:row>
      <xdr:rowOff>114300</xdr:rowOff>
    </xdr:to>
    <xdr:sp macro="" textlink="">
      <xdr:nvSpPr>
        <xdr:cNvPr id="3862" name="Arrow: Down 3861">
          <a:extLst>
            <a:ext uri="{FF2B5EF4-FFF2-40B4-BE49-F238E27FC236}">
              <a16:creationId xmlns:a16="http://schemas.microsoft.com/office/drawing/2014/main" id="{091B53E0-E7DA-45EF-8286-A7D72FE33C37}"/>
            </a:ext>
          </a:extLst>
        </xdr:cNvPr>
        <xdr:cNvSpPr/>
      </xdr:nvSpPr>
      <xdr:spPr>
        <a:xfrm>
          <a:off x="19080480" y="9684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530</xdr:row>
      <xdr:rowOff>0</xdr:rowOff>
    </xdr:from>
    <xdr:to>
      <xdr:col>71</xdr:col>
      <xdr:colOff>83820</xdr:colOff>
      <xdr:row>530</xdr:row>
      <xdr:rowOff>114300</xdr:rowOff>
    </xdr:to>
    <xdr:sp macro="" textlink="">
      <xdr:nvSpPr>
        <xdr:cNvPr id="3892" name="Arrow: Down 3891">
          <a:extLst>
            <a:ext uri="{FF2B5EF4-FFF2-40B4-BE49-F238E27FC236}">
              <a16:creationId xmlns:a16="http://schemas.microsoft.com/office/drawing/2014/main" id="{96443913-163B-4B94-BB86-80BE1AEF86D2}"/>
            </a:ext>
          </a:extLst>
        </xdr:cNvPr>
        <xdr:cNvSpPr/>
      </xdr:nvSpPr>
      <xdr:spPr>
        <a:xfrm>
          <a:off x="21633180" y="9702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530</xdr:row>
      <xdr:rowOff>0</xdr:rowOff>
    </xdr:from>
    <xdr:to>
      <xdr:col>45</xdr:col>
      <xdr:colOff>83820</xdr:colOff>
      <xdr:row>530</xdr:row>
      <xdr:rowOff>114300</xdr:rowOff>
    </xdr:to>
    <xdr:sp macro="" textlink="">
      <xdr:nvSpPr>
        <xdr:cNvPr id="3893" name="Arrow: Down 3892">
          <a:extLst>
            <a:ext uri="{FF2B5EF4-FFF2-40B4-BE49-F238E27FC236}">
              <a16:creationId xmlns:a16="http://schemas.microsoft.com/office/drawing/2014/main" id="{BB53B721-603D-4E8B-B416-C65F0CDB8F3A}"/>
            </a:ext>
          </a:extLst>
        </xdr:cNvPr>
        <xdr:cNvSpPr/>
      </xdr:nvSpPr>
      <xdr:spPr>
        <a:xfrm rot="10800000">
          <a:off x="13403580" y="9702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530</xdr:row>
      <xdr:rowOff>0</xdr:rowOff>
    </xdr:from>
    <xdr:to>
      <xdr:col>39</xdr:col>
      <xdr:colOff>83820</xdr:colOff>
      <xdr:row>530</xdr:row>
      <xdr:rowOff>114300</xdr:rowOff>
    </xdr:to>
    <xdr:sp macro="" textlink="">
      <xdr:nvSpPr>
        <xdr:cNvPr id="3911" name="Arrow: Down 3910">
          <a:extLst>
            <a:ext uri="{FF2B5EF4-FFF2-40B4-BE49-F238E27FC236}">
              <a16:creationId xmlns:a16="http://schemas.microsoft.com/office/drawing/2014/main" id="{C0D5B896-B58B-4E01-85B7-D94B0DB4C0A9}"/>
            </a:ext>
          </a:extLst>
        </xdr:cNvPr>
        <xdr:cNvSpPr/>
      </xdr:nvSpPr>
      <xdr:spPr>
        <a:xfrm rot="10800000">
          <a:off x="11544300" y="9702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530</xdr:row>
      <xdr:rowOff>0</xdr:rowOff>
    </xdr:from>
    <xdr:to>
      <xdr:col>5</xdr:col>
      <xdr:colOff>83820</xdr:colOff>
      <xdr:row>530</xdr:row>
      <xdr:rowOff>114300</xdr:rowOff>
    </xdr:to>
    <xdr:sp macro="" textlink="">
      <xdr:nvSpPr>
        <xdr:cNvPr id="3946" name="Arrow: Down 3945">
          <a:extLst>
            <a:ext uri="{FF2B5EF4-FFF2-40B4-BE49-F238E27FC236}">
              <a16:creationId xmlns:a16="http://schemas.microsoft.com/office/drawing/2014/main" id="{0CBCBAC6-5B1D-4F1E-ACFA-1A2544F9E9E1}"/>
            </a:ext>
          </a:extLst>
        </xdr:cNvPr>
        <xdr:cNvSpPr/>
      </xdr:nvSpPr>
      <xdr:spPr>
        <a:xfrm rot="10800000">
          <a:off x="192786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530</xdr:row>
      <xdr:rowOff>0</xdr:rowOff>
    </xdr:from>
    <xdr:to>
      <xdr:col>11</xdr:col>
      <xdr:colOff>83820</xdr:colOff>
      <xdr:row>530</xdr:row>
      <xdr:rowOff>114300</xdr:rowOff>
    </xdr:to>
    <xdr:sp macro="" textlink="">
      <xdr:nvSpPr>
        <xdr:cNvPr id="3956" name="Arrow: Down 3955">
          <a:extLst>
            <a:ext uri="{FF2B5EF4-FFF2-40B4-BE49-F238E27FC236}">
              <a16:creationId xmlns:a16="http://schemas.microsoft.com/office/drawing/2014/main" id="{981822B8-4CAE-49CF-8F43-607A01A1067D}"/>
            </a:ext>
          </a:extLst>
        </xdr:cNvPr>
        <xdr:cNvSpPr/>
      </xdr:nvSpPr>
      <xdr:spPr>
        <a:xfrm rot="10800000">
          <a:off x="369570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530</xdr:row>
      <xdr:rowOff>0</xdr:rowOff>
    </xdr:from>
    <xdr:to>
      <xdr:col>24</xdr:col>
      <xdr:colOff>83820</xdr:colOff>
      <xdr:row>530</xdr:row>
      <xdr:rowOff>114300</xdr:rowOff>
    </xdr:to>
    <xdr:sp macro="" textlink="">
      <xdr:nvSpPr>
        <xdr:cNvPr id="3957" name="Arrow: Down 3956">
          <a:extLst>
            <a:ext uri="{FF2B5EF4-FFF2-40B4-BE49-F238E27FC236}">
              <a16:creationId xmlns:a16="http://schemas.microsoft.com/office/drawing/2014/main" id="{6E426A88-4B38-4039-86EC-F61E4216FE72}"/>
            </a:ext>
          </a:extLst>
        </xdr:cNvPr>
        <xdr:cNvSpPr/>
      </xdr:nvSpPr>
      <xdr:spPr>
        <a:xfrm rot="10800000">
          <a:off x="833628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531</xdr:row>
      <xdr:rowOff>0</xdr:rowOff>
    </xdr:from>
    <xdr:to>
      <xdr:col>5</xdr:col>
      <xdr:colOff>83820</xdr:colOff>
      <xdr:row>531</xdr:row>
      <xdr:rowOff>114300</xdr:rowOff>
    </xdr:to>
    <xdr:sp macro="" textlink="">
      <xdr:nvSpPr>
        <xdr:cNvPr id="3967" name="Arrow: Down 3966">
          <a:extLst>
            <a:ext uri="{FF2B5EF4-FFF2-40B4-BE49-F238E27FC236}">
              <a16:creationId xmlns:a16="http://schemas.microsoft.com/office/drawing/2014/main" id="{DF1B9EF8-83D4-4D12-BE0F-4D192810AC5B}"/>
            </a:ext>
          </a:extLst>
        </xdr:cNvPr>
        <xdr:cNvSpPr/>
      </xdr:nvSpPr>
      <xdr:spPr>
        <a:xfrm rot="10800000">
          <a:off x="192786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531</xdr:row>
      <xdr:rowOff>0</xdr:rowOff>
    </xdr:from>
    <xdr:to>
      <xdr:col>11</xdr:col>
      <xdr:colOff>83820</xdr:colOff>
      <xdr:row>531</xdr:row>
      <xdr:rowOff>114300</xdr:rowOff>
    </xdr:to>
    <xdr:sp macro="" textlink="">
      <xdr:nvSpPr>
        <xdr:cNvPr id="3969" name="Arrow: Down 3968">
          <a:extLst>
            <a:ext uri="{FF2B5EF4-FFF2-40B4-BE49-F238E27FC236}">
              <a16:creationId xmlns:a16="http://schemas.microsoft.com/office/drawing/2014/main" id="{CD8DEDA0-A425-415A-837C-E63A122E05E2}"/>
            </a:ext>
          </a:extLst>
        </xdr:cNvPr>
        <xdr:cNvSpPr/>
      </xdr:nvSpPr>
      <xdr:spPr>
        <a:xfrm rot="10800000">
          <a:off x="369570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531</xdr:row>
      <xdr:rowOff>0</xdr:rowOff>
    </xdr:from>
    <xdr:to>
      <xdr:col>24</xdr:col>
      <xdr:colOff>83820</xdr:colOff>
      <xdr:row>531</xdr:row>
      <xdr:rowOff>114300</xdr:rowOff>
    </xdr:to>
    <xdr:sp macro="" textlink="">
      <xdr:nvSpPr>
        <xdr:cNvPr id="3976" name="Arrow: Down 3975">
          <a:extLst>
            <a:ext uri="{FF2B5EF4-FFF2-40B4-BE49-F238E27FC236}">
              <a16:creationId xmlns:a16="http://schemas.microsoft.com/office/drawing/2014/main" id="{3361281C-6F2B-4502-868D-98C2F00A6081}"/>
            </a:ext>
          </a:extLst>
        </xdr:cNvPr>
        <xdr:cNvSpPr/>
      </xdr:nvSpPr>
      <xdr:spPr>
        <a:xfrm rot="10800000">
          <a:off x="833628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531</xdr:row>
      <xdr:rowOff>0</xdr:rowOff>
    </xdr:from>
    <xdr:to>
      <xdr:col>45</xdr:col>
      <xdr:colOff>83820</xdr:colOff>
      <xdr:row>531</xdr:row>
      <xdr:rowOff>114300</xdr:rowOff>
    </xdr:to>
    <xdr:sp macro="" textlink="">
      <xdr:nvSpPr>
        <xdr:cNvPr id="3977" name="Arrow: Down 3976">
          <a:extLst>
            <a:ext uri="{FF2B5EF4-FFF2-40B4-BE49-F238E27FC236}">
              <a16:creationId xmlns:a16="http://schemas.microsoft.com/office/drawing/2014/main" id="{B0E78E9D-AAA1-488C-BADD-92C3DF5DDBB5}"/>
            </a:ext>
          </a:extLst>
        </xdr:cNvPr>
        <xdr:cNvSpPr/>
      </xdr:nvSpPr>
      <xdr:spPr>
        <a:xfrm>
          <a:off x="134035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531</xdr:row>
      <xdr:rowOff>0</xdr:rowOff>
    </xdr:from>
    <xdr:to>
      <xdr:col>39</xdr:col>
      <xdr:colOff>83820</xdr:colOff>
      <xdr:row>531</xdr:row>
      <xdr:rowOff>114300</xdr:rowOff>
    </xdr:to>
    <xdr:sp macro="" textlink="">
      <xdr:nvSpPr>
        <xdr:cNvPr id="3978" name="Arrow: Down 3977">
          <a:extLst>
            <a:ext uri="{FF2B5EF4-FFF2-40B4-BE49-F238E27FC236}">
              <a16:creationId xmlns:a16="http://schemas.microsoft.com/office/drawing/2014/main" id="{4C3D535A-71BB-44F6-BA45-94379D93D10E}"/>
            </a:ext>
          </a:extLst>
        </xdr:cNvPr>
        <xdr:cNvSpPr/>
      </xdr:nvSpPr>
      <xdr:spPr>
        <a:xfrm>
          <a:off x="1154430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531</xdr:row>
      <xdr:rowOff>0</xdr:rowOff>
    </xdr:from>
    <xdr:to>
      <xdr:col>71</xdr:col>
      <xdr:colOff>83820</xdr:colOff>
      <xdr:row>531</xdr:row>
      <xdr:rowOff>114300</xdr:rowOff>
    </xdr:to>
    <xdr:sp macro="" textlink="">
      <xdr:nvSpPr>
        <xdr:cNvPr id="3979" name="Arrow: Down 3978">
          <a:extLst>
            <a:ext uri="{FF2B5EF4-FFF2-40B4-BE49-F238E27FC236}">
              <a16:creationId xmlns:a16="http://schemas.microsoft.com/office/drawing/2014/main" id="{DA2B7D19-95F4-4B76-8C70-692369B9EDD6}"/>
            </a:ext>
          </a:extLst>
        </xdr:cNvPr>
        <xdr:cNvSpPr/>
      </xdr:nvSpPr>
      <xdr:spPr>
        <a:xfrm rot="10800000">
          <a:off x="216331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531</xdr:row>
      <xdr:rowOff>0</xdr:rowOff>
    </xdr:from>
    <xdr:to>
      <xdr:col>60</xdr:col>
      <xdr:colOff>83820</xdr:colOff>
      <xdr:row>531</xdr:row>
      <xdr:rowOff>114300</xdr:rowOff>
    </xdr:to>
    <xdr:sp macro="" textlink="">
      <xdr:nvSpPr>
        <xdr:cNvPr id="3992" name="Arrow: Down 3991">
          <a:extLst>
            <a:ext uri="{FF2B5EF4-FFF2-40B4-BE49-F238E27FC236}">
              <a16:creationId xmlns:a16="http://schemas.microsoft.com/office/drawing/2014/main" id="{92FB2641-077C-48F2-95CE-40AA30FF3369}"/>
            </a:ext>
          </a:extLst>
        </xdr:cNvPr>
        <xdr:cNvSpPr/>
      </xdr:nvSpPr>
      <xdr:spPr>
        <a:xfrm rot="10800000">
          <a:off x="190804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532</xdr:row>
      <xdr:rowOff>0</xdr:rowOff>
    </xdr:from>
    <xdr:to>
      <xdr:col>5</xdr:col>
      <xdr:colOff>83820</xdr:colOff>
      <xdr:row>532</xdr:row>
      <xdr:rowOff>114300</xdr:rowOff>
    </xdr:to>
    <xdr:sp macro="" textlink="">
      <xdr:nvSpPr>
        <xdr:cNvPr id="3996" name="Arrow: Down 3995">
          <a:extLst>
            <a:ext uri="{FF2B5EF4-FFF2-40B4-BE49-F238E27FC236}">
              <a16:creationId xmlns:a16="http://schemas.microsoft.com/office/drawing/2014/main" id="{EFC556EC-2309-41FB-9A50-6FE282F85116}"/>
            </a:ext>
          </a:extLst>
        </xdr:cNvPr>
        <xdr:cNvSpPr/>
      </xdr:nvSpPr>
      <xdr:spPr>
        <a:xfrm rot="10800000">
          <a:off x="192786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532</xdr:row>
      <xdr:rowOff>0</xdr:rowOff>
    </xdr:from>
    <xdr:to>
      <xdr:col>11</xdr:col>
      <xdr:colOff>83820</xdr:colOff>
      <xdr:row>532</xdr:row>
      <xdr:rowOff>114300</xdr:rowOff>
    </xdr:to>
    <xdr:sp macro="" textlink="">
      <xdr:nvSpPr>
        <xdr:cNvPr id="4004" name="Arrow: Down 4003">
          <a:extLst>
            <a:ext uri="{FF2B5EF4-FFF2-40B4-BE49-F238E27FC236}">
              <a16:creationId xmlns:a16="http://schemas.microsoft.com/office/drawing/2014/main" id="{00ABCB17-46F8-4DF5-951B-C99FBFF3BFA2}"/>
            </a:ext>
          </a:extLst>
        </xdr:cNvPr>
        <xdr:cNvSpPr/>
      </xdr:nvSpPr>
      <xdr:spPr>
        <a:xfrm rot="10800000">
          <a:off x="369570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532</xdr:row>
      <xdr:rowOff>0</xdr:rowOff>
    </xdr:from>
    <xdr:to>
      <xdr:col>24</xdr:col>
      <xdr:colOff>83820</xdr:colOff>
      <xdr:row>532</xdr:row>
      <xdr:rowOff>114300</xdr:rowOff>
    </xdr:to>
    <xdr:sp macro="" textlink="">
      <xdr:nvSpPr>
        <xdr:cNvPr id="4005" name="Arrow: Down 4004">
          <a:extLst>
            <a:ext uri="{FF2B5EF4-FFF2-40B4-BE49-F238E27FC236}">
              <a16:creationId xmlns:a16="http://schemas.microsoft.com/office/drawing/2014/main" id="{B5EC0F38-F69A-43A7-B5AA-99646CBB7AE6}"/>
            </a:ext>
          </a:extLst>
        </xdr:cNvPr>
        <xdr:cNvSpPr/>
      </xdr:nvSpPr>
      <xdr:spPr>
        <a:xfrm rot="10800000">
          <a:off x="83362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532</xdr:row>
      <xdr:rowOff>0</xdr:rowOff>
    </xdr:from>
    <xdr:to>
      <xdr:col>45</xdr:col>
      <xdr:colOff>83820</xdr:colOff>
      <xdr:row>532</xdr:row>
      <xdr:rowOff>114300</xdr:rowOff>
    </xdr:to>
    <xdr:sp macro="" textlink="">
      <xdr:nvSpPr>
        <xdr:cNvPr id="4006" name="Arrow: Down 4005">
          <a:extLst>
            <a:ext uri="{FF2B5EF4-FFF2-40B4-BE49-F238E27FC236}">
              <a16:creationId xmlns:a16="http://schemas.microsoft.com/office/drawing/2014/main" id="{461F57FA-23BE-4011-B7E0-F525B94FEF14}"/>
            </a:ext>
          </a:extLst>
        </xdr:cNvPr>
        <xdr:cNvSpPr/>
      </xdr:nvSpPr>
      <xdr:spPr>
        <a:xfrm>
          <a:off x="134035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532</xdr:row>
      <xdr:rowOff>0</xdr:rowOff>
    </xdr:from>
    <xdr:to>
      <xdr:col>39</xdr:col>
      <xdr:colOff>83820</xdr:colOff>
      <xdr:row>532</xdr:row>
      <xdr:rowOff>114300</xdr:rowOff>
    </xdr:to>
    <xdr:sp macro="" textlink="">
      <xdr:nvSpPr>
        <xdr:cNvPr id="4016" name="Arrow: Down 4015">
          <a:extLst>
            <a:ext uri="{FF2B5EF4-FFF2-40B4-BE49-F238E27FC236}">
              <a16:creationId xmlns:a16="http://schemas.microsoft.com/office/drawing/2014/main" id="{495390DF-A1E0-4981-8CA6-D74667C36DF7}"/>
            </a:ext>
          </a:extLst>
        </xdr:cNvPr>
        <xdr:cNvSpPr/>
      </xdr:nvSpPr>
      <xdr:spPr>
        <a:xfrm rot="10800000">
          <a:off x="11544300" y="9739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532</xdr:row>
      <xdr:rowOff>0</xdr:rowOff>
    </xdr:from>
    <xdr:to>
      <xdr:col>71</xdr:col>
      <xdr:colOff>83820</xdr:colOff>
      <xdr:row>532</xdr:row>
      <xdr:rowOff>114300</xdr:rowOff>
    </xdr:to>
    <xdr:sp macro="" textlink="">
      <xdr:nvSpPr>
        <xdr:cNvPr id="4017" name="Arrow: Down 4016">
          <a:extLst>
            <a:ext uri="{FF2B5EF4-FFF2-40B4-BE49-F238E27FC236}">
              <a16:creationId xmlns:a16="http://schemas.microsoft.com/office/drawing/2014/main" id="{7E97A5CC-0749-490E-8F65-7E5555098C7F}"/>
            </a:ext>
          </a:extLst>
        </xdr:cNvPr>
        <xdr:cNvSpPr/>
      </xdr:nvSpPr>
      <xdr:spPr>
        <a:xfrm>
          <a:off x="21633180" y="9739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532</xdr:row>
      <xdr:rowOff>0</xdr:rowOff>
    </xdr:from>
    <xdr:to>
      <xdr:col>60</xdr:col>
      <xdr:colOff>83820</xdr:colOff>
      <xdr:row>532</xdr:row>
      <xdr:rowOff>114300</xdr:rowOff>
    </xdr:to>
    <xdr:sp macro="" textlink="">
      <xdr:nvSpPr>
        <xdr:cNvPr id="4018" name="Arrow: Down 4017">
          <a:extLst>
            <a:ext uri="{FF2B5EF4-FFF2-40B4-BE49-F238E27FC236}">
              <a16:creationId xmlns:a16="http://schemas.microsoft.com/office/drawing/2014/main" id="{50C59B18-0E70-4BC8-925D-3514489EABFD}"/>
            </a:ext>
          </a:extLst>
        </xdr:cNvPr>
        <xdr:cNvSpPr/>
      </xdr:nvSpPr>
      <xdr:spPr>
        <a:xfrm>
          <a:off x="19080480" y="9739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533</xdr:row>
      <xdr:rowOff>0</xdr:rowOff>
    </xdr:from>
    <xdr:to>
      <xdr:col>5</xdr:col>
      <xdr:colOff>83820</xdr:colOff>
      <xdr:row>533</xdr:row>
      <xdr:rowOff>114300</xdr:rowOff>
    </xdr:to>
    <xdr:sp macro="" textlink="">
      <xdr:nvSpPr>
        <xdr:cNvPr id="4019" name="Arrow: Down 4018">
          <a:extLst>
            <a:ext uri="{FF2B5EF4-FFF2-40B4-BE49-F238E27FC236}">
              <a16:creationId xmlns:a16="http://schemas.microsoft.com/office/drawing/2014/main" id="{A95ACD1D-1E0C-43A4-A64E-6D0B9CD11D3B}"/>
            </a:ext>
          </a:extLst>
        </xdr:cNvPr>
        <xdr:cNvSpPr/>
      </xdr:nvSpPr>
      <xdr:spPr>
        <a:xfrm rot="10800000">
          <a:off x="192786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533</xdr:row>
      <xdr:rowOff>0</xdr:rowOff>
    </xdr:from>
    <xdr:to>
      <xdr:col>11</xdr:col>
      <xdr:colOff>83820</xdr:colOff>
      <xdr:row>533</xdr:row>
      <xdr:rowOff>114300</xdr:rowOff>
    </xdr:to>
    <xdr:sp macro="" textlink="">
      <xdr:nvSpPr>
        <xdr:cNvPr id="4020" name="Arrow: Down 4019">
          <a:extLst>
            <a:ext uri="{FF2B5EF4-FFF2-40B4-BE49-F238E27FC236}">
              <a16:creationId xmlns:a16="http://schemas.microsoft.com/office/drawing/2014/main" id="{7F44AF02-0BD9-479F-85FB-51E60D1C8CD5}"/>
            </a:ext>
          </a:extLst>
        </xdr:cNvPr>
        <xdr:cNvSpPr/>
      </xdr:nvSpPr>
      <xdr:spPr>
        <a:xfrm rot="10800000">
          <a:off x="369570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533</xdr:row>
      <xdr:rowOff>0</xdr:rowOff>
    </xdr:from>
    <xdr:to>
      <xdr:col>24</xdr:col>
      <xdr:colOff>83820</xdr:colOff>
      <xdr:row>533</xdr:row>
      <xdr:rowOff>114300</xdr:rowOff>
    </xdr:to>
    <xdr:sp macro="" textlink="">
      <xdr:nvSpPr>
        <xdr:cNvPr id="4021" name="Arrow: Down 4020">
          <a:extLst>
            <a:ext uri="{FF2B5EF4-FFF2-40B4-BE49-F238E27FC236}">
              <a16:creationId xmlns:a16="http://schemas.microsoft.com/office/drawing/2014/main" id="{4B72249C-B89C-430A-85AF-634882E6775C}"/>
            </a:ext>
          </a:extLst>
        </xdr:cNvPr>
        <xdr:cNvSpPr/>
      </xdr:nvSpPr>
      <xdr:spPr>
        <a:xfrm rot="10800000">
          <a:off x="833628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533</xdr:row>
      <xdr:rowOff>0</xdr:rowOff>
    </xdr:from>
    <xdr:to>
      <xdr:col>45</xdr:col>
      <xdr:colOff>83820</xdr:colOff>
      <xdr:row>533</xdr:row>
      <xdr:rowOff>114300</xdr:rowOff>
    </xdr:to>
    <xdr:sp macro="" textlink="">
      <xdr:nvSpPr>
        <xdr:cNvPr id="4022" name="Arrow: Down 4021">
          <a:extLst>
            <a:ext uri="{FF2B5EF4-FFF2-40B4-BE49-F238E27FC236}">
              <a16:creationId xmlns:a16="http://schemas.microsoft.com/office/drawing/2014/main" id="{64E61EB8-573A-486E-9689-F051AA6437AE}"/>
            </a:ext>
          </a:extLst>
        </xdr:cNvPr>
        <xdr:cNvSpPr/>
      </xdr:nvSpPr>
      <xdr:spPr>
        <a:xfrm>
          <a:off x="1340358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534</xdr:row>
      <xdr:rowOff>0</xdr:rowOff>
    </xdr:from>
    <xdr:to>
      <xdr:col>5</xdr:col>
      <xdr:colOff>83820</xdr:colOff>
      <xdr:row>534</xdr:row>
      <xdr:rowOff>114300</xdr:rowOff>
    </xdr:to>
    <xdr:sp macro="" textlink="">
      <xdr:nvSpPr>
        <xdr:cNvPr id="4026" name="Arrow: Down 4025">
          <a:extLst>
            <a:ext uri="{FF2B5EF4-FFF2-40B4-BE49-F238E27FC236}">
              <a16:creationId xmlns:a16="http://schemas.microsoft.com/office/drawing/2014/main" id="{6B0FC9AC-E301-449B-9A64-164C572849A3}"/>
            </a:ext>
          </a:extLst>
        </xdr:cNvPr>
        <xdr:cNvSpPr/>
      </xdr:nvSpPr>
      <xdr:spPr>
        <a:xfrm rot="10800000">
          <a:off x="192786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534</xdr:row>
      <xdr:rowOff>0</xdr:rowOff>
    </xdr:from>
    <xdr:to>
      <xdr:col>11</xdr:col>
      <xdr:colOff>83820</xdr:colOff>
      <xdr:row>534</xdr:row>
      <xdr:rowOff>114300</xdr:rowOff>
    </xdr:to>
    <xdr:sp macro="" textlink="">
      <xdr:nvSpPr>
        <xdr:cNvPr id="4027" name="Arrow: Down 4026">
          <a:extLst>
            <a:ext uri="{FF2B5EF4-FFF2-40B4-BE49-F238E27FC236}">
              <a16:creationId xmlns:a16="http://schemas.microsoft.com/office/drawing/2014/main" id="{98971697-C0B2-407E-990F-611BEBC9AAAB}"/>
            </a:ext>
          </a:extLst>
        </xdr:cNvPr>
        <xdr:cNvSpPr/>
      </xdr:nvSpPr>
      <xdr:spPr>
        <a:xfrm rot="10800000">
          <a:off x="369570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534</xdr:row>
      <xdr:rowOff>0</xdr:rowOff>
    </xdr:from>
    <xdr:to>
      <xdr:col>24</xdr:col>
      <xdr:colOff>83820</xdr:colOff>
      <xdr:row>534</xdr:row>
      <xdr:rowOff>114300</xdr:rowOff>
    </xdr:to>
    <xdr:sp macro="" textlink="">
      <xdr:nvSpPr>
        <xdr:cNvPr id="4028" name="Arrow: Down 4027">
          <a:extLst>
            <a:ext uri="{FF2B5EF4-FFF2-40B4-BE49-F238E27FC236}">
              <a16:creationId xmlns:a16="http://schemas.microsoft.com/office/drawing/2014/main" id="{C348FE3C-B0D7-4E11-A381-2292307CDEC0}"/>
            </a:ext>
          </a:extLst>
        </xdr:cNvPr>
        <xdr:cNvSpPr/>
      </xdr:nvSpPr>
      <xdr:spPr>
        <a:xfrm rot="10800000">
          <a:off x="83362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534</xdr:row>
      <xdr:rowOff>0</xdr:rowOff>
    </xdr:from>
    <xdr:to>
      <xdr:col>45</xdr:col>
      <xdr:colOff>83820</xdr:colOff>
      <xdr:row>534</xdr:row>
      <xdr:rowOff>114300</xdr:rowOff>
    </xdr:to>
    <xdr:sp macro="" textlink="">
      <xdr:nvSpPr>
        <xdr:cNvPr id="4029" name="Arrow: Down 4028">
          <a:extLst>
            <a:ext uri="{FF2B5EF4-FFF2-40B4-BE49-F238E27FC236}">
              <a16:creationId xmlns:a16="http://schemas.microsoft.com/office/drawing/2014/main" id="{F9DC8954-30F7-46EB-B67B-7D65A660301A}"/>
            </a:ext>
          </a:extLst>
        </xdr:cNvPr>
        <xdr:cNvSpPr/>
      </xdr:nvSpPr>
      <xdr:spPr>
        <a:xfrm>
          <a:off x="134035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534</xdr:row>
      <xdr:rowOff>0</xdr:rowOff>
    </xdr:from>
    <xdr:to>
      <xdr:col>39</xdr:col>
      <xdr:colOff>83820</xdr:colOff>
      <xdr:row>534</xdr:row>
      <xdr:rowOff>114300</xdr:rowOff>
    </xdr:to>
    <xdr:sp macro="" textlink="">
      <xdr:nvSpPr>
        <xdr:cNvPr id="4030" name="Arrow: Down 4029">
          <a:extLst>
            <a:ext uri="{FF2B5EF4-FFF2-40B4-BE49-F238E27FC236}">
              <a16:creationId xmlns:a16="http://schemas.microsoft.com/office/drawing/2014/main" id="{1308B787-8A8A-4B81-80F3-83B3CA0BDCC0}"/>
            </a:ext>
          </a:extLst>
        </xdr:cNvPr>
        <xdr:cNvSpPr/>
      </xdr:nvSpPr>
      <xdr:spPr>
        <a:xfrm rot="10800000">
          <a:off x="11544300" y="9757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533</xdr:row>
      <xdr:rowOff>0</xdr:rowOff>
    </xdr:from>
    <xdr:to>
      <xdr:col>39</xdr:col>
      <xdr:colOff>83820</xdr:colOff>
      <xdr:row>533</xdr:row>
      <xdr:rowOff>114300</xdr:rowOff>
    </xdr:to>
    <xdr:sp macro="" textlink="">
      <xdr:nvSpPr>
        <xdr:cNvPr id="4033" name="Arrow: Down 4032">
          <a:extLst>
            <a:ext uri="{FF2B5EF4-FFF2-40B4-BE49-F238E27FC236}">
              <a16:creationId xmlns:a16="http://schemas.microsoft.com/office/drawing/2014/main" id="{37103D83-97AD-4135-B034-184DD29B41A0}"/>
            </a:ext>
          </a:extLst>
        </xdr:cNvPr>
        <xdr:cNvSpPr/>
      </xdr:nvSpPr>
      <xdr:spPr>
        <a:xfrm>
          <a:off x="1154430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533</xdr:row>
      <xdr:rowOff>0</xdr:rowOff>
    </xdr:from>
    <xdr:to>
      <xdr:col>71</xdr:col>
      <xdr:colOff>83820</xdr:colOff>
      <xdr:row>533</xdr:row>
      <xdr:rowOff>114300</xdr:rowOff>
    </xdr:to>
    <xdr:sp macro="" textlink="">
      <xdr:nvSpPr>
        <xdr:cNvPr id="4034" name="Arrow: Down 4033">
          <a:extLst>
            <a:ext uri="{FF2B5EF4-FFF2-40B4-BE49-F238E27FC236}">
              <a16:creationId xmlns:a16="http://schemas.microsoft.com/office/drawing/2014/main" id="{1B14DDAC-01CF-47B4-A808-9E93E454B198}"/>
            </a:ext>
          </a:extLst>
        </xdr:cNvPr>
        <xdr:cNvSpPr/>
      </xdr:nvSpPr>
      <xdr:spPr>
        <a:xfrm rot="10800000">
          <a:off x="216331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533</xdr:row>
      <xdr:rowOff>0</xdr:rowOff>
    </xdr:from>
    <xdr:to>
      <xdr:col>60</xdr:col>
      <xdr:colOff>83820</xdr:colOff>
      <xdr:row>533</xdr:row>
      <xdr:rowOff>114300</xdr:rowOff>
    </xdr:to>
    <xdr:sp macro="" textlink="">
      <xdr:nvSpPr>
        <xdr:cNvPr id="4035" name="Arrow: Down 4034">
          <a:extLst>
            <a:ext uri="{FF2B5EF4-FFF2-40B4-BE49-F238E27FC236}">
              <a16:creationId xmlns:a16="http://schemas.microsoft.com/office/drawing/2014/main" id="{C47BA366-DE7D-404C-8918-01B9F5826459}"/>
            </a:ext>
          </a:extLst>
        </xdr:cNvPr>
        <xdr:cNvSpPr/>
      </xdr:nvSpPr>
      <xdr:spPr>
        <a:xfrm rot="10800000">
          <a:off x="190804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534</xdr:row>
      <xdr:rowOff>0</xdr:rowOff>
    </xdr:from>
    <xdr:to>
      <xdr:col>71</xdr:col>
      <xdr:colOff>83820</xdr:colOff>
      <xdr:row>534</xdr:row>
      <xdr:rowOff>114300</xdr:rowOff>
    </xdr:to>
    <xdr:sp macro="" textlink="">
      <xdr:nvSpPr>
        <xdr:cNvPr id="4037" name="Arrow: Down 4036">
          <a:extLst>
            <a:ext uri="{FF2B5EF4-FFF2-40B4-BE49-F238E27FC236}">
              <a16:creationId xmlns:a16="http://schemas.microsoft.com/office/drawing/2014/main" id="{E6517290-C34F-4E84-AFD5-124D9D310377}"/>
            </a:ext>
          </a:extLst>
        </xdr:cNvPr>
        <xdr:cNvSpPr/>
      </xdr:nvSpPr>
      <xdr:spPr>
        <a:xfrm rot="10800000">
          <a:off x="21633180" y="9775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534</xdr:row>
      <xdr:rowOff>0</xdr:rowOff>
    </xdr:from>
    <xdr:to>
      <xdr:col>60</xdr:col>
      <xdr:colOff>83820</xdr:colOff>
      <xdr:row>534</xdr:row>
      <xdr:rowOff>114300</xdr:rowOff>
    </xdr:to>
    <xdr:sp macro="" textlink="">
      <xdr:nvSpPr>
        <xdr:cNvPr id="4038" name="Arrow: Down 4037">
          <a:extLst>
            <a:ext uri="{FF2B5EF4-FFF2-40B4-BE49-F238E27FC236}">
              <a16:creationId xmlns:a16="http://schemas.microsoft.com/office/drawing/2014/main" id="{FF98F9AD-B1D1-44D1-AFD7-E0FA2DF3BB20}"/>
            </a:ext>
          </a:extLst>
        </xdr:cNvPr>
        <xdr:cNvSpPr/>
      </xdr:nvSpPr>
      <xdr:spPr>
        <a:xfrm rot="10800000">
          <a:off x="19080480" y="9775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535</xdr:row>
      <xdr:rowOff>0</xdr:rowOff>
    </xdr:from>
    <xdr:to>
      <xdr:col>71</xdr:col>
      <xdr:colOff>83820</xdr:colOff>
      <xdr:row>535</xdr:row>
      <xdr:rowOff>114300</xdr:rowOff>
    </xdr:to>
    <xdr:sp macro="" textlink="">
      <xdr:nvSpPr>
        <xdr:cNvPr id="4044" name="Arrow: Down 4043">
          <a:extLst>
            <a:ext uri="{FF2B5EF4-FFF2-40B4-BE49-F238E27FC236}">
              <a16:creationId xmlns:a16="http://schemas.microsoft.com/office/drawing/2014/main" id="{0677E246-6D6A-4B66-A976-25BB253022A3}"/>
            </a:ext>
          </a:extLst>
        </xdr:cNvPr>
        <xdr:cNvSpPr/>
      </xdr:nvSpPr>
      <xdr:spPr>
        <a:xfrm rot="10800000">
          <a:off x="21633180" y="9775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535</xdr:row>
      <xdr:rowOff>0</xdr:rowOff>
    </xdr:from>
    <xdr:to>
      <xdr:col>60</xdr:col>
      <xdr:colOff>83820</xdr:colOff>
      <xdr:row>535</xdr:row>
      <xdr:rowOff>114300</xdr:rowOff>
    </xdr:to>
    <xdr:sp macro="" textlink="">
      <xdr:nvSpPr>
        <xdr:cNvPr id="4046" name="Arrow: Down 4045">
          <a:extLst>
            <a:ext uri="{FF2B5EF4-FFF2-40B4-BE49-F238E27FC236}">
              <a16:creationId xmlns:a16="http://schemas.microsoft.com/office/drawing/2014/main" id="{EBEB5855-06A5-4E7A-9FD6-5E89322314F8}"/>
            </a:ext>
          </a:extLst>
        </xdr:cNvPr>
        <xdr:cNvSpPr/>
      </xdr:nvSpPr>
      <xdr:spPr>
        <a:xfrm>
          <a:off x="190804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535</xdr:row>
      <xdr:rowOff>0</xdr:rowOff>
    </xdr:from>
    <xdr:to>
      <xdr:col>45</xdr:col>
      <xdr:colOff>83820</xdr:colOff>
      <xdr:row>535</xdr:row>
      <xdr:rowOff>114300</xdr:rowOff>
    </xdr:to>
    <xdr:sp macro="" textlink="">
      <xdr:nvSpPr>
        <xdr:cNvPr id="4047" name="Arrow: Down 4046">
          <a:extLst>
            <a:ext uri="{FF2B5EF4-FFF2-40B4-BE49-F238E27FC236}">
              <a16:creationId xmlns:a16="http://schemas.microsoft.com/office/drawing/2014/main" id="{32B10246-A813-45E1-A6A6-7CAB133B44B7}"/>
            </a:ext>
          </a:extLst>
        </xdr:cNvPr>
        <xdr:cNvSpPr/>
      </xdr:nvSpPr>
      <xdr:spPr>
        <a:xfrm rot="10800000">
          <a:off x="134035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535</xdr:row>
      <xdr:rowOff>0</xdr:rowOff>
    </xdr:from>
    <xdr:to>
      <xdr:col>39</xdr:col>
      <xdr:colOff>83820</xdr:colOff>
      <xdr:row>535</xdr:row>
      <xdr:rowOff>114300</xdr:rowOff>
    </xdr:to>
    <xdr:sp macro="" textlink="">
      <xdr:nvSpPr>
        <xdr:cNvPr id="4049" name="Arrow: Down 4048">
          <a:extLst>
            <a:ext uri="{FF2B5EF4-FFF2-40B4-BE49-F238E27FC236}">
              <a16:creationId xmlns:a16="http://schemas.microsoft.com/office/drawing/2014/main" id="{305D5874-DBBC-48D2-AFCB-4AAD758173B6}"/>
            </a:ext>
          </a:extLst>
        </xdr:cNvPr>
        <xdr:cNvSpPr/>
      </xdr:nvSpPr>
      <xdr:spPr>
        <a:xfrm>
          <a:off x="11544300" y="9793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535</xdr:row>
      <xdr:rowOff>0</xdr:rowOff>
    </xdr:from>
    <xdr:to>
      <xdr:col>24</xdr:col>
      <xdr:colOff>83820</xdr:colOff>
      <xdr:row>535</xdr:row>
      <xdr:rowOff>114300</xdr:rowOff>
    </xdr:to>
    <xdr:sp macro="" textlink="">
      <xdr:nvSpPr>
        <xdr:cNvPr id="4051" name="Arrow: Down 4050">
          <a:extLst>
            <a:ext uri="{FF2B5EF4-FFF2-40B4-BE49-F238E27FC236}">
              <a16:creationId xmlns:a16="http://schemas.microsoft.com/office/drawing/2014/main" id="{245DCFD1-4E24-41F8-9B02-787EE214F896}"/>
            </a:ext>
          </a:extLst>
        </xdr:cNvPr>
        <xdr:cNvSpPr/>
      </xdr:nvSpPr>
      <xdr:spPr>
        <a:xfrm>
          <a:off x="83362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535</xdr:row>
      <xdr:rowOff>0</xdr:rowOff>
    </xdr:from>
    <xdr:to>
      <xdr:col>11</xdr:col>
      <xdr:colOff>83820</xdr:colOff>
      <xdr:row>535</xdr:row>
      <xdr:rowOff>114300</xdr:rowOff>
    </xdr:to>
    <xdr:sp macro="" textlink="">
      <xdr:nvSpPr>
        <xdr:cNvPr id="4052" name="Arrow: Down 4051">
          <a:extLst>
            <a:ext uri="{FF2B5EF4-FFF2-40B4-BE49-F238E27FC236}">
              <a16:creationId xmlns:a16="http://schemas.microsoft.com/office/drawing/2014/main" id="{DDAA9F29-EC59-48E2-BF13-98BAF507F199}"/>
            </a:ext>
          </a:extLst>
        </xdr:cNvPr>
        <xdr:cNvSpPr/>
      </xdr:nvSpPr>
      <xdr:spPr>
        <a:xfrm>
          <a:off x="369570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535</xdr:row>
      <xdr:rowOff>0</xdr:rowOff>
    </xdr:from>
    <xdr:to>
      <xdr:col>5</xdr:col>
      <xdr:colOff>83820</xdr:colOff>
      <xdr:row>535</xdr:row>
      <xdr:rowOff>114300</xdr:rowOff>
    </xdr:to>
    <xdr:sp macro="" textlink="">
      <xdr:nvSpPr>
        <xdr:cNvPr id="4053" name="Arrow: Down 4052">
          <a:extLst>
            <a:ext uri="{FF2B5EF4-FFF2-40B4-BE49-F238E27FC236}">
              <a16:creationId xmlns:a16="http://schemas.microsoft.com/office/drawing/2014/main" id="{10F41A2C-0E23-47EF-BD92-2035333ADB70}"/>
            </a:ext>
          </a:extLst>
        </xdr:cNvPr>
        <xdr:cNvSpPr/>
      </xdr:nvSpPr>
      <xdr:spPr>
        <a:xfrm>
          <a:off x="192786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536</xdr:row>
      <xdr:rowOff>0</xdr:rowOff>
    </xdr:from>
    <xdr:to>
      <xdr:col>60</xdr:col>
      <xdr:colOff>83820</xdr:colOff>
      <xdr:row>536</xdr:row>
      <xdr:rowOff>114300</xdr:rowOff>
    </xdr:to>
    <xdr:sp macro="" textlink="">
      <xdr:nvSpPr>
        <xdr:cNvPr id="4055" name="Arrow: Down 4054">
          <a:extLst>
            <a:ext uri="{FF2B5EF4-FFF2-40B4-BE49-F238E27FC236}">
              <a16:creationId xmlns:a16="http://schemas.microsoft.com/office/drawing/2014/main" id="{CD897546-1FEC-466C-8C90-E41DDE982A8E}"/>
            </a:ext>
          </a:extLst>
        </xdr:cNvPr>
        <xdr:cNvSpPr/>
      </xdr:nvSpPr>
      <xdr:spPr>
        <a:xfrm>
          <a:off x="190804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536</xdr:row>
      <xdr:rowOff>0</xdr:rowOff>
    </xdr:from>
    <xdr:to>
      <xdr:col>45</xdr:col>
      <xdr:colOff>83820</xdr:colOff>
      <xdr:row>536</xdr:row>
      <xdr:rowOff>114300</xdr:rowOff>
    </xdr:to>
    <xdr:sp macro="" textlink="">
      <xdr:nvSpPr>
        <xdr:cNvPr id="4056" name="Arrow: Down 4055">
          <a:extLst>
            <a:ext uri="{FF2B5EF4-FFF2-40B4-BE49-F238E27FC236}">
              <a16:creationId xmlns:a16="http://schemas.microsoft.com/office/drawing/2014/main" id="{EE6AD4FA-E140-43AE-9CC4-8BADAC63E658}"/>
            </a:ext>
          </a:extLst>
        </xdr:cNvPr>
        <xdr:cNvSpPr/>
      </xdr:nvSpPr>
      <xdr:spPr>
        <a:xfrm rot="10800000">
          <a:off x="134035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536</xdr:row>
      <xdr:rowOff>0</xdr:rowOff>
    </xdr:from>
    <xdr:to>
      <xdr:col>39</xdr:col>
      <xdr:colOff>83820</xdr:colOff>
      <xdr:row>536</xdr:row>
      <xdr:rowOff>114300</xdr:rowOff>
    </xdr:to>
    <xdr:sp macro="" textlink="">
      <xdr:nvSpPr>
        <xdr:cNvPr id="4057" name="Arrow: Down 4056">
          <a:extLst>
            <a:ext uri="{FF2B5EF4-FFF2-40B4-BE49-F238E27FC236}">
              <a16:creationId xmlns:a16="http://schemas.microsoft.com/office/drawing/2014/main" id="{172F1618-89E2-4524-86BF-AD999EB6237F}"/>
            </a:ext>
          </a:extLst>
        </xdr:cNvPr>
        <xdr:cNvSpPr/>
      </xdr:nvSpPr>
      <xdr:spPr>
        <a:xfrm>
          <a:off x="11544300" y="9793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536</xdr:row>
      <xdr:rowOff>0</xdr:rowOff>
    </xdr:from>
    <xdr:to>
      <xdr:col>24</xdr:col>
      <xdr:colOff>83820</xdr:colOff>
      <xdr:row>536</xdr:row>
      <xdr:rowOff>114300</xdr:rowOff>
    </xdr:to>
    <xdr:sp macro="" textlink="">
      <xdr:nvSpPr>
        <xdr:cNvPr id="4058" name="Arrow: Down 4057">
          <a:extLst>
            <a:ext uri="{FF2B5EF4-FFF2-40B4-BE49-F238E27FC236}">
              <a16:creationId xmlns:a16="http://schemas.microsoft.com/office/drawing/2014/main" id="{43080B8B-ED91-4A94-AC8E-E1B11233D572}"/>
            </a:ext>
          </a:extLst>
        </xdr:cNvPr>
        <xdr:cNvSpPr/>
      </xdr:nvSpPr>
      <xdr:spPr>
        <a:xfrm>
          <a:off x="83362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536</xdr:row>
      <xdr:rowOff>0</xdr:rowOff>
    </xdr:from>
    <xdr:to>
      <xdr:col>11</xdr:col>
      <xdr:colOff>83820</xdr:colOff>
      <xdr:row>536</xdr:row>
      <xdr:rowOff>114300</xdr:rowOff>
    </xdr:to>
    <xdr:sp macro="" textlink="">
      <xdr:nvSpPr>
        <xdr:cNvPr id="4059" name="Arrow: Down 4058">
          <a:extLst>
            <a:ext uri="{FF2B5EF4-FFF2-40B4-BE49-F238E27FC236}">
              <a16:creationId xmlns:a16="http://schemas.microsoft.com/office/drawing/2014/main" id="{FDD901C4-75D6-4C60-8223-B8A325BC9DB0}"/>
            </a:ext>
          </a:extLst>
        </xdr:cNvPr>
        <xdr:cNvSpPr/>
      </xdr:nvSpPr>
      <xdr:spPr>
        <a:xfrm>
          <a:off x="369570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536</xdr:row>
      <xdr:rowOff>0</xdr:rowOff>
    </xdr:from>
    <xdr:to>
      <xdr:col>5</xdr:col>
      <xdr:colOff>83820</xdr:colOff>
      <xdr:row>536</xdr:row>
      <xdr:rowOff>114300</xdr:rowOff>
    </xdr:to>
    <xdr:sp macro="" textlink="">
      <xdr:nvSpPr>
        <xdr:cNvPr id="4060" name="Arrow: Down 4059">
          <a:extLst>
            <a:ext uri="{FF2B5EF4-FFF2-40B4-BE49-F238E27FC236}">
              <a16:creationId xmlns:a16="http://schemas.microsoft.com/office/drawing/2014/main" id="{FFD5656E-992C-48C5-B746-53958C488EAF}"/>
            </a:ext>
          </a:extLst>
        </xdr:cNvPr>
        <xdr:cNvSpPr/>
      </xdr:nvSpPr>
      <xdr:spPr>
        <a:xfrm>
          <a:off x="192786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536</xdr:row>
      <xdr:rowOff>0</xdr:rowOff>
    </xdr:from>
    <xdr:to>
      <xdr:col>71</xdr:col>
      <xdr:colOff>83820</xdr:colOff>
      <xdr:row>536</xdr:row>
      <xdr:rowOff>114300</xdr:rowOff>
    </xdr:to>
    <xdr:sp macro="" textlink="">
      <xdr:nvSpPr>
        <xdr:cNvPr id="4061" name="Arrow: Down 4060">
          <a:extLst>
            <a:ext uri="{FF2B5EF4-FFF2-40B4-BE49-F238E27FC236}">
              <a16:creationId xmlns:a16="http://schemas.microsoft.com/office/drawing/2014/main" id="{EC60CC19-2AD7-4E84-8A3A-D15A5840337A}"/>
            </a:ext>
          </a:extLst>
        </xdr:cNvPr>
        <xdr:cNvSpPr/>
      </xdr:nvSpPr>
      <xdr:spPr>
        <a:xfrm>
          <a:off x="216331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537</xdr:row>
      <xdr:rowOff>0</xdr:rowOff>
    </xdr:from>
    <xdr:to>
      <xdr:col>60</xdr:col>
      <xdr:colOff>83820</xdr:colOff>
      <xdr:row>537</xdr:row>
      <xdr:rowOff>114300</xdr:rowOff>
    </xdr:to>
    <xdr:sp macro="" textlink="">
      <xdr:nvSpPr>
        <xdr:cNvPr id="4062" name="Arrow: Down 4061">
          <a:extLst>
            <a:ext uri="{FF2B5EF4-FFF2-40B4-BE49-F238E27FC236}">
              <a16:creationId xmlns:a16="http://schemas.microsoft.com/office/drawing/2014/main" id="{47FD585D-3CA3-444D-A36F-4BB3768A8331}"/>
            </a:ext>
          </a:extLst>
        </xdr:cNvPr>
        <xdr:cNvSpPr/>
      </xdr:nvSpPr>
      <xdr:spPr>
        <a:xfrm>
          <a:off x="190804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537</xdr:row>
      <xdr:rowOff>0</xdr:rowOff>
    </xdr:from>
    <xdr:to>
      <xdr:col>45</xdr:col>
      <xdr:colOff>83820</xdr:colOff>
      <xdr:row>537</xdr:row>
      <xdr:rowOff>114300</xdr:rowOff>
    </xdr:to>
    <xdr:sp macro="" textlink="">
      <xdr:nvSpPr>
        <xdr:cNvPr id="4063" name="Arrow: Down 4062">
          <a:extLst>
            <a:ext uri="{FF2B5EF4-FFF2-40B4-BE49-F238E27FC236}">
              <a16:creationId xmlns:a16="http://schemas.microsoft.com/office/drawing/2014/main" id="{F7BA9798-E980-42EB-8F11-CFB65E46C0F5}"/>
            </a:ext>
          </a:extLst>
        </xdr:cNvPr>
        <xdr:cNvSpPr/>
      </xdr:nvSpPr>
      <xdr:spPr>
        <a:xfrm rot="10800000">
          <a:off x="134035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537</xdr:row>
      <xdr:rowOff>0</xdr:rowOff>
    </xdr:from>
    <xdr:to>
      <xdr:col>71</xdr:col>
      <xdr:colOff>83820</xdr:colOff>
      <xdr:row>537</xdr:row>
      <xdr:rowOff>114300</xdr:rowOff>
    </xdr:to>
    <xdr:sp macro="" textlink="">
      <xdr:nvSpPr>
        <xdr:cNvPr id="4068" name="Arrow: Down 4067">
          <a:extLst>
            <a:ext uri="{FF2B5EF4-FFF2-40B4-BE49-F238E27FC236}">
              <a16:creationId xmlns:a16="http://schemas.microsoft.com/office/drawing/2014/main" id="{B17C1055-0372-4F95-8848-932B783432F9}"/>
            </a:ext>
          </a:extLst>
        </xdr:cNvPr>
        <xdr:cNvSpPr/>
      </xdr:nvSpPr>
      <xdr:spPr>
        <a:xfrm>
          <a:off x="216331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537</xdr:row>
      <xdr:rowOff>0</xdr:rowOff>
    </xdr:from>
    <xdr:to>
      <xdr:col>5</xdr:col>
      <xdr:colOff>83820</xdr:colOff>
      <xdr:row>537</xdr:row>
      <xdr:rowOff>114300</xdr:rowOff>
    </xdr:to>
    <xdr:sp macro="" textlink="">
      <xdr:nvSpPr>
        <xdr:cNvPr id="4069" name="Arrow: Down 4068">
          <a:extLst>
            <a:ext uri="{FF2B5EF4-FFF2-40B4-BE49-F238E27FC236}">
              <a16:creationId xmlns:a16="http://schemas.microsoft.com/office/drawing/2014/main" id="{A54D4683-948E-47E6-ABB6-C8C1E1DBCDA6}"/>
            </a:ext>
          </a:extLst>
        </xdr:cNvPr>
        <xdr:cNvSpPr/>
      </xdr:nvSpPr>
      <xdr:spPr>
        <a:xfrm rot="10800000">
          <a:off x="192786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537</xdr:row>
      <xdr:rowOff>0</xdr:rowOff>
    </xdr:from>
    <xdr:to>
      <xdr:col>11</xdr:col>
      <xdr:colOff>83820</xdr:colOff>
      <xdr:row>537</xdr:row>
      <xdr:rowOff>114300</xdr:rowOff>
    </xdr:to>
    <xdr:sp macro="" textlink="">
      <xdr:nvSpPr>
        <xdr:cNvPr id="4070" name="Arrow: Down 4069">
          <a:extLst>
            <a:ext uri="{FF2B5EF4-FFF2-40B4-BE49-F238E27FC236}">
              <a16:creationId xmlns:a16="http://schemas.microsoft.com/office/drawing/2014/main" id="{104BC855-2F10-4D8F-A66A-C28C10943228}"/>
            </a:ext>
          </a:extLst>
        </xdr:cNvPr>
        <xdr:cNvSpPr/>
      </xdr:nvSpPr>
      <xdr:spPr>
        <a:xfrm rot="10800000">
          <a:off x="369570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537</xdr:row>
      <xdr:rowOff>0</xdr:rowOff>
    </xdr:from>
    <xdr:to>
      <xdr:col>24</xdr:col>
      <xdr:colOff>83820</xdr:colOff>
      <xdr:row>537</xdr:row>
      <xdr:rowOff>114300</xdr:rowOff>
    </xdr:to>
    <xdr:sp macro="" textlink="">
      <xdr:nvSpPr>
        <xdr:cNvPr id="4071" name="Arrow: Down 4070">
          <a:extLst>
            <a:ext uri="{FF2B5EF4-FFF2-40B4-BE49-F238E27FC236}">
              <a16:creationId xmlns:a16="http://schemas.microsoft.com/office/drawing/2014/main" id="{2BE8186F-53FD-420B-88CC-4F7FE8E7BBAE}"/>
            </a:ext>
          </a:extLst>
        </xdr:cNvPr>
        <xdr:cNvSpPr/>
      </xdr:nvSpPr>
      <xdr:spPr>
        <a:xfrm rot="10800000">
          <a:off x="833628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538</xdr:row>
      <xdr:rowOff>0</xdr:rowOff>
    </xdr:from>
    <xdr:to>
      <xdr:col>45</xdr:col>
      <xdr:colOff>83820</xdr:colOff>
      <xdr:row>538</xdr:row>
      <xdr:rowOff>114300</xdr:rowOff>
    </xdr:to>
    <xdr:sp macro="" textlink="">
      <xdr:nvSpPr>
        <xdr:cNvPr id="4073" name="Arrow: Down 4072">
          <a:extLst>
            <a:ext uri="{FF2B5EF4-FFF2-40B4-BE49-F238E27FC236}">
              <a16:creationId xmlns:a16="http://schemas.microsoft.com/office/drawing/2014/main" id="{EE46CA86-C49C-4BCB-8E14-D68EAA35B549}"/>
            </a:ext>
          </a:extLst>
        </xdr:cNvPr>
        <xdr:cNvSpPr/>
      </xdr:nvSpPr>
      <xdr:spPr>
        <a:xfrm rot="10800000">
          <a:off x="13403580" y="9830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538</xdr:row>
      <xdr:rowOff>0</xdr:rowOff>
    </xdr:from>
    <xdr:to>
      <xdr:col>5</xdr:col>
      <xdr:colOff>83820</xdr:colOff>
      <xdr:row>538</xdr:row>
      <xdr:rowOff>114300</xdr:rowOff>
    </xdr:to>
    <xdr:sp macro="" textlink="">
      <xdr:nvSpPr>
        <xdr:cNvPr id="4075" name="Arrow: Down 4074">
          <a:extLst>
            <a:ext uri="{FF2B5EF4-FFF2-40B4-BE49-F238E27FC236}">
              <a16:creationId xmlns:a16="http://schemas.microsoft.com/office/drawing/2014/main" id="{9F965364-B243-4EFA-B14A-9E9B28D185EB}"/>
            </a:ext>
          </a:extLst>
        </xdr:cNvPr>
        <xdr:cNvSpPr/>
      </xdr:nvSpPr>
      <xdr:spPr>
        <a:xfrm rot="10800000">
          <a:off x="192786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538</xdr:row>
      <xdr:rowOff>0</xdr:rowOff>
    </xdr:from>
    <xdr:to>
      <xdr:col>11</xdr:col>
      <xdr:colOff>83820</xdr:colOff>
      <xdr:row>538</xdr:row>
      <xdr:rowOff>114300</xdr:rowOff>
    </xdr:to>
    <xdr:sp macro="" textlink="">
      <xdr:nvSpPr>
        <xdr:cNvPr id="4076" name="Arrow: Down 4075">
          <a:extLst>
            <a:ext uri="{FF2B5EF4-FFF2-40B4-BE49-F238E27FC236}">
              <a16:creationId xmlns:a16="http://schemas.microsoft.com/office/drawing/2014/main" id="{EE8AC16D-CA6F-460A-8B08-964311C2BEB9}"/>
            </a:ext>
          </a:extLst>
        </xdr:cNvPr>
        <xdr:cNvSpPr/>
      </xdr:nvSpPr>
      <xdr:spPr>
        <a:xfrm rot="10800000">
          <a:off x="369570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538</xdr:row>
      <xdr:rowOff>0</xdr:rowOff>
    </xdr:from>
    <xdr:to>
      <xdr:col>24</xdr:col>
      <xdr:colOff>83820</xdr:colOff>
      <xdr:row>538</xdr:row>
      <xdr:rowOff>114300</xdr:rowOff>
    </xdr:to>
    <xdr:sp macro="" textlink="">
      <xdr:nvSpPr>
        <xdr:cNvPr id="4077" name="Arrow: Down 4076">
          <a:extLst>
            <a:ext uri="{FF2B5EF4-FFF2-40B4-BE49-F238E27FC236}">
              <a16:creationId xmlns:a16="http://schemas.microsoft.com/office/drawing/2014/main" id="{FFF7AC87-206C-4AC5-BC81-19C660A17146}"/>
            </a:ext>
          </a:extLst>
        </xdr:cNvPr>
        <xdr:cNvSpPr/>
      </xdr:nvSpPr>
      <xdr:spPr>
        <a:xfrm rot="10800000">
          <a:off x="833628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538</xdr:row>
      <xdr:rowOff>0</xdr:rowOff>
    </xdr:from>
    <xdr:to>
      <xdr:col>39</xdr:col>
      <xdr:colOff>83820</xdr:colOff>
      <xdr:row>538</xdr:row>
      <xdr:rowOff>114300</xdr:rowOff>
    </xdr:to>
    <xdr:sp macro="" textlink="">
      <xdr:nvSpPr>
        <xdr:cNvPr id="4078" name="Arrow: Down 4077">
          <a:extLst>
            <a:ext uri="{FF2B5EF4-FFF2-40B4-BE49-F238E27FC236}">
              <a16:creationId xmlns:a16="http://schemas.microsoft.com/office/drawing/2014/main" id="{A2092530-7290-4782-A066-9612897636F9}"/>
            </a:ext>
          </a:extLst>
        </xdr:cNvPr>
        <xdr:cNvSpPr/>
      </xdr:nvSpPr>
      <xdr:spPr>
        <a:xfrm>
          <a:off x="1154430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537</xdr:row>
      <xdr:rowOff>0</xdr:rowOff>
    </xdr:from>
    <xdr:to>
      <xdr:col>39</xdr:col>
      <xdr:colOff>83820</xdr:colOff>
      <xdr:row>537</xdr:row>
      <xdr:rowOff>114300</xdr:rowOff>
    </xdr:to>
    <xdr:sp macro="" textlink="">
      <xdr:nvSpPr>
        <xdr:cNvPr id="4080" name="Arrow: Down 4079">
          <a:extLst>
            <a:ext uri="{FF2B5EF4-FFF2-40B4-BE49-F238E27FC236}">
              <a16:creationId xmlns:a16="http://schemas.microsoft.com/office/drawing/2014/main" id="{85BE6C96-53D5-4CDD-9353-4B0301A2245A}"/>
            </a:ext>
          </a:extLst>
        </xdr:cNvPr>
        <xdr:cNvSpPr/>
      </xdr:nvSpPr>
      <xdr:spPr>
        <a:xfrm rot="10800000">
          <a:off x="11544300" y="9830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538</xdr:row>
      <xdr:rowOff>0</xdr:rowOff>
    </xdr:from>
    <xdr:to>
      <xdr:col>71</xdr:col>
      <xdr:colOff>83820</xdr:colOff>
      <xdr:row>538</xdr:row>
      <xdr:rowOff>114300</xdr:rowOff>
    </xdr:to>
    <xdr:sp macro="" textlink="">
      <xdr:nvSpPr>
        <xdr:cNvPr id="4081" name="Arrow: Down 4080">
          <a:extLst>
            <a:ext uri="{FF2B5EF4-FFF2-40B4-BE49-F238E27FC236}">
              <a16:creationId xmlns:a16="http://schemas.microsoft.com/office/drawing/2014/main" id="{D1F3001D-E0D2-4551-B516-7766EC45E58C}"/>
            </a:ext>
          </a:extLst>
        </xdr:cNvPr>
        <xdr:cNvSpPr/>
      </xdr:nvSpPr>
      <xdr:spPr>
        <a:xfrm rot="10800000">
          <a:off x="2163318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538</xdr:row>
      <xdr:rowOff>0</xdr:rowOff>
    </xdr:from>
    <xdr:to>
      <xdr:col>60</xdr:col>
      <xdr:colOff>83820</xdr:colOff>
      <xdr:row>538</xdr:row>
      <xdr:rowOff>114300</xdr:rowOff>
    </xdr:to>
    <xdr:sp macro="" textlink="">
      <xdr:nvSpPr>
        <xdr:cNvPr id="4082" name="Arrow: Down 4081">
          <a:extLst>
            <a:ext uri="{FF2B5EF4-FFF2-40B4-BE49-F238E27FC236}">
              <a16:creationId xmlns:a16="http://schemas.microsoft.com/office/drawing/2014/main" id="{E1264B0C-80F6-4299-A2AA-1BF9D114C98C}"/>
            </a:ext>
          </a:extLst>
        </xdr:cNvPr>
        <xdr:cNvSpPr/>
      </xdr:nvSpPr>
      <xdr:spPr>
        <a:xfrm rot="10800000">
          <a:off x="1908048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539</xdr:row>
      <xdr:rowOff>0</xdr:rowOff>
    </xdr:from>
    <xdr:to>
      <xdr:col>45</xdr:col>
      <xdr:colOff>83820</xdr:colOff>
      <xdr:row>539</xdr:row>
      <xdr:rowOff>114300</xdr:rowOff>
    </xdr:to>
    <xdr:sp macro="" textlink="">
      <xdr:nvSpPr>
        <xdr:cNvPr id="4083" name="Arrow: Down 4082">
          <a:extLst>
            <a:ext uri="{FF2B5EF4-FFF2-40B4-BE49-F238E27FC236}">
              <a16:creationId xmlns:a16="http://schemas.microsoft.com/office/drawing/2014/main" id="{9A4C7013-1925-43AA-81A0-9967BB8F371C}"/>
            </a:ext>
          </a:extLst>
        </xdr:cNvPr>
        <xdr:cNvSpPr/>
      </xdr:nvSpPr>
      <xdr:spPr>
        <a:xfrm rot="10800000">
          <a:off x="13403580" y="9848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539</xdr:row>
      <xdr:rowOff>0</xdr:rowOff>
    </xdr:from>
    <xdr:to>
      <xdr:col>5</xdr:col>
      <xdr:colOff>83820</xdr:colOff>
      <xdr:row>539</xdr:row>
      <xdr:rowOff>114300</xdr:rowOff>
    </xdr:to>
    <xdr:sp macro="" textlink="">
      <xdr:nvSpPr>
        <xdr:cNvPr id="4084" name="Arrow: Down 4083">
          <a:extLst>
            <a:ext uri="{FF2B5EF4-FFF2-40B4-BE49-F238E27FC236}">
              <a16:creationId xmlns:a16="http://schemas.microsoft.com/office/drawing/2014/main" id="{C6BCF584-6AC6-4CC8-A400-5A5A4A1C5A7E}"/>
            </a:ext>
          </a:extLst>
        </xdr:cNvPr>
        <xdr:cNvSpPr/>
      </xdr:nvSpPr>
      <xdr:spPr>
        <a:xfrm rot="10800000">
          <a:off x="192786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539</xdr:row>
      <xdr:rowOff>0</xdr:rowOff>
    </xdr:from>
    <xdr:to>
      <xdr:col>11</xdr:col>
      <xdr:colOff>83820</xdr:colOff>
      <xdr:row>539</xdr:row>
      <xdr:rowOff>114300</xdr:rowOff>
    </xdr:to>
    <xdr:sp macro="" textlink="">
      <xdr:nvSpPr>
        <xdr:cNvPr id="4085" name="Arrow: Down 4084">
          <a:extLst>
            <a:ext uri="{FF2B5EF4-FFF2-40B4-BE49-F238E27FC236}">
              <a16:creationId xmlns:a16="http://schemas.microsoft.com/office/drawing/2014/main" id="{1E7A4308-D072-41FF-BAF6-5787585D724B}"/>
            </a:ext>
          </a:extLst>
        </xdr:cNvPr>
        <xdr:cNvSpPr/>
      </xdr:nvSpPr>
      <xdr:spPr>
        <a:xfrm rot="10800000">
          <a:off x="369570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539</xdr:row>
      <xdr:rowOff>0</xdr:rowOff>
    </xdr:from>
    <xdr:to>
      <xdr:col>24</xdr:col>
      <xdr:colOff>83820</xdr:colOff>
      <xdr:row>539</xdr:row>
      <xdr:rowOff>114300</xdr:rowOff>
    </xdr:to>
    <xdr:sp macro="" textlink="">
      <xdr:nvSpPr>
        <xdr:cNvPr id="4086" name="Arrow: Down 4085">
          <a:extLst>
            <a:ext uri="{FF2B5EF4-FFF2-40B4-BE49-F238E27FC236}">
              <a16:creationId xmlns:a16="http://schemas.microsoft.com/office/drawing/2014/main" id="{93AE8F53-F326-4C61-AB9C-85FF64DF3B23}"/>
            </a:ext>
          </a:extLst>
        </xdr:cNvPr>
        <xdr:cNvSpPr/>
      </xdr:nvSpPr>
      <xdr:spPr>
        <a:xfrm rot="10800000">
          <a:off x="833628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539</xdr:row>
      <xdr:rowOff>0</xdr:rowOff>
    </xdr:from>
    <xdr:to>
      <xdr:col>39</xdr:col>
      <xdr:colOff>83820</xdr:colOff>
      <xdr:row>539</xdr:row>
      <xdr:rowOff>114300</xdr:rowOff>
    </xdr:to>
    <xdr:sp macro="" textlink="">
      <xdr:nvSpPr>
        <xdr:cNvPr id="4090" name="Arrow: Down 4089">
          <a:extLst>
            <a:ext uri="{FF2B5EF4-FFF2-40B4-BE49-F238E27FC236}">
              <a16:creationId xmlns:a16="http://schemas.microsoft.com/office/drawing/2014/main" id="{C0FA507B-6C72-4BEF-B769-D59A71100932}"/>
            </a:ext>
          </a:extLst>
        </xdr:cNvPr>
        <xdr:cNvSpPr/>
      </xdr:nvSpPr>
      <xdr:spPr>
        <a:xfrm rot="10800000">
          <a:off x="11544300" y="9867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539</xdr:row>
      <xdr:rowOff>0</xdr:rowOff>
    </xdr:from>
    <xdr:to>
      <xdr:col>60</xdr:col>
      <xdr:colOff>83820</xdr:colOff>
      <xdr:row>539</xdr:row>
      <xdr:rowOff>114300</xdr:rowOff>
    </xdr:to>
    <xdr:sp macro="" textlink="">
      <xdr:nvSpPr>
        <xdr:cNvPr id="4091" name="Arrow: Down 4090">
          <a:extLst>
            <a:ext uri="{FF2B5EF4-FFF2-40B4-BE49-F238E27FC236}">
              <a16:creationId xmlns:a16="http://schemas.microsoft.com/office/drawing/2014/main" id="{D0CE50B6-7457-4E11-A29C-CD1707ABBF3F}"/>
            </a:ext>
          </a:extLst>
        </xdr:cNvPr>
        <xdr:cNvSpPr/>
      </xdr:nvSpPr>
      <xdr:spPr>
        <a:xfrm>
          <a:off x="19080480" y="9867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539</xdr:row>
      <xdr:rowOff>0</xdr:rowOff>
    </xdr:from>
    <xdr:to>
      <xdr:col>71</xdr:col>
      <xdr:colOff>83820</xdr:colOff>
      <xdr:row>539</xdr:row>
      <xdr:rowOff>114300</xdr:rowOff>
    </xdr:to>
    <xdr:sp macro="" textlink="">
      <xdr:nvSpPr>
        <xdr:cNvPr id="4092" name="Arrow: Down 4091">
          <a:extLst>
            <a:ext uri="{FF2B5EF4-FFF2-40B4-BE49-F238E27FC236}">
              <a16:creationId xmlns:a16="http://schemas.microsoft.com/office/drawing/2014/main" id="{14CA6548-378D-495C-B0D5-79C3FC042EC0}"/>
            </a:ext>
          </a:extLst>
        </xdr:cNvPr>
        <xdr:cNvSpPr/>
      </xdr:nvSpPr>
      <xdr:spPr>
        <a:xfrm>
          <a:off x="21633180" y="9867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540</xdr:row>
      <xdr:rowOff>0</xdr:rowOff>
    </xdr:from>
    <xdr:to>
      <xdr:col>24</xdr:col>
      <xdr:colOff>83820</xdr:colOff>
      <xdr:row>540</xdr:row>
      <xdr:rowOff>114300</xdr:rowOff>
    </xdr:to>
    <xdr:sp macro="" textlink="">
      <xdr:nvSpPr>
        <xdr:cNvPr id="4096" name="Arrow: Down 4095">
          <a:extLst>
            <a:ext uri="{FF2B5EF4-FFF2-40B4-BE49-F238E27FC236}">
              <a16:creationId xmlns:a16="http://schemas.microsoft.com/office/drawing/2014/main" id="{D1F88980-E78F-4F94-80C1-8BE63D326729}"/>
            </a:ext>
          </a:extLst>
        </xdr:cNvPr>
        <xdr:cNvSpPr/>
      </xdr:nvSpPr>
      <xdr:spPr>
        <a:xfrm rot="10800000">
          <a:off x="8336280" y="9867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540</xdr:row>
      <xdr:rowOff>0</xdr:rowOff>
    </xdr:from>
    <xdr:to>
      <xdr:col>71</xdr:col>
      <xdr:colOff>83820</xdr:colOff>
      <xdr:row>540</xdr:row>
      <xdr:rowOff>114300</xdr:rowOff>
    </xdr:to>
    <xdr:sp macro="" textlink="">
      <xdr:nvSpPr>
        <xdr:cNvPr id="4100" name="Arrow: Down 4099">
          <a:extLst>
            <a:ext uri="{FF2B5EF4-FFF2-40B4-BE49-F238E27FC236}">
              <a16:creationId xmlns:a16="http://schemas.microsoft.com/office/drawing/2014/main" id="{17838529-454E-4520-A5F4-226F73A47508}"/>
            </a:ext>
          </a:extLst>
        </xdr:cNvPr>
        <xdr:cNvSpPr/>
      </xdr:nvSpPr>
      <xdr:spPr>
        <a:xfrm rot="10800000">
          <a:off x="216331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540</xdr:row>
      <xdr:rowOff>0</xdr:rowOff>
    </xdr:from>
    <xdr:to>
      <xdr:col>60</xdr:col>
      <xdr:colOff>83820</xdr:colOff>
      <xdr:row>540</xdr:row>
      <xdr:rowOff>114300</xdr:rowOff>
    </xdr:to>
    <xdr:sp macro="" textlink="">
      <xdr:nvSpPr>
        <xdr:cNvPr id="4102" name="Arrow: Down 4101">
          <a:extLst>
            <a:ext uri="{FF2B5EF4-FFF2-40B4-BE49-F238E27FC236}">
              <a16:creationId xmlns:a16="http://schemas.microsoft.com/office/drawing/2014/main" id="{FD99E8D2-E788-4418-A3BE-598325CED6E2}"/>
            </a:ext>
          </a:extLst>
        </xdr:cNvPr>
        <xdr:cNvSpPr/>
      </xdr:nvSpPr>
      <xdr:spPr>
        <a:xfrm rot="10800000">
          <a:off x="190804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540</xdr:row>
      <xdr:rowOff>0</xdr:rowOff>
    </xdr:from>
    <xdr:to>
      <xdr:col>45</xdr:col>
      <xdr:colOff>83820</xdr:colOff>
      <xdr:row>540</xdr:row>
      <xdr:rowOff>114300</xdr:rowOff>
    </xdr:to>
    <xdr:sp macro="" textlink="">
      <xdr:nvSpPr>
        <xdr:cNvPr id="4103" name="Arrow: Down 4102">
          <a:extLst>
            <a:ext uri="{FF2B5EF4-FFF2-40B4-BE49-F238E27FC236}">
              <a16:creationId xmlns:a16="http://schemas.microsoft.com/office/drawing/2014/main" id="{16EE1EDD-BF0F-418C-8BFD-08CFC096A1ED}"/>
            </a:ext>
          </a:extLst>
        </xdr:cNvPr>
        <xdr:cNvSpPr/>
      </xdr:nvSpPr>
      <xdr:spPr>
        <a:xfrm>
          <a:off x="134035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540</xdr:row>
      <xdr:rowOff>0</xdr:rowOff>
    </xdr:from>
    <xdr:to>
      <xdr:col>39</xdr:col>
      <xdr:colOff>83820</xdr:colOff>
      <xdr:row>540</xdr:row>
      <xdr:rowOff>114300</xdr:rowOff>
    </xdr:to>
    <xdr:sp macro="" textlink="">
      <xdr:nvSpPr>
        <xdr:cNvPr id="4104" name="Arrow: Down 4103">
          <a:extLst>
            <a:ext uri="{FF2B5EF4-FFF2-40B4-BE49-F238E27FC236}">
              <a16:creationId xmlns:a16="http://schemas.microsoft.com/office/drawing/2014/main" id="{9D2E7FEC-5EAA-4681-83F8-740C9C46C4FE}"/>
            </a:ext>
          </a:extLst>
        </xdr:cNvPr>
        <xdr:cNvSpPr/>
      </xdr:nvSpPr>
      <xdr:spPr>
        <a:xfrm>
          <a:off x="1154430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540</xdr:row>
      <xdr:rowOff>0</xdr:rowOff>
    </xdr:from>
    <xdr:to>
      <xdr:col>11</xdr:col>
      <xdr:colOff>83820</xdr:colOff>
      <xdr:row>540</xdr:row>
      <xdr:rowOff>114300</xdr:rowOff>
    </xdr:to>
    <xdr:sp macro="" textlink="">
      <xdr:nvSpPr>
        <xdr:cNvPr id="4106" name="Arrow: Down 4105">
          <a:extLst>
            <a:ext uri="{FF2B5EF4-FFF2-40B4-BE49-F238E27FC236}">
              <a16:creationId xmlns:a16="http://schemas.microsoft.com/office/drawing/2014/main" id="{FE41BDB6-04EA-47B3-96A9-3ED74F0FCAA0}"/>
            </a:ext>
          </a:extLst>
        </xdr:cNvPr>
        <xdr:cNvSpPr/>
      </xdr:nvSpPr>
      <xdr:spPr>
        <a:xfrm>
          <a:off x="3695700" y="9885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540</xdr:row>
      <xdr:rowOff>0</xdr:rowOff>
    </xdr:from>
    <xdr:to>
      <xdr:col>5</xdr:col>
      <xdr:colOff>83820</xdr:colOff>
      <xdr:row>540</xdr:row>
      <xdr:rowOff>114300</xdr:rowOff>
    </xdr:to>
    <xdr:sp macro="" textlink="">
      <xdr:nvSpPr>
        <xdr:cNvPr id="4108" name="Arrow: Down 4107">
          <a:extLst>
            <a:ext uri="{FF2B5EF4-FFF2-40B4-BE49-F238E27FC236}">
              <a16:creationId xmlns:a16="http://schemas.microsoft.com/office/drawing/2014/main" id="{1F65DF5A-37A9-4578-A55B-CFC1853B8B54}"/>
            </a:ext>
          </a:extLst>
        </xdr:cNvPr>
        <xdr:cNvSpPr/>
      </xdr:nvSpPr>
      <xdr:spPr>
        <a:xfrm>
          <a:off x="1927860" y="9885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541</xdr:row>
      <xdr:rowOff>0</xdr:rowOff>
    </xdr:from>
    <xdr:to>
      <xdr:col>71</xdr:col>
      <xdr:colOff>83820</xdr:colOff>
      <xdr:row>541</xdr:row>
      <xdr:rowOff>114300</xdr:rowOff>
    </xdr:to>
    <xdr:sp macro="" textlink="">
      <xdr:nvSpPr>
        <xdr:cNvPr id="4117" name="Arrow: Down 4116">
          <a:extLst>
            <a:ext uri="{FF2B5EF4-FFF2-40B4-BE49-F238E27FC236}">
              <a16:creationId xmlns:a16="http://schemas.microsoft.com/office/drawing/2014/main" id="{90DBE1B8-CB4C-45E0-8F10-4F5FC2B2F842}"/>
            </a:ext>
          </a:extLst>
        </xdr:cNvPr>
        <xdr:cNvSpPr/>
      </xdr:nvSpPr>
      <xdr:spPr>
        <a:xfrm rot="10800000">
          <a:off x="216331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541</xdr:row>
      <xdr:rowOff>0</xdr:rowOff>
    </xdr:from>
    <xdr:to>
      <xdr:col>45</xdr:col>
      <xdr:colOff>83820</xdr:colOff>
      <xdr:row>541</xdr:row>
      <xdr:rowOff>114300</xdr:rowOff>
    </xdr:to>
    <xdr:sp macro="" textlink="">
      <xdr:nvSpPr>
        <xdr:cNvPr id="4119" name="Arrow: Down 4118">
          <a:extLst>
            <a:ext uri="{FF2B5EF4-FFF2-40B4-BE49-F238E27FC236}">
              <a16:creationId xmlns:a16="http://schemas.microsoft.com/office/drawing/2014/main" id="{6E79A4B8-3243-4D31-8F97-2DD44508B6B9}"/>
            </a:ext>
          </a:extLst>
        </xdr:cNvPr>
        <xdr:cNvSpPr/>
      </xdr:nvSpPr>
      <xdr:spPr>
        <a:xfrm>
          <a:off x="134035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541</xdr:row>
      <xdr:rowOff>0</xdr:rowOff>
    </xdr:from>
    <xdr:to>
      <xdr:col>5</xdr:col>
      <xdr:colOff>83820</xdr:colOff>
      <xdr:row>541</xdr:row>
      <xdr:rowOff>114300</xdr:rowOff>
    </xdr:to>
    <xdr:sp macro="" textlink="">
      <xdr:nvSpPr>
        <xdr:cNvPr id="4123" name="Arrow: Down 4122">
          <a:extLst>
            <a:ext uri="{FF2B5EF4-FFF2-40B4-BE49-F238E27FC236}">
              <a16:creationId xmlns:a16="http://schemas.microsoft.com/office/drawing/2014/main" id="{E5D699C3-659A-4837-8453-6348E9FCE536}"/>
            </a:ext>
          </a:extLst>
        </xdr:cNvPr>
        <xdr:cNvSpPr/>
      </xdr:nvSpPr>
      <xdr:spPr>
        <a:xfrm rot="10800000">
          <a:off x="192786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541</xdr:row>
      <xdr:rowOff>0</xdr:rowOff>
    </xdr:from>
    <xdr:to>
      <xdr:col>11</xdr:col>
      <xdr:colOff>83820</xdr:colOff>
      <xdr:row>541</xdr:row>
      <xdr:rowOff>114300</xdr:rowOff>
    </xdr:to>
    <xdr:sp macro="" textlink="">
      <xdr:nvSpPr>
        <xdr:cNvPr id="4125" name="Arrow: Down 4124">
          <a:extLst>
            <a:ext uri="{FF2B5EF4-FFF2-40B4-BE49-F238E27FC236}">
              <a16:creationId xmlns:a16="http://schemas.microsoft.com/office/drawing/2014/main" id="{F556C769-3FDF-4E15-849B-274DC15A80BB}"/>
            </a:ext>
          </a:extLst>
        </xdr:cNvPr>
        <xdr:cNvSpPr/>
      </xdr:nvSpPr>
      <xdr:spPr>
        <a:xfrm rot="10800000">
          <a:off x="369570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541</xdr:row>
      <xdr:rowOff>0</xdr:rowOff>
    </xdr:from>
    <xdr:to>
      <xdr:col>24</xdr:col>
      <xdr:colOff>83820</xdr:colOff>
      <xdr:row>541</xdr:row>
      <xdr:rowOff>114300</xdr:rowOff>
    </xdr:to>
    <xdr:sp macro="" textlink="">
      <xdr:nvSpPr>
        <xdr:cNvPr id="4126" name="Arrow: Down 4125">
          <a:extLst>
            <a:ext uri="{FF2B5EF4-FFF2-40B4-BE49-F238E27FC236}">
              <a16:creationId xmlns:a16="http://schemas.microsoft.com/office/drawing/2014/main" id="{8F066790-85C3-4050-B075-5941646EDD43}"/>
            </a:ext>
          </a:extLst>
        </xdr:cNvPr>
        <xdr:cNvSpPr/>
      </xdr:nvSpPr>
      <xdr:spPr>
        <a:xfrm>
          <a:off x="83362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541</xdr:row>
      <xdr:rowOff>0</xdr:rowOff>
    </xdr:from>
    <xdr:to>
      <xdr:col>39</xdr:col>
      <xdr:colOff>83820</xdr:colOff>
      <xdr:row>541</xdr:row>
      <xdr:rowOff>114300</xdr:rowOff>
    </xdr:to>
    <xdr:sp macro="" textlink="">
      <xdr:nvSpPr>
        <xdr:cNvPr id="4128" name="Arrow: Down 4127">
          <a:extLst>
            <a:ext uri="{FF2B5EF4-FFF2-40B4-BE49-F238E27FC236}">
              <a16:creationId xmlns:a16="http://schemas.microsoft.com/office/drawing/2014/main" id="{366A8842-C405-4B91-A20F-F62E1A00A32A}"/>
            </a:ext>
          </a:extLst>
        </xdr:cNvPr>
        <xdr:cNvSpPr/>
      </xdr:nvSpPr>
      <xdr:spPr>
        <a:xfrm rot="10800000">
          <a:off x="1154430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541</xdr:row>
      <xdr:rowOff>0</xdr:rowOff>
    </xdr:from>
    <xdr:to>
      <xdr:col>60</xdr:col>
      <xdr:colOff>83820</xdr:colOff>
      <xdr:row>541</xdr:row>
      <xdr:rowOff>114300</xdr:rowOff>
    </xdr:to>
    <xdr:sp macro="" textlink="">
      <xdr:nvSpPr>
        <xdr:cNvPr id="4130" name="Arrow: Down 4129">
          <a:extLst>
            <a:ext uri="{FF2B5EF4-FFF2-40B4-BE49-F238E27FC236}">
              <a16:creationId xmlns:a16="http://schemas.microsoft.com/office/drawing/2014/main" id="{60F79B7E-E5AE-4AC4-88EC-11D339B4F44A}"/>
            </a:ext>
          </a:extLst>
        </xdr:cNvPr>
        <xdr:cNvSpPr/>
      </xdr:nvSpPr>
      <xdr:spPr>
        <a:xfrm>
          <a:off x="190804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542</xdr:row>
      <xdr:rowOff>0</xdr:rowOff>
    </xdr:from>
    <xdr:to>
      <xdr:col>71</xdr:col>
      <xdr:colOff>83820</xdr:colOff>
      <xdr:row>542</xdr:row>
      <xdr:rowOff>114300</xdr:rowOff>
    </xdr:to>
    <xdr:sp macro="" textlink="">
      <xdr:nvSpPr>
        <xdr:cNvPr id="4138" name="Arrow: Down 4137">
          <a:extLst>
            <a:ext uri="{FF2B5EF4-FFF2-40B4-BE49-F238E27FC236}">
              <a16:creationId xmlns:a16="http://schemas.microsoft.com/office/drawing/2014/main" id="{7915F7D3-CDDD-4F45-BC3A-4958E2E179BE}"/>
            </a:ext>
          </a:extLst>
        </xdr:cNvPr>
        <xdr:cNvSpPr/>
      </xdr:nvSpPr>
      <xdr:spPr>
        <a:xfrm rot="10800000">
          <a:off x="2163318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542</xdr:row>
      <xdr:rowOff>0</xdr:rowOff>
    </xdr:from>
    <xdr:to>
      <xdr:col>45</xdr:col>
      <xdr:colOff>83820</xdr:colOff>
      <xdr:row>542</xdr:row>
      <xdr:rowOff>114300</xdr:rowOff>
    </xdr:to>
    <xdr:sp macro="" textlink="">
      <xdr:nvSpPr>
        <xdr:cNvPr id="4139" name="Arrow: Down 4138">
          <a:extLst>
            <a:ext uri="{FF2B5EF4-FFF2-40B4-BE49-F238E27FC236}">
              <a16:creationId xmlns:a16="http://schemas.microsoft.com/office/drawing/2014/main" id="{B3C3C1D3-1CB5-42AA-833C-79F06C416BCC}"/>
            </a:ext>
          </a:extLst>
        </xdr:cNvPr>
        <xdr:cNvSpPr/>
      </xdr:nvSpPr>
      <xdr:spPr>
        <a:xfrm>
          <a:off x="1340358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542</xdr:row>
      <xdr:rowOff>0</xdr:rowOff>
    </xdr:from>
    <xdr:to>
      <xdr:col>24</xdr:col>
      <xdr:colOff>83820</xdr:colOff>
      <xdr:row>542</xdr:row>
      <xdr:rowOff>114300</xdr:rowOff>
    </xdr:to>
    <xdr:sp macro="" textlink="">
      <xdr:nvSpPr>
        <xdr:cNvPr id="4142" name="Arrow: Down 4141">
          <a:extLst>
            <a:ext uri="{FF2B5EF4-FFF2-40B4-BE49-F238E27FC236}">
              <a16:creationId xmlns:a16="http://schemas.microsoft.com/office/drawing/2014/main" id="{33BEBD43-9DA6-40E9-A00F-8CA938805BF8}"/>
            </a:ext>
          </a:extLst>
        </xdr:cNvPr>
        <xdr:cNvSpPr/>
      </xdr:nvSpPr>
      <xdr:spPr>
        <a:xfrm>
          <a:off x="83362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542</xdr:row>
      <xdr:rowOff>0</xdr:rowOff>
    </xdr:from>
    <xdr:to>
      <xdr:col>60</xdr:col>
      <xdr:colOff>83820</xdr:colOff>
      <xdr:row>542</xdr:row>
      <xdr:rowOff>114300</xdr:rowOff>
    </xdr:to>
    <xdr:sp macro="" textlink="">
      <xdr:nvSpPr>
        <xdr:cNvPr id="4144" name="Arrow: Down 4143">
          <a:extLst>
            <a:ext uri="{FF2B5EF4-FFF2-40B4-BE49-F238E27FC236}">
              <a16:creationId xmlns:a16="http://schemas.microsoft.com/office/drawing/2014/main" id="{0B2E9C7C-29E1-4129-BC50-A5593ACCAD9F}"/>
            </a:ext>
          </a:extLst>
        </xdr:cNvPr>
        <xdr:cNvSpPr/>
      </xdr:nvSpPr>
      <xdr:spPr>
        <a:xfrm>
          <a:off x="190804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542</xdr:row>
      <xdr:rowOff>0</xdr:rowOff>
    </xdr:from>
    <xdr:to>
      <xdr:col>39</xdr:col>
      <xdr:colOff>83820</xdr:colOff>
      <xdr:row>542</xdr:row>
      <xdr:rowOff>114300</xdr:rowOff>
    </xdr:to>
    <xdr:sp macro="" textlink="">
      <xdr:nvSpPr>
        <xdr:cNvPr id="4145" name="Arrow: Down 4144">
          <a:extLst>
            <a:ext uri="{FF2B5EF4-FFF2-40B4-BE49-F238E27FC236}">
              <a16:creationId xmlns:a16="http://schemas.microsoft.com/office/drawing/2014/main" id="{38F4E306-A40A-4A6A-837E-DCE4BFE69695}"/>
            </a:ext>
          </a:extLst>
        </xdr:cNvPr>
        <xdr:cNvSpPr/>
      </xdr:nvSpPr>
      <xdr:spPr>
        <a:xfrm>
          <a:off x="11544300" y="9922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542</xdr:row>
      <xdr:rowOff>0</xdr:rowOff>
    </xdr:from>
    <xdr:to>
      <xdr:col>5</xdr:col>
      <xdr:colOff>83820</xdr:colOff>
      <xdr:row>542</xdr:row>
      <xdr:rowOff>114300</xdr:rowOff>
    </xdr:to>
    <xdr:sp macro="" textlink="">
      <xdr:nvSpPr>
        <xdr:cNvPr id="4146" name="Arrow: Down 4145">
          <a:extLst>
            <a:ext uri="{FF2B5EF4-FFF2-40B4-BE49-F238E27FC236}">
              <a16:creationId xmlns:a16="http://schemas.microsoft.com/office/drawing/2014/main" id="{D38D3A90-7AB7-42CE-8ED9-337AADF654EC}"/>
            </a:ext>
          </a:extLst>
        </xdr:cNvPr>
        <xdr:cNvSpPr/>
      </xdr:nvSpPr>
      <xdr:spPr>
        <a:xfrm>
          <a:off x="192786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542</xdr:row>
      <xdr:rowOff>0</xdr:rowOff>
    </xdr:from>
    <xdr:to>
      <xdr:col>11</xdr:col>
      <xdr:colOff>83820</xdr:colOff>
      <xdr:row>542</xdr:row>
      <xdr:rowOff>114300</xdr:rowOff>
    </xdr:to>
    <xdr:sp macro="" textlink="">
      <xdr:nvSpPr>
        <xdr:cNvPr id="4147" name="Arrow: Down 4146">
          <a:extLst>
            <a:ext uri="{FF2B5EF4-FFF2-40B4-BE49-F238E27FC236}">
              <a16:creationId xmlns:a16="http://schemas.microsoft.com/office/drawing/2014/main" id="{0CD32D26-06B4-42AD-B9FA-95693178FB72}"/>
            </a:ext>
          </a:extLst>
        </xdr:cNvPr>
        <xdr:cNvSpPr/>
      </xdr:nvSpPr>
      <xdr:spPr>
        <a:xfrm>
          <a:off x="369570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543</xdr:row>
      <xdr:rowOff>0</xdr:rowOff>
    </xdr:from>
    <xdr:to>
      <xdr:col>45</xdr:col>
      <xdr:colOff>83820</xdr:colOff>
      <xdr:row>543</xdr:row>
      <xdr:rowOff>114300</xdr:rowOff>
    </xdr:to>
    <xdr:sp macro="" textlink="">
      <xdr:nvSpPr>
        <xdr:cNvPr id="4149" name="Arrow: Down 4148">
          <a:extLst>
            <a:ext uri="{FF2B5EF4-FFF2-40B4-BE49-F238E27FC236}">
              <a16:creationId xmlns:a16="http://schemas.microsoft.com/office/drawing/2014/main" id="{C81E8636-BF00-4302-AD14-3E4678319388}"/>
            </a:ext>
          </a:extLst>
        </xdr:cNvPr>
        <xdr:cNvSpPr/>
      </xdr:nvSpPr>
      <xdr:spPr>
        <a:xfrm>
          <a:off x="13403580" y="9922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543</xdr:row>
      <xdr:rowOff>0</xdr:rowOff>
    </xdr:from>
    <xdr:to>
      <xdr:col>24</xdr:col>
      <xdr:colOff>83820</xdr:colOff>
      <xdr:row>543</xdr:row>
      <xdr:rowOff>114300</xdr:rowOff>
    </xdr:to>
    <xdr:sp macro="" textlink="">
      <xdr:nvSpPr>
        <xdr:cNvPr id="4150" name="Arrow: Down 4149">
          <a:extLst>
            <a:ext uri="{FF2B5EF4-FFF2-40B4-BE49-F238E27FC236}">
              <a16:creationId xmlns:a16="http://schemas.microsoft.com/office/drawing/2014/main" id="{645B4FD0-A1D4-4C9E-AAC5-6BE6EAAD5F33}"/>
            </a:ext>
          </a:extLst>
        </xdr:cNvPr>
        <xdr:cNvSpPr/>
      </xdr:nvSpPr>
      <xdr:spPr>
        <a:xfrm>
          <a:off x="833628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543</xdr:row>
      <xdr:rowOff>0</xdr:rowOff>
    </xdr:from>
    <xdr:to>
      <xdr:col>60</xdr:col>
      <xdr:colOff>83820</xdr:colOff>
      <xdr:row>543</xdr:row>
      <xdr:rowOff>114300</xdr:rowOff>
    </xdr:to>
    <xdr:sp macro="" textlink="">
      <xdr:nvSpPr>
        <xdr:cNvPr id="4151" name="Arrow: Down 4150">
          <a:extLst>
            <a:ext uri="{FF2B5EF4-FFF2-40B4-BE49-F238E27FC236}">
              <a16:creationId xmlns:a16="http://schemas.microsoft.com/office/drawing/2014/main" id="{8C59436B-3974-4797-BCBC-76681E62BDF7}"/>
            </a:ext>
          </a:extLst>
        </xdr:cNvPr>
        <xdr:cNvSpPr/>
      </xdr:nvSpPr>
      <xdr:spPr>
        <a:xfrm>
          <a:off x="1908048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543</xdr:row>
      <xdr:rowOff>0</xdr:rowOff>
    </xdr:from>
    <xdr:to>
      <xdr:col>39</xdr:col>
      <xdr:colOff>83820</xdr:colOff>
      <xdr:row>543</xdr:row>
      <xdr:rowOff>114300</xdr:rowOff>
    </xdr:to>
    <xdr:sp macro="" textlink="">
      <xdr:nvSpPr>
        <xdr:cNvPr id="4152" name="Arrow: Down 4151">
          <a:extLst>
            <a:ext uri="{FF2B5EF4-FFF2-40B4-BE49-F238E27FC236}">
              <a16:creationId xmlns:a16="http://schemas.microsoft.com/office/drawing/2014/main" id="{2A7B1747-C8AA-4C46-BC5D-90CD50B64D72}"/>
            </a:ext>
          </a:extLst>
        </xdr:cNvPr>
        <xdr:cNvSpPr/>
      </xdr:nvSpPr>
      <xdr:spPr>
        <a:xfrm>
          <a:off x="11544300" y="9922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543</xdr:row>
      <xdr:rowOff>0</xdr:rowOff>
    </xdr:from>
    <xdr:to>
      <xdr:col>5</xdr:col>
      <xdr:colOff>83820</xdr:colOff>
      <xdr:row>543</xdr:row>
      <xdr:rowOff>114300</xdr:rowOff>
    </xdr:to>
    <xdr:sp macro="" textlink="">
      <xdr:nvSpPr>
        <xdr:cNvPr id="4153" name="Arrow: Down 4152">
          <a:extLst>
            <a:ext uri="{FF2B5EF4-FFF2-40B4-BE49-F238E27FC236}">
              <a16:creationId xmlns:a16="http://schemas.microsoft.com/office/drawing/2014/main" id="{22897B97-8989-42AB-9CA3-94BB9EA4872E}"/>
            </a:ext>
          </a:extLst>
        </xdr:cNvPr>
        <xdr:cNvSpPr/>
      </xdr:nvSpPr>
      <xdr:spPr>
        <a:xfrm>
          <a:off x="192786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543</xdr:row>
      <xdr:rowOff>0</xdr:rowOff>
    </xdr:from>
    <xdr:to>
      <xdr:col>11</xdr:col>
      <xdr:colOff>83820</xdr:colOff>
      <xdr:row>543</xdr:row>
      <xdr:rowOff>114300</xdr:rowOff>
    </xdr:to>
    <xdr:sp macro="" textlink="">
      <xdr:nvSpPr>
        <xdr:cNvPr id="4154" name="Arrow: Down 4153">
          <a:extLst>
            <a:ext uri="{FF2B5EF4-FFF2-40B4-BE49-F238E27FC236}">
              <a16:creationId xmlns:a16="http://schemas.microsoft.com/office/drawing/2014/main" id="{BD2715BD-DAFB-46BF-A629-5E411C811CA7}"/>
            </a:ext>
          </a:extLst>
        </xdr:cNvPr>
        <xdr:cNvSpPr/>
      </xdr:nvSpPr>
      <xdr:spPr>
        <a:xfrm>
          <a:off x="369570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543</xdr:row>
      <xdr:rowOff>0</xdr:rowOff>
    </xdr:from>
    <xdr:to>
      <xdr:col>71</xdr:col>
      <xdr:colOff>83820</xdr:colOff>
      <xdr:row>543</xdr:row>
      <xdr:rowOff>114300</xdr:rowOff>
    </xdr:to>
    <xdr:sp macro="" textlink="">
      <xdr:nvSpPr>
        <xdr:cNvPr id="4155" name="Arrow: Down 4154">
          <a:extLst>
            <a:ext uri="{FF2B5EF4-FFF2-40B4-BE49-F238E27FC236}">
              <a16:creationId xmlns:a16="http://schemas.microsoft.com/office/drawing/2014/main" id="{BB886706-0C53-44AB-921F-4A650A26937A}"/>
            </a:ext>
          </a:extLst>
        </xdr:cNvPr>
        <xdr:cNvSpPr/>
      </xdr:nvSpPr>
      <xdr:spPr>
        <a:xfrm>
          <a:off x="216331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544</xdr:row>
      <xdr:rowOff>0</xdr:rowOff>
    </xdr:from>
    <xdr:to>
      <xdr:col>45</xdr:col>
      <xdr:colOff>83820</xdr:colOff>
      <xdr:row>544</xdr:row>
      <xdr:rowOff>114300</xdr:rowOff>
    </xdr:to>
    <xdr:sp macro="" textlink="">
      <xdr:nvSpPr>
        <xdr:cNvPr id="4156" name="Arrow: Down 4155">
          <a:extLst>
            <a:ext uri="{FF2B5EF4-FFF2-40B4-BE49-F238E27FC236}">
              <a16:creationId xmlns:a16="http://schemas.microsoft.com/office/drawing/2014/main" id="{306F1BE7-9CFF-40A9-9F82-402D05EB17A3}"/>
            </a:ext>
          </a:extLst>
        </xdr:cNvPr>
        <xdr:cNvSpPr/>
      </xdr:nvSpPr>
      <xdr:spPr>
        <a:xfrm>
          <a:off x="13403580" y="9940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544</xdr:row>
      <xdr:rowOff>0</xdr:rowOff>
    </xdr:from>
    <xdr:to>
      <xdr:col>24</xdr:col>
      <xdr:colOff>83820</xdr:colOff>
      <xdr:row>544</xdr:row>
      <xdr:rowOff>114300</xdr:rowOff>
    </xdr:to>
    <xdr:sp macro="" textlink="">
      <xdr:nvSpPr>
        <xdr:cNvPr id="4157" name="Arrow: Down 4156">
          <a:extLst>
            <a:ext uri="{FF2B5EF4-FFF2-40B4-BE49-F238E27FC236}">
              <a16:creationId xmlns:a16="http://schemas.microsoft.com/office/drawing/2014/main" id="{F6164328-0ECA-4471-B251-27B4822D022C}"/>
            </a:ext>
          </a:extLst>
        </xdr:cNvPr>
        <xdr:cNvSpPr/>
      </xdr:nvSpPr>
      <xdr:spPr>
        <a:xfrm>
          <a:off x="83362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544</xdr:row>
      <xdr:rowOff>0</xdr:rowOff>
    </xdr:from>
    <xdr:to>
      <xdr:col>60</xdr:col>
      <xdr:colOff>83820</xdr:colOff>
      <xdr:row>544</xdr:row>
      <xdr:rowOff>114300</xdr:rowOff>
    </xdr:to>
    <xdr:sp macro="" textlink="">
      <xdr:nvSpPr>
        <xdr:cNvPr id="4158" name="Arrow: Down 4157">
          <a:extLst>
            <a:ext uri="{FF2B5EF4-FFF2-40B4-BE49-F238E27FC236}">
              <a16:creationId xmlns:a16="http://schemas.microsoft.com/office/drawing/2014/main" id="{784D14D8-13D9-408F-BECB-428478E9070E}"/>
            </a:ext>
          </a:extLst>
        </xdr:cNvPr>
        <xdr:cNvSpPr/>
      </xdr:nvSpPr>
      <xdr:spPr>
        <a:xfrm>
          <a:off x="190804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544</xdr:row>
      <xdr:rowOff>0</xdr:rowOff>
    </xdr:from>
    <xdr:to>
      <xdr:col>5</xdr:col>
      <xdr:colOff>83820</xdr:colOff>
      <xdr:row>544</xdr:row>
      <xdr:rowOff>114300</xdr:rowOff>
    </xdr:to>
    <xdr:sp macro="" textlink="">
      <xdr:nvSpPr>
        <xdr:cNvPr id="4160" name="Arrow: Down 4159">
          <a:extLst>
            <a:ext uri="{FF2B5EF4-FFF2-40B4-BE49-F238E27FC236}">
              <a16:creationId xmlns:a16="http://schemas.microsoft.com/office/drawing/2014/main" id="{793CEBA1-E8FB-4960-ABAD-7890A6E34D24}"/>
            </a:ext>
          </a:extLst>
        </xdr:cNvPr>
        <xdr:cNvSpPr/>
      </xdr:nvSpPr>
      <xdr:spPr>
        <a:xfrm>
          <a:off x="192786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544</xdr:row>
      <xdr:rowOff>0</xdr:rowOff>
    </xdr:from>
    <xdr:to>
      <xdr:col>11</xdr:col>
      <xdr:colOff>83820</xdr:colOff>
      <xdr:row>544</xdr:row>
      <xdr:rowOff>114300</xdr:rowOff>
    </xdr:to>
    <xdr:sp macro="" textlink="">
      <xdr:nvSpPr>
        <xdr:cNvPr id="4161" name="Arrow: Down 4160">
          <a:extLst>
            <a:ext uri="{FF2B5EF4-FFF2-40B4-BE49-F238E27FC236}">
              <a16:creationId xmlns:a16="http://schemas.microsoft.com/office/drawing/2014/main" id="{274DDD26-CE36-4738-AA38-EB165A122579}"/>
            </a:ext>
          </a:extLst>
        </xdr:cNvPr>
        <xdr:cNvSpPr/>
      </xdr:nvSpPr>
      <xdr:spPr>
        <a:xfrm>
          <a:off x="369570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544</xdr:row>
      <xdr:rowOff>0</xdr:rowOff>
    </xdr:from>
    <xdr:to>
      <xdr:col>71</xdr:col>
      <xdr:colOff>83820</xdr:colOff>
      <xdr:row>544</xdr:row>
      <xdr:rowOff>114300</xdr:rowOff>
    </xdr:to>
    <xdr:sp macro="" textlink="">
      <xdr:nvSpPr>
        <xdr:cNvPr id="4162" name="Arrow: Down 4161">
          <a:extLst>
            <a:ext uri="{FF2B5EF4-FFF2-40B4-BE49-F238E27FC236}">
              <a16:creationId xmlns:a16="http://schemas.microsoft.com/office/drawing/2014/main" id="{FC1FF6E6-78CB-4625-BFFB-FA18763185FC}"/>
            </a:ext>
          </a:extLst>
        </xdr:cNvPr>
        <xdr:cNvSpPr/>
      </xdr:nvSpPr>
      <xdr:spPr>
        <a:xfrm>
          <a:off x="216331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544</xdr:row>
      <xdr:rowOff>0</xdr:rowOff>
    </xdr:from>
    <xdr:to>
      <xdr:col>39</xdr:col>
      <xdr:colOff>83820</xdr:colOff>
      <xdr:row>544</xdr:row>
      <xdr:rowOff>114300</xdr:rowOff>
    </xdr:to>
    <xdr:sp macro="" textlink="">
      <xdr:nvSpPr>
        <xdr:cNvPr id="4163" name="Arrow: Down 4162">
          <a:extLst>
            <a:ext uri="{FF2B5EF4-FFF2-40B4-BE49-F238E27FC236}">
              <a16:creationId xmlns:a16="http://schemas.microsoft.com/office/drawing/2014/main" id="{3DE9114F-E73C-4EEF-AB79-2D6024989B4C}"/>
            </a:ext>
          </a:extLst>
        </xdr:cNvPr>
        <xdr:cNvSpPr/>
      </xdr:nvSpPr>
      <xdr:spPr>
        <a:xfrm rot="10800000">
          <a:off x="1154430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545</xdr:row>
      <xdr:rowOff>0</xdr:rowOff>
    </xdr:from>
    <xdr:to>
      <xdr:col>60</xdr:col>
      <xdr:colOff>83820</xdr:colOff>
      <xdr:row>545</xdr:row>
      <xdr:rowOff>114300</xdr:rowOff>
    </xdr:to>
    <xdr:sp macro="" textlink="">
      <xdr:nvSpPr>
        <xdr:cNvPr id="4166" name="Arrow: Down 4165">
          <a:extLst>
            <a:ext uri="{FF2B5EF4-FFF2-40B4-BE49-F238E27FC236}">
              <a16:creationId xmlns:a16="http://schemas.microsoft.com/office/drawing/2014/main" id="{16FCA6AD-73DC-4A48-8D8D-0500D2889621}"/>
            </a:ext>
          </a:extLst>
        </xdr:cNvPr>
        <xdr:cNvSpPr/>
      </xdr:nvSpPr>
      <xdr:spPr>
        <a:xfrm>
          <a:off x="1908048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545</xdr:row>
      <xdr:rowOff>0</xdr:rowOff>
    </xdr:from>
    <xdr:to>
      <xdr:col>71</xdr:col>
      <xdr:colOff>83820</xdr:colOff>
      <xdr:row>545</xdr:row>
      <xdr:rowOff>114300</xdr:rowOff>
    </xdr:to>
    <xdr:sp macro="" textlink="">
      <xdr:nvSpPr>
        <xdr:cNvPr id="4169" name="Arrow: Down 4168">
          <a:extLst>
            <a:ext uri="{FF2B5EF4-FFF2-40B4-BE49-F238E27FC236}">
              <a16:creationId xmlns:a16="http://schemas.microsoft.com/office/drawing/2014/main" id="{60C22522-5E3B-435B-B5CF-8D2C8514F5ED}"/>
            </a:ext>
          </a:extLst>
        </xdr:cNvPr>
        <xdr:cNvSpPr/>
      </xdr:nvSpPr>
      <xdr:spPr>
        <a:xfrm>
          <a:off x="2163318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545</xdr:row>
      <xdr:rowOff>0</xdr:rowOff>
    </xdr:from>
    <xdr:to>
      <xdr:col>39</xdr:col>
      <xdr:colOff>83820</xdr:colOff>
      <xdr:row>545</xdr:row>
      <xdr:rowOff>114300</xdr:rowOff>
    </xdr:to>
    <xdr:sp macro="" textlink="">
      <xdr:nvSpPr>
        <xdr:cNvPr id="4170" name="Arrow: Down 4169">
          <a:extLst>
            <a:ext uri="{FF2B5EF4-FFF2-40B4-BE49-F238E27FC236}">
              <a16:creationId xmlns:a16="http://schemas.microsoft.com/office/drawing/2014/main" id="{59D414A7-CC5B-4D5F-B06C-8CFFAEE0C389}"/>
            </a:ext>
          </a:extLst>
        </xdr:cNvPr>
        <xdr:cNvSpPr/>
      </xdr:nvSpPr>
      <xdr:spPr>
        <a:xfrm rot="10800000">
          <a:off x="1154430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545</xdr:row>
      <xdr:rowOff>0</xdr:rowOff>
    </xdr:from>
    <xdr:to>
      <xdr:col>11</xdr:col>
      <xdr:colOff>83820</xdr:colOff>
      <xdr:row>545</xdr:row>
      <xdr:rowOff>114300</xdr:rowOff>
    </xdr:to>
    <xdr:sp macro="" textlink="">
      <xdr:nvSpPr>
        <xdr:cNvPr id="4171" name="Arrow: Down 4170">
          <a:extLst>
            <a:ext uri="{FF2B5EF4-FFF2-40B4-BE49-F238E27FC236}">
              <a16:creationId xmlns:a16="http://schemas.microsoft.com/office/drawing/2014/main" id="{56845CCA-1EEE-4DF8-A060-CF399CE3C675}"/>
            </a:ext>
          </a:extLst>
        </xdr:cNvPr>
        <xdr:cNvSpPr/>
      </xdr:nvSpPr>
      <xdr:spPr>
        <a:xfrm rot="10800000">
          <a:off x="369570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545</xdr:row>
      <xdr:rowOff>0</xdr:rowOff>
    </xdr:from>
    <xdr:to>
      <xdr:col>5</xdr:col>
      <xdr:colOff>83820</xdr:colOff>
      <xdr:row>545</xdr:row>
      <xdr:rowOff>114300</xdr:rowOff>
    </xdr:to>
    <xdr:sp macro="" textlink="">
      <xdr:nvSpPr>
        <xdr:cNvPr id="4172" name="Arrow: Down 4171">
          <a:extLst>
            <a:ext uri="{FF2B5EF4-FFF2-40B4-BE49-F238E27FC236}">
              <a16:creationId xmlns:a16="http://schemas.microsoft.com/office/drawing/2014/main" id="{66992E61-C84F-425E-99B6-38AE26360789}"/>
            </a:ext>
          </a:extLst>
        </xdr:cNvPr>
        <xdr:cNvSpPr/>
      </xdr:nvSpPr>
      <xdr:spPr>
        <a:xfrm rot="10800000">
          <a:off x="192786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545</xdr:row>
      <xdr:rowOff>0</xdr:rowOff>
    </xdr:from>
    <xdr:to>
      <xdr:col>24</xdr:col>
      <xdr:colOff>83820</xdr:colOff>
      <xdr:row>545</xdr:row>
      <xdr:rowOff>114300</xdr:rowOff>
    </xdr:to>
    <xdr:sp macro="" textlink="">
      <xdr:nvSpPr>
        <xdr:cNvPr id="4173" name="Arrow: Down 4172">
          <a:extLst>
            <a:ext uri="{FF2B5EF4-FFF2-40B4-BE49-F238E27FC236}">
              <a16:creationId xmlns:a16="http://schemas.microsoft.com/office/drawing/2014/main" id="{C83B7ADE-7883-44FD-A1BC-0BC860EBF3DA}"/>
            </a:ext>
          </a:extLst>
        </xdr:cNvPr>
        <xdr:cNvSpPr/>
      </xdr:nvSpPr>
      <xdr:spPr>
        <a:xfrm rot="10800000">
          <a:off x="833628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545</xdr:row>
      <xdr:rowOff>0</xdr:rowOff>
    </xdr:from>
    <xdr:to>
      <xdr:col>45</xdr:col>
      <xdr:colOff>83820</xdr:colOff>
      <xdr:row>545</xdr:row>
      <xdr:rowOff>114300</xdr:rowOff>
    </xdr:to>
    <xdr:sp macro="" textlink="">
      <xdr:nvSpPr>
        <xdr:cNvPr id="4174" name="Arrow: Down 4173">
          <a:extLst>
            <a:ext uri="{FF2B5EF4-FFF2-40B4-BE49-F238E27FC236}">
              <a16:creationId xmlns:a16="http://schemas.microsoft.com/office/drawing/2014/main" id="{095933AD-63AB-40AE-9D18-309FE6E88D63}"/>
            </a:ext>
          </a:extLst>
        </xdr:cNvPr>
        <xdr:cNvSpPr/>
      </xdr:nvSpPr>
      <xdr:spPr>
        <a:xfrm rot="10800000">
          <a:off x="13403580" y="9976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546</xdr:row>
      <xdr:rowOff>0</xdr:rowOff>
    </xdr:from>
    <xdr:to>
      <xdr:col>11</xdr:col>
      <xdr:colOff>83820</xdr:colOff>
      <xdr:row>546</xdr:row>
      <xdr:rowOff>114300</xdr:rowOff>
    </xdr:to>
    <xdr:sp macro="" textlink="">
      <xdr:nvSpPr>
        <xdr:cNvPr id="4178" name="Arrow: Down 4177">
          <a:extLst>
            <a:ext uri="{FF2B5EF4-FFF2-40B4-BE49-F238E27FC236}">
              <a16:creationId xmlns:a16="http://schemas.microsoft.com/office/drawing/2014/main" id="{130199A7-E7D2-4235-92C6-E8709DF436C4}"/>
            </a:ext>
          </a:extLst>
        </xdr:cNvPr>
        <xdr:cNvSpPr/>
      </xdr:nvSpPr>
      <xdr:spPr>
        <a:xfrm rot="10800000">
          <a:off x="369570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546</xdr:row>
      <xdr:rowOff>0</xdr:rowOff>
    </xdr:from>
    <xdr:to>
      <xdr:col>5</xdr:col>
      <xdr:colOff>83820</xdr:colOff>
      <xdr:row>546</xdr:row>
      <xdr:rowOff>114300</xdr:rowOff>
    </xdr:to>
    <xdr:sp macro="" textlink="">
      <xdr:nvSpPr>
        <xdr:cNvPr id="4179" name="Arrow: Down 4178">
          <a:extLst>
            <a:ext uri="{FF2B5EF4-FFF2-40B4-BE49-F238E27FC236}">
              <a16:creationId xmlns:a16="http://schemas.microsoft.com/office/drawing/2014/main" id="{3FD82930-7BAC-4F2D-B8A5-A29FB98C755A}"/>
            </a:ext>
          </a:extLst>
        </xdr:cNvPr>
        <xdr:cNvSpPr/>
      </xdr:nvSpPr>
      <xdr:spPr>
        <a:xfrm rot="10800000">
          <a:off x="192786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546</xdr:row>
      <xdr:rowOff>0</xdr:rowOff>
    </xdr:from>
    <xdr:to>
      <xdr:col>24</xdr:col>
      <xdr:colOff>83820</xdr:colOff>
      <xdr:row>546</xdr:row>
      <xdr:rowOff>114300</xdr:rowOff>
    </xdr:to>
    <xdr:sp macro="" textlink="">
      <xdr:nvSpPr>
        <xdr:cNvPr id="4180" name="Arrow: Down 4179">
          <a:extLst>
            <a:ext uri="{FF2B5EF4-FFF2-40B4-BE49-F238E27FC236}">
              <a16:creationId xmlns:a16="http://schemas.microsoft.com/office/drawing/2014/main" id="{B69C2561-3668-4AF8-89F6-0981F966A861}"/>
            </a:ext>
          </a:extLst>
        </xdr:cNvPr>
        <xdr:cNvSpPr/>
      </xdr:nvSpPr>
      <xdr:spPr>
        <a:xfrm rot="10800000">
          <a:off x="833628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546</xdr:row>
      <xdr:rowOff>0</xdr:rowOff>
    </xdr:from>
    <xdr:to>
      <xdr:col>39</xdr:col>
      <xdr:colOff>83820</xdr:colOff>
      <xdr:row>546</xdr:row>
      <xdr:rowOff>114300</xdr:rowOff>
    </xdr:to>
    <xdr:sp macro="" textlink="">
      <xdr:nvSpPr>
        <xdr:cNvPr id="4182" name="Arrow: Down 4181">
          <a:extLst>
            <a:ext uri="{FF2B5EF4-FFF2-40B4-BE49-F238E27FC236}">
              <a16:creationId xmlns:a16="http://schemas.microsoft.com/office/drawing/2014/main" id="{E65E9E2B-0A81-4B67-80BC-D84662531409}"/>
            </a:ext>
          </a:extLst>
        </xdr:cNvPr>
        <xdr:cNvSpPr/>
      </xdr:nvSpPr>
      <xdr:spPr>
        <a:xfrm>
          <a:off x="1154430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546</xdr:row>
      <xdr:rowOff>0</xdr:rowOff>
    </xdr:from>
    <xdr:to>
      <xdr:col>45</xdr:col>
      <xdr:colOff>83820</xdr:colOff>
      <xdr:row>546</xdr:row>
      <xdr:rowOff>114300</xdr:rowOff>
    </xdr:to>
    <xdr:sp macro="" textlink="">
      <xdr:nvSpPr>
        <xdr:cNvPr id="4183" name="Arrow: Down 4182">
          <a:extLst>
            <a:ext uri="{FF2B5EF4-FFF2-40B4-BE49-F238E27FC236}">
              <a16:creationId xmlns:a16="http://schemas.microsoft.com/office/drawing/2014/main" id="{2181BBAF-B9D9-4487-BEC0-861AA73EBC07}"/>
            </a:ext>
          </a:extLst>
        </xdr:cNvPr>
        <xdr:cNvSpPr/>
      </xdr:nvSpPr>
      <xdr:spPr>
        <a:xfrm>
          <a:off x="134035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546</xdr:row>
      <xdr:rowOff>0</xdr:rowOff>
    </xdr:from>
    <xdr:to>
      <xdr:col>60</xdr:col>
      <xdr:colOff>83820</xdr:colOff>
      <xdr:row>546</xdr:row>
      <xdr:rowOff>114300</xdr:rowOff>
    </xdr:to>
    <xdr:sp macro="" textlink="">
      <xdr:nvSpPr>
        <xdr:cNvPr id="4184" name="Arrow: Down 4183">
          <a:extLst>
            <a:ext uri="{FF2B5EF4-FFF2-40B4-BE49-F238E27FC236}">
              <a16:creationId xmlns:a16="http://schemas.microsoft.com/office/drawing/2014/main" id="{C91D8FF1-FA94-4587-84D1-0A5C57DDD1A9}"/>
            </a:ext>
          </a:extLst>
        </xdr:cNvPr>
        <xdr:cNvSpPr/>
      </xdr:nvSpPr>
      <xdr:spPr>
        <a:xfrm rot="10800000">
          <a:off x="190804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546</xdr:row>
      <xdr:rowOff>0</xdr:rowOff>
    </xdr:from>
    <xdr:to>
      <xdr:col>71</xdr:col>
      <xdr:colOff>83820</xdr:colOff>
      <xdr:row>546</xdr:row>
      <xdr:rowOff>114300</xdr:rowOff>
    </xdr:to>
    <xdr:sp macro="" textlink="">
      <xdr:nvSpPr>
        <xdr:cNvPr id="4186" name="Arrow: Down 4185">
          <a:extLst>
            <a:ext uri="{FF2B5EF4-FFF2-40B4-BE49-F238E27FC236}">
              <a16:creationId xmlns:a16="http://schemas.microsoft.com/office/drawing/2014/main" id="{B05CE5BF-A6D6-4FAB-A1A8-71D6DE1430D0}"/>
            </a:ext>
          </a:extLst>
        </xdr:cNvPr>
        <xdr:cNvSpPr/>
      </xdr:nvSpPr>
      <xdr:spPr>
        <a:xfrm rot="10800000">
          <a:off x="216331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547</xdr:row>
      <xdr:rowOff>0</xdr:rowOff>
    </xdr:from>
    <xdr:to>
      <xdr:col>11</xdr:col>
      <xdr:colOff>83820</xdr:colOff>
      <xdr:row>547</xdr:row>
      <xdr:rowOff>114300</xdr:rowOff>
    </xdr:to>
    <xdr:sp macro="" textlink="">
      <xdr:nvSpPr>
        <xdr:cNvPr id="4187" name="Arrow: Down 4186">
          <a:extLst>
            <a:ext uri="{FF2B5EF4-FFF2-40B4-BE49-F238E27FC236}">
              <a16:creationId xmlns:a16="http://schemas.microsoft.com/office/drawing/2014/main" id="{709C1D6C-994B-40BC-9484-A4DC803FB542}"/>
            </a:ext>
          </a:extLst>
        </xdr:cNvPr>
        <xdr:cNvSpPr/>
      </xdr:nvSpPr>
      <xdr:spPr>
        <a:xfrm rot="10800000">
          <a:off x="369570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547</xdr:row>
      <xdr:rowOff>0</xdr:rowOff>
    </xdr:from>
    <xdr:to>
      <xdr:col>5</xdr:col>
      <xdr:colOff>83820</xdr:colOff>
      <xdr:row>547</xdr:row>
      <xdr:rowOff>114300</xdr:rowOff>
    </xdr:to>
    <xdr:sp macro="" textlink="">
      <xdr:nvSpPr>
        <xdr:cNvPr id="4188" name="Arrow: Down 4187">
          <a:extLst>
            <a:ext uri="{FF2B5EF4-FFF2-40B4-BE49-F238E27FC236}">
              <a16:creationId xmlns:a16="http://schemas.microsoft.com/office/drawing/2014/main" id="{CD170E14-F348-4C61-B2C8-2BBDA34BC211}"/>
            </a:ext>
          </a:extLst>
        </xdr:cNvPr>
        <xdr:cNvSpPr/>
      </xdr:nvSpPr>
      <xdr:spPr>
        <a:xfrm rot="10800000">
          <a:off x="192786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547</xdr:row>
      <xdr:rowOff>0</xdr:rowOff>
    </xdr:from>
    <xdr:to>
      <xdr:col>24</xdr:col>
      <xdr:colOff>83820</xdr:colOff>
      <xdr:row>547</xdr:row>
      <xdr:rowOff>114300</xdr:rowOff>
    </xdr:to>
    <xdr:sp macro="" textlink="">
      <xdr:nvSpPr>
        <xdr:cNvPr id="4189" name="Arrow: Down 4188">
          <a:extLst>
            <a:ext uri="{FF2B5EF4-FFF2-40B4-BE49-F238E27FC236}">
              <a16:creationId xmlns:a16="http://schemas.microsoft.com/office/drawing/2014/main" id="{FA835092-C95F-459C-A3D6-9A9670639018}"/>
            </a:ext>
          </a:extLst>
        </xdr:cNvPr>
        <xdr:cNvSpPr/>
      </xdr:nvSpPr>
      <xdr:spPr>
        <a:xfrm rot="10800000">
          <a:off x="83362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547</xdr:row>
      <xdr:rowOff>0</xdr:rowOff>
    </xdr:from>
    <xdr:to>
      <xdr:col>39</xdr:col>
      <xdr:colOff>83820</xdr:colOff>
      <xdr:row>547</xdr:row>
      <xdr:rowOff>114300</xdr:rowOff>
    </xdr:to>
    <xdr:sp macro="" textlink="">
      <xdr:nvSpPr>
        <xdr:cNvPr id="4190" name="Arrow: Down 4189">
          <a:extLst>
            <a:ext uri="{FF2B5EF4-FFF2-40B4-BE49-F238E27FC236}">
              <a16:creationId xmlns:a16="http://schemas.microsoft.com/office/drawing/2014/main" id="{6B5ACB71-AF59-4646-B441-89F84499F687}"/>
            </a:ext>
          </a:extLst>
        </xdr:cNvPr>
        <xdr:cNvSpPr/>
      </xdr:nvSpPr>
      <xdr:spPr>
        <a:xfrm>
          <a:off x="1154430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547</xdr:row>
      <xdr:rowOff>0</xdr:rowOff>
    </xdr:from>
    <xdr:to>
      <xdr:col>45</xdr:col>
      <xdr:colOff>83820</xdr:colOff>
      <xdr:row>547</xdr:row>
      <xdr:rowOff>114300</xdr:rowOff>
    </xdr:to>
    <xdr:sp macro="" textlink="">
      <xdr:nvSpPr>
        <xdr:cNvPr id="4191" name="Arrow: Down 4190">
          <a:extLst>
            <a:ext uri="{FF2B5EF4-FFF2-40B4-BE49-F238E27FC236}">
              <a16:creationId xmlns:a16="http://schemas.microsoft.com/office/drawing/2014/main" id="{F7A27C34-AAD4-43E1-9532-3C01FC594AC3}"/>
            </a:ext>
          </a:extLst>
        </xdr:cNvPr>
        <xdr:cNvSpPr/>
      </xdr:nvSpPr>
      <xdr:spPr>
        <a:xfrm>
          <a:off x="134035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547</xdr:row>
      <xdr:rowOff>0</xdr:rowOff>
    </xdr:from>
    <xdr:to>
      <xdr:col>71</xdr:col>
      <xdr:colOff>83820</xdr:colOff>
      <xdr:row>547</xdr:row>
      <xdr:rowOff>114300</xdr:rowOff>
    </xdr:to>
    <xdr:sp macro="" textlink="">
      <xdr:nvSpPr>
        <xdr:cNvPr id="4193" name="Arrow: Down 4192">
          <a:extLst>
            <a:ext uri="{FF2B5EF4-FFF2-40B4-BE49-F238E27FC236}">
              <a16:creationId xmlns:a16="http://schemas.microsoft.com/office/drawing/2014/main" id="{3267F2B3-F702-476A-9495-43624F403D1E}"/>
            </a:ext>
          </a:extLst>
        </xdr:cNvPr>
        <xdr:cNvSpPr/>
      </xdr:nvSpPr>
      <xdr:spPr>
        <a:xfrm rot="10800000">
          <a:off x="216331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547</xdr:row>
      <xdr:rowOff>0</xdr:rowOff>
    </xdr:from>
    <xdr:to>
      <xdr:col>60</xdr:col>
      <xdr:colOff>83820</xdr:colOff>
      <xdr:row>547</xdr:row>
      <xdr:rowOff>114300</xdr:rowOff>
    </xdr:to>
    <xdr:sp macro="" textlink="">
      <xdr:nvSpPr>
        <xdr:cNvPr id="4194" name="Arrow: Down 4193">
          <a:extLst>
            <a:ext uri="{FF2B5EF4-FFF2-40B4-BE49-F238E27FC236}">
              <a16:creationId xmlns:a16="http://schemas.microsoft.com/office/drawing/2014/main" id="{2B73A38D-FCCA-4FFB-80BA-13FBEB8FF0E9}"/>
            </a:ext>
          </a:extLst>
        </xdr:cNvPr>
        <xdr:cNvSpPr/>
      </xdr:nvSpPr>
      <xdr:spPr>
        <a:xfrm>
          <a:off x="19080480" y="10013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548</xdr:row>
      <xdr:rowOff>0</xdr:rowOff>
    </xdr:from>
    <xdr:to>
      <xdr:col>11</xdr:col>
      <xdr:colOff>83820</xdr:colOff>
      <xdr:row>548</xdr:row>
      <xdr:rowOff>114300</xdr:rowOff>
    </xdr:to>
    <xdr:sp macro="" textlink="">
      <xdr:nvSpPr>
        <xdr:cNvPr id="4195" name="Arrow: Down 4194">
          <a:extLst>
            <a:ext uri="{FF2B5EF4-FFF2-40B4-BE49-F238E27FC236}">
              <a16:creationId xmlns:a16="http://schemas.microsoft.com/office/drawing/2014/main" id="{364AEA6F-7E47-4EEC-8D8B-647FE010A627}"/>
            </a:ext>
          </a:extLst>
        </xdr:cNvPr>
        <xdr:cNvSpPr/>
      </xdr:nvSpPr>
      <xdr:spPr>
        <a:xfrm rot="10800000">
          <a:off x="369570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548</xdr:row>
      <xdr:rowOff>0</xdr:rowOff>
    </xdr:from>
    <xdr:to>
      <xdr:col>5</xdr:col>
      <xdr:colOff>83820</xdr:colOff>
      <xdr:row>548</xdr:row>
      <xdr:rowOff>114300</xdr:rowOff>
    </xdr:to>
    <xdr:sp macro="" textlink="">
      <xdr:nvSpPr>
        <xdr:cNvPr id="4196" name="Arrow: Down 4195">
          <a:extLst>
            <a:ext uri="{FF2B5EF4-FFF2-40B4-BE49-F238E27FC236}">
              <a16:creationId xmlns:a16="http://schemas.microsoft.com/office/drawing/2014/main" id="{BCD5269C-CFC1-45AE-BAA7-DD7C6B5E1FC8}"/>
            </a:ext>
          </a:extLst>
        </xdr:cNvPr>
        <xdr:cNvSpPr/>
      </xdr:nvSpPr>
      <xdr:spPr>
        <a:xfrm rot="10800000">
          <a:off x="192786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548</xdr:row>
      <xdr:rowOff>0</xdr:rowOff>
    </xdr:from>
    <xdr:to>
      <xdr:col>39</xdr:col>
      <xdr:colOff>83820</xdr:colOff>
      <xdr:row>548</xdr:row>
      <xdr:rowOff>114300</xdr:rowOff>
    </xdr:to>
    <xdr:sp macro="" textlink="">
      <xdr:nvSpPr>
        <xdr:cNvPr id="4198" name="Arrow: Down 4197">
          <a:extLst>
            <a:ext uri="{FF2B5EF4-FFF2-40B4-BE49-F238E27FC236}">
              <a16:creationId xmlns:a16="http://schemas.microsoft.com/office/drawing/2014/main" id="{8F705266-872E-4C56-8458-EB3CC1B80969}"/>
            </a:ext>
          </a:extLst>
        </xdr:cNvPr>
        <xdr:cNvSpPr/>
      </xdr:nvSpPr>
      <xdr:spPr>
        <a:xfrm>
          <a:off x="1154430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548</xdr:row>
      <xdr:rowOff>0</xdr:rowOff>
    </xdr:from>
    <xdr:to>
      <xdr:col>45</xdr:col>
      <xdr:colOff>83820</xdr:colOff>
      <xdr:row>548</xdr:row>
      <xdr:rowOff>114300</xdr:rowOff>
    </xdr:to>
    <xdr:sp macro="" textlink="">
      <xdr:nvSpPr>
        <xdr:cNvPr id="4199" name="Arrow: Down 4198">
          <a:extLst>
            <a:ext uri="{FF2B5EF4-FFF2-40B4-BE49-F238E27FC236}">
              <a16:creationId xmlns:a16="http://schemas.microsoft.com/office/drawing/2014/main" id="{044B4E8D-F411-45BA-A253-7530B6B1CD68}"/>
            </a:ext>
          </a:extLst>
        </xdr:cNvPr>
        <xdr:cNvSpPr/>
      </xdr:nvSpPr>
      <xdr:spPr>
        <a:xfrm>
          <a:off x="1340358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548</xdr:row>
      <xdr:rowOff>0</xdr:rowOff>
    </xdr:from>
    <xdr:to>
      <xdr:col>71</xdr:col>
      <xdr:colOff>83820</xdr:colOff>
      <xdr:row>548</xdr:row>
      <xdr:rowOff>114300</xdr:rowOff>
    </xdr:to>
    <xdr:sp macro="" textlink="">
      <xdr:nvSpPr>
        <xdr:cNvPr id="4200" name="Arrow: Down 4199">
          <a:extLst>
            <a:ext uri="{FF2B5EF4-FFF2-40B4-BE49-F238E27FC236}">
              <a16:creationId xmlns:a16="http://schemas.microsoft.com/office/drawing/2014/main" id="{EE88133B-F9E7-46B2-BF28-D318DC04A917}"/>
            </a:ext>
          </a:extLst>
        </xdr:cNvPr>
        <xdr:cNvSpPr/>
      </xdr:nvSpPr>
      <xdr:spPr>
        <a:xfrm rot="10800000">
          <a:off x="2163318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548</xdr:row>
      <xdr:rowOff>0</xdr:rowOff>
    </xdr:from>
    <xdr:to>
      <xdr:col>60</xdr:col>
      <xdr:colOff>83820</xdr:colOff>
      <xdr:row>548</xdr:row>
      <xdr:rowOff>114300</xdr:rowOff>
    </xdr:to>
    <xdr:sp macro="" textlink="">
      <xdr:nvSpPr>
        <xdr:cNvPr id="4203" name="Arrow: Down 4202">
          <a:extLst>
            <a:ext uri="{FF2B5EF4-FFF2-40B4-BE49-F238E27FC236}">
              <a16:creationId xmlns:a16="http://schemas.microsoft.com/office/drawing/2014/main" id="{267D910E-1601-4A63-8D0F-EC8C1A1A9461}"/>
            </a:ext>
          </a:extLst>
        </xdr:cNvPr>
        <xdr:cNvSpPr/>
      </xdr:nvSpPr>
      <xdr:spPr>
        <a:xfrm rot="10800000">
          <a:off x="19080480" y="10031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549</xdr:row>
      <xdr:rowOff>0</xdr:rowOff>
    </xdr:from>
    <xdr:to>
      <xdr:col>39</xdr:col>
      <xdr:colOff>83820</xdr:colOff>
      <xdr:row>549</xdr:row>
      <xdr:rowOff>114300</xdr:rowOff>
    </xdr:to>
    <xdr:sp macro="" textlink="">
      <xdr:nvSpPr>
        <xdr:cNvPr id="4207" name="Arrow: Down 4206">
          <a:extLst>
            <a:ext uri="{FF2B5EF4-FFF2-40B4-BE49-F238E27FC236}">
              <a16:creationId xmlns:a16="http://schemas.microsoft.com/office/drawing/2014/main" id="{8BC772A9-D031-41CD-90C7-640A3B303E0A}"/>
            </a:ext>
          </a:extLst>
        </xdr:cNvPr>
        <xdr:cNvSpPr/>
      </xdr:nvSpPr>
      <xdr:spPr>
        <a:xfrm>
          <a:off x="11544300" y="10031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549</xdr:row>
      <xdr:rowOff>0</xdr:rowOff>
    </xdr:from>
    <xdr:to>
      <xdr:col>45</xdr:col>
      <xdr:colOff>83820</xdr:colOff>
      <xdr:row>549</xdr:row>
      <xdr:rowOff>114300</xdr:rowOff>
    </xdr:to>
    <xdr:sp macro="" textlink="">
      <xdr:nvSpPr>
        <xdr:cNvPr id="4208" name="Arrow: Down 4207">
          <a:extLst>
            <a:ext uri="{FF2B5EF4-FFF2-40B4-BE49-F238E27FC236}">
              <a16:creationId xmlns:a16="http://schemas.microsoft.com/office/drawing/2014/main" id="{FFE8CF5A-5E24-41A5-8ABB-9CC191FC11C6}"/>
            </a:ext>
          </a:extLst>
        </xdr:cNvPr>
        <xdr:cNvSpPr/>
      </xdr:nvSpPr>
      <xdr:spPr>
        <a:xfrm>
          <a:off x="13403580" y="10031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549</xdr:row>
      <xdr:rowOff>0</xdr:rowOff>
    </xdr:from>
    <xdr:to>
      <xdr:col>11</xdr:col>
      <xdr:colOff>83820</xdr:colOff>
      <xdr:row>549</xdr:row>
      <xdr:rowOff>114300</xdr:rowOff>
    </xdr:to>
    <xdr:sp macro="" textlink="">
      <xdr:nvSpPr>
        <xdr:cNvPr id="4211" name="Arrow: Down 4210">
          <a:extLst>
            <a:ext uri="{FF2B5EF4-FFF2-40B4-BE49-F238E27FC236}">
              <a16:creationId xmlns:a16="http://schemas.microsoft.com/office/drawing/2014/main" id="{3D471F65-3C9B-4117-974E-166EBE7D3523}"/>
            </a:ext>
          </a:extLst>
        </xdr:cNvPr>
        <xdr:cNvSpPr/>
      </xdr:nvSpPr>
      <xdr:spPr>
        <a:xfrm>
          <a:off x="369570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549</xdr:row>
      <xdr:rowOff>0</xdr:rowOff>
    </xdr:from>
    <xdr:to>
      <xdr:col>5</xdr:col>
      <xdr:colOff>83820</xdr:colOff>
      <xdr:row>549</xdr:row>
      <xdr:rowOff>114300</xdr:rowOff>
    </xdr:to>
    <xdr:sp macro="" textlink="">
      <xdr:nvSpPr>
        <xdr:cNvPr id="4212" name="Arrow: Down 4211">
          <a:extLst>
            <a:ext uri="{FF2B5EF4-FFF2-40B4-BE49-F238E27FC236}">
              <a16:creationId xmlns:a16="http://schemas.microsoft.com/office/drawing/2014/main" id="{F3119D76-288F-481B-87F0-54EA07C8C77B}"/>
            </a:ext>
          </a:extLst>
        </xdr:cNvPr>
        <xdr:cNvSpPr/>
      </xdr:nvSpPr>
      <xdr:spPr>
        <a:xfrm>
          <a:off x="192786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548</xdr:row>
      <xdr:rowOff>0</xdr:rowOff>
    </xdr:from>
    <xdr:to>
      <xdr:col>24</xdr:col>
      <xdr:colOff>83820</xdr:colOff>
      <xdr:row>548</xdr:row>
      <xdr:rowOff>114300</xdr:rowOff>
    </xdr:to>
    <xdr:sp macro="" textlink="">
      <xdr:nvSpPr>
        <xdr:cNvPr id="4213" name="Arrow: Down 4212">
          <a:extLst>
            <a:ext uri="{FF2B5EF4-FFF2-40B4-BE49-F238E27FC236}">
              <a16:creationId xmlns:a16="http://schemas.microsoft.com/office/drawing/2014/main" id="{815D2A2E-4300-4CAA-8750-4E2EE792A144}"/>
            </a:ext>
          </a:extLst>
        </xdr:cNvPr>
        <xdr:cNvSpPr/>
      </xdr:nvSpPr>
      <xdr:spPr>
        <a:xfrm>
          <a:off x="8336280" y="10031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549</xdr:row>
      <xdr:rowOff>0</xdr:rowOff>
    </xdr:from>
    <xdr:to>
      <xdr:col>24</xdr:col>
      <xdr:colOff>83820</xdr:colOff>
      <xdr:row>549</xdr:row>
      <xdr:rowOff>114300</xdr:rowOff>
    </xdr:to>
    <xdr:sp macro="" textlink="">
      <xdr:nvSpPr>
        <xdr:cNvPr id="4214" name="Arrow: Down 4213">
          <a:extLst>
            <a:ext uri="{FF2B5EF4-FFF2-40B4-BE49-F238E27FC236}">
              <a16:creationId xmlns:a16="http://schemas.microsoft.com/office/drawing/2014/main" id="{1365CF51-2057-403D-921E-94DE56D62C54}"/>
            </a:ext>
          </a:extLst>
        </xdr:cNvPr>
        <xdr:cNvSpPr/>
      </xdr:nvSpPr>
      <xdr:spPr>
        <a:xfrm>
          <a:off x="83362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549</xdr:row>
      <xdr:rowOff>0</xdr:rowOff>
    </xdr:from>
    <xdr:to>
      <xdr:col>71</xdr:col>
      <xdr:colOff>83820</xdr:colOff>
      <xdr:row>549</xdr:row>
      <xdr:rowOff>114300</xdr:rowOff>
    </xdr:to>
    <xdr:sp macro="" textlink="">
      <xdr:nvSpPr>
        <xdr:cNvPr id="4215" name="Arrow: Down 4214">
          <a:extLst>
            <a:ext uri="{FF2B5EF4-FFF2-40B4-BE49-F238E27FC236}">
              <a16:creationId xmlns:a16="http://schemas.microsoft.com/office/drawing/2014/main" id="{94806BCD-B1FF-4F77-908F-F260F887E7CE}"/>
            </a:ext>
          </a:extLst>
        </xdr:cNvPr>
        <xdr:cNvSpPr/>
      </xdr:nvSpPr>
      <xdr:spPr>
        <a:xfrm>
          <a:off x="216331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549</xdr:row>
      <xdr:rowOff>0</xdr:rowOff>
    </xdr:from>
    <xdr:to>
      <xdr:col>60</xdr:col>
      <xdr:colOff>83820</xdr:colOff>
      <xdr:row>549</xdr:row>
      <xdr:rowOff>114300</xdr:rowOff>
    </xdr:to>
    <xdr:sp macro="" textlink="">
      <xdr:nvSpPr>
        <xdr:cNvPr id="4216" name="Arrow: Down 4215">
          <a:extLst>
            <a:ext uri="{FF2B5EF4-FFF2-40B4-BE49-F238E27FC236}">
              <a16:creationId xmlns:a16="http://schemas.microsoft.com/office/drawing/2014/main" id="{74A394AA-F750-4107-A9D5-210E434BF5D6}"/>
            </a:ext>
          </a:extLst>
        </xdr:cNvPr>
        <xdr:cNvSpPr/>
      </xdr:nvSpPr>
      <xdr:spPr>
        <a:xfrm>
          <a:off x="190804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550</xdr:row>
      <xdr:rowOff>0</xdr:rowOff>
    </xdr:from>
    <xdr:to>
      <xdr:col>39</xdr:col>
      <xdr:colOff>83820</xdr:colOff>
      <xdr:row>550</xdr:row>
      <xdr:rowOff>114300</xdr:rowOff>
    </xdr:to>
    <xdr:sp macro="" textlink="">
      <xdr:nvSpPr>
        <xdr:cNvPr id="4217" name="Arrow: Down 4216">
          <a:extLst>
            <a:ext uri="{FF2B5EF4-FFF2-40B4-BE49-F238E27FC236}">
              <a16:creationId xmlns:a16="http://schemas.microsoft.com/office/drawing/2014/main" id="{732A4FE6-3717-45B8-8FD3-A5DD6DF90190}"/>
            </a:ext>
          </a:extLst>
        </xdr:cNvPr>
        <xdr:cNvSpPr/>
      </xdr:nvSpPr>
      <xdr:spPr>
        <a:xfrm>
          <a:off x="11544300" y="10050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550</xdr:row>
      <xdr:rowOff>0</xdr:rowOff>
    </xdr:from>
    <xdr:to>
      <xdr:col>45</xdr:col>
      <xdr:colOff>83820</xdr:colOff>
      <xdr:row>550</xdr:row>
      <xdr:rowOff>114300</xdr:rowOff>
    </xdr:to>
    <xdr:sp macro="" textlink="">
      <xdr:nvSpPr>
        <xdr:cNvPr id="4218" name="Arrow: Down 4217">
          <a:extLst>
            <a:ext uri="{FF2B5EF4-FFF2-40B4-BE49-F238E27FC236}">
              <a16:creationId xmlns:a16="http://schemas.microsoft.com/office/drawing/2014/main" id="{9973BB7B-8DE1-4770-97E1-0048E310429D}"/>
            </a:ext>
          </a:extLst>
        </xdr:cNvPr>
        <xdr:cNvSpPr/>
      </xdr:nvSpPr>
      <xdr:spPr>
        <a:xfrm>
          <a:off x="13403580" y="10050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550</xdr:row>
      <xdr:rowOff>0</xdr:rowOff>
    </xdr:from>
    <xdr:to>
      <xdr:col>11</xdr:col>
      <xdr:colOff>83820</xdr:colOff>
      <xdr:row>550</xdr:row>
      <xdr:rowOff>114300</xdr:rowOff>
    </xdr:to>
    <xdr:sp macro="" textlink="">
      <xdr:nvSpPr>
        <xdr:cNvPr id="4219" name="Arrow: Down 4218">
          <a:extLst>
            <a:ext uri="{FF2B5EF4-FFF2-40B4-BE49-F238E27FC236}">
              <a16:creationId xmlns:a16="http://schemas.microsoft.com/office/drawing/2014/main" id="{B44C4AAF-784C-40C6-B5B7-296B5B0DC3B7}"/>
            </a:ext>
          </a:extLst>
        </xdr:cNvPr>
        <xdr:cNvSpPr/>
      </xdr:nvSpPr>
      <xdr:spPr>
        <a:xfrm>
          <a:off x="369570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550</xdr:row>
      <xdr:rowOff>0</xdr:rowOff>
    </xdr:from>
    <xdr:to>
      <xdr:col>5</xdr:col>
      <xdr:colOff>83820</xdr:colOff>
      <xdr:row>550</xdr:row>
      <xdr:rowOff>114300</xdr:rowOff>
    </xdr:to>
    <xdr:sp macro="" textlink="">
      <xdr:nvSpPr>
        <xdr:cNvPr id="4220" name="Arrow: Down 4219">
          <a:extLst>
            <a:ext uri="{FF2B5EF4-FFF2-40B4-BE49-F238E27FC236}">
              <a16:creationId xmlns:a16="http://schemas.microsoft.com/office/drawing/2014/main" id="{D99FE29B-A377-4B1A-9380-95C7B6A97768}"/>
            </a:ext>
          </a:extLst>
        </xdr:cNvPr>
        <xdr:cNvSpPr/>
      </xdr:nvSpPr>
      <xdr:spPr>
        <a:xfrm>
          <a:off x="192786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550</xdr:row>
      <xdr:rowOff>0</xdr:rowOff>
    </xdr:from>
    <xdr:to>
      <xdr:col>24</xdr:col>
      <xdr:colOff>83820</xdr:colOff>
      <xdr:row>550</xdr:row>
      <xdr:rowOff>114300</xdr:rowOff>
    </xdr:to>
    <xdr:sp macro="" textlink="">
      <xdr:nvSpPr>
        <xdr:cNvPr id="4221" name="Arrow: Down 4220">
          <a:extLst>
            <a:ext uri="{FF2B5EF4-FFF2-40B4-BE49-F238E27FC236}">
              <a16:creationId xmlns:a16="http://schemas.microsoft.com/office/drawing/2014/main" id="{B371870D-8FFF-48B3-A9FC-DE609F2BD257}"/>
            </a:ext>
          </a:extLst>
        </xdr:cNvPr>
        <xdr:cNvSpPr/>
      </xdr:nvSpPr>
      <xdr:spPr>
        <a:xfrm>
          <a:off x="83362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550</xdr:row>
      <xdr:rowOff>0</xdr:rowOff>
    </xdr:from>
    <xdr:to>
      <xdr:col>71</xdr:col>
      <xdr:colOff>83820</xdr:colOff>
      <xdr:row>550</xdr:row>
      <xdr:rowOff>114300</xdr:rowOff>
    </xdr:to>
    <xdr:sp macro="" textlink="">
      <xdr:nvSpPr>
        <xdr:cNvPr id="4222" name="Arrow: Down 4221">
          <a:extLst>
            <a:ext uri="{FF2B5EF4-FFF2-40B4-BE49-F238E27FC236}">
              <a16:creationId xmlns:a16="http://schemas.microsoft.com/office/drawing/2014/main" id="{9706BD28-9250-4BE5-9E8F-755BE3CCA7F7}"/>
            </a:ext>
          </a:extLst>
        </xdr:cNvPr>
        <xdr:cNvSpPr/>
      </xdr:nvSpPr>
      <xdr:spPr>
        <a:xfrm>
          <a:off x="216331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550</xdr:row>
      <xdr:rowOff>0</xdr:rowOff>
    </xdr:from>
    <xdr:to>
      <xdr:col>60</xdr:col>
      <xdr:colOff>83820</xdr:colOff>
      <xdr:row>550</xdr:row>
      <xdr:rowOff>114300</xdr:rowOff>
    </xdr:to>
    <xdr:sp macro="" textlink="">
      <xdr:nvSpPr>
        <xdr:cNvPr id="4223" name="Arrow: Down 4222">
          <a:extLst>
            <a:ext uri="{FF2B5EF4-FFF2-40B4-BE49-F238E27FC236}">
              <a16:creationId xmlns:a16="http://schemas.microsoft.com/office/drawing/2014/main" id="{7C0742A2-9B84-4D24-8FD3-D6261D965580}"/>
            </a:ext>
          </a:extLst>
        </xdr:cNvPr>
        <xdr:cNvSpPr/>
      </xdr:nvSpPr>
      <xdr:spPr>
        <a:xfrm>
          <a:off x="190804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551</xdr:row>
      <xdr:rowOff>0</xdr:rowOff>
    </xdr:from>
    <xdr:to>
      <xdr:col>71</xdr:col>
      <xdr:colOff>83820</xdr:colOff>
      <xdr:row>551</xdr:row>
      <xdr:rowOff>114300</xdr:rowOff>
    </xdr:to>
    <xdr:sp macro="" textlink="">
      <xdr:nvSpPr>
        <xdr:cNvPr id="4007" name="Arrow: Down 4006">
          <a:extLst>
            <a:ext uri="{FF2B5EF4-FFF2-40B4-BE49-F238E27FC236}">
              <a16:creationId xmlns:a16="http://schemas.microsoft.com/office/drawing/2014/main" id="{3F1BE49C-664E-4E63-8E08-4E5B5356A736}"/>
            </a:ext>
          </a:extLst>
        </xdr:cNvPr>
        <xdr:cNvSpPr/>
      </xdr:nvSpPr>
      <xdr:spPr>
        <a:xfrm>
          <a:off x="21800820" y="10068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551</xdr:row>
      <xdr:rowOff>0</xdr:rowOff>
    </xdr:from>
    <xdr:to>
      <xdr:col>60</xdr:col>
      <xdr:colOff>83820</xdr:colOff>
      <xdr:row>551</xdr:row>
      <xdr:rowOff>114300</xdr:rowOff>
    </xdr:to>
    <xdr:sp macro="" textlink="">
      <xdr:nvSpPr>
        <xdr:cNvPr id="4012" name="Arrow: Down 4011">
          <a:extLst>
            <a:ext uri="{FF2B5EF4-FFF2-40B4-BE49-F238E27FC236}">
              <a16:creationId xmlns:a16="http://schemas.microsoft.com/office/drawing/2014/main" id="{ECF28CC1-EF64-4075-B207-37D4239F7EB8}"/>
            </a:ext>
          </a:extLst>
        </xdr:cNvPr>
        <xdr:cNvSpPr/>
      </xdr:nvSpPr>
      <xdr:spPr>
        <a:xfrm>
          <a:off x="19080480" y="10068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551</xdr:row>
      <xdr:rowOff>0</xdr:rowOff>
    </xdr:from>
    <xdr:to>
      <xdr:col>5</xdr:col>
      <xdr:colOff>83820</xdr:colOff>
      <xdr:row>551</xdr:row>
      <xdr:rowOff>114300</xdr:rowOff>
    </xdr:to>
    <xdr:sp macro="" textlink="">
      <xdr:nvSpPr>
        <xdr:cNvPr id="4014" name="Arrow: Down 4013">
          <a:extLst>
            <a:ext uri="{FF2B5EF4-FFF2-40B4-BE49-F238E27FC236}">
              <a16:creationId xmlns:a16="http://schemas.microsoft.com/office/drawing/2014/main" id="{3F8F07AF-2332-49C5-9E86-D5EBA5CFAE87}"/>
            </a:ext>
          </a:extLst>
        </xdr:cNvPr>
        <xdr:cNvSpPr/>
      </xdr:nvSpPr>
      <xdr:spPr>
        <a:xfrm rot="10800000">
          <a:off x="192786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551</xdr:row>
      <xdr:rowOff>0</xdr:rowOff>
    </xdr:from>
    <xdr:to>
      <xdr:col>11</xdr:col>
      <xdr:colOff>83820</xdr:colOff>
      <xdr:row>551</xdr:row>
      <xdr:rowOff>114300</xdr:rowOff>
    </xdr:to>
    <xdr:sp macro="" textlink="">
      <xdr:nvSpPr>
        <xdr:cNvPr id="4024" name="Arrow: Down 4023">
          <a:extLst>
            <a:ext uri="{FF2B5EF4-FFF2-40B4-BE49-F238E27FC236}">
              <a16:creationId xmlns:a16="http://schemas.microsoft.com/office/drawing/2014/main" id="{F44222E8-E190-4856-858A-E189051B22F0}"/>
            </a:ext>
          </a:extLst>
        </xdr:cNvPr>
        <xdr:cNvSpPr/>
      </xdr:nvSpPr>
      <xdr:spPr>
        <a:xfrm rot="10800000">
          <a:off x="369570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551</xdr:row>
      <xdr:rowOff>0</xdr:rowOff>
    </xdr:from>
    <xdr:to>
      <xdr:col>24</xdr:col>
      <xdr:colOff>83820</xdr:colOff>
      <xdr:row>551</xdr:row>
      <xdr:rowOff>114300</xdr:rowOff>
    </xdr:to>
    <xdr:sp macro="" textlink="">
      <xdr:nvSpPr>
        <xdr:cNvPr id="4031" name="Arrow: Down 4030">
          <a:extLst>
            <a:ext uri="{FF2B5EF4-FFF2-40B4-BE49-F238E27FC236}">
              <a16:creationId xmlns:a16="http://schemas.microsoft.com/office/drawing/2014/main" id="{808ABD74-60D9-4F58-9417-40A4F9A74C61}"/>
            </a:ext>
          </a:extLst>
        </xdr:cNvPr>
        <xdr:cNvSpPr/>
      </xdr:nvSpPr>
      <xdr:spPr>
        <a:xfrm rot="10800000">
          <a:off x="833628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551</xdr:row>
      <xdr:rowOff>0</xdr:rowOff>
    </xdr:from>
    <xdr:to>
      <xdr:col>39</xdr:col>
      <xdr:colOff>83820</xdr:colOff>
      <xdr:row>551</xdr:row>
      <xdr:rowOff>114300</xdr:rowOff>
    </xdr:to>
    <xdr:sp macro="" textlink="">
      <xdr:nvSpPr>
        <xdr:cNvPr id="4036" name="Arrow: Down 4035">
          <a:extLst>
            <a:ext uri="{FF2B5EF4-FFF2-40B4-BE49-F238E27FC236}">
              <a16:creationId xmlns:a16="http://schemas.microsoft.com/office/drawing/2014/main" id="{0B9F704A-6FC6-4B48-A9BA-00EC399C4C2C}"/>
            </a:ext>
          </a:extLst>
        </xdr:cNvPr>
        <xdr:cNvSpPr/>
      </xdr:nvSpPr>
      <xdr:spPr>
        <a:xfrm rot="10800000">
          <a:off x="11544300" y="10086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551</xdr:row>
      <xdr:rowOff>0</xdr:rowOff>
    </xdr:from>
    <xdr:to>
      <xdr:col>45</xdr:col>
      <xdr:colOff>83820</xdr:colOff>
      <xdr:row>551</xdr:row>
      <xdr:rowOff>114300</xdr:rowOff>
    </xdr:to>
    <xdr:sp macro="" textlink="">
      <xdr:nvSpPr>
        <xdr:cNvPr id="4039" name="Arrow: Down 4038">
          <a:extLst>
            <a:ext uri="{FF2B5EF4-FFF2-40B4-BE49-F238E27FC236}">
              <a16:creationId xmlns:a16="http://schemas.microsoft.com/office/drawing/2014/main" id="{D23D6EDF-CAF1-49C7-B4BA-84BD6F7DF86A}"/>
            </a:ext>
          </a:extLst>
        </xdr:cNvPr>
        <xdr:cNvSpPr/>
      </xdr:nvSpPr>
      <xdr:spPr>
        <a:xfrm rot="10800000">
          <a:off x="13403580" y="10086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552</xdr:row>
      <xdr:rowOff>0</xdr:rowOff>
    </xdr:from>
    <xdr:to>
      <xdr:col>5</xdr:col>
      <xdr:colOff>83820</xdr:colOff>
      <xdr:row>552</xdr:row>
      <xdr:rowOff>114300</xdr:rowOff>
    </xdr:to>
    <xdr:sp macro="" textlink="">
      <xdr:nvSpPr>
        <xdr:cNvPr id="4042" name="Arrow: Down 4041">
          <a:extLst>
            <a:ext uri="{FF2B5EF4-FFF2-40B4-BE49-F238E27FC236}">
              <a16:creationId xmlns:a16="http://schemas.microsoft.com/office/drawing/2014/main" id="{1A85CC08-5086-4625-892F-4D5C8EC99DF4}"/>
            </a:ext>
          </a:extLst>
        </xdr:cNvPr>
        <xdr:cNvSpPr/>
      </xdr:nvSpPr>
      <xdr:spPr>
        <a:xfrm rot="10800000">
          <a:off x="192786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552</xdr:row>
      <xdr:rowOff>0</xdr:rowOff>
    </xdr:from>
    <xdr:to>
      <xdr:col>11</xdr:col>
      <xdr:colOff>83820</xdr:colOff>
      <xdr:row>552</xdr:row>
      <xdr:rowOff>114300</xdr:rowOff>
    </xdr:to>
    <xdr:sp macro="" textlink="">
      <xdr:nvSpPr>
        <xdr:cNvPr id="4043" name="Arrow: Down 4042">
          <a:extLst>
            <a:ext uri="{FF2B5EF4-FFF2-40B4-BE49-F238E27FC236}">
              <a16:creationId xmlns:a16="http://schemas.microsoft.com/office/drawing/2014/main" id="{8DAC566F-0FAB-419B-A10C-2662851ABA42}"/>
            </a:ext>
          </a:extLst>
        </xdr:cNvPr>
        <xdr:cNvSpPr/>
      </xdr:nvSpPr>
      <xdr:spPr>
        <a:xfrm rot="10800000">
          <a:off x="369570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552</xdr:row>
      <xdr:rowOff>0</xdr:rowOff>
    </xdr:from>
    <xdr:to>
      <xdr:col>24</xdr:col>
      <xdr:colOff>83820</xdr:colOff>
      <xdr:row>552</xdr:row>
      <xdr:rowOff>114300</xdr:rowOff>
    </xdr:to>
    <xdr:sp macro="" textlink="">
      <xdr:nvSpPr>
        <xdr:cNvPr id="4045" name="Arrow: Down 4044">
          <a:extLst>
            <a:ext uri="{FF2B5EF4-FFF2-40B4-BE49-F238E27FC236}">
              <a16:creationId xmlns:a16="http://schemas.microsoft.com/office/drawing/2014/main" id="{2CB62A4B-3110-4F79-B74D-D01F38C1D6B7}"/>
            </a:ext>
          </a:extLst>
        </xdr:cNvPr>
        <xdr:cNvSpPr/>
      </xdr:nvSpPr>
      <xdr:spPr>
        <a:xfrm rot="10800000">
          <a:off x="833628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552</xdr:row>
      <xdr:rowOff>0</xdr:rowOff>
    </xdr:from>
    <xdr:to>
      <xdr:col>45</xdr:col>
      <xdr:colOff>83820</xdr:colOff>
      <xdr:row>552</xdr:row>
      <xdr:rowOff>114300</xdr:rowOff>
    </xdr:to>
    <xdr:sp macro="" textlink="">
      <xdr:nvSpPr>
        <xdr:cNvPr id="4050" name="Arrow: Down 4049">
          <a:extLst>
            <a:ext uri="{FF2B5EF4-FFF2-40B4-BE49-F238E27FC236}">
              <a16:creationId xmlns:a16="http://schemas.microsoft.com/office/drawing/2014/main" id="{47E98A70-4A59-46BF-9EF9-CFA36CBA9BBB}"/>
            </a:ext>
          </a:extLst>
        </xdr:cNvPr>
        <xdr:cNvSpPr/>
      </xdr:nvSpPr>
      <xdr:spPr>
        <a:xfrm rot="10800000">
          <a:off x="13403580" y="10086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552</xdr:row>
      <xdr:rowOff>0</xdr:rowOff>
    </xdr:from>
    <xdr:to>
      <xdr:col>39</xdr:col>
      <xdr:colOff>83820</xdr:colOff>
      <xdr:row>552</xdr:row>
      <xdr:rowOff>114300</xdr:rowOff>
    </xdr:to>
    <xdr:sp macro="" textlink="">
      <xdr:nvSpPr>
        <xdr:cNvPr id="4054" name="Arrow: Down 4053">
          <a:extLst>
            <a:ext uri="{FF2B5EF4-FFF2-40B4-BE49-F238E27FC236}">
              <a16:creationId xmlns:a16="http://schemas.microsoft.com/office/drawing/2014/main" id="{966BD73A-0004-4A98-8DD1-D29AC35D1C37}"/>
            </a:ext>
          </a:extLst>
        </xdr:cNvPr>
        <xdr:cNvSpPr/>
      </xdr:nvSpPr>
      <xdr:spPr>
        <a:xfrm>
          <a:off x="1154430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552</xdr:row>
      <xdr:rowOff>0</xdr:rowOff>
    </xdr:from>
    <xdr:to>
      <xdr:col>71</xdr:col>
      <xdr:colOff>83820</xdr:colOff>
      <xdr:row>552</xdr:row>
      <xdr:rowOff>114300</xdr:rowOff>
    </xdr:to>
    <xdr:sp macro="" textlink="">
      <xdr:nvSpPr>
        <xdr:cNvPr id="4064" name="Arrow: Down 4063">
          <a:extLst>
            <a:ext uri="{FF2B5EF4-FFF2-40B4-BE49-F238E27FC236}">
              <a16:creationId xmlns:a16="http://schemas.microsoft.com/office/drawing/2014/main" id="{D4BC5CB7-4248-4C70-BBCD-8F65BC3A5471}"/>
            </a:ext>
          </a:extLst>
        </xdr:cNvPr>
        <xdr:cNvSpPr/>
      </xdr:nvSpPr>
      <xdr:spPr>
        <a:xfrm rot="10800000">
          <a:off x="2180082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552</xdr:row>
      <xdr:rowOff>0</xdr:rowOff>
    </xdr:from>
    <xdr:to>
      <xdr:col>60</xdr:col>
      <xdr:colOff>83820</xdr:colOff>
      <xdr:row>552</xdr:row>
      <xdr:rowOff>114300</xdr:rowOff>
    </xdr:to>
    <xdr:sp macro="" textlink="">
      <xdr:nvSpPr>
        <xdr:cNvPr id="4065" name="Arrow: Down 4064">
          <a:extLst>
            <a:ext uri="{FF2B5EF4-FFF2-40B4-BE49-F238E27FC236}">
              <a16:creationId xmlns:a16="http://schemas.microsoft.com/office/drawing/2014/main" id="{6082EED6-1106-402E-9F2A-0F6181428D11}"/>
            </a:ext>
          </a:extLst>
        </xdr:cNvPr>
        <xdr:cNvSpPr/>
      </xdr:nvSpPr>
      <xdr:spPr>
        <a:xfrm rot="10800000">
          <a:off x="1908048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553</xdr:row>
      <xdr:rowOff>0</xdr:rowOff>
    </xdr:from>
    <xdr:to>
      <xdr:col>5</xdr:col>
      <xdr:colOff>83820</xdr:colOff>
      <xdr:row>553</xdr:row>
      <xdr:rowOff>114300</xdr:rowOff>
    </xdr:to>
    <xdr:sp macro="" textlink="">
      <xdr:nvSpPr>
        <xdr:cNvPr id="4066" name="Arrow: Down 4065">
          <a:extLst>
            <a:ext uri="{FF2B5EF4-FFF2-40B4-BE49-F238E27FC236}">
              <a16:creationId xmlns:a16="http://schemas.microsoft.com/office/drawing/2014/main" id="{70ECC618-381D-472D-984F-079C1FEB4E6C}"/>
            </a:ext>
          </a:extLst>
        </xdr:cNvPr>
        <xdr:cNvSpPr/>
      </xdr:nvSpPr>
      <xdr:spPr>
        <a:xfrm rot="10800000">
          <a:off x="192786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553</xdr:row>
      <xdr:rowOff>0</xdr:rowOff>
    </xdr:from>
    <xdr:to>
      <xdr:col>11</xdr:col>
      <xdr:colOff>83820</xdr:colOff>
      <xdr:row>553</xdr:row>
      <xdr:rowOff>114300</xdr:rowOff>
    </xdr:to>
    <xdr:sp macro="" textlink="">
      <xdr:nvSpPr>
        <xdr:cNvPr id="4067" name="Arrow: Down 4066">
          <a:extLst>
            <a:ext uri="{FF2B5EF4-FFF2-40B4-BE49-F238E27FC236}">
              <a16:creationId xmlns:a16="http://schemas.microsoft.com/office/drawing/2014/main" id="{FEE6291B-2EE2-48E8-93FC-04CEBC07A7F4}"/>
            </a:ext>
          </a:extLst>
        </xdr:cNvPr>
        <xdr:cNvSpPr/>
      </xdr:nvSpPr>
      <xdr:spPr>
        <a:xfrm rot="10800000">
          <a:off x="369570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553</xdr:row>
      <xdr:rowOff>0</xdr:rowOff>
    </xdr:from>
    <xdr:to>
      <xdr:col>24</xdr:col>
      <xdr:colOff>83820</xdr:colOff>
      <xdr:row>553</xdr:row>
      <xdr:rowOff>114300</xdr:rowOff>
    </xdr:to>
    <xdr:sp macro="" textlink="">
      <xdr:nvSpPr>
        <xdr:cNvPr id="4072" name="Arrow: Down 4071">
          <a:extLst>
            <a:ext uri="{FF2B5EF4-FFF2-40B4-BE49-F238E27FC236}">
              <a16:creationId xmlns:a16="http://schemas.microsoft.com/office/drawing/2014/main" id="{2E16F14F-42F8-41DB-99DF-24A821FB3234}"/>
            </a:ext>
          </a:extLst>
        </xdr:cNvPr>
        <xdr:cNvSpPr/>
      </xdr:nvSpPr>
      <xdr:spPr>
        <a:xfrm rot="10800000">
          <a:off x="833628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553</xdr:row>
      <xdr:rowOff>0</xdr:rowOff>
    </xdr:from>
    <xdr:to>
      <xdr:col>39</xdr:col>
      <xdr:colOff>83820</xdr:colOff>
      <xdr:row>553</xdr:row>
      <xdr:rowOff>114300</xdr:rowOff>
    </xdr:to>
    <xdr:sp macro="" textlink="">
      <xdr:nvSpPr>
        <xdr:cNvPr id="4079" name="Arrow: Down 4078">
          <a:extLst>
            <a:ext uri="{FF2B5EF4-FFF2-40B4-BE49-F238E27FC236}">
              <a16:creationId xmlns:a16="http://schemas.microsoft.com/office/drawing/2014/main" id="{A468932E-39CE-448F-8652-7234889711C7}"/>
            </a:ext>
          </a:extLst>
        </xdr:cNvPr>
        <xdr:cNvSpPr/>
      </xdr:nvSpPr>
      <xdr:spPr>
        <a:xfrm>
          <a:off x="1154430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553</xdr:row>
      <xdr:rowOff>0</xdr:rowOff>
    </xdr:from>
    <xdr:to>
      <xdr:col>45</xdr:col>
      <xdr:colOff>83820</xdr:colOff>
      <xdr:row>553</xdr:row>
      <xdr:rowOff>114300</xdr:rowOff>
    </xdr:to>
    <xdr:sp macro="" textlink="">
      <xdr:nvSpPr>
        <xdr:cNvPr id="4089" name="Arrow: Down 4088">
          <a:extLst>
            <a:ext uri="{FF2B5EF4-FFF2-40B4-BE49-F238E27FC236}">
              <a16:creationId xmlns:a16="http://schemas.microsoft.com/office/drawing/2014/main" id="{41728D4F-67EF-4FF6-9486-59B1D355E75B}"/>
            </a:ext>
          </a:extLst>
        </xdr:cNvPr>
        <xdr:cNvSpPr/>
      </xdr:nvSpPr>
      <xdr:spPr>
        <a:xfrm>
          <a:off x="13403580" y="10123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553</xdr:row>
      <xdr:rowOff>0</xdr:rowOff>
    </xdr:from>
    <xdr:to>
      <xdr:col>71</xdr:col>
      <xdr:colOff>83820</xdr:colOff>
      <xdr:row>553</xdr:row>
      <xdr:rowOff>114300</xdr:rowOff>
    </xdr:to>
    <xdr:sp macro="" textlink="">
      <xdr:nvSpPr>
        <xdr:cNvPr id="4093" name="Arrow: Down 4092">
          <a:extLst>
            <a:ext uri="{FF2B5EF4-FFF2-40B4-BE49-F238E27FC236}">
              <a16:creationId xmlns:a16="http://schemas.microsoft.com/office/drawing/2014/main" id="{527C66CF-7B95-4FE6-A765-48315CE90450}"/>
            </a:ext>
          </a:extLst>
        </xdr:cNvPr>
        <xdr:cNvSpPr/>
      </xdr:nvSpPr>
      <xdr:spPr>
        <a:xfrm>
          <a:off x="21800820" y="10123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553</xdr:row>
      <xdr:rowOff>0</xdr:rowOff>
    </xdr:from>
    <xdr:to>
      <xdr:col>60</xdr:col>
      <xdr:colOff>83820</xdr:colOff>
      <xdr:row>553</xdr:row>
      <xdr:rowOff>114300</xdr:rowOff>
    </xdr:to>
    <xdr:sp macro="" textlink="">
      <xdr:nvSpPr>
        <xdr:cNvPr id="4095" name="Arrow: Down 4094">
          <a:extLst>
            <a:ext uri="{FF2B5EF4-FFF2-40B4-BE49-F238E27FC236}">
              <a16:creationId xmlns:a16="http://schemas.microsoft.com/office/drawing/2014/main" id="{B8505BFA-9AE4-472C-829D-E94464CD8377}"/>
            </a:ext>
          </a:extLst>
        </xdr:cNvPr>
        <xdr:cNvSpPr/>
      </xdr:nvSpPr>
      <xdr:spPr>
        <a:xfrm>
          <a:off x="19080480" y="10123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554</xdr:row>
      <xdr:rowOff>0</xdr:rowOff>
    </xdr:from>
    <xdr:to>
      <xdr:col>39</xdr:col>
      <xdr:colOff>83820</xdr:colOff>
      <xdr:row>554</xdr:row>
      <xdr:rowOff>114300</xdr:rowOff>
    </xdr:to>
    <xdr:sp macro="" textlink="">
      <xdr:nvSpPr>
        <xdr:cNvPr id="4113" name="Arrow: Down 4112">
          <a:extLst>
            <a:ext uri="{FF2B5EF4-FFF2-40B4-BE49-F238E27FC236}">
              <a16:creationId xmlns:a16="http://schemas.microsoft.com/office/drawing/2014/main" id="{55A205CE-F9E9-4248-8F88-99A5925274DE}"/>
            </a:ext>
          </a:extLst>
        </xdr:cNvPr>
        <xdr:cNvSpPr/>
      </xdr:nvSpPr>
      <xdr:spPr>
        <a:xfrm>
          <a:off x="11544300" y="10123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554</xdr:row>
      <xdr:rowOff>0</xdr:rowOff>
    </xdr:from>
    <xdr:to>
      <xdr:col>45</xdr:col>
      <xdr:colOff>83820</xdr:colOff>
      <xdr:row>554</xdr:row>
      <xdr:rowOff>114300</xdr:rowOff>
    </xdr:to>
    <xdr:sp macro="" textlink="">
      <xdr:nvSpPr>
        <xdr:cNvPr id="4114" name="Arrow: Down 4113">
          <a:extLst>
            <a:ext uri="{FF2B5EF4-FFF2-40B4-BE49-F238E27FC236}">
              <a16:creationId xmlns:a16="http://schemas.microsoft.com/office/drawing/2014/main" id="{67FC6698-22A9-4B02-8595-04D83D68CEBA}"/>
            </a:ext>
          </a:extLst>
        </xdr:cNvPr>
        <xdr:cNvSpPr/>
      </xdr:nvSpPr>
      <xdr:spPr>
        <a:xfrm>
          <a:off x="13403580" y="10123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554</xdr:row>
      <xdr:rowOff>0</xdr:rowOff>
    </xdr:from>
    <xdr:to>
      <xdr:col>60</xdr:col>
      <xdr:colOff>83820</xdr:colOff>
      <xdr:row>554</xdr:row>
      <xdr:rowOff>114300</xdr:rowOff>
    </xdr:to>
    <xdr:sp macro="" textlink="">
      <xdr:nvSpPr>
        <xdr:cNvPr id="4120" name="Arrow: Down 4119">
          <a:extLst>
            <a:ext uri="{FF2B5EF4-FFF2-40B4-BE49-F238E27FC236}">
              <a16:creationId xmlns:a16="http://schemas.microsoft.com/office/drawing/2014/main" id="{70FF43D8-8323-47EC-8B1F-7400EDE17E86}"/>
            </a:ext>
          </a:extLst>
        </xdr:cNvPr>
        <xdr:cNvSpPr/>
      </xdr:nvSpPr>
      <xdr:spPr>
        <a:xfrm rot="10800000">
          <a:off x="1908048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554</xdr:row>
      <xdr:rowOff>0</xdr:rowOff>
    </xdr:from>
    <xdr:to>
      <xdr:col>71</xdr:col>
      <xdr:colOff>83820</xdr:colOff>
      <xdr:row>554</xdr:row>
      <xdr:rowOff>114300</xdr:rowOff>
    </xdr:to>
    <xdr:sp macro="" textlink="">
      <xdr:nvSpPr>
        <xdr:cNvPr id="4122" name="Arrow: Down 4121">
          <a:extLst>
            <a:ext uri="{FF2B5EF4-FFF2-40B4-BE49-F238E27FC236}">
              <a16:creationId xmlns:a16="http://schemas.microsoft.com/office/drawing/2014/main" id="{CD77488B-C13A-4B1A-95C3-60ABE6EE9274}"/>
            </a:ext>
          </a:extLst>
        </xdr:cNvPr>
        <xdr:cNvSpPr/>
      </xdr:nvSpPr>
      <xdr:spPr>
        <a:xfrm rot="10800000">
          <a:off x="2180082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554</xdr:row>
      <xdr:rowOff>0</xdr:rowOff>
    </xdr:from>
    <xdr:to>
      <xdr:col>5</xdr:col>
      <xdr:colOff>83820</xdr:colOff>
      <xdr:row>554</xdr:row>
      <xdr:rowOff>114300</xdr:rowOff>
    </xdr:to>
    <xdr:sp macro="" textlink="">
      <xdr:nvSpPr>
        <xdr:cNvPr id="4127" name="Arrow: Down 4126">
          <a:extLst>
            <a:ext uri="{FF2B5EF4-FFF2-40B4-BE49-F238E27FC236}">
              <a16:creationId xmlns:a16="http://schemas.microsoft.com/office/drawing/2014/main" id="{EC554AE6-41BE-4CC9-9DB9-A519195F0FB0}"/>
            </a:ext>
          </a:extLst>
        </xdr:cNvPr>
        <xdr:cNvSpPr/>
      </xdr:nvSpPr>
      <xdr:spPr>
        <a:xfrm>
          <a:off x="1927860" y="10141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554</xdr:row>
      <xdr:rowOff>0</xdr:rowOff>
    </xdr:from>
    <xdr:to>
      <xdr:col>11</xdr:col>
      <xdr:colOff>83820</xdr:colOff>
      <xdr:row>554</xdr:row>
      <xdr:rowOff>114300</xdr:rowOff>
    </xdr:to>
    <xdr:sp macro="" textlink="">
      <xdr:nvSpPr>
        <xdr:cNvPr id="4131" name="Arrow: Down 4130">
          <a:extLst>
            <a:ext uri="{FF2B5EF4-FFF2-40B4-BE49-F238E27FC236}">
              <a16:creationId xmlns:a16="http://schemas.microsoft.com/office/drawing/2014/main" id="{1F7CC743-FD1F-4F0C-8BBA-32F377D87D71}"/>
            </a:ext>
          </a:extLst>
        </xdr:cNvPr>
        <xdr:cNvSpPr/>
      </xdr:nvSpPr>
      <xdr:spPr>
        <a:xfrm>
          <a:off x="3695700" y="10141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554</xdr:row>
      <xdr:rowOff>0</xdr:rowOff>
    </xdr:from>
    <xdr:to>
      <xdr:col>24</xdr:col>
      <xdr:colOff>83820</xdr:colOff>
      <xdr:row>554</xdr:row>
      <xdr:rowOff>114300</xdr:rowOff>
    </xdr:to>
    <xdr:sp macro="" textlink="">
      <xdr:nvSpPr>
        <xdr:cNvPr id="4132" name="Arrow: Down 4131">
          <a:extLst>
            <a:ext uri="{FF2B5EF4-FFF2-40B4-BE49-F238E27FC236}">
              <a16:creationId xmlns:a16="http://schemas.microsoft.com/office/drawing/2014/main" id="{E60CA56D-1493-4347-9416-BC635B9A8D2E}"/>
            </a:ext>
          </a:extLst>
        </xdr:cNvPr>
        <xdr:cNvSpPr/>
      </xdr:nvSpPr>
      <xdr:spPr>
        <a:xfrm>
          <a:off x="8336280" y="10141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555</xdr:row>
      <xdr:rowOff>0</xdr:rowOff>
    </xdr:from>
    <xdr:to>
      <xdr:col>45</xdr:col>
      <xdr:colOff>83820</xdr:colOff>
      <xdr:row>555</xdr:row>
      <xdr:rowOff>114300</xdr:rowOff>
    </xdr:to>
    <xdr:sp macro="" textlink="">
      <xdr:nvSpPr>
        <xdr:cNvPr id="4134" name="Arrow: Down 4133">
          <a:extLst>
            <a:ext uri="{FF2B5EF4-FFF2-40B4-BE49-F238E27FC236}">
              <a16:creationId xmlns:a16="http://schemas.microsoft.com/office/drawing/2014/main" id="{E5E859B1-7ED9-4C6D-A482-147365F8E72A}"/>
            </a:ext>
          </a:extLst>
        </xdr:cNvPr>
        <xdr:cNvSpPr/>
      </xdr:nvSpPr>
      <xdr:spPr>
        <a:xfrm>
          <a:off x="1340358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555</xdr:row>
      <xdr:rowOff>0</xdr:rowOff>
    </xdr:from>
    <xdr:to>
      <xdr:col>71</xdr:col>
      <xdr:colOff>83820</xdr:colOff>
      <xdr:row>555</xdr:row>
      <xdr:rowOff>114300</xdr:rowOff>
    </xdr:to>
    <xdr:sp macro="" textlink="">
      <xdr:nvSpPr>
        <xdr:cNvPr id="4136" name="Arrow: Down 4135">
          <a:extLst>
            <a:ext uri="{FF2B5EF4-FFF2-40B4-BE49-F238E27FC236}">
              <a16:creationId xmlns:a16="http://schemas.microsoft.com/office/drawing/2014/main" id="{9DEC84D2-EDAA-4BF6-8906-E971F460E2A7}"/>
            </a:ext>
          </a:extLst>
        </xdr:cNvPr>
        <xdr:cNvSpPr/>
      </xdr:nvSpPr>
      <xdr:spPr>
        <a:xfrm rot="10800000">
          <a:off x="2180082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555</xdr:row>
      <xdr:rowOff>0</xdr:rowOff>
    </xdr:from>
    <xdr:to>
      <xdr:col>60</xdr:col>
      <xdr:colOff>83820</xdr:colOff>
      <xdr:row>555</xdr:row>
      <xdr:rowOff>114300</xdr:rowOff>
    </xdr:to>
    <xdr:sp macro="" textlink="">
      <xdr:nvSpPr>
        <xdr:cNvPr id="4143" name="Arrow: Down 4142">
          <a:extLst>
            <a:ext uri="{FF2B5EF4-FFF2-40B4-BE49-F238E27FC236}">
              <a16:creationId xmlns:a16="http://schemas.microsoft.com/office/drawing/2014/main" id="{4D71918D-964F-47DF-BA5C-DD664EC16FC9}"/>
            </a:ext>
          </a:extLst>
        </xdr:cNvPr>
        <xdr:cNvSpPr/>
      </xdr:nvSpPr>
      <xdr:spPr>
        <a:xfrm>
          <a:off x="19080480" y="10159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555</xdr:row>
      <xdr:rowOff>0</xdr:rowOff>
    </xdr:from>
    <xdr:to>
      <xdr:col>39</xdr:col>
      <xdr:colOff>83820</xdr:colOff>
      <xdr:row>555</xdr:row>
      <xdr:rowOff>114300</xdr:rowOff>
    </xdr:to>
    <xdr:sp macro="" textlink="">
      <xdr:nvSpPr>
        <xdr:cNvPr id="4159" name="Arrow: Down 4158">
          <a:extLst>
            <a:ext uri="{FF2B5EF4-FFF2-40B4-BE49-F238E27FC236}">
              <a16:creationId xmlns:a16="http://schemas.microsoft.com/office/drawing/2014/main" id="{378ADFED-301B-409F-BEEC-0FB6180CA257}"/>
            </a:ext>
          </a:extLst>
        </xdr:cNvPr>
        <xdr:cNvSpPr/>
      </xdr:nvSpPr>
      <xdr:spPr>
        <a:xfrm rot="10800000">
          <a:off x="11544300" y="10159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555</xdr:row>
      <xdr:rowOff>0</xdr:rowOff>
    </xdr:from>
    <xdr:to>
      <xdr:col>11</xdr:col>
      <xdr:colOff>83820</xdr:colOff>
      <xdr:row>555</xdr:row>
      <xdr:rowOff>114300</xdr:rowOff>
    </xdr:to>
    <xdr:sp macro="" textlink="">
      <xdr:nvSpPr>
        <xdr:cNvPr id="4165" name="Arrow: Down 4164">
          <a:extLst>
            <a:ext uri="{FF2B5EF4-FFF2-40B4-BE49-F238E27FC236}">
              <a16:creationId xmlns:a16="http://schemas.microsoft.com/office/drawing/2014/main" id="{5706A1C2-A246-44EF-8BE9-B77A61454822}"/>
            </a:ext>
          </a:extLst>
        </xdr:cNvPr>
        <xdr:cNvSpPr/>
      </xdr:nvSpPr>
      <xdr:spPr>
        <a:xfrm rot="10800000">
          <a:off x="369570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555</xdr:row>
      <xdr:rowOff>0</xdr:rowOff>
    </xdr:from>
    <xdr:to>
      <xdr:col>5</xdr:col>
      <xdr:colOff>83820</xdr:colOff>
      <xdr:row>555</xdr:row>
      <xdr:rowOff>114300</xdr:rowOff>
    </xdr:to>
    <xdr:sp macro="" textlink="">
      <xdr:nvSpPr>
        <xdr:cNvPr id="4167" name="Arrow: Down 4166">
          <a:extLst>
            <a:ext uri="{FF2B5EF4-FFF2-40B4-BE49-F238E27FC236}">
              <a16:creationId xmlns:a16="http://schemas.microsoft.com/office/drawing/2014/main" id="{BC5C8D3F-7BD5-42C1-B1B4-90EC0FA704AA}"/>
            </a:ext>
          </a:extLst>
        </xdr:cNvPr>
        <xdr:cNvSpPr/>
      </xdr:nvSpPr>
      <xdr:spPr>
        <a:xfrm rot="10800000">
          <a:off x="192786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555</xdr:row>
      <xdr:rowOff>0</xdr:rowOff>
    </xdr:from>
    <xdr:to>
      <xdr:col>24</xdr:col>
      <xdr:colOff>83820</xdr:colOff>
      <xdr:row>555</xdr:row>
      <xdr:rowOff>114300</xdr:rowOff>
    </xdr:to>
    <xdr:sp macro="" textlink="">
      <xdr:nvSpPr>
        <xdr:cNvPr id="4168" name="Arrow: Down 4167">
          <a:extLst>
            <a:ext uri="{FF2B5EF4-FFF2-40B4-BE49-F238E27FC236}">
              <a16:creationId xmlns:a16="http://schemas.microsoft.com/office/drawing/2014/main" id="{0B1756DC-8F65-476C-BD5B-BF1FBBD1E003}"/>
            </a:ext>
          </a:extLst>
        </xdr:cNvPr>
        <xdr:cNvSpPr/>
      </xdr:nvSpPr>
      <xdr:spPr>
        <a:xfrm rot="10800000">
          <a:off x="833628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556</xdr:row>
      <xdr:rowOff>0</xdr:rowOff>
    </xdr:from>
    <xdr:to>
      <xdr:col>45</xdr:col>
      <xdr:colOff>83820</xdr:colOff>
      <xdr:row>556</xdr:row>
      <xdr:rowOff>114300</xdr:rowOff>
    </xdr:to>
    <xdr:sp macro="" textlink="">
      <xdr:nvSpPr>
        <xdr:cNvPr id="4175" name="Arrow: Down 4174">
          <a:extLst>
            <a:ext uri="{FF2B5EF4-FFF2-40B4-BE49-F238E27FC236}">
              <a16:creationId xmlns:a16="http://schemas.microsoft.com/office/drawing/2014/main" id="{D8D76B3A-BDC5-474D-9935-E38935BFD452}"/>
            </a:ext>
          </a:extLst>
        </xdr:cNvPr>
        <xdr:cNvSpPr/>
      </xdr:nvSpPr>
      <xdr:spPr>
        <a:xfrm>
          <a:off x="1340358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556</xdr:row>
      <xdr:rowOff>0</xdr:rowOff>
    </xdr:from>
    <xdr:to>
      <xdr:col>60</xdr:col>
      <xdr:colOff>83820</xdr:colOff>
      <xdr:row>556</xdr:row>
      <xdr:rowOff>114300</xdr:rowOff>
    </xdr:to>
    <xdr:sp macro="" textlink="">
      <xdr:nvSpPr>
        <xdr:cNvPr id="4177" name="Arrow: Down 4176">
          <a:extLst>
            <a:ext uri="{FF2B5EF4-FFF2-40B4-BE49-F238E27FC236}">
              <a16:creationId xmlns:a16="http://schemas.microsoft.com/office/drawing/2014/main" id="{3F389269-C5B1-4999-8F76-3E8C04E5958A}"/>
            </a:ext>
          </a:extLst>
        </xdr:cNvPr>
        <xdr:cNvSpPr/>
      </xdr:nvSpPr>
      <xdr:spPr>
        <a:xfrm>
          <a:off x="19080480" y="10159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556</xdr:row>
      <xdr:rowOff>0</xdr:rowOff>
    </xdr:from>
    <xdr:to>
      <xdr:col>71</xdr:col>
      <xdr:colOff>83820</xdr:colOff>
      <xdr:row>556</xdr:row>
      <xdr:rowOff>114300</xdr:rowOff>
    </xdr:to>
    <xdr:sp macro="" textlink="">
      <xdr:nvSpPr>
        <xdr:cNvPr id="4201" name="Arrow: Down 4200">
          <a:extLst>
            <a:ext uri="{FF2B5EF4-FFF2-40B4-BE49-F238E27FC236}">
              <a16:creationId xmlns:a16="http://schemas.microsoft.com/office/drawing/2014/main" id="{49B1028B-5DDB-45FF-943A-681D59E6C9F6}"/>
            </a:ext>
          </a:extLst>
        </xdr:cNvPr>
        <xdr:cNvSpPr/>
      </xdr:nvSpPr>
      <xdr:spPr>
        <a:xfrm>
          <a:off x="2180082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556</xdr:row>
      <xdr:rowOff>0</xdr:rowOff>
    </xdr:from>
    <xdr:to>
      <xdr:col>39</xdr:col>
      <xdr:colOff>83820</xdr:colOff>
      <xdr:row>556</xdr:row>
      <xdr:rowOff>114300</xdr:rowOff>
    </xdr:to>
    <xdr:sp macro="" textlink="">
      <xdr:nvSpPr>
        <xdr:cNvPr id="4202" name="Arrow: Down 4201">
          <a:extLst>
            <a:ext uri="{FF2B5EF4-FFF2-40B4-BE49-F238E27FC236}">
              <a16:creationId xmlns:a16="http://schemas.microsoft.com/office/drawing/2014/main" id="{731A0293-0F57-4330-96CA-D757A6BC989E}"/>
            </a:ext>
          </a:extLst>
        </xdr:cNvPr>
        <xdr:cNvSpPr/>
      </xdr:nvSpPr>
      <xdr:spPr>
        <a:xfrm>
          <a:off x="11544300" y="10178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556</xdr:row>
      <xdr:rowOff>0</xdr:rowOff>
    </xdr:from>
    <xdr:to>
      <xdr:col>11</xdr:col>
      <xdr:colOff>83820</xdr:colOff>
      <xdr:row>556</xdr:row>
      <xdr:rowOff>114300</xdr:rowOff>
    </xdr:to>
    <xdr:sp macro="" textlink="">
      <xdr:nvSpPr>
        <xdr:cNvPr id="4204" name="Arrow: Down 4203">
          <a:extLst>
            <a:ext uri="{FF2B5EF4-FFF2-40B4-BE49-F238E27FC236}">
              <a16:creationId xmlns:a16="http://schemas.microsoft.com/office/drawing/2014/main" id="{1960AC75-15F9-480C-AE2D-16F99995052D}"/>
            </a:ext>
          </a:extLst>
        </xdr:cNvPr>
        <xdr:cNvSpPr/>
      </xdr:nvSpPr>
      <xdr:spPr>
        <a:xfrm>
          <a:off x="369570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556</xdr:row>
      <xdr:rowOff>0</xdr:rowOff>
    </xdr:from>
    <xdr:to>
      <xdr:col>5</xdr:col>
      <xdr:colOff>83820</xdr:colOff>
      <xdr:row>556</xdr:row>
      <xdr:rowOff>114300</xdr:rowOff>
    </xdr:to>
    <xdr:sp macro="" textlink="">
      <xdr:nvSpPr>
        <xdr:cNvPr id="4206" name="Arrow: Down 4205">
          <a:extLst>
            <a:ext uri="{FF2B5EF4-FFF2-40B4-BE49-F238E27FC236}">
              <a16:creationId xmlns:a16="http://schemas.microsoft.com/office/drawing/2014/main" id="{2D65D0F2-B9BD-48E8-B567-C301FFD89F27}"/>
            </a:ext>
          </a:extLst>
        </xdr:cNvPr>
        <xdr:cNvSpPr/>
      </xdr:nvSpPr>
      <xdr:spPr>
        <a:xfrm>
          <a:off x="192786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557</xdr:row>
      <xdr:rowOff>0</xdr:rowOff>
    </xdr:from>
    <xdr:to>
      <xdr:col>45</xdr:col>
      <xdr:colOff>83820</xdr:colOff>
      <xdr:row>557</xdr:row>
      <xdr:rowOff>114300</xdr:rowOff>
    </xdr:to>
    <xdr:sp macro="" textlink="">
      <xdr:nvSpPr>
        <xdr:cNvPr id="4228" name="Arrow: Down 4227">
          <a:extLst>
            <a:ext uri="{FF2B5EF4-FFF2-40B4-BE49-F238E27FC236}">
              <a16:creationId xmlns:a16="http://schemas.microsoft.com/office/drawing/2014/main" id="{66054BC6-88DB-4584-B8DF-8A2E68C13922}"/>
            </a:ext>
          </a:extLst>
        </xdr:cNvPr>
        <xdr:cNvSpPr/>
      </xdr:nvSpPr>
      <xdr:spPr>
        <a:xfrm>
          <a:off x="13403580" y="10178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557</xdr:row>
      <xdr:rowOff>0</xdr:rowOff>
    </xdr:from>
    <xdr:to>
      <xdr:col>60</xdr:col>
      <xdr:colOff>83820</xdr:colOff>
      <xdr:row>557</xdr:row>
      <xdr:rowOff>114300</xdr:rowOff>
    </xdr:to>
    <xdr:sp macro="" textlink="">
      <xdr:nvSpPr>
        <xdr:cNvPr id="4229" name="Arrow: Down 4228">
          <a:extLst>
            <a:ext uri="{FF2B5EF4-FFF2-40B4-BE49-F238E27FC236}">
              <a16:creationId xmlns:a16="http://schemas.microsoft.com/office/drawing/2014/main" id="{19FA6589-3F53-48C7-B392-ACCD9A75B83B}"/>
            </a:ext>
          </a:extLst>
        </xdr:cNvPr>
        <xdr:cNvSpPr/>
      </xdr:nvSpPr>
      <xdr:spPr>
        <a:xfrm>
          <a:off x="1908048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557</xdr:row>
      <xdr:rowOff>0</xdr:rowOff>
    </xdr:from>
    <xdr:to>
      <xdr:col>71</xdr:col>
      <xdr:colOff>83820</xdr:colOff>
      <xdr:row>557</xdr:row>
      <xdr:rowOff>114300</xdr:rowOff>
    </xdr:to>
    <xdr:sp macro="" textlink="">
      <xdr:nvSpPr>
        <xdr:cNvPr id="4230" name="Arrow: Down 4229">
          <a:extLst>
            <a:ext uri="{FF2B5EF4-FFF2-40B4-BE49-F238E27FC236}">
              <a16:creationId xmlns:a16="http://schemas.microsoft.com/office/drawing/2014/main" id="{5E200F6D-0E53-4F05-B26C-9B6F3FFBF136}"/>
            </a:ext>
          </a:extLst>
        </xdr:cNvPr>
        <xdr:cNvSpPr/>
      </xdr:nvSpPr>
      <xdr:spPr>
        <a:xfrm>
          <a:off x="2180082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557</xdr:row>
      <xdr:rowOff>0</xdr:rowOff>
    </xdr:from>
    <xdr:to>
      <xdr:col>39</xdr:col>
      <xdr:colOff>83820</xdr:colOff>
      <xdr:row>557</xdr:row>
      <xdr:rowOff>114300</xdr:rowOff>
    </xdr:to>
    <xdr:sp macro="" textlink="">
      <xdr:nvSpPr>
        <xdr:cNvPr id="4231" name="Arrow: Down 4230">
          <a:extLst>
            <a:ext uri="{FF2B5EF4-FFF2-40B4-BE49-F238E27FC236}">
              <a16:creationId xmlns:a16="http://schemas.microsoft.com/office/drawing/2014/main" id="{9821263A-2470-4C9B-83D1-039248F4E671}"/>
            </a:ext>
          </a:extLst>
        </xdr:cNvPr>
        <xdr:cNvSpPr/>
      </xdr:nvSpPr>
      <xdr:spPr>
        <a:xfrm>
          <a:off x="11544300" y="10178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557</xdr:row>
      <xdr:rowOff>0</xdr:rowOff>
    </xdr:from>
    <xdr:to>
      <xdr:col>11</xdr:col>
      <xdr:colOff>83820</xdr:colOff>
      <xdr:row>557</xdr:row>
      <xdr:rowOff>114300</xdr:rowOff>
    </xdr:to>
    <xdr:sp macro="" textlink="">
      <xdr:nvSpPr>
        <xdr:cNvPr id="4232" name="Arrow: Down 4231">
          <a:extLst>
            <a:ext uri="{FF2B5EF4-FFF2-40B4-BE49-F238E27FC236}">
              <a16:creationId xmlns:a16="http://schemas.microsoft.com/office/drawing/2014/main" id="{AE35C4D6-2468-4F1E-87EB-D6DA881410D0}"/>
            </a:ext>
          </a:extLst>
        </xdr:cNvPr>
        <xdr:cNvSpPr/>
      </xdr:nvSpPr>
      <xdr:spPr>
        <a:xfrm>
          <a:off x="369570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557</xdr:row>
      <xdr:rowOff>0</xdr:rowOff>
    </xdr:from>
    <xdr:to>
      <xdr:col>5</xdr:col>
      <xdr:colOff>83820</xdr:colOff>
      <xdr:row>557</xdr:row>
      <xdr:rowOff>114300</xdr:rowOff>
    </xdr:to>
    <xdr:sp macro="" textlink="">
      <xdr:nvSpPr>
        <xdr:cNvPr id="4233" name="Arrow: Down 4232">
          <a:extLst>
            <a:ext uri="{FF2B5EF4-FFF2-40B4-BE49-F238E27FC236}">
              <a16:creationId xmlns:a16="http://schemas.microsoft.com/office/drawing/2014/main" id="{C0F00F2D-1EC2-469F-A92A-DE987E9BF31B}"/>
            </a:ext>
          </a:extLst>
        </xdr:cNvPr>
        <xdr:cNvSpPr/>
      </xdr:nvSpPr>
      <xdr:spPr>
        <a:xfrm>
          <a:off x="192786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556</xdr:row>
      <xdr:rowOff>0</xdr:rowOff>
    </xdr:from>
    <xdr:to>
      <xdr:col>24</xdr:col>
      <xdr:colOff>83820</xdr:colOff>
      <xdr:row>556</xdr:row>
      <xdr:rowOff>114300</xdr:rowOff>
    </xdr:to>
    <xdr:sp macro="" textlink="">
      <xdr:nvSpPr>
        <xdr:cNvPr id="4234" name="Arrow: Down 4233">
          <a:extLst>
            <a:ext uri="{FF2B5EF4-FFF2-40B4-BE49-F238E27FC236}">
              <a16:creationId xmlns:a16="http://schemas.microsoft.com/office/drawing/2014/main" id="{B3F69D1D-5579-4AA7-A54B-F620EE34FC90}"/>
            </a:ext>
          </a:extLst>
        </xdr:cNvPr>
        <xdr:cNvSpPr/>
      </xdr:nvSpPr>
      <xdr:spPr>
        <a:xfrm>
          <a:off x="833628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557</xdr:row>
      <xdr:rowOff>0</xdr:rowOff>
    </xdr:from>
    <xdr:to>
      <xdr:col>24</xdr:col>
      <xdr:colOff>83820</xdr:colOff>
      <xdr:row>557</xdr:row>
      <xdr:rowOff>114300</xdr:rowOff>
    </xdr:to>
    <xdr:sp macro="" textlink="">
      <xdr:nvSpPr>
        <xdr:cNvPr id="4235" name="Arrow: Down 4234">
          <a:extLst>
            <a:ext uri="{FF2B5EF4-FFF2-40B4-BE49-F238E27FC236}">
              <a16:creationId xmlns:a16="http://schemas.microsoft.com/office/drawing/2014/main" id="{1E3160F6-B9B0-4957-BACB-EA02FF61D126}"/>
            </a:ext>
          </a:extLst>
        </xdr:cNvPr>
        <xdr:cNvSpPr/>
      </xdr:nvSpPr>
      <xdr:spPr>
        <a:xfrm>
          <a:off x="8336280" y="10196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558</xdr:row>
      <xdr:rowOff>0</xdr:rowOff>
    </xdr:from>
    <xdr:to>
      <xdr:col>60</xdr:col>
      <xdr:colOff>83820</xdr:colOff>
      <xdr:row>558</xdr:row>
      <xdr:rowOff>114300</xdr:rowOff>
    </xdr:to>
    <xdr:sp macro="" textlink="">
      <xdr:nvSpPr>
        <xdr:cNvPr id="3988" name="Arrow: Down 3987">
          <a:extLst>
            <a:ext uri="{FF2B5EF4-FFF2-40B4-BE49-F238E27FC236}">
              <a16:creationId xmlns:a16="http://schemas.microsoft.com/office/drawing/2014/main" id="{3500C353-D6C7-4F7E-BE93-680DD74F64CD}"/>
            </a:ext>
          </a:extLst>
        </xdr:cNvPr>
        <xdr:cNvSpPr/>
      </xdr:nvSpPr>
      <xdr:spPr>
        <a:xfrm>
          <a:off x="19080480" y="10196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558</xdr:row>
      <xdr:rowOff>0</xdr:rowOff>
    </xdr:from>
    <xdr:to>
      <xdr:col>71</xdr:col>
      <xdr:colOff>83820</xdr:colOff>
      <xdr:row>558</xdr:row>
      <xdr:rowOff>114300</xdr:rowOff>
    </xdr:to>
    <xdr:sp macro="" textlink="">
      <xdr:nvSpPr>
        <xdr:cNvPr id="4023" name="Arrow: Down 4022">
          <a:extLst>
            <a:ext uri="{FF2B5EF4-FFF2-40B4-BE49-F238E27FC236}">
              <a16:creationId xmlns:a16="http://schemas.microsoft.com/office/drawing/2014/main" id="{309F210D-FC43-4EA8-9241-C5939EE28E31}"/>
            </a:ext>
          </a:extLst>
        </xdr:cNvPr>
        <xdr:cNvSpPr/>
      </xdr:nvSpPr>
      <xdr:spPr>
        <a:xfrm>
          <a:off x="21800820" y="10196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558</xdr:row>
      <xdr:rowOff>0</xdr:rowOff>
    </xdr:from>
    <xdr:to>
      <xdr:col>39</xdr:col>
      <xdr:colOff>83820</xdr:colOff>
      <xdr:row>558</xdr:row>
      <xdr:rowOff>114300</xdr:rowOff>
    </xdr:to>
    <xdr:sp macro="" textlink="">
      <xdr:nvSpPr>
        <xdr:cNvPr id="4025" name="Arrow: Down 4024">
          <a:extLst>
            <a:ext uri="{FF2B5EF4-FFF2-40B4-BE49-F238E27FC236}">
              <a16:creationId xmlns:a16="http://schemas.microsoft.com/office/drawing/2014/main" id="{C8B2505B-447F-4733-9768-E256271CCB17}"/>
            </a:ext>
          </a:extLst>
        </xdr:cNvPr>
        <xdr:cNvSpPr/>
      </xdr:nvSpPr>
      <xdr:spPr>
        <a:xfrm>
          <a:off x="11544300" y="10196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558</xdr:row>
      <xdr:rowOff>0</xdr:rowOff>
    </xdr:from>
    <xdr:to>
      <xdr:col>45</xdr:col>
      <xdr:colOff>83820</xdr:colOff>
      <xdr:row>558</xdr:row>
      <xdr:rowOff>114300</xdr:rowOff>
    </xdr:to>
    <xdr:sp macro="" textlink="">
      <xdr:nvSpPr>
        <xdr:cNvPr id="4048" name="Arrow: Down 4047">
          <a:extLst>
            <a:ext uri="{FF2B5EF4-FFF2-40B4-BE49-F238E27FC236}">
              <a16:creationId xmlns:a16="http://schemas.microsoft.com/office/drawing/2014/main" id="{61AC0E1F-D13A-42D4-853A-096FD42C7EBC}"/>
            </a:ext>
          </a:extLst>
        </xdr:cNvPr>
        <xdr:cNvSpPr/>
      </xdr:nvSpPr>
      <xdr:spPr>
        <a:xfrm rot="10800000">
          <a:off x="13403580" y="10214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558</xdr:row>
      <xdr:rowOff>0</xdr:rowOff>
    </xdr:from>
    <xdr:to>
      <xdr:col>11</xdr:col>
      <xdr:colOff>83820</xdr:colOff>
      <xdr:row>558</xdr:row>
      <xdr:rowOff>114300</xdr:rowOff>
    </xdr:to>
    <xdr:sp macro="" textlink="">
      <xdr:nvSpPr>
        <xdr:cNvPr id="4087" name="Arrow: Down 4086">
          <a:extLst>
            <a:ext uri="{FF2B5EF4-FFF2-40B4-BE49-F238E27FC236}">
              <a16:creationId xmlns:a16="http://schemas.microsoft.com/office/drawing/2014/main" id="{EBBC01CE-9805-4464-ABB3-11AD056E44CD}"/>
            </a:ext>
          </a:extLst>
        </xdr:cNvPr>
        <xdr:cNvSpPr/>
      </xdr:nvSpPr>
      <xdr:spPr>
        <a:xfrm rot="10800000">
          <a:off x="369570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558</xdr:row>
      <xdr:rowOff>0</xdr:rowOff>
    </xdr:from>
    <xdr:to>
      <xdr:col>5</xdr:col>
      <xdr:colOff>83820</xdr:colOff>
      <xdr:row>558</xdr:row>
      <xdr:rowOff>114300</xdr:rowOff>
    </xdr:to>
    <xdr:sp macro="" textlink="">
      <xdr:nvSpPr>
        <xdr:cNvPr id="4094" name="Arrow: Down 4093">
          <a:extLst>
            <a:ext uri="{FF2B5EF4-FFF2-40B4-BE49-F238E27FC236}">
              <a16:creationId xmlns:a16="http://schemas.microsoft.com/office/drawing/2014/main" id="{1ACFE65F-B761-4517-B88E-A2A61D4ECB5F}"/>
            </a:ext>
          </a:extLst>
        </xdr:cNvPr>
        <xdr:cNvSpPr/>
      </xdr:nvSpPr>
      <xdr:spPr>
        <a:xfrm rot="10800000">
          <a:off x="192786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558</xdr:row>
      <xdr:rowOff>0</xdr:rowOff>
    </xdr:from>
    <xdr:to>
      <xdr:col>24</xdr:col>
      <xdr:colOff>83820</xdr:colOff>
      <xdr:row>558</xdr:row>
      <xdr:rowOff>114300</xdr:rowOff>
    </xdr:to>
    <xdr:sp macro="" textlink="">
      <xdr:nvSpPr>
        <xdr:cNvPr id="4097" name="Arrow: Down 4096">
          <a:extLst>
            <a:ext uri="{FF2B5EF4-FFF2-40B4-BE49-F238E27FC236}">
              <a16:creationId xmlns:a16="http://schemas.microsoft.com/office/drawing/2014/main" id="{6177C830-E8A1-41EC-88E0-CF6D53F57032}"/>
            </a:ext>
          </a:extLst>
        </xdr:cNvPr>
        <xdr:cNvSpPr/>
      </xdr:nvSpPr>
      <xdr:spPr>
        <a:xfrm rot="10800000">
          <a:off x="833628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559</xdr:row>
      <xdr:rowOff>0</xdr:rowOff>
    </xdr:from>
    <xdr:to>
      <xdr:col>39</xdr:col>
      <xdr:colOff>83820</xdr:colOff>
      <xdr:row>559</xdr:row>
      <xdr:rowOff>114300</xdr:rowOff>
    </xdr:to>
    <xdr:sp macro="" textlink="">
      <xdr:nvSpPr>
        <xdr:cNvPr id="4115" name="Arrow: Down 4114">
          <a:extLst>
            <a:ext uri="{FF2B5EF4-FFF2-40B4-BE49-F238E27FC236}">
              <a16:creationId xmlns:a16="http://schemas.microsoft.com/office/drawing/2014/main" id="{A0C9EC2C-D407-4D91-A57F-63C88771CDB3}"/>
            </a:ext>
          </a:extLst>
        </xdr:cNvPr>
        <xdr:cNvSpPr/>
      </xdr:nvSpPr>
      <xdr:spPr>
        <a:xfrm>
          <a:off x="1154430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559</xdr:row>
      <xdr:rowOff>0</xdr:rowOff>
    </xdr:from>
    <xdr:to>
      <xdr:col>45</xdr:col>
      <xdr:colOff>83820</xdr:colOff>
      <xdr:row>559</xdr:row>
      <xdr:rowOff>114300</xdr:rowOff>
    </xdr:to>
    <xdr:sp macro="" textlink="">
      <xdr:nvSpPr>
        <xdr:cNvPr id="4116" name="Arrow: Down 4115">
          <a:extLst>
            <a:ext uri="{FF2B5EF4-FFF2-40B4-BE49-F238E27FC236}">
              <a16:creationId xmlns:a16="http://schemas.microsoft.com/office/drawing/2014/main" id="{BA4B4A88-4878-488C-BFD6-FDF0838403FC}"/>
            </a:ext>
          </a:extLst>
        </xdr:cNvPr>
        <xdr:cNvSpPr/>
      </xdr:nvSpPr>
      <xdr:spPr>
        <a:xfrm rot="10800000">
          <a:off x="13403580" y="10214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559</xdr:row>
      <xdr:rowOff>0</xdr:rowOff>
    </xdr:from>
    <xdr:to>
      <xdr:col>11</xdr:col>
      <xdr:colOff>83820</xdr:colOff>
      <xdr:row>559</xdr:row>
      <xdr:rowOff>114300</xdr:rowOff>
    </xdr:to>
    <xdr:sp macro="" textlink="">
      <xdr:nvSpPr>
        <xdr:cNvPr id="4118" name="Arrow: Down 4117">
          <a:extLst>
            <a:ext uri="{FF2B5EF4-FFF2-40B4-BE49-F238E27FC236}">
              <a16:creationId xmlns:a16="http://schemas.microsoft.com/office/drawing/2014/main" id="{E5B8F73A-B43E-41DB-8CE0-943CFDFA8AA0}"/>
            </a:ext>
          </a:extLst>
        </xdr:cNvPr>
        <xdr:cNvSpPr/>
      </xdr:nvSpPr>
      <xdr:spPr>
        <a:xfrm rot="10800000">
          <a:off x="369570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559</xdr:row>
      <xdr:rowOff>0</xdr:rowOff>
    </xdr:from>
    <xdr:to>
      <xdr:col>5</xdr:col>
      <xdr:colOff>83820</xdr:colOff>
      <xdr:row>559</xdr:row>
      <xdr:rowOff>114300</xdr:rowOff>
    </xdr:to>
    <xdr:sp macro="" textlink="">
      <xdr:nvSpPr>
        <xdr:cNvPr id="4121" name="Arrow: Down 4120">
          <a:extLst>
            <a:ext uri="{FF2B5EF4-FFF2-40B4-BE49-F238E27FC236}">
              <a16:creationId xmlns:a16="http://schemas.microsoft.com/office/drawing/2014/main" id="{D9F141CA-9ED8-46BD-A55E-94BF014FF3D1}"/>
            </a:ext>
          </a:extLst>
        </xdr:cNvPr>
        <xdr:cNvSpPr/>
      </xdr:nvSpPr>
      <xdr:spPr>
        <a:xfrm rot="10800000">
          <a:off x="192786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559</xdr:row>
      <xdr:rowOff>0</xdr:rowOff>
    </xdr:from>
    <xdr:to>
      <xdr:col>24</xdr:col>
      <xdr:colOff>83820</xdr:colOff>
      <xdr:row>559</xdr:row>
      <xdr:rowOff>114300</xdr:rowOff>
    </xdr:to>
    <xdr:sp macro="" textlink="">
      <xdr:nvSpPr>
        <xdr:cNvPr id="4124" name="Arrow: Down 4123">
          <a:extLst>
            <a:ext uri="{FF2B5EF4-FFF2-40B4-BE49-F238E27FC236}">
              <a16:creationId xmlns:a16="http://schemas.microsoft.com/office/drawing/2014/main" id="{52722E18-665A-41BE-9CFD-FADB17058FEB}"/>
            </a:ext>
          </a:extLst>
        </xdr:cNvPr>
        <xdr:cNvSpPr/>
      </xdr:nvSpPr>
      <xdr:spPr>
        <a:xfrm rot="10800000">
          <a:off x="833628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559</xdr:row>
      <xdr:rowOff>0</xdr:rowOff>
    </xdr:from>
    <xdr:to>
      <xdr:col>60</xdr:col>
      <xdr:colOff>83820</xdr:colOff>
      <xdr:row>559</xdr:row>
      <xdr:rowOff>114300</xdr:rowOff>
    </xdr:to>
    <xdr:sp macro="" textlink="">
      <xdr:nvSpPr>
        <xdr:cNvPr id="4129" name="Arrow: Down 4128">
          <a:extLst>
            <a:ext uri="{FF2B5EF4-FFF2-40B4-BE49-F238E27FC236}">
              <a16:creationId xmlns:a16="http://schemas.microsoft.com/office/drawing/2014/main" id="{28F26DFC-D7C3-4F4C-AEC7-887084CB74B1}"/>
            </a:ext>
          </a:extLst>
        </xdr:cNvPr>
        <xdr:cNvSpPr/>
      </xdr:nvSpPr>
      <xdr:spPr>
        <a:xfrm rot="10800000">
          <a:off x="1908048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559</xdr:row>
      <xdr:rowOff>0</xdr:rowOff>
    </xdr:from>
    <xdr:to>
      <xdr:col>71</xdr:col>
      <xdr:colOff>83820</xdr:colOff>
      <xdr:row>559</xdr:row>
      <xdr:rowOff>114300</xdr:rowOff>
    </xdr:to>
    <xdr:sp macro="" textlink="">
      <xdr:nvSpPr>
        <xdr:cNvPr id="4133" name="Arrow: Down 4132">
          <a:extLst>
            <a:ext uri="{FF2B5EF4-FFF2-40B4-BE49-F238E27FC236}">
              <a16:creationId xmlns:a16="http://schemas.microsoft.com/office/drawing/2014/main" id="{23BF7AF6-EA0E-48A0-A7C0-B1DDB390BFBB}"/>
            </a:ext>
          </a:extLst>
        </xdr:cNvPr>
        <xdr:cNvSpPr/>
      </xdr:nvSpPr>
      <xdr:spPr>
        <a:xfrm rot="10800000">
          <a:off x="2180082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560</xdr:row>
      <xdr:rowOff>0</xdr:rowOff>
    </xdr:from>
    <xdr:to>
      <xdr:col>39</xdr:col>
      <xdr:colOff>83820</xdr:colOff>
      <xdr:row>560</xdr:row>
      <xdr:rowOff>114300</xdr:rowOff>
    </xdr:to>
    <xdr:sp macro="" textlink="">
      <xdr:nvSpPr>
        <xdr:cNvPr id="4135" name="Arrow: Down 4134">
          <a:extLst>
            <a:ext uri="{FF2B5EF4-FFF2-40B4-BE49-F238E27FC236}">
              <a16:creationId xmlns:a16="http://schemas.microsoft.com/office/drawing/2014/main" id="{5E13C9B0-4194-4500-8EBE-C7DB40887B62}"/>
            </a:ext>
          </a:extLst>
        </xdr:cNvPr>
        <xdr:cNvSpPr/>
      </xdr:nvSpPr>
      <xdr:spPr>
        <a:xfrm>
          <a:off x="1154430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560</xdr:row>
      <xdr:rowOff>0</xdr:rowOff>
    </xdr:from>
    <xdr:to>
      <xdr:col>45</xdr:col>
      <xdr:colOff>83820</xdr:colOff>
      <xdr:row>560</xdr:row>
      <xdr:rowOff>114300</xdr:rowOff>
    </xdr:to>
    <xdr:sp macro="" textlink="">
      <xdr:nvSpPr>
        <xdr:cNvPr id="4137" name="Arrow: Down 4136">
          <a:extLst>
            <a:ext uri="{FF2B5EF4-FFF2-40B4-BE49-F238E27FC236}">
              <a16:creationId xmlns:a16="http://schemas.microsoft.com/office/drawing/2014/main" id="{575BC176-73B7-43C0-8E4B-BE9E5C797FC2}"/>
            </a:ext>
          </a:extLst>
        </xdr:cNvPr>
        <xdr:cNvSpPr/>
      </xdr:nvSpPr>
      <xdr:spPr>
        <a:xfrm rot="10800000">
          <a:off x="13403580" y="10232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560</xdr:row>
      <xdr:rowOff>0</xdr:rowOff>
    </xdr:from>
    <xdr:to>
      <xdr:col>11</xdr:col>
      <xdr:colOff>83820</xdr:colOff>
      <xdr:row>560</xdr:row>
      <xdr:rowOff>114300</xdr:rowOff>
    </xdr:to>
    <xdr:sp macro="" textlink="">
      <xdr:nvSpPr>
        <xdr:cNvPr id="4140" name="Arrow: Down 4139">
          <a:extLst>
            <a:ext uri="{FF2B5EF4-FFF2-40B4-BE49-F238E27FC236}">
              <a16:creationId xmlns:a16="http://schemas.microsoft.com/office/drawing/2014/main" id="{B0A9E2E5-8778-467D-922C-1DE85A2910D8}"/>
            </a:ext>
          </a:extLst>
        </xdr:cNvPr>
        <xdr:cNvSpPr/>
      </xdr:nvSpPr>
      <xdr:spPr>
        <a:xfrm rot="10800000">
          <a:off x="369570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560</xdr:row>
      <xdr:rowOff>0</xdr:rowOff>
    </xdr:from>
    <xdr:to>
      <xdr:col>5</xdr:col>
      <xdr:colOff>83820</xdr:colOff>
      <xdr:row>560</xdr:row>
      <xdr:rowOff>114300</xdr:rowOff>
    </xdr:to>
    <xdr:sp macro="" textlink="">
      <xdr:nvSpPr>
        <xdr:cNvPr id="4141" name="Arrow: Down 4140">
          <a:extLst>
            <a:ext uri="{FF2B5EF4-FFF2-40B4-BE49-F238E27FC236}">
              <a16:creationId xmlns:a16="http://schemas.microsoft.com/office/drawing/2014/main" id="{084581B3-7B66-4CDD-9396-10BA51310CA7}"/>
            </a:ext>
          </a:extLst>
        </xdr:cNvPr>
        <xdr:cNvSpPr/>
      </xdr:nvSpPr>
      <xdr:spPr>
        <a:xfrm rot="10800000">
          <a:off x="192786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560</xdr:row>
      <xdr:rowOff>0</xdr:rowOff>
    </xdr:from>
    <xdr:to>
      <xdr:col>24</xdr:col>
      <xdr:colOff>83820</xdr:colOff>
      <xdr:row>560</xdr:row>
      <xdr:rowOff>114300</xdr:rowOff>
    </xdr:to>
    <xdr:sp macro="" textlink="">
      <xdr:nvSpPr>
        <xdr:cNvPr id="4148" name="Arrow: Down 4147">
          <a:extLst>
            <a:ext uri="{FF2B5EF4-FFF2-40B4-BE49-F238E27FC236}">
              <a16:creationId xmlns:a16="http://schemas.microsoft.com/office/drawing/2014/main" id="{D4B8B61C-73E0-4BDE-A7D6-130AB7918083}"/>
            </a:ext>
          </a:extLst>
        </xdr:cNvPr>
        <xdr:cNvSpPr/>
      </xdr:nvSpPr>
      <xdr:spPr>
        <a:xfrm rot="10800000">
          <a:off x="833628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560</xdr:row>
      <xdr:rowOff>0</xdr:rowOff>
    </xdr:from>
    <xdr:to>
      <xdr:col>71</xdr:col>
      <xdr:colOff>83820</xdr:colOff>
      <xdr:row>560</xdr:row>
      <xdr:rowOff>114300</xdr:rowOff>
    </xdr:to>
    <xdr:sp macro="" textlink="">
      <xdr:nvSpPr>
        <xdr:cNvPr id="4176" name="Arrow: Down 4175">
          <a:extLst>
            <a:ext uri="{FF2B5EF4-FFF2-40B4-BE49-F238E27FC236}">
              <a16:creationId xmlns:a16="http://schemas.microsoft.com/office/drawing/2014/main" id="{765B049A-D8C2-41DA-B760-CAAC543C93E5}"/>
            </a:ext>
          </a:extLst>
        </xdr:cNvPr>
        <xdr:cNvSpPr/>
      </xdr:nvSpPr>
      <xdr:spPr>
        <a:xfrm rot="10800000">
          <a:off x="2180082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560</xdr:row>
      <xdr:rowOff>0</xdr:rowOff>
    </xdr:from>
    <xdr:to>
      <xdr:col>60</xdr:col>
      <xdr:colOff>83820</xdr:colOff>
      <xdr:row>560</xdr:row>
      <xdr:rowOff>114300</xdr:rowOff>
    </xdr:to>
    <xdr:sp macro="" textlink="">
      <xdr:nvSpPr>
        <xdr:cNvPr id="4181" name="Arrow: Down 4180">
          <a:extLst>
            <a:ext uri="{FF2B5EF4-FFF2-40B4-BE49-F238E27FC236}">
              <a16:creationId xmlns:a16="http://schemas.microsoft.com/office/drawing/2014/main" id="{E04FAEB5-A102-4FF7-95ED-8F61C064D778}"/>
            </a:ext>
          </a:extLst>
        </xdr:cNvPr>
        <xdr:cNvSpPr/>
      </xdr:nvSpPr>
      <xdr:spPr>
        <a:xfrm>
          <a:off x="19080480" y="10251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561</xdr:row>
      <xdr:rowOff>0</xdr:rowOff>
    </xdr:from>
    <xdr:to>
      <xdr:col>39</xdr:col>
      <xdr:colOff>83820</xdr:colOff>
      <xdr:row>561</xdr:row>
      <xdr:rowOff>114300</xdr:rowOff>
    </xdr:to>
    <xdr:sp macro="" textlink="">
      <xdr:nvSpPr>
        <xdr:cNvPr id="4225" name="Arrow: Down 4224">
          <a:extLst>
            <a:ext uri="{FF2B5EF4-FFF2-40B4-BE49-F238E27FC236}">
              <a16:creationId xmlns:a16="http://schemas.microsoft.com/office/drawing/2014/main" id="{C07A260E-97CD-41DA-A051-58A1FE0B0657}"/>
            </a:ext>
          </a:extLst>
        </xdr:cNvPr>
        <xdr:cNvSpPr/>
      </xdr:nvSpPr>
      <xdr:spPr>
        <a:xfrm>
          <a:off x="11544300" y="10251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561</xdr:row>
      <xdr:rowOff>0</xdr:rowOff>
    </xdr:from>
    <xdr:to>
      <xdr:col>71</xdr:col>
      <xdr:colOff>83820</xdr:colOff>
      <xdr:row>561</xdr:row>
      <xdr:rowOff>114300</xdr:rowOff>
    </xdr:to>
    <xdr:sp macro="" textlink="">
      <xdr:nvSpPr>
        <xdr:cNvPr id="4238" name="Arrow: Down 4237">
          <a:extLst>
            <a:ext uri="{FF2B5EF4-FFF2-40B4-BE49-F238E27FC236}">
              <a16:creationId xmlns:a16="http://schemas.microsoft.com/office/drawing/2014/main" id="{E9AAE472-0DB9-435F-84ED-5288CA2F491B}"/>
            </a:ext>
          </a:extLst>
        </xdr:cNvPr>
        <xdr:cNvSpPr/>
      </xdr:nvSpPr>
      <xdr:spPr>
        <a:xfrm rot="10800000">
          <a:off x="21800820" y="10251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561</xdr:row>
      <xdr:rowOff>0</xdr:rowOff>
    </xdr:from>
    <xdr:to>
      <xdr:col>60</xdr:col>
      <xdr:colOff>83820</xdr:colOff>
      <xdr:row>561</xdr:row>
      <xdr:rowOff>114300</xdr:rowOff>
    </xdr:to>
    <xdr:sp macro="" textlink="">
      <xdr:nvSpPr>
        <xdr:cNvPr id="4239" name="Arrow: Down 4238">
          <a:extLst>
            <a:ext uri="{FF2B5EF4-FFF2-40B4-BE49-F238E27FC236}">
              <a16:creationId xmlns:a16="http://schemas.microsoft.com/office/drawing/2014/main" id="{5B95014D-0A21-4138-B378-38D83A1025D6}"/>
            </a:ext>
          </a:extLst>
        </xdr:cNvPr>
        <xdr:cNvSpPr/>
      </xdr:nvSpPr>
      <xdr:spPr>
        <a:xfrm>
          <a:off x="19080480" y="10251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561</xdr:row>
      <xdr:rowOff>0</xdr:rowOff>
    </xdr:from>
    <xdr:to>
      <xdr:col>45</xdr:col>
      <xdr:colOff>83820</xdr:colOff>
      <xdr:row>561</xdr:row>
      <xdr:rowOff>114300</xdr:rowOff>
    </xdr:to>
    <xdr:sp macro="" textlink="">
      <xdr:nvSpPr>
        <xdr:cNvPr id="4241" name="Arrow: Down 4240">
          <a:extLst>
            <a:ext uri="{FF2B5EF4-FFF2-40B4-BE49-F238E27FC236}">
              <a16:creationId xmlns:a16="http://schemas.microsoft.com/office/drawing/2014/main" id="{E409F970-D899-4C6C-836D-02151C0661EC}"/>
            </a:ext>
          </a:extLst>
        </xdr:cNvPr>
        <xdr:cNvSpPr/>
      </xdr:nvSpPr>
      <xdr:spPr>
        <a:xfrm>
          <a:off x="134035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561</xdr:row>
      <xdr:rowOff>0</xdr:rowOff>
    </xdr:from>
    <xdr:to>
      <xdr:col>24</xdr:col>
      <xdr:colOff>83820</xdr:colOff>
      <xdr:row>561</xdr:row>
      <xdr:rowOff>114300</xdr:rowOff>
    </xdr:to>
    <xdr:sp macro="" textlink="">
      <xdr:nvSpPr>
        <xdr:cNvPr id="4242" name="Arrow: Down 4241">
          <a:extLst>
            <a:ext uri="{FF2B5EF4-FFF2-40B4-BE49-F238E27FC236}">
              <a16:creationId xmlns:a16="http://schemas.microsoft.com/office/drawing/2014/main" id="{08103327-553A-44FD-831C-CE0FCEC872C2}"/>
            </a:ext>
          </a:extLst>
        </xdr:cNvPr>
        <xdr:cNvSpPr/>
      </xdr:nvSpPr>
      <xdr:spPr>
        <a:xfrm rot="10800000">
          <a:off x="83362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561</xdr:row>
      <xdr:rowOff>0</xdr:rowOff>
    </xdr:from>
    <xdr:to>
      <xdr:col>11</xdr:col>
      <xdr:colOff>83820</xdr:colOff>
      <xdr:row>561</xdr:row>
      <xdr:rowOff>114300</xdr:rowOff>
    </xdr:to>
    <xdr:sp macro="" textlink="">
      <xdr:nvSpPr>
        <xdr:cNvPr id="4243" name="Arrow: Down 4242">
          <a:extLst>
            <a:ext uri="{FF2B5EF4-FFF2-40B4-BE49-F238E27FC236}">
              <a16:creationId xmlns:a16="http://schemas.microsoft.com/office/drawing/2014/main" id="{A791F59D-F33A-4338-BFF6-D07990667E73}"/>
            </a:ext>
          </a:extLst>
        </xdr:cNvPr>
        <xdr:cNvSpPr/>
      </xdr:nvSpPr>
      <xdr:spPr>
        <a:xfrm>
          <a:off x="3695700" y="10269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561</xdr:row>
      <xdr:rowOff>0</xdr:rowOff>
    </xdr:from>
    <xdr:to>
      <xdr:col>5</xdr:col>
      <xdr:colOff>83820</xdr:colOff>
      <xdr:row>561</xdr:row>
      <xdr:rowOff>114300</xdr:rowOff>
    </xdr:to>
    <xdr:sp macro="" textlink="">
      <xdr:nvSpPr>
        <xdr:cNvPr id="4244" name="Arrow: Down 4243">
          <a:extLst>
            <a:ext uri="{FF2B5EF4-FFF2-40B4-BE49-F238E27FC236}">
              <a16:creationId xmlns:a16="http://schemas.microsoft.com/office/drawing/2014/main" id="{C25E86E4-F973-48B6-A39E-B52D545BE1C0}"/>
            </a:ext>
          </a:extLst>
        </xdr:cNvPr>
        <xdr:cNvSpPr/>
      </xdr:nvSpPr>
      <xdr:spPr>
        <a:xfrm>
          <a:off x="1927860" y="10269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562</xdr:row>
      <xdr:rowOff>0</xdr:rowOff>
    </xdr:from>
    <xdr:to>
      <xdr:col>39</xdr:col>
      <xdr:colOff>83820</xdr:colOff>
      <xdr:row>562</xdr:row>
      <xdr:rowOff>114300</xdr:rowOff>
    </xdr:to>
    <xdr:sp macro="" textlink="">
      <xdr:nvSpPr>
        <xdr:cNvPr id="4245" name="Arrow: Down 4244">
          <a:extLst>
            <a:ext uri="{FF2B5EF4-FFF2-40B4-BE49-F238E27FC236}">
              <a16:creationId xmlns:a16="http://schemas.microsoft.com/office/drawing/2014/main" id="{3B422BD2-DE37-4F71-82DD-B6BFA4FE86E1}"/>
            </a:ext>
          </a:extLst>
        </xdr:cNvPr>
        <xdr:cNvSpPr/>
      </xdr:nvSpPr>
      <xdr:spPr>
        <a:xfrm>
          <a:off x="1154430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562</xdr:row>
      <xdr:rowOff>0</xdr:rowOff>
    </xdr:from>
    <xdr:to>
      <xdr:col>60</xdr:col>
      <xdr:colOff>83820</xdr:colOff>
      <xdr:row>562</xdr:row>
      <xdr:rowOff>114300</xdr:rowOff>
    </xdr:to>
    <xdr:sp macro="" textlink="">
      <xdr:nvSpPr>
        <xdr:cNvPr id="4247" name="Arrow: Down 4246">
          <a:extLst>
            <a:ext uri="{FF2B5EF4-FFF2-40B4-BE49-F238E27FC236}">
              <a16:creationId xmlns:a16="http://schemas.microsoft.com/office/drawing/2014/main" id="{601179A2-1F58-4DBE-844B-96FA14FA7F96}"/>
            </a:ext>
          </a:extLst>
        </xdr:cNvPr>
        <xdr:cNvSpPr/>
      </xdr:nvSpPr>
      <xdr:spPr>
        <a:xfrm>
          <a:off x="19080480" y="10269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562</xdr:row>
      <xdr:rowOff>0</xdr:rowOff>
    </xdr:from>
    <xdr:to>
      <xdr:col>45</xdr:col>
      <xdr:colOff>83820</xdr:colOff>
      <xdr:row>562</xdr:row>
      <xdr:rowOff>114300</xdr:rowOff>
    </xdr:to>
    <xdr:sp macro="" textlink="">
      <xdr:nvSpPr>
        <xdr:cNvPr id="4248" name="Arrow: Down 4247">
          <a:extLst>
            <a:ext uri="{FF2B5EF4-FFF2-40B4-BE49-F238E27FC236}">
              <a16:creationId xmlns:a16="http://schemas.microsoft.com/office/drawing/2014/main" id="{B4A0D824-A0B8-49F2-AECB-C6EC967F52A6}"/>
            </a:ext>
          </a:extLst>
        </xdr:cNvPr>
        <xdr:cNvSpPr/>
      </xdr:nvSpPr>
      <xdr:spPr>
        <a:xfrm>
          <a:off x="134035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562</xdr:row>
      <xdr:rowOff>0</xdr:rowOff>
    </xdr:from>
    <xdr:to>
      <xdr:col>24</xdr:col>
      <xdr:colOff>83820</xdr:colOff>
      <xdr:row>562</xdr:row>
      <xdr:rowOff>114300</xdr:rowOff>
    </xdr:to>
    <xdr:sp macro="" textlink="">
      <xdr:nvSpPr>
        <xdr:cNvPr id="4249" name="Arrow: Down 4248">
          <a:extLst>
            <a:ext uri="{FF2B5EF4-FFF2-40B4-BE49-F238E27FC236}">
              <a16:creationId xmlns:a16="http://schemas.microsoft.com/office/drawing/2014/main" id="{5F94AED3-AA27-4748-8ED5-64C8B2A4B998}"/>
            </a:ext>
          </a:extLst>
        </xdr:cNvPr>
        <xdr:cNvSpPr/>
      </xdr:nvSpPr>
      <xdr:spPr>
        <a:xfrm rot="10800000">
          <a:off x="83362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562</xdr:row>
      <xdr:rowOff>0</xdr:rowOff>
    </xdr:from>
    <xdr:to>
      <xdr:col>71</xdr:col>
      <xdr:colOff>83820</xdr:colOff>
      <xdr:row>562</xdr:row>
      <xdr:rowOff>114300</xdr:rowOff>
    </xdr:to>
    <xdr:sp macro="" textlink="">
      <xdr:nvSpPr>
        <xdr:cNvPr id="4253" name="Arrow: Down 4252">
          <a:extLst>
            <a:ext uri="{FF2B5EF4-FFF2-40B4-BE49-F238E27FC236}">
              <a16:creationId xmlns:a16="http://schemas.microsoft.com/office/drawing/2014/main" id="{505ABE69-65F8-47DE-B271-1846564546F4}"/>
            </a:ext>
          </a:extLst>
        </xdr:cNvPr>
        <xdr:cNvSpPr/>
      </xdr:nvSpPr>
      <xdr:spPr>
        <a:xfrm>
          <a:off x="21800820" y="10287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563</xdr:row>
      <xdr:rowOff>0</xdr:rowOff>
    </xdr:from>
    <xdr:to>
      <xdr:col>39</xdr:col>
      <xdr:colOff>83820</xdr:colOff>
      <xdr:row>563</xdr:row>
      <xdr:rowOff>114300</xdr:rowOff>
    </xdr:to>
    <xdr:sp macro="" textlink="">
      <xdr:nvSpPr>
        <xdr:cNvPr id="4254" name="Arrow: Down 4253">
          <a:extLst>
            <a:ext uri="{FF2B5EF4-FFF2-40B4-BE49-F238E27FC236}">
              <a16:creationId xmlns:a16="http://schemas.microsoft.com/office/drawing/2014/main" id="{8483F905-CC8F-4E56-AA1B-628367C1E682}"/>
            </a:ext>
          </a:extLst>
        </xdr:cNvPr>
        <xdr:cNvSpPr/>
      </xdr:nvSpPr>
      <xdr:spPr>
        <a:xfrm>
          <a:off x="11544300" y="10287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563</xdr:row>
      <xdr:rowOff>0</xdr:rowOff>
    </xdr:from>
    <xdr:to>
      <xdr:col>11</xdr:col>
      <xdr:colOff>83820</xdr:colOff>
      <xdr:row>563</xdr:row>
      <xdr:rowOff>114300</xdr:rowOff>
    </xdr:to>
    <xdr:sp macro="" textlink="">
      <xdr:nvSpPr>
        <xdr:cNvPr id="4258" name="Arrow: Down 4257">
          <a:extLst>
            <a:ext uri="{FF2B5EF4-FFF2-40B4-BE49-F238E27FC236}">
              <a16:creationId xmlns:a16="http://schemas.microsoft.com/office/drawing/2014/main" id="{45225777-BE55-48A9-97AE-3F10C05F56EE}"/>
            </a:ext>
          </a:extLst>
        </xdr:cNvPr>
        <xdr:cNvSpPr/>
      </xdr:nvSpPr>
      <xdr:spPr>
        <a:xfrm>
          <a:off x="3695700" y="10287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563</xdr:row>
      <xdr:rowOff>0</xdr:rowOff>
    </xdr:from>
    <xdr:to>
      <xdr:col>5</xdr:col>
      <xdr:colOff>83820</xdr:colOff>
      <xdr:row>563</xdr:row>
      <xdr:rowOff>114300</xdr:rowOff>
    </xdr:to>
    <xdr:sp macro="" textlink="">
      <xdr:nvSpPr>
        <xdr:cNvPr id="4259" name="Arrow: Down 4258">
          <a:extLst>
            <a:ext uri="{FF2B5EF4-FFF2-40B4-BE49-F238E27FC236}">
              <a16:creationId xmlns:a16="http://schemas.microsoft.com/office/drawing/2014/main" id="{540C3506-DAE7-4979-AD70-88B140E31B39}"/>
            </a:ext>
          </a:extLst>
        </xdr:cNvPr>
        <xdr:cNvSpPr/>
      </xdr:nvSpPr>
      <xdr:spPr>
        <a:xfrm>
          <a:off x="1927860" y="10287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562</xdr:row>
      <xdr:rowOff>0</xdr:rowOff>
    </xdr:from>
    <xdr:to>
      <xdr:col>5</xdr:col>
      <xdr:colOff>83820</xdr:colOff>
      <xdr:row>562</xdr:row>
      <xdr:rowOff>114300</xdr:rowOff>
    </xdr:to>
    <xdr:sp macro="" textlink="">
      <xdr:nvSpPr>
        <xdr:cNvPr id="4261" name="Arrow: Down 4260">
          <a:extLst>
            <a:ext uri="{FF2B5EF4-FFF2-40B4-BE49-F238E27FC236}">
              <a16:creationId xmlns:a16="http://schemas.microsoft.com/office/drawing/2014/main" id="{F49C29CE-6A6D-4650-AA74-BA3AA9103A2A}"/>
            </a:ext>
          </a:extLst>
        </xdr:cNvPr>
        <xdr:cNvSpPr/>
      </xdr:nvSpPr>
      <xdr:spPr>
        <a:xfrm rot="10800000">
          <a:off x="1927860" y="10287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562</xdr:row>
      <xdr:rowOff>0</xdr:rowOff>
    </xdr:from>
    <xdr:to>
      <xdr:col>11</xdr:col>
      <xdr:colOff>83820</xdr:colOff>
      <xdr:row>562</xdr:row>
      <xdr:rowOff>114300</xdr:rowOff>
    </xdr:to>
    <xdr:sp macro="" textlink="">
      <xdr:nvSpPr>
        <xdr:cNvPr id="4262" name="Arrow: Down 4261">
          <a:extLst>
            <a:ext uri="{FF2B5EF4-FFF2-40B4-BE49-F238E27FC236}">
              <a16:creationId xmlns:a16="http://schemas.microsoft.com/office/drawing/2014/main" id="{543EC9DB-ED50-4673-B0AD-3CDD0DB4B79F}"/>
            </a:ext>
          </a:extLst>
        </xdr:cNvPr>
        <xdr:cNvSpPr/>
      </xdr:nvSpPr>
      <xdr:spPr>
        <a:xfrm rot="10800000">
          <a:off x="3695700" y="10287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563</xdr:row>
      <xdr:rowOff>0</xdr:rowOff>
    </xdr:from>
    <xdr:to>
      <xdr:col>24</xdr:col>
      <xdr:colOff>83820</xdr:colOff>
      <xdr:row>563</xdr:row>
      <xdr:rowOff>114300</xdr:rowOff>
    </xdr:to>
    <xdr:sp macro="" textlink="">
      <xdr:nvSpPr>
        <xdr:cNvPr id="4264" name="Arrow: Down 4263">
          <a:extLst>
            <a:ext uri="{FF2B5EF4-FFF2-40B4-BE49-F238E27FC236}">
              <a16:creationId xmlns:a16="http://schemas.microsoft.com/office/drawing/2014/main" id="{629137CE-1A57-4D18-A139-BB0FA0C52E92}"/>
            </a:ext>
          </a:extLst>
        </xdr:cNvPr>
        <xdr:cNvSpPr/>
      </xdr:nvSpPr>
      <xdr:spPr>
        <a:xfrm>
          <a:off x="83362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563</xdr:row>
      <xdr:rowOff>0</xdr:rowOff>
    </xdr:from>
    <xdr:to>
      <xdr:col>45</xdr:col>
      <xdr:colOff>83820</xdr:colOff>
      <xdr:row>563</xdr:row>
      <xdr:rowOff>114300</xdr:rowOff>
    </xdr:to>
    <xdr:sp macro="" textlink="">
      <xdr:nvSpPr>
        <xdr:cNvPr id="4268" name="Arrow: Down 4267">
          <a:extLst>
            <a:ext uri="{FF2B5EF4-FFF2-40B4-BE49-F238E27FC236}">
              <a16:creationId xmlns:a16="http://schemas.microsoft.com/office/drawing/2014/main" id="{9A6FD4CD-BE84-4A7A-85E8-264D059FA282}"/>
            </a:ext>
          </a:extLst>
        </xdr:cNvPr>
        <xdr:cNvSpPr/>
      </xdr:nvSpPr>
      <xdr:spPr>
        <a:xfrm>
          <a:off x="13403580" y="10306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563</xdr:row>
      <xdr:rowOff>0</xdr:rowOff>
    </xdr:from>
    <xdr:to>
      <xdr:col>60</xdr:col>
      <xdr:colOff>83820</xdr:colOff>
      <xdr:row>563</xdr:row>
      <xdr:rowOff>114300</xdr:rowOff>
    </xdr:to>
    <xdr:sp macro="" textlink="">
      <xdr:nvSpPr>
        <xdr:cNvPr id="4269" name="Arrow: Down 4268">
          <a:extLst>
            <a:ext uri="{FF2B5EF4-FFF2-40B4-BE49-F238E27FC236}">
              <a16:creationId xmlns:a16="http://schemas.microsoft.com/office/drawing/2014/main" id="{C97C9CA0-05D5-4023-AB29-D5DC87A0DCFB}"/>
            </a:ext>
          </a:extLst>
        </xdr:cNvPr>
        <xdr:cNvSpPr/>
      </xdr:nvSpPr>
      <xdr:spPr>
        <a:xfrm>
          <a:off x="190804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563</xdr:row>
      <xdr:rowOff>0</xdr:rowOff>
    </xdr:from>
    <xdr:to>
      <xdr:col>71</xdr:col>
      <xdr:colOff>83820</xdr:colOff>
      <xdr:row>563</xdr:row>
      <xdr:rowOff>114300</xdr:rowOff>
    </xdr:to>
    <xdr:sp macro="" textlink="">
      <xdr:nvSpPr>
        <xdr:cNvPr id="4270" name="Arrow: Down 4269">
          <a:extLst>
            <a:ext uri="{FF2B5EF4-FFF2-40B4-BE49-F238E27FC236}">
              <a16:creationId xmlns:a16="http://schemas.microsoft.com/office/drawing/2014/main" id="{556C9D69-0436-4D0E-8D4B-E9265947AE68}"/>
            </a:ext>
          </a:extLst>
        </xdr:cNvPr>
        <xdr:cNvSpPr/>
      </xdr:nvSpPr>
      <xdr:spPr>
        <a:xfrm>
          <a:off x="2180082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564</xdr:row>
      <xdr:rowOff>0</xdr:rowOff>
    </xdr:from>
    <xdr:to>
      <xdr:col>39</xdr:col>
      <xdr:colOff>83820</xdr:colOff>
      <xdr:row>564</xdr:row>
      <xdr:rowOff>114300</xdr:rowOff>
    </xdr:to>
    <xdr:sp macro="" textlink="">
      <xdr:nvSpPr>
        <xdr:cNvPr id="4278" name="Arrow: Down 4277">
          <a:extLst>
            <a:ext uri="{FF2B5EF4-FFF2-40B4-BE49-F238E27FC236}">
              <a16:creationId xmlns:a16="http://schemas.microsoft.com/office/drawing/2014/main" id="{0FB9FF00-60B8-43A6-98B5-489A3E6BEE48}"/>
            </a:ext>
          </a:extLst>
        </xdr:cNvPr>
        <xdr:cNvSpPr/>
      </xdr:nvSpPr>
      <xdr:spPr>
        <a:xfrm>
          <a:off x="11544300" y="10306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564</xdr:row>
      <xdr:rowOff>0</xdr:rowOff>
    </xdr:from>
    <xdr:to>
      <xdr:col>11</xdr:col>
      <xdr:colOff>83820</xdr:colOff>
      <xdr:row>564</xdr:row>
      <xdr:rowOff>114300</xdr:rowOff>
    </xdr:to>
    <xdr:sp macro="" textlink="">
      <xdr:nvSpPr>
        <xdr:cNvPr id="4279" name="Arrow: Down 4278">
          <a:extLst>
            <a:ext uri="{FF2B5EF4-FFF2-40B4-BE49-F238E27FC236}">
              <a16:creationId xmlns:a16="http://schemas.microsoft.com/office/drawing/2014/main" id="{C4667A97-988D-4608-826D-7897637123BA}"/>
            </a:ext>
          </a:extLst>
        </xdr:cNvPr>
        <xdr:cNvSpPr/>
      </xdr:nvSpPr>
      <xdr:spPr>
        <a:xfrm>
          <a:off x="369570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564</xdr:row>
      <xdr:rowOff>0</xdr:rowOff>
    </xdr:from>
    <xdr:to>
      <xdr:col>5</xdr:col>
      <xdr:colOff>83820</xdr:colOff>
      <xdr:row>564</xdr:row>
      <xdr:rowOff>114300</xdr:rowOff>
    </xdr:to>
    <xdr:sp macro="" textlink="">
      <xdr:nvSpPr>
        <xdr:cNvPr id="4280" name="Arrow: Down 4279">
          <a:extLst>
            <a:ext uri="{FF2B5EF4-FFF2-40B4-BE49-F238E27FC236}">
              <a16:creationId xmlns:a16="http://schemas.microsoft.com/office/drawing/2014/main" id="{C23F5592-CF3F-486C-90FE-FC03CF707095}"/>
            </a:ext>
          </a:extLst>
        </xdr:cNvPr>
        <xdr:cNvSpPr/>
      </xdr:nvSpPr>
      <xdr:spPr>
        <a:xfrm>
          <a:off x="192786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564</xdr:row>
      <xdr:rowOff>0</xdr:rowOff>
    </xdr:from>
    <xdr:to>
      <xdr:col>24</xdr:col>
      <xdr:colOff>83820</xdr:colOff>
      <xdr:row>564</xdr:row>
      <xdr:rowOff>114300</xdr:rowOff>
    </xdr:to>
    <xdr:sp macro="" textlink="">
      <xdr:nvSpPr>
        <xdr:cNvPr id="4281" name="Arrow: Down 4280">
          <a:extLst>
            <a:ext uri="{FF2B5EF4-FFF2-40B4-BE49-F238E27FC236}">
              <a16:creationId xmlns:a16="http://schemas.microsoft.com/office/drawing/2014/main" id="{F0AE6811-7EEA-41BD-A58F-CE9C6F263A23}"/>
            </a:ext>
          </a:extLst>
        </xdr:cNvPr>
        <xdr:cNvSpPr/>
      </xdr:nvSpPr>
      <xdr:spPr>
        <a:xfrm>
          <a:off x="83362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564</xdr:row>
      <xdr:rowOff>0</xdr:rowOff>
    </xdr:from>
    <xdr:to>
      <xdr:col>45</xdr:col>
      <xdr:colOff>83820</xdr:colOff>
      <xdr:row>564</xdr:row>
      <xdr:rowOff>114300</xdr:rowOff>
    </xdr:to>
    <xdr:sp macro="" textlink="">
      <xdr:nvSpPr>
        <xdr:cNvPr id="4282" name="Arrow: Down 4281">
          <a:extLst>
            <a:ext uri="{FF2B5EF4-FFF2-40B4-BE49-F238E27FC236}">
              <a16:creationId xmlns:a16="http://schemas.microsoft.com/office/drawing/2014/main" id="{B1EDBCF7-0C2E-4B2A-9DBD-F7710D248823}"/>
            </a:ext>
          </a:extLst>
        </xdr:cNvPr>
        <xdr:cNvSpPr/>
      </xdr:nvSpPr>
      <xdr:spPr>
        <a:xfrm>
          <a:off x="13403580" y="10306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564</xdr:row>
      <xdr:rowOff>0</xdr:rowOff>
    </xdr:from>
    <xdr:to>
      <xdr:col>60</xdr:col>
      <xdr:colOff>83820</xdr:colOff>
      <xdr:row>564</xdr:row>
      <xdr:rowOff>114300</xdr:rowOff>
    </xdr:to>
    <xdr:sp macro="" textlink="">
      <xdr:nvSpPr>
        <xdr:cNvPr id="4283" name="Arrow: Down 4282">
          <a:extLst>
            <a:ext uri="{FF2B5EF4-FFF2-40B4-BE49-F238E27FC236}">
              <a16:creationId xmlns:a16="http://schemas.microsoft.com/office/drawing/2014/main" id="{9EF8B859-23BD-4726-95C3-C114E0C05646}"/>
            </a:ext>
          </a:extLst>
        </xdr:cNvPr>
        <xdr:cNvSpPr/>
      </xdr:nvSpPr>
      <xdr:spPr>
        <a:xfrm>
          <a:off x="190804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564</xdr:row>
      <xdr:rowOff>0</xdr:rowOff>
    </xdr:from>
    <xdr:to>
      <xdr:col>71</xdr:col>
      <xdr:colOff>83820</xdr:colOff>
      <xdr:row>564</xdr:row>
      <xdr:rowOff>114300</xdr:rowOff>
    </xdr:to>
    <xdr:sp macro="" textlink="">
      <xdr:nvSpPr>
        <xdr:cNvPr id="4284" name="Arrow: Down 4283">
          <a:extLst>
            <a:ext uri="{FF2B5EF4-FFF2-40B4-BE49-F238E27FC236}">
              <a16:creationId xmlns:a16="http://schemas.microsoft.com/office/drawing/2014/main" id="{1D3A6142-45C5-4CBF-89E0-4AE610FAAA26}"/>
            </a:ext>
          </a:extLst>
        </xdr:cNvPr>
        <xdr:cNvSpPr/>
      </xdr:nvSpPr>
      <xdr:spPr>
        <a:xfrm>
          <a:off x="2180082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565</xdr:row>
      <xdr:rowOff>0</xdr:rowOff>
    </xdr:from>
    <xdr:to>
      <xdr:col>60</xdr:col>
      <xdr:colOff>83820</xdr:colOff>
      <xdr:row>565</xdr:row>
      <xdr:rowOff>114300</xdr:rowOff>
    </xdr:to>
    <xdr:sp macro="" textlink="">
      <xdr:nvSpPr>
        <xdr:cNvPr id="4098" name="Arrow: Down 4097">
          <a:extLst>
            <a:ext uri="{FF2B5EF4-FFF2-40B4-BE49-F238E27FC236}">
              <a16:creationId xmlns:a16="http://schemas.microsoft.com/office/drawing/2014/main" id="{170BB767-52E6-4DC2-B26F-5709CAE6F866}"/>
            </a:ext>
          </a:extLst>
        </xdr:cNvPr>
        <xdr:cNvSpPr/>
      </xdr:nvSpPr>
      <xdr:spPr>
        <a:xfrm>
          <a:off x="19080480" y="10324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565</xdr:row>
      <xdr:rowOff>0</xdr:rowOff>
    </xdr:from>
    <xdr:to>
      <xdr:col>71</xdr:col>
      <xdr:colOff>83820</xdr:colOff>
      <xdr:row>565</xdr:row>
      <xdr:rowOff>114300</xdr:rowOff>
    </xdr:to>
    <xdr:sp macro="" textlink="">
      <xdr:nvSpPr>
        <xdr:cNvPr id="4099" name="Arrow: Down 4098">
          <a:extLst>
            <a:ext uri="{FF2B5EF4-FFF2-40B4-BE49-F238E27FC236}">
              <a16:creationId xmlns:a16="http://schemas.microsoft.com/office/drawing/2014/main" id="{914F4A35-E09B-42DB-8865-E5F431685290}"/>
            </a:ext>
          </a:extLst>
        </xdr:cNvPr>
        <xdr:cNvSpPr/>
      </xdr:nvSpPr>
      <xdr:spPr>
        <a:xfrm>
          <a:off x="21800820" y="10324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565</xdr:row>
      <xdr:rowOff>0</xdr:rowOff>
    </xdr:from>
    <xdr:to>
      <xdr:col>11</xdr:col>
      <xdr:colOff>83820</xdr:colOff>
      <xdr:row>565</xdr:row>
      <xdr:rowOff>114300</xdr:rowOff>
    </xdr:to>
    <xdr:sp macro="" textlink="">
      <xdr:nvSpPr>
        <xdr:cNvPr id="4101" name="Arrow: Down 4100">
          <a:extLst>
            <a:ext uri="{FF2B5EF4-FFF2-40B4-BE49-F238E27FC236}">
              <a16:creationId xmlns:a16="http://schemas.microsoft.com/office/drawing/2014/main" id="{2D9E1C33-A4BF-4A8F-9AE6-6786D78A4D70}"/>
            </a:ext>
          </a:extLst>
        </xdr:cNvPr>
        <xdr:cNvSpPr/>
      </xdr:nvSpPr>
      <xdr:spPr>
        <a:xfrm rot="10800000">
          <a:off x="369570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565</xdr:row>
      <xdr:rowOff>0</xdr:rowOff>
    </xdr:from>
    <xdr:to>
      <xdr:col>5</xdr:col>
      <xdr:colOff>83820</xdr:colOff>
      <xdr:row>565</xdr:row>
      <xdr:rowOff>114300</xdr:rowOff>
    </xdr:to>
    <xdr:sp macro="" textlink="">
      <xdr:nvSpPr>
        <xdr:cNvPr id="4105" name="Arrow: Down 4104">
          <a:extLst>
            <a:ext uri="{FF2B5EF4-FFF2-40B4-BE49-F238E27FC236}">
              <a16:creationId xmlns:a16="http://schemas.microsoft.com/office/drawing/2014/main" id="{99313BE3-ACB9-4E1B-BCEC-E30C8B02BD36}"/>
            </a:ext>
          </a:extLst>
        </xdr:cNvPr>
        <xdr:cNvSpPr/>
      </xdr:nvSpPr>
      <xdr:spPr>
        <a:xfrm rot="10800000">
          <a:off x="192786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565</xdr:row>
      <xdr:rowOff>0</xdr:rowOff>
    </xdr:from>
    <xdr:to>
      <xdr:col>24</xdr:col>
      <xdr:colOff>83820</xdr:colOff>
      <xdr:row>565</xdr:row>
      <xdr:rowOff>114300</xdr:rowOff>
    </xdr:to>
    <xdr:sp macro="" textlink="">
      <xdr:nvSpPr>
        <xdr:cNvPr id="4109" name="Arrow: Down 4108">
          <a:extLst>
            <a:ext uri="{FF2B5EF4-FFF2-40B4-BE49-F238E27FC236}">
              <a16:creationId xmlns:a16="http://schemas.microsoft.com/office/drawing/2014/main" id="{DF3D406B-5D22-4941-967C-88FEBFD65598}"/>
            </a:ext>
          </a:extLst>
        </xdr:cNvPr>
        <xdr:cNvSpPr/>
      </xdr:nvSpPr>
      <xdr:spPr>
        <a:xfrm rot="10800000">
          <a:off x="833628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565</xdr:row>
      <xdr:rowOff>0</xdr:rowOff>
    </xdr:from>
    <xdr:to>
      <xdr:col>39</xdr:col>
      <xdr:colOff>83820</xdr:colOff>
      <xdr:row>565</xdr:row>
      <xdr:rowOff>114300</xdr:rowOff>
    </xdr:to>
    <xdr:sp macro="" textlink="">
      <xdr:nvSpPr>
        <xdr:cNvPr id="4111" name="Arrow: Down 4110">
          <a:extLst>
            <a:ext uri="{FF2B5EF4-FFF2-40B4-BE49-F238E27FC236}">
              <a16:creationId xmlns:a16="http://schemas.microsoft.com/office/drawing/2014/main" id="{098AD3CD-8042-4E9B-858A-10E197D9CCB1}"/>
            </a:ext>
          </a:extLst>
        </xdr:cNvPr>
        <xdr:cNvSpPr/>
      </xdr:nvSpPr>
      <xdr:spPr>
        <a:xfrm rot="10800000">
          <a:off x="11544300" y="10342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565</xdr:row>
      <xdr:rowOff>0</xdr:rowOff>
    </xdr:from>
    <xdr:to>
      <xdr:col>45</xdr:col>
      <xdr:colOff>83820</xdr:colOff>
      <xdr:row>565</xdr:row>
      <xdr:rowOff>114300</xdr:rowOff>
    </xdr:to>
    <xdr:sp macro="" textlink="">
      <xdr:nvSpPr>
        <xdr:cNvPr id="4164" name="Arrow: Down 4163">
          <a:extLst>
            <a:ext uri="{FF2B5EF4-FFF2-40B4-BE49-F238E27FC236}">
              <a16:creationId xmlns:a16="http://schemas.microsoft.com/office/drawing/2014/main" id="{D5F6C103-6F97-4BEF-B89B-23C6940065F9}"/>
            </a:ext>
          </a:extLst>
        </xdr:cNvPr>
        <xdr:cNvSpPr/>
      </xdr:nvSpPr>
      <xdr:spPr>
        <a:xfrm rot="10800000">
          <a:off x="13403580" y="10342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566</xdr:row>
      <xdr:rowOff>0</xdr:rowOff>
    </xdr:from>
    <xdr:to>
      <xdr:col>11</xdr:col>
      <xdr:colOff>83820</xdr:colOff>
      <xdr:row>566</xdr:row>
      <xdr:rowOff>114300</xdr:rowOff>
    </xdr:to>
    <xdr:sp macro="" textlink="">
      <xdr:nvSpPr>
        <xdr:cNvPr id="4197" name="Arrow: Down 4196">
          <a:extLst>
            <a:ext uri="{FF2B5EF4-FFF2-40B4-BE49-F238E27FC236}">
              <a16:creationId xmlns:a16="http://schemas.microsoft.com/office/drawing/2014/main" id="{D246AE4A-ADB7-4CBD-A7DD-9D1DBAEC1E27}"/>
            </a:ext>
          </a:extLst>
        </xdr:cNvPr>
        <xdr:cNvSpPr/>
      </xdr:nvSpPr>
      <xdr:spPr>
        <a:xfrm rot="10800000">
          <a:off x="369570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566</xdr:row>
      <xdr:rowOff>0</xdr:rowOff>
    </xdr:from>
    <xdr:to>
      <xdr:col>5</xdr:col>
      <xdr:colOff>83820</xdr:colOff>
      <xdr:row>566</xdr:row>
      <xdr:rowOff>114300</xdr:rowOff>
    </xdr:to>
    <xdr:sp macro="" textlink="">
      <xdr:nvSpPr>
        <xdr:cNvPr id="4205" name="Arrow: Down 4204">
          <a:extLst>
            <a:ext uri="{FF2B5EF4-FFF2-40B4-BE49-F238E27FC236}">
              <a16:creationId xmlns:a16="http://schemas.microsoft.com/office/drawing/2014/main" id="{792146A6-1E16-440B-BEBF-25A8D2D9742F}"/>
            </a:ext>
          </a:extLst>
        </xdr:cNvPr>
        <xdr:cNvSpPr/>
      </xdr:nvSpPr>
      <xdr:spPr>
        <a:xfrm rot="10800000">
          <a:off x="192786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566</xdr:row>
      <xdr:rowOff>0</xdr:rowOff>
    </xdr:from>
    <xdr:to>
      <xdr:col>24</xdr:col>
      <xdr:colOff>83820</xdr:colOff>
      <xdr:row>566</xdr:row>
      <xdr:rowOff>114300</xdr:rowOff>
    </xdr:to>
    <xdr:sp macro="" textlink="">
      <xdr:nvSpPr>
        <xdr:cNvPr id="4209" name="Arrow: Down 4208">
          <a:extLst>
            <a:ext uri="{FF2B5EF4-FFF2-40B4-BE49-F238E27FC236}">
              <a16:creationId xmlns:a16="http://schemas.microsoft.com/office/drawing/2014/main" id="{BF609688-01DD-4E16-8BF0-803A8E020184}"/>
            </a:ext>
          </a:extLst>
        </xdr:cNvPr>
        <xdr:cNvSpPr/>
      </xdr:nvSpPr>
      <xdr:spPr>
        <a:xfrm rot="10800000">
          <a:off x="833628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566</xdr:row>
      <xdr:rowOff>0</xdr:rowOff>
    </xdr:from>
    <xdr:to>
      <xdr:col>45</xdr:col>
      <xdr:colOff>83820</xdr:colOff>
      <xdr:row>566</xdr:row>
      <xdr:rowOff>114300</xdr:rowOff>
    </xdr:to>
    <xdr:sp macro="" textlink="">
      <xdr:nvSpPr>
        <xdr:cNvPr id="4224" name="Arrow: Down 4223">
          <a:extLst>
            <a:ext uri="{FF2B5EF4-FFF2-40B4-BE49-F238E27FC236}">
              <a16:creationId xmlns:a16="http://schemas.microsoft.com/office/drawing/2014/main" id="{CFA16F8E-F65E-4E85-A9A8-4F7C7DC4F821}"/>
            </a:ext>
          </a:extLst>
        </xdr:cNvPr>
        <xdr:cNvSpPr/>
      </xdr:nvSpPr>
      <xdr:spPr>
        <a:xfrm rot="10800000">
          <a:off x="13403580" y="10342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566</xdr:row>
      <xdr:rowOff>0</xdr:rowOff>
    </xdr:from>
    <xdr:to>
      <xdr:col>60</xdr:col>
      <xdr:colOff>83820</xdr:colOff>
      <xdr:row>566</xdr:row>
      <xdr:rowOff>114300</xdr:rowOff>
    </xdr:to>
    <xdr:sp macro="" textlink="">
      <xdr:nvSpPr>
        <xdr:cNvPr id="4226" name="Arrow: Down 4225">
          <a:extLst>
            <a:ext uri="{FF2B5EF4-FFF2-40B4-BE49-F238E27FC236}">
              <a16:creationId xmlns:a16="http://schemas.microsoft.com/office/drawing/2014/main" id="{939C09B8-4D4E-4BBC-B2C2-B0C71115B7E0}"/>
            </a:ext>
          </a:extLst>
        </xdr:cNvPr>
        <xdr:cNvSpPr/>
      </xdr:nvSpPr>
      <xdr:spPr>
        <a:xfrm rot="10800000">
          <a:off x="1908048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566</xdr:row>
      <xdr:rowOff>0</xdr:rowOff>
    </xdr:from>
    <xdr:to>
      <xdr:col>71</xdr:col>
      <xdr:colOff>83820</xdr:colOff>
      <xdr:row>566</xdr:row>
      <xdr:rowOff>114300</xdr:rowOff>
    </xdr:to>
    <xdr:sp macro="" textlink="">
      <xdr:nvSpPr>
        <xdr:cNvPr id="4236" name="Arrow: Down 4235">
          <a:extLst>
            <a:ext uri="{FF2B5EF4-FFF2-40B4-BE49-F238E27FC236}">
              <a16:creationId xmlns:a16="http://schemas.microsoft.com/office/drawing/2014/main" id="{EDA59F2D-53B8-4FA8-9735-41055DAA99A0}"/>
            </a:ext>
          </a:extLst>
        </xdr:cNvPr>
        <xdr:cNvSpPr/>
      </xdr:nvSpPr>
      <xdr:spPr>
        <a:xfrm rot="10800000">
          <a:off x="2180082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567</xdr:row>
      <xdr:rowOff>0</xdr:rowOff>
    </xdr:from>
    <xdr:to>
      <xdr:col>11</xdr:col>
      <xdr:colOff>83820</xdr:colOff>
      <xdr:row>567</xdr:row>
      <xdr:rowOff>114300</xdr:rowOff>
    </xdr:to>
    <xdr:sp macro="" textlink="">
      <xdr:nvSpPr>
        <xdr:cNvPr id="4237" name="Arrow: Down 4236">
          <a:extLst>
            <a:ext uri="{FF2B5EF4-FFF2-40B4-BE49-F238E27FC236}">
              <a16:creationId xmlns:a16="http://schemas.microsoft.com/office/drawing/2014/main" id="{7234A361-55A8-4D4D-900C-B48F53C8AA94}"/>
            </a:ext>
          </a:extLst>
        </xdr:cNvPr>
        <xdr:cNvSpPr/>
      </xdr:nvSpPr>
      <xdr:spPr>
        <a:xfrm rot="10800000">
          <a:off x="369570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567</xdr:row>
      <xdr:rowOff>0</xdr:rowOff>
    </xdr:from>
    <xdr:to>
      <xdr:col>5</xdr:col>
      <xdr:colOff>83820</xdr:colOff>
      <xdr:row>567</xdr:row>
      <xdr:rowOff>114300</xdr:rowOff>
    </xdr:to>
    <xdr:sp macro="" textlink="">
      <xdr:nvSpPr>
        <xdr:cNvPr id="4240" name="Arrow: Down 4239">
          <a:extLst>
            <a:ext uri="{FF2B5EF4-FFF2-40B4-BE49-F238E27FC236}">
              <a16:creationId xmlns:a16="http://schemas.microsoft.com/office/drawing/2014/main" id="{5A47923D-FA53-4605-8B47-133FEC9A25BD}"/>
            </a:ext>
          </a:extLst>
        </xdr:cNvPr>
        <xdr:cNvSpPr/>
      </xdr:nvSpPr>
      <xdr:spPr>
        <a:xfrm rot="10800000">
          <a:off x="192786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567</xdr:row>
      <xdr:rowOff>0</xdr:rowOff>
    </xdr:from>
    <xdr:to>
      <xdr:col>24</xdr:col>
      <xdr:colOff>83820</xdr:colOff>
      <xdr:row>567</xdr:row>
      <xdr:rowOff>114300</xdr:rowOff>
    </xdr:to>
    <xdr:sp macro="" textlink="">
      <xdr:nvSpPr>
        <xdr:cNvPr id="4246" name="Arrow: Down 4245">
          <a:extLst>
            <a:ext uri="{FF2B5EF4-FFF2-40B4-BE49-F238E27FC236}">
              <a16:creationId xmlns:a16="http://schemas.microsoft.com/office/drawing/2014/main" id="{F342F09F-F7E7-4866-AE93-A0F432BE4CC6}"/>
            </a:ext>
          </a:extLst>
        </xdr:cNvPr>
        <xdr:cNvSpPr/>
      </xdr:nvSpPr>
      <xdr:spPr>
        <a:xfrm rot="10800000">
          <a:off x="833628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567</xdr:row>
      <xdr:rowOff>0</xdr:rowOff>
    </xdr:from>
    <xdr:to>
      <xdr:col>45</xdr:col>
      <xdr:colOff>83820</xdr:colOff>
      <xdr:row>567</xdr:row>
      <xdr:rowOff>114300</xdr:rowOff>
    </xdr:to>
    <xdr:sp macro="" textlink="">
      <xdr:nvSpPr>
        <xdr:cNvPr id="4251" name="Arrow: Down 4250">
          <a:extLst>
            <a:ext uri="{FF2B5EF4-FFF2-40B4-BE49-F238E27FC236}">
              <a16:creationId xmlns:a16="http://schemas.microsoft.com/office/drawing/2014/main" id="{E0D0C925-C7CF-4FE3-8B6F-26A2B28235B6}"/>
            </a:ext>
          </a:extLst>
        </xdr:cNvPr>
        <xdr:cNvSpPr/>
      </xdr:nvSpPr>
      <xdr:spPr>
        <a:xfrm rot="10800000">
          <a:off x="13403580" y="10360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567</xdr:row>
      <xdr:rowOff>0</xdr:rowOff>
    </xdr:from>
    <xdr:to>
      <xdr:col>60</xdr:col>
      <xdr:colOff>83820</xdr:colOff>
      <xdr:row>567</xdr:row>
      <xdr:rowOff>114300</xdr:rowOff>
    </xdr:to>
    <xdr:sp macro="" textlink="">
      <xdr:nvSpPr>
        <xdr:cNvPr id="4252" name="Arrow: Down 4251">
          <a:extLst>
            <a:ext uri="{FF2B5EF4-FFF2-40B4-BE49-F238E27FC236}">
              <a16:creationId xmlns:a16="http://schemas.microsoft.com/office/drawing/2014/main" id="{E7ED6014-A1AC-4AC7-AA82-1D088D25A1A5}"/>
            </a:ext>
          </a:extLst>
        </xdr:cNvPr>
        <xdr:cNvSpPr/>
      </xdr:nvSpPr>
      <xdr:spPr>
        <a:xfrm rot="10800000">
          <a:off x="1908048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567</xdr:row>
      <xdr:rowOff>0</xdr:rowOff>
    </xdr:from>
    <xdr:to>
      <xdr:col>71</xdr:col>
      <xdr:colOff>83820</xdr:colOff>
      <xdr:row>567</xdr:row>
      <xdr:rowOff>114300</xdr:rowOff>
    </xdr:to>
    <xdr:sp macro="" textlink="">
      <xdr:nvSpPr>
        <xdr:cNvPr id="4255" name="Arrow: Down 4254">
          <a:extLst>
            <a:ext uri="{FF2B5EF4-FFF2-40B4-BE49-F238E27FC236}">
              <a16:creationId xmlns:a16="http://schemas.microsoft.com/office/drawing/2014/main" id="{ADB12ABC-9060-4611-9053-DA1D00D73228}"/>
            </a:ext>
          </a:extLst>
        </xdr:cNvPr>
        <xdr:cNvSpPr/>
      </xdr:nvSpPr>
      <xdr:spPr>
        <a:xfrm rot="10800000">
          <a:off x="2180082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568</xdr:row>
      <xdr:rowOff>0</xdr:rowOff>
    </xdr:from>
    <xdr:to>
      <xdr:col>24</xdr:col>
      <xdr:colOff>83820</xdr:colOff>
      <xdr:row>568</xdr:row>
      <xdr:rowOff>114300</xdr:rowOff>
    </xdr:to>
    <xdr:sp macro="" textlink="">
      <xdr:nvSpPr>
        <xdr:cNvPr id="4260" name="Arrow: Down 4259">
          <a:extLst>
            <a:ext uri="{FF2B5EF4-FFF2-40B4-BE49-F238E27FC236}">
              <a16:creationId xmlns:a16="http://schemas.microsoft.com/office/drawing/2014/main" id="{316F7F29-F659-4E1E-B3D4-C2B947162EF6}"/>
            </a:ext>
          </a:extLst>
        </xdr:cNvPr>
        <xdr:cNvSpPr/>
      </xdr:nvSpPr>
      <xdr:spPr>
        <a:xfrm rot="10800000">
          <a:off x="8336280" y="10379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566</xdr:row>
      <xdr:rowOff>0</xdr:rowOff>
    </xdr:from>
    <xdr:to>
      <xdr:col>39</xdr:col>
      <xdr:colOff>83820</xdr:colOff>
      <xdr:row>566</xdr:row>
      <xdr:rowOff>114300</xdr:rowOff>
    </xdr:to>
    <xdr:sp macro="" textlink="">
      <xdr:nvSpPr>
        <xdr:cNvPr id="4271" name="Arrow: Down 4270">
          <a:extLst>
            <a:ext uri="{FF2B5EF4-FFF2-40B4-BE49-F238E27FC236}">
              <a16:creationId xmlns:a16="http://schemas.microsoft.com/office/drawing/2014/main" id="{4CAAE5D2-BF54-4AEE-96EA-C108AA39EAC7}"/>
            </a:ext>
          </a:extLst>
        </xdr:cNvPr>
        <xdr:cNvSpPr/>
      </xdr:nvSpPr>
      <xdr:spPr>
        <a:xfrm>
          <a:off x="1154430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568</xdr:row>
      <xdr:rowOff>0</xdr:rowOff>
    </xdr:from>
    <xdr:to>
      <xdr:col>39</xdr:col>
      <xdr:colOff>83820</xdr:colOff>
      <xdr:row>568</xdr:row>
      <xdr:rowOff>114300</xdr:rowOff>
    </xdr:to>
    <xdr:sp macro="" textlink="">
      <xdr:nvSpPr>
        <xdr:cNvPr id="4272" name="Arrow: Down 4271">
          <a:extLst>
            <a:ext uri="{FF2B5EF4-FFF2-40B4-BE49-F238E27FC236}">
              <a16:creationId xmlns:a16="http://schemas.microsoft.com/office/drawing/2014/main" id="{792FBDF8-3881-4FF3-8274-27F5909E59AF}"/>
            </a:ext>
          </a:extLst>
        </xdr:cNvPr>
        <xdr:cNvSpPr/>
      </xdr:nvSpPr>
      <xdr:spPr>
        <a:xfrm>
          <a:off x="1154430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567</xdr:row>
      <xdr:rowOff>0</xdr:rowOff>
    </xdr:from>
    <xdr:to>
      <xdr:col>39</xdr:col>
      <xdr:colOff>83820</xdr:colOff>
      <xdr:row>567</xdr:row>
      <xdr:rowOff>114300</xdr:rowOff>
    </xdr:to>
    <xdr:sp macro="" textlink="">
      <xdr:nvSpPr>
        <xdr:cNvPr id="4273" name="Arrow: Down 4272">
          <a:extLst>
            <a:ext uri="{FF2B5EF4-FFF2-40B4-BE49-F238E27FC236}">
              <a16:creationId xmlns:a16="http://schemas.microsoft.com/office/drawing/2014/main" id="{6780BACE-2356-4674-9655-416B7EE781E8}"/>
            </a:ext>
          </a:extLst>
        </xdr:cNvPr>
        <xdr:cNvSpPr/>
      </xdr:nvSpPr>
      <xdr:spPr>
        <a:xfrm>
          <a:off x="11544300" y="10379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568</xdr:row>
      <xdr:rowOff>0</xdr:rowOff>
    </xdr:from>
    <xdr:to>
      <xdr:col>45</xdr:col>
      <xdr:colOff>83820</xdr:colOff>
      <xdr:row>568</xdr:row>
      <xdr:rowOff>114300</xdr:rowOff>
    </xdr:to>
    <xdr:sp macro="" textlink="">
      <xdr:nvSpPr>
        <xdr:cNvPr id="4274" name="Arrow: Down 4273">
          <a:extLst>
            <a:ext uri="{FF2B5EF4-FFF2-40B4-BE49-F238E27FC236}">
              <a16:creationId xmlns:a16="http://schemas.microsoft.com/office/drawing/2014/main" id="{B09D9500-209A-474F-8AC1-D89AB8209C7F}"/>
            </a:ext>
          </a:extLst>
        </xdr:cNvPr>
        <xdr:cNvSpPr/>
      </xdr:nvSpPr>
      <xdr:spPr>
        <a:xfrm>
          <a:off x="1340358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568</xdr:row>
      <xdr:rowOff>0</xdr:rowOff>
    </xdr:from>
    <xdr:to>
      <xdr:col>60</xdr:col>
      <xdr:colOff>83820</xdr:colOff>
      <xdr:row>568</xdr:row>
      <xdr:rowOff>114300</xdr:rowOff>
    </xdr:to>
    <xdr:sp macro="" textlink="">
      <xdr:nvSpPr>
        <xdr:cNvPr id="4276" name="Arrow: Down 4275">
          <a:extLst>
            <a:ext uri="{FF2B5EF4-FFF2-40B4-BE49-F238E27FC236}">
              <a16:creationId xmlns:a16="http://schemas.microsoft.com/office/drawing/2014/main" id="{C69E20B4-C458-409E-A8CA-4CD980538107}"/>
            </a:ext>
          </a:extLst>
        </xdr:cNvPr>
        <xdr:cNvSpPr/>
      </xdr:nvSpPr>
      <xdr:spPr>
        <a:xfrm>
          <a:off x="1908048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568</xdr:row>
      <xdr:rowOff>0</xdr:rowOff>
    </xdr:from>
    <xdr:to>
      <xdr:col>71</xdr:col>
      <xdr:colOff>83820</xdr:colOff>
      <xdr:row>568</xdr:row>
      <xdr:rowOff>114300</xdr:rowOff>
    </xdr:to>
    <xdr:sp macro="" textlink="">
      <xdr:nvSpPr>
        <xdr:cNvPr id="4277" name="Arrow: Down 4276">
          <a:extLst>
            <a:ext uri="{FF2B5EF4-FFF2-40B4-BE49-F238E27FC236}">
              <a16:creationId xmlns:a16="http://schemas.microsoft.com/office/drawing/2014/main" id="{E6CDAD7D-24A7-40D8-B3F7-D17F45EABE6E}"/>
            </a:ext>
          </a:extLst>
        </xdr:cNvPr>
        <xdr:cNvSpPr/>
      </xdr:nvSpPr>
      <xdr:spPr>
        <a:xfrm>
          <a:off x="2180082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569</xdr:row>
      <xdr:rowOff>0</xdr:rowOff>
    </xdr:from>
    <xdr:to>
      <xdr:col>11</xdr:col>
      <xdr:colOff>83820</xdr:colOff>
      <xdr:row>569</xdr:row>
      <xdr:rowOff>114300</xdr:rowOff>
    </xdr:to>
    <xdr:sp macro="" textlink="">
      <xdr:nvSpPr>
        <xdr:cNvPr id="4285" name="Arrow: Down 4284">
          <a:extLst>
            <a:ext uri="{FF2B5EF4-FFF2-40B4-BE49-F238E27FC236}">
              <a16:creationId xmlns:a16="http://schemas.microsoft.com/office/drawing/2014/main" id="{A70CEE5C-90B6-4224-A24B-8462D9619356}"/>
            </a:ext>
          </a:extLst>
        </xdr:cNvPr>
        <xdr:cNvSpPr/>
      </xdr:nvSpPr>
      <xdr:spPr>
        <a:xfrm rot="10800000">
          <a:off x="369570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569</xdr:row>
      <xdr:rowOff>0</xdr:rowOff>
    </xdr:from>
    <xdr:to>
      <xdr:col>5</xdr:col>
      <xdr:colOff>83820</xdr:colOff>
      <xdr:row>569</xdr:row>
      <xdr:rowOff>114300</xdr:rowOff>
    </xdr:to>
    <xdr:sp macro="" textlink="">
      <xdr:nvSpPr>
        <xdr:cNvPr id="4286" name="Arrow: Down 4285">
          <a:extLst>
            <a:ext uri="{FF2B5EF4-FFF2-40B4-BE49-F238E27FC236}">
              <a16:creationId xmlns:a16="http://schemas.microsoft.com/office/drawing/2014/main" id="{068472AF-BDAA-40FB-92E0-D2AE79E8F4CE}"/>
            </a:ext>
          </a:extLst>
        </xdr:cNvPr>
        <xdr:cNvSpPr/>
      </xdr:nvSpPr>
      <xdr:spPr>
        <a:xfrm rot="10800000">
          <a:off x="192786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569</xdr:row>
      <xdr:rowOff>0</xdr:rowOff>
    </xdr:from>
    <xdr:to>
      <xdr:col>24</xdr:col>
      <xdr:colOff>83820</xdr:colOff>
      <xdr:row>569</xdr:row>
      <xdr:rowOff>114300</xdr:rowOff>
    </xdr:to>
    <xdr:sp macro="" textlink="">
      <xdr:nvSpPr>
        <xdr:cNvPr id="4287" name="Arrow: Down 4286">
          <a:extLst>
            <a:ext uri="{FF2B5EF4-FFF2-40B4-BE49-F238E27FC236}">
              <a16:creationId xmlns:a16="http://schemas.microsoft.com/office/drawing/2014/main" id="{25C29B6A-9E8F-46AF-A70F-0FF05C830FDA}"/>
            </a:ext>
          </a:extLst>
        </xdr:cNvPr>
        <xdr:cNvSpPr/>
      </xdr:nvSpPr>
      <xdr:spPr>
        <a:xfrm rot="10800000">
          <a:off x="833628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569</xdr:row>
      <xdr:rowOff>0</xdr:rowOff>
    </xdr:from>
    <xdr:to>
      <xdr:col>45</xdr:col>
      <xdr:colOff>83820</xdr:colOff>
      <xdr:row>569</xdr:row>
      <xdr:rowOff>114300</xdr:rowOff>
    </xdr:to>
    <xdr:sp macro="" textlink="">
      <xdr:nvSpPr>
        <xdr:cNvPr id="4289" name="Arrow: Down 4288">
          <a:extLst>
            <a:ext uri="{FF2B5EF4-FFF2-40B4-BE49-F238E27FC236}">
              <a16:creationId xmlns:a16="http://schemas.microsoft.com/office/drawing/2014/main" id="{87274945-84B6-4FAF-8AAE-8CBDCF73C8E5}"/>
            </a:ext>
          </a:extLst>
        </xdr:cNvPr>
        <xdr:cNvSpPr/>
      </xdr:nvSpPr>
      <xdr:spPr>
        <a:xfrm>
          <a:off x="1340358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569</xdr:row>
      <xdr:rowOff>0</xdr:rowOff>
    </xdr:from>
    <xdr:to>
      <xdr:col>71</xdr:col>
      <xdr:colOff>83820</xdr:colOff>
      <xdr:row>569</xdr:row>
      <xdr:rowOff>114300</xdr:rowOff>
    </xdr:to>
    <xdr:sp macro="" textlink="">
      <xdr:nvSpPr>
        <xdr:cNvPr id="4291" name="Arrow: Down 4290">
          <a:extLst>
            <a:ext uri="{FF2B5EF4-FFF2-40B4-BE49-F238E27FC236}">
              <a16:creationId xmlns:a16="http://schemas.microsoft.com/office/drawing/2014/main" id="{FF7876DD-B0A1-4894-BEB1-4BBA5B3122F2}"/>
            </a:ext>
          </a:extLst>
        </xdr:cNvPr>
        <xdr:cNvSpPr/>
      </xdr:nvSpPr>
      <xdr:spPr>
        <a:xfrm>
          <a:off x="2180082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568</xdr:row>
      <xdr:rowOff>0</xdr:rowOff>
    </xdr:from>
    <xdr:to>
      <xdr:col>11</xdr:col>
      <xdr:colOff>83820</xdr:colOff>
      <xdr:row>568</xdr:row>
      <xdr:rowOff>114300</xdr:rowOff>
    </xdr:to>
    <xdr:sp macro="" textlink="">
      <xdr:nvSpPr>
        <xdr:cNvPr id="4292" name="Arrow: Down 4291">
          <a:extLst>
            <a:ext uri="{FF2B5EF4-FFF2-40B4-BE49-F238E27FC236}">
              <a16:creationId xmlns:a16="http://schemas.microsoft.com/office/drawing/2014/main" id="{39CF9B9E-49C1-4778-BBE4-5DF3A016EE10}"/>
            </a:ext>
          </a:extLst>
        </xdr:cNvPr>
        <xdr:cNvSpPr/>
      </xdr:nvSpPr>
      <xdr:spPr>
        <a:xfrm>
          <a:off x="369570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568</xdr:row>
      <xdr:rowOff>0</xdr:rowOff>
    </xdr:from>
    <xdr:to>
      <xdr:col>5</xdr:col>
      <xdr:colOff>83820</xdr:colOff>
      <xdr:row>568</xdr:row>
      <xdr:rowOff>114300</xdr:rowOff>
    </xdr:to>
    <xdr:sp macro="" textlink="">
      <xdr:nvSpPr>
        <xdr:cNvPr id="4293" name="Arrow: Down 4292">
          <a:extLst>
            <a:ext uri="{FF2B5EF4-FFF2-40B4-BE49-F238E27FC236}">
              <a16:creationId xmlns:a16="http://schemas.microsoft.com/office/drawing/2014/main" id="{D9CC3FA4-27AD-44C4-A219-D2401EAD2D14}"/>
            </a:ext>
          </a:extLst>
        </xdr:cNvPr>
        <xdr:cNvSpPr/>
      </xdr:nvSpPr>
      <xdr:spPr>
        <a:xfrm>
          <a:off x="192786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569</xdr:row>
      <xdr:rowOff>0</xdr:rowOff>
    </xdr:from>
    <xdr:to>
      <xdr:col>39</xdr:col>
      <xdr:colOff>83820</xdr:colOff>
      <xdr:row>569</xdr:row>
      <xdr:rowOff>114300</xdr:rowOff>
    </xdr:to>
    <xdr:sp macro="" textlink="">
      <xdr:nvSpPr>
        <xdr:cNvPr id="4295" name="Arrow: Down 4294">
          <a:extLst>
            <a:ext uri="{FF2B5EF4-FFF2-40B4-BE49-F238E27FC236}">
              <a16:creationId xmlns:a16="http://schemas.microsoft.com/office/drawing/2014/main" id="{000F8D7E-9367-49A7-B26A-E9C6E91323D0}"/>
            </a:ext>
          </a:extLst>
        </xdr:cNvPr>
        <xdr:cNvSpPr/>
      </xdr:nvSpPr>
      <xdr:spPr>
        <a:xfrm rot="10800000">
          <a:off x="11544300" y="10415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569</xdr:row>
      <xdr:rowOff>0</xdr:rowOff>
    </xdr:from>
    <xdr:to>
      <xdr:col>60</xdr:col>
      <xdr:colOff>83820</xdr:colOff>
      <xdr:row>569</xdr:row>
      <xdr:rowOff>114300</xdr:rowOff>
    </xdr:to>
    <xdr:sp macro="" textlink="">
      <xdr:nvSpPr>
        <xdr:cNvPr id="4296" name="Arrow: Down 4295">
          <a:extLst>
            <a:ext uri="{FF2B5EF4-FFF2-40B4-BE49-F238E27FC236}">
              <a16:creationId xmlns:a16="http://schemas.microsoft.com/office/drawing/2014/main" id="{A1359AED-7DF6-485B-879B-1FEE896F8390}"/>
            </a:ext>
          </a:extLst>
        </xdr:cNvPr>
        <xdr:cNvSpPr/>
      </xdr:nvSpPr>
      <xdr:spPr>
        <a:xfrm rot="10800000">
          <a:off x="19080480" y="10415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570</xdr:row>
      <xdr:rowOff>0</xdr:rowOff>
    </xdr:from>
    <xdr:to>
      <xdr:col>45</xdr:col>
      <xdr:colOff>83820</xdr:colOff>
      <xdr:row>570</xdr:row>
      <xdr:rowOff>114300</xdr:rowOff>
    </xdr:to>
    <xdr:sp macro="" textlink="">
      <xdr:nvSpPr>
        <xdr:cNvPr id="4110" name="Arrow: Down 4109">
          <a:extLst>
            <a:ext uri="{FF2B5EF4-FFF2-40B4-BE49-F238E27FC236}">
              <a16:creationId xmlns:a16="http://schemas.microsoft.com/office/drawing/2014/main" id="{BF9AFE3C-2C0E-4C21-A8BA-47806C9AAA7F}"/>
            </a:ext>
          </a:extLst>
        </xdr:cNvPr>
        <xdr:cNvSpPr/>
      </xdr:nvSpPr>
      <xdr:spPr>
        <a:xfrm>
          <a:off x="13403580" y="10415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570</xdr:row>
      <xdr:rowOff>0</xdr:rowOff>
    </xdr:from>
    <xdr:to>
      <xdr:col>39</xdr:col>
      <xdr:colOff>83820</xdr:colOff>
      <xdr:row>570</xdr:row>
      <xdr:rowOff>114300</xdr:rowOff>
    </xdr:to>
    <xdr:sp macro="" textlink="">
      <xdr:nvSpPr>
        <xdr:cNvPr id="4185" name="Arrow: Down 4184">
          <a:extLst>
            <a:ext uri="{FF2B5EF4-FFF2-40B4-BE49-F238E27FC236}">
              <a16:creationId xmlns:a16="http://schemas.microsoft.com/office/drawing/2014/main" id="{FF46476E-1350-4955-A37E-A138353248FC}"/>
            </a:ext>
          </a:extLst>
        </xdr:cNvPr>
        <xdr:cNvSpPr/>
      </xdr:nvSpPr>
      <xdr:spPr>
        <a:xfrm rot="10800000">
          <a:off x="11544300" y="10415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570</xdr:row>
      <xdr:rowOff>0</xdr:rowOff>
    </xdr:from>
    <xdr:to>
      <xdr:col>71</xdr:col>
      <xdr:colOff>83820</xdr:colOff>
      <xdr:row>570</xdr:row>
      <xdr:rowOff>114300</xdr:rowOff>
    </xdr:to>
    <xdr:sp macro="" textlink="">
      <xdr:nvSpPr>
        <xdr:cNvPr id="4227" name="Arrow: Down 4226">
          <a:extLst>
            <a:ext uri="{FF2B5EF4-FFF2-40B4-BE49-F238E27FC236}">
              <a16:creationId xmlns:a16="http://schemas.microsoft.com/office/drawing/2014/main" id="{1A5C9C09-C626-4B23-868E-9809FC2F6E71}"/>
            </a:ext>
          </a:extLst>
        </xdr:cNvPr>
        <xdr:cNvSpPr/>
      </xdr:nvSpPr>
      <xdr:spPr>
        <a:xfrm rot="10800000">
          <a:off x="21800820" y="10434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570</xdr:row>
      <xdr:rowOff>0</xdr:rowOff>
    </xdr:from>
    <xdr:to>
      <xdr:col>60</xdr:col>
      <xdr:colOff>83820</xdr:colOff>
      <xdr:row>570</xdr:row>
      <xdr:rowOff>114300</xdr:rowOff>
    </xdr:to>
    <xdr:sp macro="" textlink="">
      <xdr:nvSpPr>
        <xdr:cNvPr id="4257" name="Arrow: Down 4256">
          <a:extLst>
            <a:ext uri="{FF2B5EF4-FFF2-40B4-BE49-F238E27FC236}">
              <a16:creationId xmlns:a16="http://schemas.microsoft.com/office/drawing/2014/main" id="{648FA730-227B-44FF-B5B7-F8F7D9CEA6F9}"/>
            </a:ext>
          </a:extLst>
        </xdr:cNvPr>
        <xdr:cNvSpPr/>
      </xdr:nvSpPr>
      <xdr:spPr>
        <a:xfrm rot="10800000">
          <a:off x="19080480" y="10434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570</xdr:row>
      <xdr:rowOff>0</xdr:rowOff>
    </xdr:from>
    <xdr:to>
      <xdr:col>5</xdr:col>
      <xdr:colOff>83820</xdr:colOff>
      <xdr:row>570</xdr:row>
      <xdr:rowOff>114300</xdr:rowOff>
    </xdr:to>
    <xdr:sp macro="" textlink="">
      <xdr:nvSpPr>
        <xdr:cNvPr id="4265" name="Arrow: Down 4264">
          <a:extLst>
            <a:ext uri="{FF2B5EF4-FFF2-40B4-BE49-F238E27FC236}">
              <a16:creationId xmlns:a16="http://schemas.microsoft.com/office/drawing/2014/main" id="{B3F0CCE2-BA90-4DFD-BAFA-2B72252E57A8}"/>
            </a:ext>
          </a:extLst>
        </xdr:cNvPr>
        <xdr:cNvSpPr/>
      </xdr:nvSpPr>
      <xdr:spPr>
        <a:xfrm>
          <a:off x="192786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570</xdr:row>
      <xdr:rowOff>0</xdr:rowOff>
    </xdr:from>
    <xdr:to>
      <xdr:col>11</xdr:col>
      <xdr:colOff>83820</xdr:colOff>
      <xdr:row>570</xdr:row>
      <xdr:rowOff>114300</xdr:rowOff>
    </xdr:to>
    <xdr:sp macro="" textlink="">
      <xdr:nvSpPr>
        <xdr:cNvPr id="4275" name="Arrow: Down 4274">
          <a:extLst>
            <a:ext uri="{FF2B5EF4-FFF2-40B4-BE49-F238E27FC236}">
              <a16:creationId xmlns:a16="http://schemas.microsoft.com/office/drawing/2014/main" id="{94969366-CC5F-42C6-A916-525E56D177E1}"/>
            </a:ext>
          </a:extLst>
        </xdr:cNvPr>
        <xdr:cNvSpPr/>
      </xdr:nvSpPr>
      <xdr:spPr>
        <a:xfrm>
          <a:off x="369570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570</xdr:row>
      <xdr:rowOff>0</xdr:rowOff>
    </xdr:from>
    <xdr:to>
      <xdr:col>24</xdr:col>
      <xdr:colOff>83820</xdr:colOff>
      <xdr:row>570</xdr:row>
      <xdr:rowOff>114300</xdr:rowOff>
    </xdr:to>
    <xdr:sp macro="" textlink="">
      <xdr:nvSpPr>
        <xdr:cNvPr id="4290" name="Arrow: Down 4289">
          <a:extLst>
            <a:ext uri="{FF2B5EF4-FFF2-40B4-BE49-F238E27FC236}">
              <a16:creationId xmlns:a16="http://schemas.microsoft.com/office/drawing/2014/main" id="{D229A583-9790-4063-8738-5CA0E543662B}"/>
            </a:ext>
          </a:extLst>
        </xdr:cNvPr>
        <xdr:cNvSpPr/>
      </xdr:nvSpPr>
      <xdr:spPr>
        <a:xfrm>
          <a:off x="833628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571</xdr:row>
      <xdr:rowOff>0</xdr:rowOff>
    </xdr:from>
    <xdr:to>
      <xdr:col>45</xdr:col>
      <xdr:colOff>83820</xdr:colOff>
      <xdr:row>571</xdr:row>
      <xdr:rowOff>114300</xdr:rowOff>
    </xdr:to>
    <xdr:sp macro="" textlink="">
      <xdr:nvSpPr>
        <xdr:cNvPr id="4294" name="Arrow: Down 4293">
          <a:extLst>
            <a:ext uri="{FF2B5EF4-FFF2-40B4-BE49-F238E27FC236}">
              <a16:creationId xmlns:a16="http://schemas.microsoft.com/office/drawing/2014/main" id="{00C5189E-8114-4991-B758-1C09F8C2EFD4}"/>
            </a:ext>
          </a:extLst>
        </xdr:cNvPr>
        <xdr:cNvSpPr/>
      </xdr:nvSpPr>
      <xdr:spPr>
        <a:xfrm>
          <a:off x="13403580" y="10434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571</xdr:row>
      <xdr:rowOff>0</xdr:rowOff>
    </xdr:from>
    <xdr:to>
      <xdr:col>5</xdr:col>
      <xdr:colOff>83820</xdr:colOff>
      <xdr:row>571</xdr:row>
      <xdr:rowOff>114300</xdr:rowOff>
    </xdr:to>
    <xdr:sp macro="" textlink="">
      <xdr:nvSpPr>
        <xdr:cNvPr id="4300" name="Arrow: Down 4299">
          <a:extLst>
            <a:ext uri="{FF2B5EF4-FFF2-40B4-BE49-F238E27FC236}">
              <a16:creationId xmlns:a16="http://schemas.microsoft.com/office/drawing/2014/main" id="{04738A73-C770-420B-A4E1-CE01BCE03928}"/>
            </a:ext>
          </a:extLst>
        </xdr:cNvPr>
        <xdr:cNvSpPr/>
      </xdr:nvSpPr>
      <xdr:spPr>
        <a:xfrm>
          <a:off x="192786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571</xdr:row>
      <xdr:rowOff>0</xdr:rowOff>
    </xdr:from>
    <xdr:to>
      <xdr:col>11</xdr:col>
      <xdr:colOff>83820</xdr:colOff>
      <xdr:row>571</xdr:row>
      <xdr:rowOff>114300</xdr:rowOff>
    </xdr:to>
    <xdr:sp macro="" textlink="">
      <xdr:nvSpPr>
        <xdr:cNvPr id="4301" name="Arrow: Down 4300">
          <a:extLst>
            <a:ext uri="{FF2B5EF4-FFF2-40B4-BE49-F238E27FC236}">
              <a16:creationId xmlns:a16="http://schemas.microsoft.com/office/drawing/2014/main" id="{9F66B826-4002-4E58-A810-834B48526540}"/>
            </a:ext>
          </a:extLst>
        </xdr:cNvPr>
        <xdr:cNvSpPr/>
      </xdr:nvSpPr>
      <xdr:spPr>
        <a:xfrm>
          <a:off x="369570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571</xdr:row>
      <xdr:rowOff>0</xdr:rowOff>
    </xdr:from>
    <xdr:to>
      <xdr:col>24</xdr:col>
      <xdr:colOff>83820</xdr:colOff>
      <xdr:row>571</xdr:row>
      <xdr:rowOff>114300</xdr:rowOff>
    </xdr:to>
    <xdr:sp macro="" textlink="">
      <xdr:nvSpPr>
        <xdr:cNvPr id="4302" name="Arrow: Down 4301">
          <a:extLst>
            <a:ext uri="{FF2B5EF4-FFF2-40B4-BE49-F238E27FC236}">
              <a16:creationId xmlns:a16="http://schemas.microsoft.com/office/drawing/2014/main" id="{7DC0780B-0143-4065-AF3F-FB2F1CB94366}"/>
            </a:ext>
          </a:extLst>
        </xdr:cNvPr>
        <xdr:cNvSpPr/>
      </xdr:nvSpPr>
      <xdr:spPr>
        <a:xfrm>
          <a:off x="833628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571</xdr:row>
      <xdr:rowOff>0</xdr:rowOff>
    </xdr:from>
    <xdr:to>
      <xdr:col>39</xdr:col>
      <xdr:colOff>83820</xdr:colOff>
      <xdr:row>571</xdr:row>
      <xdr:rowOff>114300</xdr:rowOff>
    </xdr:to>
    <xdr:sp macro="" textlink="">
      <xdr:nvSpPr>
        <xdr:cNvPr id="4303" name="Arrow: Down 4302">
          <a:extLst>
            <a:ext uri="{FF2B5EF4-FFF2-40B4-BE49-F238E27FC236}">
              <a16:creationId xmlns:a16="http://schemas.microsoft.com/office/drawing/2014/main" id="{D77AAF3F-8933-4B90-946F-C94463C3745F}"/>
            </a:ext>
          </a:extLst>
        </xdr:cNvPr>
        <xdr:cNvSpPr/>
      </xdr:nvSpPr>
      <xdr:spPr>
        <a:xfrm>
          <a:off x="11544300" y="10452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571</xdr:row>
      <xdr:rowOff>0</xdr:rowOff>
    </xdr:from>
    <xdr:to>
      <xdr:col>71</xdr:col>
      <xdr:colOff>83820</xdr:colOff>
      <xdr:row>571</xdr:row>
      <xdr:rowOff>114300</xdr:rowOff>
    </xdr:to>
    <xdr:sp macro="" textlink="">
      <xdr:nvSpPr>
        <xdr:cNvPr id="4304" name="Arrow: Down 4303">
          <a:extLst>
            <a:ext uri="{FF2B5EF4-FFF2-40B4-BE49-F238E27FC236}">
              <a16:creationId xmlns:a16="http://schemas.microsoft.com/office/drawing/2014/main" id="{1EDD676E-C4D8-4EAC-B163-5E34640C3807}"/>
            </a:ext>
          </a:extLst>
        </xdr:cNvPr>
        <xdr:cNvSpPr/>
      </xdr:nvSpPr>
      <xdr:spPr>
        <a:xfrm>
          <a:off x="21800820" y="10452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571</xdr:row>
      <xdr:rowOff>0</xdr:rowOff>
    </xdr:from>
    <xdr:to>
      <xdr:col>60</xdr:col>
      <xdr:colOff>83820</xdr:colOff>
      <xdr:row>571</xdr:row>
      <xdr:rowOff>114300</xdr:rowOff>
    </xdr:to>
    <xdr:sp macro="" textlink="">
      <xdr:nvSpPr>
        <xdr:cNvPr id="4306" name="Arrow: Down 4305">
          <a:extLst>
            <a:ext uri="{FF2B5EF4-FFF2-40B4-BE49-F238E27FC236}">
              <a16:creationId xmlns:a16="http://schemas.microsoft.com/office/drawing/2014/main" id="{8E14B01E-1FF3-408C-9354-052C1A5F1734}"/>
            </a:ext>
          </a:extLst>
        </xdr:cNvPr>
        <xdr:cNvSpPr/>
      </xdr:nvSpPr>
      <xdr:spPr>
        <a:xfrm>
          <a:off x="19080480" y="10452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572</xdr:row>
      <xdr:rowOff>0</xdr:rowOff>
    </xdr:from>
    <xdr:to>
      <xdr:col>71</xdr:col>
      <xdr:colOff>83820</xdr:colOff>
      <xdr:row>572</xdr:row>
      <xdr:rowOff>114300</xdr:rowOff>
    </xdr:to>
    <xdr:sp macro="" textlink="">
      <xdr:nvSpPr>
        <xdr:cNvPr id="4312" name="Arrow: Down 4311">
          <a:extLst>
            <a:ext uri="{FF2B5EF4-FFF2-40B4-BE49-F238E27FC236}">
              <a16:creationId xmlns:a16="http://schemas.microsoft.com/office/drawing/2014/main" id="{11710177-71D1-4175-B255-6CD123A0FFB2}"/>
            </a:ext>
          </a:extLst>
        </xdr:cNvPr>
        <xdr:cNvSpPr/>
      </xdr:nvSpPr>
      <xdr:spPr>
        <a:xfrm>
          <a:off x="2180082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572</xdr:row>
      <xdr:rowOff>0</xdr:rowOff>
    </xdr:from>
    <xdr:to>
      <xdr:col>60</xdr:col>
      <xdr:colOff>83820</xdr:colOff>
      <xdr:row>572</xdr:row>
      <xdr:rowOff>114300</xdr:rowOff>
    </xdr:to>
    <xdr:sp macro="" textlink="">
      <xdr:nvSpPr>
        <xdr:cNvPr id="4313" name="Arrow: Down 4312">
          <a:extLst>
            <a:ext uri="{FF2B5EF4-FFF2-40B4-BE49-F238E27FC236}">
              <a16:creationId xmlns:a16="http://schemas.microsoft.com/office/drawing/2014/main" id="{5D715DCA-9D1F-436F-800E-DBA013F43345}"/>
            </a:ext>
          </a:extLst>
        </xdr:cNvPr>
        <xdr:cNvSpPr/>
      </xdr:nvSpPr>
      <xdr:spPr>
        <a:xfrm>
          <a:off x="19080480" y="10452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572</xdr:row>
      <xdr:rowOff>0</xdr:rowOff>
    </xdr:from>
    <xdr:to>
      <xdr:col>11</xdr:col>
      <xdr:colOff>83820</xdr:colOff>
      <xdr:row>572</xdr:row>
      <xdr:rowOff>114300</xdr:rowOff>
    </xdr:to>
    <xdr:sp macro="" textlink="">
      <xdr:nvSpPr>
        <xdr:cNvPr id="4314" name="Arrow: Down 4313">
          <a:extLst>
            <a:ext uri="{FF2B5EF4-FFF2-40B4-BE49-F238E27FC236}">
              <a16:creationId xmlns:a16="http://schemas.microsoft.com/office/drawing/2014/main" id="{1402CF84-4D5A-4505-9756-E0B79AD8B87E}"/>
            </a:ext>
          </a:extLst>
        </xdr:cNvPr>
        <xdr:cNvSpPr/>
      </xdr:nvSpPr>
      <xdr:spPr>
        <a:xfrm rot="10800000">
          <a:off x="369570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572</xdr:row>
      <xdr:rowOff>0</xdr:rowOff>
    </xdr:from>
    <xdr:to>
      <xdr:col>5</xdr:col>
      <xdr:colOff>83820</xdr:colOff>
      <xdr:row>572</xdr:row>
      <xdr:rowOff>114300</xdr:rowOff>
    </xdr:to>
    <xdr:sp macro="" textlink="">
      <xdr:nvSpPr>
        <xdr:cNvPr id="4315" name="Arrow: Down 4314">
          <a:extLst>
            <a:ext uri="{FF2B5EF4-FFF2-40B4-BE49-F238E27FC236}">
              <a16:creationId xmlns:a16="http://schemas.microsoft.com/office/drawing/2014/main" id="{301467C9-3C90-4A14-982C-7E260C31E6EC}"/>
            </a:ext>
          </a:extLst>
        </xdr:cNvPr>
        <xdr:cNvSpPr/>
      </xdr:nvSpPr>
      <xdr:spPr>
        <a:xfrm rot="10800000">
          <a:off x="192786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572</xdr:row>
      <xdr:rowOff>0</xdr:rowOff>
    </xdr:from>
    <xdr:to>
      <xdr:col>24</xdr:col>
      <xdr:colOff>83820</xdr:colOff>
      <xdr:row>572</xdr:row>
      <xdr:rowOff>114300</xdr:rowOff>
    </xdr:to>
    <xdr:sp macro="" textlink="">
      <xdr:nvSpPr>
        <xdr:cNvPr id="4317" name="Arrow: Down 4316">
          <a:extLst>
            <a:ext uri="{FF2B5EF4-FFF2-40B4-BE49-F238E27FC236}">
              <a16:creationId xmlns:a16="http://schemas.microsoft.com/office/drawing/2014/main" id="{BF777BD3-E75C-4B96-8F1F-F65F77C2BC49}"/>
            </a:ext>
          </a:extLst>
        </xdr:cNvPr>
        <xdr:cNvSpPr/>
      </xdr:nvSpPr>
      <xdr:spPr>
        <a:xfrm rot="10800000">
          <a:off x="833628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572</xdr:row>
      <xdr:rowOff>0</xdr:rowOff>
    </xdr:from>
    <xdr:to>
      <xdr:col>39</xdr:col>
      <xdr:colOff>83820</xdr:colOff>
      <xdr:row>572</xdr:row>
      <xdr:rowOff>114300</xdr:rowOff>
    </xdr:to>
    <xdr:sp macro="" textlink="">
      <xdr:nvSpPr>
        <xdr:cNvPr id="4318" name="Arrow: Down 4317">
          <a:extLst>
            <a:ext uri="{FF2B5EF4-FFF2-40B4-BE49-F238E27FC236}">
              <a16:creationId xmlns:a16="http://schemas.microsoft.com/office/drawing/2014/main" id="{1674D12F-6C50-4507-BE00-AEE0C09B3E41}"/>
            </a:ext>
          </a:extLst>
        </xdr:cNvPr>
        <xdr:cNvSpPr/>
      </xdr:nvSpPr>
      <xdr:spPr>
        <a:xfrm rot="10800000">
          <a:off x="1154430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572</xdr:row>
      <xdr:rowOff>0</xdr:rowOff>
    </xdr:from>
    <xdr:to>
      <xdr:col>45</xdr:col>
      <xdr:colOff>83820</xdr:colOff>
      <xdr:row>572</xdr:row>
      <xdr:rowOff>114300</xdr:rowOff>
    </xdr:to>
    <xdr:sp macro="" textlink="">
      <xdr:nvSpPr>
        <xdr:cNvPr id="4320" name="Arrow: Down 4319">
          <a:extLst>
            <a:ext uri="{FF2B5EF4-FFF2-40B4-BE49-F238E27FC236}">
              <a16:creationId xmlns:a16="http://schemas.microsoft.com/office/drawing/2014/main" id="{C9491980-0966-42FE-BCEB-D88DAB8AF6B2}"/>
            </a:ext>
          </a:extLst>
        </xdr:cNvPr>
        <xdr:cNvSpPr/>
      </xdr:nvSpPr>
      <xdr:spPr>
        <a:xfrm rot="10800000">
          <a:off x="1340358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573</xdr:row>
      <xdr:rowOff>0</xdr:rowOff>
    </xdr:from>
    <xdr:to>
      <xdr:col>11</xdr:col>
      <xdr:colOff>83820</xdr:colOff>
      <xdr:row>573</xdr:row>
      <xdr:rowOff>114300</xdr:rowOff>
    </xdr:to>
    <xdr:sp macro="" textlink="">
      <xdr:nvSpPr>
        <xdr:cNvPr id="4323" name="Arrow: Down 4322">
          <a:extLst>
            <a:ext uri="{FF2B5EF4-FFF2-40B4-BE49-F238E27FC236}">
              <a16:creationId xmlns:a16="http://schemas.microsoft.com/office/drawing/2014/main" id="{88CB13CC-42EF-4F46-A1B8-F49D03AED917}"/>
            </a:ext>
          </a:extLst>
        </xdr:cNvPr>
        <xdr:cNvSpPr/>
      </xdr:nvSpPr>
      <xdr:spPr>
        <a:xfrm rot="10800000">
          <a:off x="369570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573</xdr:row>
      <xdr:rowOff>0</xdr:rowOff>
    </xdr:from>
    <xdr:to>
      <xdr:col>5</xdr:col>
      <xdr:colOff>83820</xdr:colOff>
      <xdr:row>573</xdr:row>
      <xdr:rowOff>114300</xdr:rowOff>
    </xdr:to>
    <xdr:sp macro="" textlink="">
      <xdr:nvSpPr>
        <xdr:cNvPr id="4324" name="Arrow: Down 4323">
          <a:extLst>
            <a:ext uri="{FF2B5EF4-FFF2-40B4-BE49-F238E27FC236}">
              <a16:creationId xmlns:a16="http://schemas.microsoft.com/office/drawing/2014/main" id="{FED33F04-A8FC-4C2A-90E8-92A78B34D1D0}"/>
            </a:ext>
          </a:extLst>
        </xdr:cNvPr>
        <xdr:cNvSpPr/>
      </xdr:nvSpPr>
      <xdr:spPr>
        <a:xfrm rot="10800000">
          <a:off x="192786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573</xdr:row>
      <xdr:rowOff>0</xdr:rowOff>
    </xdr:from>
    <xdr:to>
      <xdr:col>24</xdr:col>
      <xdr:colOff>83820</xdr:colOff>
      <xdr:row>573</xdr:row>
      <xdr:rowOff>114300</xdr:rowOff>
    </xdr:to>
    <xdr:sp macro="" textlink="">
      <xdr:nvSpPr>
        <xdr:cNvPr id="4325" name="Arrow: Down 4324">
          <a:extLst>
            <a:ext uri="{FF2B5EF4-FFF2-40B4-BE49-F238E27FC236}">
              <a16:creationId xmlns:a16="http://schemas.microsoft.com/office/drawing/2014/main" id="{439C9AB4-73C6-4B9B-9025-DDD2A58EAAB8}"/>
            </a:ext>
          </a:extLst>
        </xdr:cNvPr>
        <xdr:cNvSpPr/>
      </xdr:nvSpPr>
      <xdr:spPr>
        <a:xfrm rot="10800000">
          <a:off x="833628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573</xdr:row>
      <xdr:rowOff>0</xdr:rowOff>
    </xdr:from>
    <xdr:to>
      <xdr:col>45</xdr:col>
      <xdr:colOff>83820</xdr:colOff>
      <xdr:row>573</xdr:row>
      <xdr:rowOff>114300</xdr:rowOff>
    </xdr:to>
    <xdr:sp macro="" textlink="">
      <xdr:nvSpPr>
        <xdr:cNvPr id="4327" name="Arrow: Down 4326">
          <a:extLst>
            <a:ext uri="{FF2B5EF4-FFF2-40B4-BE49-F238E27FC236}">
              <a16:creationId xmlns:a16="http://schemas.microsoft.com/office/drawing/2014/main" id="{4C9B70FA-2A25-49B0-81F7-2C34AA73B4B3}"/>
            </a:ext>
          </a:extLst>
        </xdr:cNvPr>
        <xdr:cNvSpPr/>
      </xdr:nvSpPr>
      <xdr:spPr>
        <a:xfrm rot="10800000">
          <a:off x="1340358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573</xdr:row>
      <xdr:rowOff>0</xdr:rowOff>
    </xdr:from>
    <xdr:to>
      <xdr:col>39</xdr:col>
      <xdr:colOff>83820</xdr:colOff>
      <xdr:row>573</xdr:row>
      <xdr:rowOff>114300</xdr:rowOff>
    </xdr:to>
    <xdr:sp macro="" textlink="">
      <xdr:nvSpPr>
        <xdr:cNvPr id="4328" name="Arrow: Down 4327">
          <a:extLst>
            <a:ext uri="{FF2B5EF4-FFF2-40B4-BE49-F238E27FC236}">
              <a16:creationId xmlns:a16="http://schemas.microsoft.com/office/drawing/2014/main" id="{35A3F5C4-E35F-4A99-AD44-7A032E414198}"/>
            </a:ext>
          </a:extLst>
        </xdr:cNvPr>
        <xdr:cNvSpPr/>
      </xdr:nvSpPr>
      <xdr:spPr>
        <a:xfrm>
          <a:off x="1154430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573</xdr:row>
      <xdr:rowOff>0</xdr:rowOff>
    </xdr:from>
    <xdr:to>
      <xdr:col>60</xdr:col>
      <xdr:colOff>83820</xdr:colOff>
      <xdr:row>573</xdr:row>
      <xdr:rowOff>114300</xdr:rowOff>
    </xdr:to>
    <xdr:sp macro="" textlink="">
      <xdr:nvSpPr>
        <xdr:cNvPr id="4329" name="Arrow: Down 4328">
          <a:extLst>
            <a:ext uri="{FF2B5EF4-FFF2-40B4-BE49-F238E27FC236}">
              <a16:creationId xmlns:a16="http://schemas.microsoft.com/office/drawing/2014/main" id="{EA8479D5-4171-477D-8251-8D8DABAA98A0}"/>
            </a:ext>
          </a:extLst>
        </xdr:cNvPr>
        <xdr:cNvSpPr/>
      </xdr:nvSpPr>
      <xdr:spPr>
        <a:xfrm rot="10800000">
          <a:off x="1908048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573</xdr:row>
      <xdr:rowOff>0</xdr:rowOff>
    </xdr:from>
    <xdr:to>
      <xdr:col>71</xdr:col>
      <xdr:colOff>83820</xdr:colOff>
      <xdr:row>573</xdr:row>
      <xdr:rowOff>114300</xdr:rowOff>
    </xdr:to>
    <xdr:sp macro="" textlink="">
      <xdr:nvSpPr>
        <xdr:cNvPr id="4330" name="Arrow: Down 4329">
          <a:extLst>
            <a:ext uri="{FF2B5EF4-FFF2-40B4-BE49-F238E27FC236}">
              <a16:creationId xmlns:a16="http://schemas.microsoft.com/office/drawing/2014/main" id="{57AA132E-A777-499F-9B55-E9715BB0B0E8}"/>
            </a:ext>
          </a:extLst>
        </xdr:cNvPr>
        <xdr:cNvSpPr/>
      </xdr:nvSpPr>
      <xdr:spPr>
        <a:xfrm rot="10800000">
          <a:off x="2180082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574</xdr:row>
      <xdr:rowOff>0</xdr:rowOff>
    </xdr:from>
    <xdr:to>
      <xdr:col>11</xdr:col>
      <xdr:colOff>83820</xdr:colOff>
      <xdr:row>574</xdr:row>
      <xdr:rowOff>114300</xdr:rowOff>
    </xdr:to>
    <xdr:sp macro="" textlink="">
      <xdr:nvSpPr>
        <xdr:cNvPr id="4331" name="Arrow: Down 4330">
          <a:extLst>
            <a:ext uri="{FF2B5EF4-FFF2-40B4-BE49-F238E27FC236}">
              <a16:creationId xmlns:a16="http://schemas.microsoft.com/office/drawing/2014/main" id="{C3A0E379-16DE-4569-BDAD-A0F2E51A6B04}"/>
            </a:ext>
          </a:extLst>
        </xdr:cNvPr>
        <xdr:cNvSpPr/>
      </xdr:nvSpPr>
      <xdr:spPr>
        <a:xfrm rot="10800000">
          <a:off x="369570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574</xdr:row>
      <xdr:rowOff>0</xdr:rowOff>
    </xdr:from>
    <xdr:to>
      <xdr:col>5</xdr:col>
      <xdr:colOff>83820</xdr:colOff>
      <xdr:row>574</xdr:row>
      <xdr:rowOff>114300</xdr:rowOff>
    </xdr:to>
    <xdr:sp macro="" textlink="">
      <xdr:nvSpPr>
        <xdr:cNvPr id="4332" name="Arrow: Down 4331">
          <a:extLst>
            <a:ext uri="{FF2B5EF4-FFF2-40B4-BE49-F238E27FC236}">
              <a16:creationId xmlns:a16="http://schemas.microsoft.com/office/drawing/2014/main" id="{050A156A-57EE-4637-B944-13E8A0780AD5}"/>
            </a:ext>
          </a:extLst>
        </xdr:cNvPr>
        <xdr:cNvSpPr/>
      </xdr:nvSpPr>
      <xdr:spPr>
        <a:xfrm rot="10800000">
          <a:off x="192786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574</xdr:row>
      <xdr:rowOff>0</xdr:rowOff>
    </xdr:from>
    <xdr:to>
      <xdr:col>24</xdr:col>
      <xdr:colOff>83820</xdr:colOff>
      <xdr:row>574</xdr:row>
      <xdr:rowOff>114300</xdr:rowOff>
    </xdr:to>
    <xdr:sp macro="" textlink="">
      <xdr:nvSpPr>
        <xdr:cNvPr id="4333" name="Arrow: Down 4332">
          <a:extLst>
            <a:ext uri="{FF2B5EF4-FFF2-40B4-BE49-F238E27FC236}">
              <a16:creationId xmlns:a16="http://schemas.microsoft.com/office/drawing/2014/main" id="{F22BB1BA-FEC0-4B71-808A-8C26F9DD32AC}"/>
            </a:ext>
          </a:extLst>
        </xdr:cNvPr>
        <xdr:cNvSpPr/>
      </xdr:nvSpPr>
      <xdr:spPr>
        <a:xfrm rot="10800000">
          <a:off x="833628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574</xdr:row>
      <xdr:rowOff>0</xdr:rowOff>
    </xdr:from>
    <xdr:to>
      <xdr:col>45</xdr:col>
      <xdr:colOff>83820</xdr:colOff>
      <xdr:row>574</xdr:row>
      <xdr:rowOff>114300</xdr:rowOff>
    </xdr:to>
    <xdr:sp macro="" textlink="">
      <xdr:nvSpPr>
        <xdr:cNvPr id="4334" name="Arrow: Down 4333">
          <a:extLst>
            <a:ext uri="{FF2B5EF4-FFF2-40B4-BE49-F238E27FC236}">
              <a16:creationId xmlns:a16="http://schemas.microsoft.com/office/drawing/2014/main" id="{2382DDA1-D5C2-408C-9669-43898D080484}"/>
            </a:ext>
          </a:extLst>
        </xdr:cNvPr>
        <xdr:cNvSpPr/>
      </xdr:nvSpPr>
      <xdr:spPr>
        <a:xfrm rot="10800000">
          <a:off x="13403580" y="10488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574</xdr:row>
      <xdr:rowOff>0</xdr:rowOff>
    </xdr:from>
    <xdr:to>
      <xdr:col>39</xdr:col>
      <xdr:colOff>83820</xdr:colOff>
      <xdr:row>574</xdr:row>
      <xdr:rowOff>114300</xdr:rowOff>
    </xdr:to>
    <xdr:sp macro="" textlink="">
      <xdr:nvSpPr>
        <xdr:cNvPr id="4335" name="Arrow: Down 4334">
          <a:extLst>
            <a:ext uri="{FF2B5EF4-FFF2-40B4-BE49-F238E27FC236}">
              <a16:creationId xmlns:a16="http://schemas.microsoft.com/office/drawing/2014/main" id="{B24EE01A-60B9-4380-A82A-C002289EF011}"/>
            </a:ext>
          </a:extLst>
        </xdr:cNvPr>
        <xdr:cNvSpPr/>
      </xdr:nvSpPr>
      <xdr:spPr>
        <a:xfrm>
          <a:off x="1154430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574</xdr:row>
      <xdr:rowOff>0</xdr:rowOff>
    </xdr:from>
    <xdr:to>
      <xdr:col>71</xdr:col>
      <xdr:colOff>83820</xdr:colOff>
      <xdr:row>574</xdr:row>
      <xdr:rowOff>114300</xdr:rowOff>
    </xdr:to>
    <xdr:sp macro="" textlink="">
      <xdr:nvSpPr>
        <xdr:cNvPr id="4337" name="Arrow: Down 4336">
          <a:extLst>
            <a:ext uri="{FF2B5EF4-FFF2-40B4-BE49-F238E27FC236}">
              <a16:creationId xmlns:a16="http://schemas.microsoft.com/office/drawing/2014/main" id="{DEDAF4D3-AA28-4F1E-886C-68793B735386}"/>
            </a:ext>
          </a:extLst>
        </xdr:cNvPr>
        <xdr:cNvSpPr/>
      </xdr:nvSpPr>
      <xdr:spPr>
        <a:xfrm rot="10800000">
          <a:off x="2180082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574</xdr:row>
      <xdr:rowOff>0</xdr:rowOff>
    </xdr:from>
    <xdr:to>
      <xdr:col>60</xdr:col>
      <xdr:colOff>83820</xdr:colOff>
      <xdr:row>574</xdr:row>
      <xdr:rowOff>114300</xdr:rowOff>
    </xdr:to>
    <xdr:sp macro="" textlink="">
      <xdr:nvSpPr>
        <xdr:cNvPr id="4338" name="Arrow: Down 4337">
          <a:extLst>
            <a:ext uri="{FF2B5EF4-FFF2-40B4-BE49-F238E27FC236}">
              <a16:creationId xmlns:a16="http://schemas.microsoft.com/office/drawing/2014/main" id="{2EA0EF67-56D5-46DF-80FC-3D0125216242}"/>
            </a:ext>
          </a:extLst>
        </xdr:cNvPr>
        <xdr:cNvSpPr/>
      </xdr:nvSpPr>
      <xdr:spPr>
        <a:xfrm>
          <a:off x="19080480" y="10507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575</xdr:row>
      <xdr:rowOff>0</xdr:rowOff>
    </xdr:from>
    <xdr:to>
      <xdr:col>11</xdr:col>
      <xdr:colOff>83820</xdr:colOff>
      <xdr:row>575</xdr:row>
      <xdr:rowOff>114300</xdr:rowOff>
    </xdr:to>
    <xdr:sp macro="" textlink="">
      <xdr:nvSpPr>
        <xdr:cNvPr id="4088" name="Arrow: Down 4087">
          <a:extLst>
            <a:ext uri="{FF2B5EF4-FFF2-40B4-BE49-F238E27FC236}">
              <a16:creationId xmlns:a16="http://schemas.microsoft.com/office/drawing/2014/main" id="{07798C98-D349-4D91-A4C3-9DD185208C03}"/>
            </a:ext>
          </a:extLst>
        </xdr:cNvPr>
        <xdr:cNvSpPr/>
      </xdr:nvSpPr>
      <xdr:spPr>
        <a:xfrm rot="10800000">
          <a:off x="3695700" y="10507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575</xdr:row>
      <xdr:rowOff>0</xdr:rowOff>
    </xdr:from>
    <xdr:to>
      <xdr:col>5</xdr:col>
      <xdr:colOff>83820</xdr:colOff>
      <xdr:row>575</xdr:row>
      <xdr:rowOff>114300</xdr:rowOff>
    </xdr:to>
    <xdr:sp macro="" textlink="">
      <xdr:nvSpPr>
        <xdr:cNvPr id="4107" name="Arrow: Down 4106">
          <a:extLst>
            <a:ext uri="{FF2B5EF4-FFF2-40B4-BE49-F238E27FC236}">
              <a16:creationId xmlns:a16="http://schemas.microsoft.com/office/drawing/2014/main" id="{162BD30D-2ECC-4B0D-AB05-5A3C566711C6}"/>
            </a:ext>
          </a:extLst>
        </xdr:cNvPr>
        <xdr:cNvSpPr/>
      </xdr:nvSpPr>
      <xdr:spPr>
        <a:xfrm rot="10800000">
          <a:off x="1927860" y="10507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575</xdr:row>
      <xdr:rowOff>0</xdr:rowOff>
    </xdr:from>
    <xdr:to>
      <xdr:col>39</xdr:col>
      <xdr:colOff>83820</xdr:colOff>
      <xdr:row>575</xdr:row>
      <xdr:rowOff>114300</xdr:rowOff>
    </xdr:to>
    <xdr:sp macro="" textlink="">
      <xdr:nvSpPr>
        <xdr:cNvPr id="4210" name="Arrow: Down 4209">
          <a:extLst>
            <a:ext uri="{FF2B5EF4-FFF2-40B4-BE49-F238E27FC236}">
              <a16:creationId xmlns:a16="http://schemas.microsoft.com/office/drawing/2014/main" id="{1385F6DA-7E90-486C-98D3-4A4FA34372B8}"/>
            </a:ext>
          </a:extLst>
        </xdr:cNvPr>
        <xdr:cNvSpPr/>
      </xdr:nvSpPr>
      <xdr:spPr>
        <a:xfrm>
          <a:off x="11544300" y="10507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575</xdr:row>
      <xdr:rowOff>0</xdr:rowOff>
    </xdr:from>
    <xdr:to>
      <xdr:col>60</xdr:col>
      <xdr:colOff>83820</xdr:colOff>
      <xdr:row>575</xdr:row>
      <xdr:rowOff>114300</xdr:rowOff>
    </xdr:to>
    <xdr:sp macro="" textlink="">
      <xdr:nvSpPr>
        <xdr:cNvPr id="4256" name="Arrow: Down 4255">
          <a:extLst>
            <a:ext uri="{FF2B5EF4-FFF2-40B4-BE49-F238E27FC236}">
              <a16:creationId xmlns:a16="http://schemas.microsoft.com/office/drawing/2014/main" id="{60C11F50-EEF1-45DE-B8F3-1004712CA715}"/>
            </a:ext>
          </a:extLst>
        </xdr:cNvPr>
        <xdr:cNvSpPr/>
      </xdr:nvSpPr>
      <xdr:spPr>
        <a:xfrm>
          <a:off x="19080480" y="10507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575</xdr:row>
      <xdr:rowOff>0</xdr:rowOff>
    </xdr:from>
    <xdr:to>
      <xdr:col>24</xdr:col>
      <xdr:colOff>83820</xdr:colOff>
      <xdr:row>575</xdr:row>
      <xdr:rowOff>114300</xdr:rowOff>
    </xdr:to>
    <xdr:sp macro="" textlink="">
      <xdr:nvSpPr>
        <xdr:cNvPr id="4263" name="Arrow: Down 4262">
          <a:extLst>
            <a:ext uri="{FF2B5EF4-FFF2-40B4-BE49-F238E27FC236}">
              <a16:creationId xmlns:a16="http://schemas.microsoft.com/office/drawing/2014/main" id="{02B81230-50EE-4B49-B68A-6CF3F708A3B8}"/>
            </a:ext>
          </a:extLst>
        </xdr:cNvPr>
        <xdr:cNvSpPr/>
      </xdr:nvSpPr>
      <xdr:spPr>
        <a:xfrm>
          <a:off x="833628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575</xdr:row>
      <xdr:rowOff>0</xdr:rowOff>
    </xdr:from>
    <xdr:to>
      <xdr:col>45</xdr:col>
      <xdr:colOff>83820</xdr:colOff>
      <xdr:row>575</xdr:row>
      <xdr:rowOff>114300</xdr:rowOff>
    </xdr:to>
    <xdr:sp macro="" textlink="">
      <xdr:nvSpPr>
        <xdr:cNvPr id="4266" name="Arrow: Down 4265">
          <a:extLst>
            <a:ext uri="{FF2B5EF4-FFF2-40B4-BE49-F238E27FC236}">
              <a16:creationId xmlns:a16="http://schemas.microsoft.com/office/drawing/2014/main" id="{FCDF13DC-B4E4-46A0-9BB2-D7777E5C47A2}"/>
            </a:ext>
          </a:extLst>
        </xdr:cNvPr>
        <xdr:cNvSpPr/>
      </xdr:nvSpPr>
      <xdr:spPr>
        <a:xfrm>
          <a:off x="13403580" y="10525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575</xdr:row>
      <xdr:rowOff>0</xdr:rowOff>
    </xdr:from>
    <xdr:to>
      <xdr:col>71</xdr:col>
      <xdr:colOff>83820</xdr:colOff>
      <xdr:row>575</xdr:row>
      <xdr:rowOff>114300</xdr:rowOff>
    </xdr:to>
    <xdr:sp macro="" textlink="">
      <xdr:nvSpPr>
        <xdr:cNvPr id="4267" name="Arrow: Down 4266">
          <a:extLst>
            <a:ext uri="{FF2B5EF4-FFF2-40B4-BE49-F238E27FC236}">
              <a16:creationId xmlns:a16="http://schemas.microsoft.com/office/drawing/2014/main" id="{3FBCDE42-FCB2-4AEF-98D8-89EC5CDECEA3}"/>
            </a:ext>
          </a:extLst>
        </xdr:cNvPr>
        <xdr:cNvSpPr/>
      </xdr:nvSpPr>
      <xdr:spPr>
        <a:xfrm>
          <a:off x="2180082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576</xdr:row>
      <xdr:rowOff>0</xdr:rowOff>
    </xdr:from>
    <xdr:to>
      <xdr:col>60</xdr:col>
      <xdr:colOff>83820</xdr:colOff>
      <xdr:row>576</xdr:row>
      <xdr:rowOff>114300</xdr:rowOff>
    </xdr:to>
    <xdr:sp macro="" textlink="">
      <xdr:nvSpPr>
        <xdr:cNvPr id="4299" name="Arrow: Down 4298">
          <a:extLst>
            <a:ext uri="{FF2B5EF4-FFF2-40B4-BE49-F238E27FC236}">
              <a16:creationId xmlns:a16="http://schemas.microsoft.com/office/drawing/2014/main" id="{3B86023A-FB62-4A3A-9DE2-0217998D4AA5}"/>
            </a:ext>
          </a:extLst>
        </xdr:cNvPr>
        <xdr:cNvSpPr/>
      </xdr:nvSpPr>
      <xdr:spPr>
        <a:xfrm>
          <a:off x="1908048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576</xdr:row>
      <xdr:rowOff>0</xdr:rowOff>
    </xdr:from>
    <xdr:to>
      <xdr:col>71</xdr:col>
      <xdr:colOff>83820</xdr:colOff>
      <xdr:row>576</xdr:row>
      <xdr:rowOff>114300</xdr:rowOff>
    </xdr:to>
    <xdr:sp macro="" textlink="">
      <xdr:nvSpPr>
        <xdr:cNvPr id="4308" name="Arrow: Down 4307">
          <a:extLst>
            <a:ext uri="{FF2B5EF4-FFF2-40B4-BE49-F238E27FC236}">
              <a16:creationId xmlns:a16="http://schemas.microsoft.com/office/drawing/2014/main" id="{C79E1682-2112-49DB-B49F-D7036FAD1702}"/>
            </a:ext>
          </a:extLst>
        </xdr:cNvPr>
        <xdr:cNvSpPr/>
      </xdr:nvSpPr>
      <xdr:spPr>
        <a:xfrm>
          <a:off x="2180082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576</xdr:row>
      <xdr:rowOff>0</xdr:rowOff>
    </xdr:from>
    <xdr:to>
      <xdr:col>24</xdr:col>
      <xdr:colOff>83820</xdr:colOff>
      <xdr:row>576</xdr:row>
      <xdr:rowOff>114300</xdr:rowOff>
    </xdr:to>
    <xdr:sp macro="" textlink="">
      <xdr:nvSpPr>
        <xdr:cNvPr id="4310" name="Arrow: Down 4309">
          <a:extLst>
            <a:ext uri="{FF2B5EF4-FFF2-40B4-BE49-F238E27FC236}">
              <a16:creationId xmlns:a16="http://schemas.microsoft.com/office/drawing/2014/main" id="{E3F38425-702E-42B9-834A-E5F87AB2432F}"/>
            </a:ext>
          </a:extLst>
        </xdr:cNvPr>
        <xdr:cNvSpPr/>
      </xdr:nvSpPr>
      <xdr:spPr>
        <a:xfrm rot="10800000">
          <a:off x="8336280" y="10543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576</xdr:row>
      <xdr:rowOff>0</xdr:rowOff>
    </xdr:from>
    <xdr:to>
      <xdr:col>11</xdr:col>
      <xdr:colOff>83820</xdr:colOff>
      <xdr:row>576</xdr:row>
      <xdr:rowOff>114300</xdr:rowOff>
    </xdr:to>
    <xdr:sp macro="" textlink="">
      <xdr:nvSpPr>
        <xdr:cNvPr id="4311" name="Arrow: Down 4310">
          <a:extLst>
            <a:ext uri="{FF2B5EF4-FFF2-40B4-BE49-F238E27FC236}">
              <a16:creationId xmlns:a16="http://schemas.microsoft.com/office/drawing/2014/main" id="{82378136-28E4-41B5-A750-AF8D97187AAA}"/>
            </a:ext>
          </a:extLst>
        </xdr:cNvPr>
        <xdr:cNvSpPr/>
      </xdr:nvSpPr>
      <xdr:spPr>
        <a:xfrm>
          <a:off x="369570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576</xdr:row>
      <xdr:rowOff>0</xdr:rowOff>
    </xdr:from>
    <xdr:to>
      <xdr:col>5</xdr:col>
      <xdr:colOff>83820</xdr:colOff>
      <xdr:row>576</xdr:row>
      <xdr:rowOff>114300</xdr:rowOff>
    </xdr:to>
    <xdr:sp macro="" textlink="">
      <xdr:nvSpPr>
        <xdr:cNvPr id="4316" name="Arrow: Down 4315">
          <a:extLst>
            <a:ext uri="{FF2B5EF4-FFF2-40B4-BE49-F238E27FC236}">
              <a16:creationId xmlns:a16="http://schemas.microsoft.com/office/drawing/2014/main" id="{509148CD-7B87-4314-928A-EBF1EF1A69B4}"/>
            </a:ext>
          </a:extLst>
        </xdr:cNvPr>
        <xdr:cNvSpPr/>
      </xdr:nvSpPr>
      <xdr:spPr>
        <a:xfrm>
          <a:off x="192786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576</xdr:row>
      <xdr:rowOff>0</xdr:rowOff>
    </xdr:from>
    <xdr:to>
      <xdr:col>39</xdr:col>
      <xdr:colOff>83820</xdr:colOff>
      <xdr:row>576</xdr:row>
      <xdr:rowOff>114300</xdr:rowOff>
    </xdr:to>
    <xdr:sp macro="" textlink="">
      <xdr:nvSpPr>
        <xdr:cNvPr id="4319" name="Arrow: Down 4318">
          <a:extLst>
            <a:ext uri="{FF2B5EF4-FFF2-40B4-BE49-F238E27FC236}">
              <a16:creationId xmlns:a16="http://schemas.microsoft.com/office/drawing/2014/main" id="{EDEACB55-1F54-4A8B-B1FD-07DFA59FFA33}"/>
            </a:ext>
          </a:extLst>
        </xdr:cNvPr>
        <xdr:cNvSpPr/>
      </xdr:nvSpPr>
      <xdr:spPr>
        <a:xfrm rot="10800000">
          <a:off x="1154430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576</xdr:row>
      <xdr:rowOff>0</xdr:rowOff>
    </xdr:from>
    <xdr:to>
      <xdr:col>45</xdr:col>
      <xdr:colOff>83820</xdr:colOff>
      <xdr:row>576</xdr:row>
      <xdr:rowOff>114300</xdr:rowOff>
    </xdr:to>
    <xdr:sp macro="" textlink="">
      <xdr:nvSpPr>
        <xdr:cNvPr id="4321" name="Arrow: Down 4320">
          <a:extLst>
            <a:ext uri="{FF2B5EF4-FFF2-40B4-BE49-F238E27FC236}">
              <a16:creationId xmlns:a16="http://schemas.microsoft.com/office/drawing/2014/main" id="{1576DC4F-A074-4175-93C9-19330188A587}"/>
            </a:ext>
          </a:extLst>
        </xdr:cNvPr>
        <xdr:cNvSpPr/>
      </xdr:nvSpPr>
      <xdr:spPr>
        <a:xfrm rot="10800000">
          <a:off x="1340358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577</xdr:row>
      <xdr:rowOff>0</xdr:rowOff>
    </xdr:from>
    <xdr:to>
      <xdr:col>11</xdr:col>
      <xdr:colOff>83820</xdr:colOff>
      <xdr:row>577</xdr:row>
      <xdr:rowOff>114300</xdr:rowOff>
    </xdr:to>
    <xdr:sp macro="" textlink="">
      <xdr:nvSpPr>
        <xdr:cNvPr id="4339" name="Arrow: Down 4338">
          <a:extLst>
            <a:ext uri="{FF2B5EF4-FFF2-40B4-BE49-F238E27FC236}">
              <a16:creationId xmlns:a16="http://schemas.microsoft.com/office/drawing/2014/main" id="{E5DCAFC6-981C-4C44-8C23-217252E49BE6}"/>
            </a:ext>
          </a:extLst>
        </xdr:cNvPr>
        <xdr:cNvSpPr/>
      </xdr:nvSpPr>
      <xdr:spPr>
        <a:xfrm>
          <a:off x="369570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577</xdr:row>
      <xdr:rowOff>0</xdr:rowOff>
    </xdr:from>
    <xdr:to>
      <xdr:col>5</xdr:col>
      <xdr:colOff>83820</xdr:colOff>
      <xdr:row>577</xdr:row>
      <xdr:rowOff>114300</xdr:rowOff>
    </xdr:to>
    <xdr:sp macro="" textlink="">
      <xdr:nvSpPr>
        <xdr:cNvPr id="4340" name="Arrow: Down 4339">
          <a:extLst>
            <a:ext uri="{FF2B5EF4-FFF2-40B4-BE49-F238E27FC236}">
              <a16:creationId xmlns:a16="http://schemas.microsoft.com/office/drawing/2014/main" id="{3C7A6DFA-FF0D-4A8E-A59E-E6F5F38A4468}"/>
            </a:ext>
          </a:extLst>
        </xdr:cNvPr>
        <xdr:cNvSpPr/>
      </xdr:nvSpPr>
      <xdr:spPr>
        <a:xfrm>
          <a:off x="192786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577</xdr:row>
      <xdr:rowOff>0</xdr:rowOff>
    </xdr:from>
    <xdr:to>
      <xdr:col>45</xdr:col>
      <xdr:colOff>83820</xdr:colOff>
      <xdr:row>577</xdr:row>
      <xdr:rowOff>114300</xdr:rowOff>
    </xdr:to>
    <xdr:sp macro="" textlink="">
      <xdr:nvSpPr>
        <xdr:cNvPr id="4342" name="Arrow: Down 4341">
          <a:extLst>
            <a:ext uri="{FF2B5EF4-FFF2-40B4-BE49-F238E27FC236}">
              <a16:creationId xmlns:a16="http://schemas.microsoft.com/office/drawing/2014/main" id="{67DF1D2D-99CF-44D8-8714-AEA8C9B8D7BC}"/>
            </a:ext>
          </a:extLst>
        </xdr:cNvPr>
        <xdr:cNvSpPr/>
      </xdr:nvSpPr>
      <xdr:spPr>
        <a:xfrm rot="10800000">
          <a:off x="1340358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577</xdr:row>
      <xdr:rowOff>0</xdr:rowOff>
    </xdr:from>
    <xdr:to>
      <xdr:col>24</xdr:col>
      <xdr:colOff>83820</xdr:colOff>
      <xdr:row>577</xdr:row>
      <xdr:rowOff>114300</xdr:rowOff>
    </xdr:to>
    <xdr:sp macro="" textlink="">
      <xdr:nvSpPr>
        <xdr:cNvPr id="4343" name="Arrow: Down 4342">
          <a:extLst>
            <a:ext uri="{FF2B5EF4-FFF2-40B4-BE49-F238E27FC236}">
              <a16:creationId xmlns:a16="http://schemas.microsoft.com/office/drawing/2014/main" id="{EC68CBC1-ACAE-4339-8FA8-DAAF9674276E}"/>
            </a:ext>
          </a:extLst>
        </xdr:cNvPr>
        <xdr:cNvSpPr/>
      </xdr:nvSpPr>
      <xdr:spPr>
        <a:xfrm>
          <a:off x="833628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577</xdr:row>
      <xdr:rowOff>0</xdr:rowOff>
    </xdr:from>
    <xdr:to>
      <xdr:col>39</xdr:col>
      <xdr:colOff>83820</xdr:colOff>
      <xdr:row>577</xdr:row>
      <xdr:rowOff>114300</xdr:rowOff>
    </xdr:to>
    <xdr:sp macro="" textlink="">
      <xdr:nvSpPr>
        <xdr:cNvPr id="4345" name="Arrow: Down 4344">
          <a:extLst>
            <a:ext uri="{FF2B5EF4-FFF2-40B4-BE49-F238E27FC236}">
              <a16:creationId xmlns:a16="http://schemas.microsoft.com/office/drawing/2014/main" id="{A2604B32-CE01-46AC-AF59-BE283E5FA315}"/>
            </a:ext>
          </a:extLst>
        </xdr:cNvPr>
        <xdr:cNvSpPr/>
      </xdr:nvSpPr>
      <xdr:spPr>
        <a:xfrm>
          <a:off x="1154430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577</xdr:row>
      <xdr:rowOff>0</xdr:rowOff>
    </xdr:from>
    <xdr:to>
      <xdr:col>71</xdr:col>
      <xdr:colOff>83820</xdr:colOff>
      <xdr:row>577</xdr:row>
      <xdr:rowOff>114300</xdr:rowOff>
    </xdr:to>
    <xdr:sp macro="" textlink="">
      <xdr:nvSpPr>
        <xdr:cNvPr id="4347" name="Arrow: Down 4346">
          <a:extLst>
            <a:ext uri="{FF2B5EF4-FFF2-40B4-BE49-F238E27FC236}">
              <a16:creationId xmlns:a16="http://schemas.microsoft.com/office/drawing/2014/main" id="{0BFA5CD9-2CFC-4F56-9F0F-2EBFC962F842}"/>
            </a:ext>
          </a:extLst>
        </xdr:cNvPr>
        <xdr:cNvSpPr/>
      </xdr:nvSpPr>
      <xdr:spPr>
        <a:xfrm rot="10800000">
          <a:off x="2180082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577</xdr:row>
      <xdr:rowOff>0</xdr:rowOff>
    </xdr:from>
    <xdr:to>
      <xdr:col>60</xdr:col>
      <xdr:colOff>83820</xdr:colOff>
      <xdr:row>577</xdr:row>
      <xdr:rowOff>114300</xdr:rowOff>
    </xdr:to>
    <xdr:sp macro="" textlink="">
      <xdr:nvSpPr>
        <xdr:cNvPr id="4348" name="Arrow: Down 4347">
          <a:extLst>
            <a:ext uri="{FF2B5EF4-FFF2-40B4-BE49-F238E27FC236}">
              <a16:creationId xmlns:a16="http://schemas.microsoft.com/office/drawing/2014/main" id="{C31B167C-203A-429C-8DF0-6C5C92EF502B}"/>
            </a:ext>
          </a:extLst>
        </xdr:cNvPr>
        <xdr:cNvSpPr/>
      </xdr:nvSpPr>
      <xdr:spPr>
        <a:xfrm rot="10800000">
          <a:off x="1908048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578</xdr:row>
      <xdr:rowOff>0</xdr:rowOff>
    </xdr:from>
    <xdr:to>
      <xdr:col>11</xdr:col>
      <xdr:colOff>83820</xdr:colOff>
      <xdr:row>578</xdr:row>
      <xdr:rowOff>114300</xdr:rowOff>
    </xdr:to>
    <xdr:sp macro="" textlink="">
      <xdr:nvSpPr>
        <xdr:cNvPr id="4307" name="Arrow: Down 4306">
          <a:extLst>
            <a:ext uri="{FF2B5EF4-FFF2-40B4-BE49-F238E27FC236}">
              <a16:creationId xmlns:a16="http://schemas.microsoft.com/office/drawing/2014/main" id="{AD205FEB-6360-46F0-9905-2CF39D22F204}"/>
            </a:ext>
          </a:extLst>
        </xdr:cNvPr>
        <xdr:cNvSpPr/>
      </xdr:nvSpPr>
      <xdr:spPr>
        <a:xfrm>
          <a:off x="369570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578</xdr:row>
      <xdr:rowOff>0</xdr:rowOff>
    </xdr:from>
    <xdr:to>
      <xdr:col>5</xdr:col>
      <xdr:colOff>83820</xdr:colOff>
      <xdr:row>578</xdr:row>
      <xdr:rowOff>114300</xdr:rowOff>
    </xdr:to>
    <xdr:sp macro="" textlink="">
      <xdr:nvSpPr>
        <xdr:cNvPr id="4309" name="Arrow: Down 4308">
          <a:extLst>
            <a:ext uri="{FF2B5EF4-FFF2-40B4-BE49-F238E27FC236}">
              <a16:creationId xmlns:a16="http://schemas.microsoft.com/office/drawing/2014/main" id="{4BC44BA9-D908-416D-AA44-BE3C1DC4B48C}"/>
            </a:ext>
          </a:extLst>
        </xdr:cNvPr>
        <xdr:cNvSpPr/>
      </xdr:nvSpPr>
      <xdr:spPr>
        <a:xfrm>
          <a:off x="192786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578</xdr:row>
      <xdr:rowOff>0</xdr:rowOff>
    </xdr:from>
    <xdr:to>
      <xdr:col>45</xdr:col>
      <xdr:colOff>83820</xdr:colOff>
      <xdr:row>578</xdr:row>
      <xdr:rowOff>114300</xdr:rowOff>
    </xdr:to>
    <xdr:sp macro="" textlink="">
      <xdr:nvSpPr>
        <xdr:cNvPr id="4322" name="Arrow: Down 4321">
          <a:extLst>
            <a:ext uri="{FF2B5EF4-FFF2-40B4-BE49-F238E27FC236}">
              <a16:creationId xmlns:a16="http://schemas.microsoft.com/office/drawing/2014/main" id="{B4F2AE33-6195-42F7-8C68-A2C6DB0B4947}"/>
            </a:ext>
          </a:extLst>
        </xdr:cNvPr>
        <xdr:cNvSpPr/>
      </xdr:nvSpPr>
      <xdr:spPr>
        <a:xfrm rot="10800000">
          <a:off x="1340358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578</xdr:row>
      <xdr:rowOff>0</xdr:rowOff>
    </xdr:from>
    <xdr:to>
      <xdr:col>24</xdr:col>
      <xdr:colOff>83820</xdr:colOff>
      <xdr:row>578</xdr:row>
      <xdr:rowOff>114300</xdr:rowOff>
    </xdr:to>
    <xdr:sp macro="" textlink="">
      <xdr:nvSpPr>
        <xdr:cNvPr id="4326" name="Arrow: Down 4325">
          <a:extLst>
            <a:ext uri="{FF2B5EF4-FFF2-40B4-BE49-F238E27FC236}">
              <a16:creationId xmlns:a16="http://schemas.microsoft.com/office/drawing/2014/main" id="{DB9515DA-BB78-4873-B2AC-36FD8B3AACBB}"/>
            </a:ext>
          </a:extLst>
        </xdr:cNvPr>
        <xdr:cNvSpPr/>
      </xdr:nvSpPr>
      <xdr:spPr>
        <a:xfrm>
          <a:off x="833628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578</xdr:row>
      <xdr:rowOff>0</xdr:rowOff>
    </xdr:from>
    <xdr:to>
      <xdr:col>39</xdr:col>
      <xdr:colOff>83820</xdr:colOff>
      <xdr:row>578</xdr:row>
      <xdr:rowOff>114300</xdr:rowOff>
    </xdr:to>
    <xdr:sp macro="" textlink="">
      <xdr:nvSpPr>
        <xdr:cNvPr id="4336" name="Arrow: Down 4335">
          <a:extLst>
            <a:ext uri="{FF2B5EF4-FFF2-40B4-BE49-F238E27FC236}">
              <a16:creationId xmlns:a16="http://schemas.microsoft.com/office/drawing/2014/main" id="{5636C1BB-C536-41BB-846E-BF64D1E5B765}"/>
            </a:ext>
          </a:extLst>
        </xdr:cNvPr>
        <xdr:cNvSpPr/>
      </xdr:nvSpPr>
      <xdr:spPr>
        <a:xfrm>
          <a:off x="1154430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578</xdr:row>
      <xdr:rowOff>0</xdr:rowOff>
    </xdr:from>
    <xdr:to>
      <xdr:col>71</xdr:col>
      <xdr:colOff>83820</xdr:colOff>
      <xdr:row>578</xdr:row>
      <xdr:rowOff>114300</xdr:rowOff>
    </xdr:to>
    <xdr:sp macro="" textlink="">
      <xdr:nvSpPr>
        <xdr:cNvPr id="4341" name="Arrow: Down 4340">
          <a:extLst>
            <a:ext uri="{FF2B5EF4-FFF2-40B4-BE49-F238E27FC236}">
              <a16:creationId xmlns:a16="http://schemas.microsoft.com/office/drawing/2014/main" id="{7609884D-0077-4BF4-B3D2-CB6216A8562D}"/>
            </a:ext>
          </a:extLst>
        </xdr:cNvPr>
        <xdr:cNvSpPr/>
      </xdr:nvSpPr>
      <xdr:spPr>
        <a:xfrm rot="10800000">
          <a:off x="2180082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578</xdr:row>
      <xdr:rowOff>0</xdr:rowOff>
    </xdr:from>
    <xdr:to>
      <xdr:col>60</xdr:col>
      <xdr:colOff>83820</xdr:colOff>
      <xdr:row>578</xdr:row>
      <xdr:rowOff>114300</xdr:rowOff>
    </xdr:to>
    <xdr:sp macro="" textlink="">
      <xdr:nvSpPr>
        <xdr:cNvPr id="4344" name="Arrow: Down 4343">
          <a:extLst>
            <a:ext uri="{FF2B5EF4-FFF2-40B4-BE49-F238E27FC236}">
              <a16:creationId xmlns:a16="http://schemas.microsoft.com/office/drawing/2014/main" id="{E2003479-3DA6-4F88-82DF-2757E00DB55A}"/>
            </a:ext>
          </a:extLst>
        </xdr:cNvPr>
        <xdr:cNvSpPr/>
      </xdr:nvSpPr>
      <xdr:spPr>
        <a:xfrm rot="10800000">
          <a:off x="1908048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579</xdr:row>
      <xdr:rowOff>0</xdr:rowOff>
    </xdr:from>
    <xdr:to>
      <xdr:col>45</xdr:col>
      <xdr:colOff>83820</xdr:colOff>
      <xdr:row>579</xdr:row>
      <xdr:rowOff>114300</xdr:rowOff>
    </xdr:to>
    <xdr:sp macro="" textlink="">
      <xdr:nvSpPr>
        <xdr:cNvPr id="4250" name="Arrow: Down 4249">
          <a:extLst>
            <a:ext uri="{FF2B5EF4-FFF2-40B4-BE49-F238E27FC236}">
              <a16:creationId xmlns:a16="http://schemas.microsoft.com/office/drawing/2014/main" id="{88B9FAC8-C4B9-4A3C-9839-C7D04358D843}"/>
            </a:ext>
          </a:extLst>
        </xdr:cNvPr>
        <xdr:cNvSpPr/>
      </xdr:nvSpPr>
      <xdr:spPr>
        <a:xfrm rot="10800000">
          <a:off x="13403580" y="10580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580</xdr:row>
      <xdr:rowOff>0</xdr:rowOff>
    </xdr:from>
    <xdr:to>
      <xdr:col>45</xdr:col>
      <xdr:colOff>83820</xdr:colOff>
      <xdr:row>580</xdr:row>
      <xdr:rowOff>114300</xdr:rowOff>
    </xdr:to>
    <xdr:sp macro="" textlink="">
      <xdr:nvSpPr>
        <xdr:cNvPr id="4346" name="Arrow: Down 4345">
          <a:extLst>
            <a:ext uri="{FF2B5EF4-FFF2-40B4-BE49-F238E27FC236}">
              <a16:creationId xmlns:a16="http://schemas.microsoft.com/office/drawing/2014/main" id="{9E4F3E59-55A5-4618-B23C-3594040B63CD}"/>
            </a:ext>
          </a:extLst>
        </xdr:cNvPr>
        <xdr:cNvSpPr/>
      </xdr:nvSpPr>
      <xdr:spPr>
        <a:xfrm rot="10800000">
          <a:off x="1340358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580</xdr:row>
      <xdr:rowOff>0</xdr:rowOff>
    </xdr:from>
    <xdr:to>
      <xdr:col>39</xdr:col>
      <xdr:colOff>83820</xdr:colOff>
      <xdr:row>580</xdr:row>
      <xdr:rowOff>114300</xdr:rowOff>
    </xdr:to>
    <xdr:sp macro="" textlink="">
      <xdr:nvSpPr>
        <xdr:cNvPr id="4349" name="Arrow: Down 4348">
          <a:extLst>
            <a:ext uri="{FF2B5EF4-FFF2-40B4-BE49-F238E27FC236}">
              <a16:creationId xmlns:a16="http://schemas.microsoft.com/office/drawing/2014/main" id="{994A293A-1B8E-413D-B0EC-05B8C4AAC692}"/>
            </a:ext>
          </a:extLst>
        </xdr:cNvPr>
        <xdr:cNvSpPr/>
      </xdr:nvSpPr>
      <xdr:spPr>
        <a:xfrm>
          <a:off x="1154430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581</xdr:row>
      <xdr:rowOff>0</xdr:rowOff>
    </xdr:from>
    <xdr:to>
      <xdr:col>45</xdr:col>
      <xdr:colOff>83820</xdr:colOff>
      <xdr:row>581</xdr:row>
      <xdr:rowOff>114300</xdr:rowOff>
    </xdr:to>
    <xdr:sp macro="" textlink="">
      <xdr:nvSpPr>
        <xdr:cNvPr id="4350" name="Arrow: Down 4349">
          <a:extLst>
            <a:ext uri="{FF2B5EF4-FFF2-40B4-BE49-F238E27FC236}">
              <a16:creationId xmlns:a16="http://schemas.microsoft.com/office/drawing/2014/main" id="{224A09E6-8B50-4C93-B93D-FAAA5D9B1239}"/>
            </a:ext>
          </a:extLst>
        </xdr:cNvPr>
        <xdr:cNvSpPr/>
      </xdr:nvSpPr>
      <xdr:spPr>
        <a:xfrm rot="10800000">
          <a:off x="13403580" y="10616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581</xdr:row>
      <xdr:rowOff>0</xdr:rowOff>
    </xdr:from>
    <xdr:to>
      <xdr:col>39</xdr:col>
      <xdr:colOff>83820</xdr:colOff>
      <xdr:row>581</xdr:row>
      <xdr:rowOff>114300</xdr:rowOff>
    </xdr:to>
    <xdr:sp macro="" textlink="">
      <xdr:nvSpPr>
        <xdr:cNvPr id="4351" name="Arrow: Down 4350">
          <a:extLst>
            <a:ext uri="{FF2B5EF4-FFF2-40B4-BE49-F238E27FC236}">
              <a16:creationId xmlns:a16="http://schemas.microsoft.com/office/drawing/2014/main" id="{BCBE9D98-8BEF-47C2-AAB4-0E0E33ACB35D}"/>
            </a:ext>
          </a:extLst>
        </xdr:cNvPr>
        <xdr:cNvSpPr/>
      </xdr:nvSpPr>
      <xdr:spPr>
        <a:xfrm>
          <a:off x="1154430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581</xdr:row>
      <xdr:rowOff>0</xdr:rowOff>
    </xdr:from>
    <xdr:to>
      <xdr:col>60</xdr:col>
      <xdr:colOff>83820</xdr:colOff>
      <xdr:row>581</xdr:row>
      <xdr:rowOff>114300</xdr:rowOff>
    </xdr:to>
    <xdr:sp macro="" textlink="">
      <xdr:nvSpPr>
        <xdr:cNvPr id="4355" name="Arrow: Down 4354">
          <a:extLst>
            <a:ext uri="{FF2B5EF4-FFF2-40B4-BE49-F238E27FC236}">
              <a16:creationId xmlns:a16="http://schemas.microsoft.com/office/drawing/2014/main" id="{AFB4C649-6B97-4D59-B246-DAD4BB56D3FB}"/>
            </a:ext>
          </a:extLst>
        </xdr:cNvPr>
        <xdr:cNvSpPr/>
      </xdr:nvSpPr>
      <xdr:spPr>
        <a:xfrm rot="10800000">
          <a:off x="1908048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579</xdr:row>
      <xdr:rowOff>0</xdr:rowOff>
    </xdr:from>
    <xdr:to>
      <xdr:col>71</xdr:col>
      <xdr:colOff>83820</xdr:colOff>
      <xdr:row>579</xdr:row>
      <xdr:rowOff>114300</xdr:rowOff>
    </xdr:to>
    <xdr:sp macro="" textlink="">
      <xdr:nvSpPr>
        <xdr:cNvPr id="4363" name="Arrow: Down 4362">
          <a:extLst>
            <a:ext uri="{FF2B5EF4-FFF2-40B4-BE49-F238E27FC236}">
              <a16:creationId xmlns:a16="http://schemas.microsoft.com/office/drawing/2014/main" id="{56811B39-100A-4B31-AB97-2DF919C762E6}"/>
            </a:ext>
          </a:extLst>
        </xdr:cNvPr>
        <xdr:cNvSpPr/>
      </xdr:nvSpPr>
      <xdr:spPr>
        <a:xfrm>
          <a:off x="2180082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580</xdr:row>
      <xdr:rowOff>0</xdr:rowOff>
    </xdr:from>
    <xdr:to>
      <xdr:col>71</xdr:col>
      <xdr:colOff>83820</xdr:colOff>
      <xdr:row>580</xdr:row>
      <xdr:rowOff>114300</xdr:rowOff>
    </xdr:to>
    <xdr:sp macro="" textlink="">
      <xdr:nvSpPr>
        <xdr:cNvPr id="4364" name="Arrow: Down 4363">
          <a:extLst>
            <a:ext uri="{FF2B5EF4-FFF2-40B4-BE49-F238E27FC236}">
              <a16:creationId xmlns:a16="http://schemas.microsoft.com/office/drawing/2014/main" id="{9C6FE3F0-CC74-4247-8F49-26C664AF732C}"/>
            </a:ext>
          </a:extLst>
        </xdr:cNvPr>
        <xdr:cNvSpPr/>
      </xdr:nvSpPr>
      <xdr:spPr>
        <a:xfrm>
          <a:off x="2180082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579</xdr:row>
      <xdr:rowOff>0</xdr:rowOff>
    </xdr:from>
    <xdr:to>
      <xdr:col>5</xdr:col>
      <xdr:colOff>83820</xdr:colOff>
      <xdr:row>579</xdr:row>
      <xdr:rowOff>114300</xdr:rowOff>
    </xdr:to>
    <xdr:sp macro="" textlink="">
      <xdr:nvSpPr>
        <xdr:cNvPr id="4365" name="Arrow: Down 4364">
          <a:extLst>
            <a:ext uri="{FF2B5EF4-FFF2-40B4-BE49-F238E27FC236}">
              <a16:creationId xmlns:a16="http://schemas.microsoft.com/office/drawing/2014/main" id="{C839F3DA-9827-4E87-BDBA-83D4D4BCB18A}"/>
            </a:ext>
          </a:extLst>
        </xdr:cNvPr>
        <xdr:cNvSpPr/>
      </xdr:nvSpPr>
      <xdr:spPr>
        <a:xfrm rot="10800000">
          <a:off x="192786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580</xdr:row>
      <xdr:rowOff>0</xdr:rowOff>
    </xdr:from>
    <xdr:to>
      <xdr:col>5</xdr:col>
      <xdr:colOff>83820</xdr:colOff>
      <xdr:row>580</xdr:row>
      <xdr:rowOff>114300</xdr:rowOff>
    </xdr:to>
    <xdr:sp macro="" textlink="">
      <xdr:nvSpPr>
        <xdr:cNvPr id="4366" name="Arrow: Down 4365">
          <a:extLst>
            <a:ext uri="{FF2B5EF4-FFF2-40B4-BE49-F238E27FC236}">
              <a16:creationId xmlns:a16="http://schemas.microsoft.com/office/drawing/2014/main" id="{12EC7171-4885-462E-BC26-AEF63BE754E6}"/>
            </a:ext>
          </a:extLst>
        </xdr:cNvPr>
        <xdr:cNvSpPr/>
      </xdr:nvSpPr>
      <xdr:spPr>
        <a:xfrm rot="10800000">
          <a:off x="192786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580</xdr:row>
      <xdr:rowOff>0</xdr:rowOff>
    </xdr:from>
    <xdr:to>
      <xdr:col>11</xdr:col>
      <xdr:colOff>83820</xdr:colOff>
      <xdr:row>580</xdr:row>
      <xdr:rowOff>114300</xdr:rowOff>
    </xdr:to>
    <xdr:sp macro="" textlink="">
      <xdr:nvSpPr>
        <xdr:cNvPr id="4368" name="Arrow: Down 4367">
          <a:extLst>
            <a:ext uri="{FF2B5EF4-FFF2-40B4-BE49-F238E27FC236}">
              <a16:creationId xmlns:a16="http://schemas.microsoft.com/office/drawing/2014/main" id="{F312AA2E-C962-4D4A-8F68-93E290192E5D}"/>
            </a:ext>
          </a:extLst>
        </xdr:cNvPr>
        <xdr:cNvSpPr/>
      </xdr:nvSpPr>
      <xdr:spPr>
        <a:xfrm rot="10800000">
          <a:off x="369570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579</xdr:row>
      <xdr:rowOff>0</xdr:rowOff>
    </xdr:from>
    <xdr:to>
      <xdr:col>11</xdr:col>
      <xdr:colOff>83820</xdr:colOff>
      <xdr:row>579</xdr:row>
      <xdr:rowOff>114300</xdr:rowOff>
    </xdr:to>
    <xdr:sp macro="" textlink="">
      <xdr:nvSpPr>
        <xdr:cNvPr id="4370" name="Arrow: Down 4369">
          <a:extLst>
            <a:ext uri="{FF2B5EF4-FFF2-40B4-BE49-F238E27FC236}">
              <a16:creationId xmlns:a16="http://schemas.microsoft.com/office/drawing/2014/main" id="{5A33B1D5-C470-4A6F-8C18-EE09B0239658}"/>
            </a:ext>
          </a:extLst>
        </xdr:cNvPr>
        <xdr:cNvSpPr/>
      </xdr:nvSpPr>
      <xdr:spPr>
        <a:xfrm rot="10800000">
          <a:off x="369570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579</xdr:row>
      <xdr:rowOff>0</xdr:rowOff>
    </xdr:from>
    <xdr:to>
      <xdr:col>24</xdr:col>
      <xdr:colOff>83820</xdr:colOff>
      <xdr:row>579</xdr:row>
      <xdr:rowOff>114300</xdr:rowOff>
    </xdr:to>
    <xdr:sp macro="" textlink="">
      <xdr:nvSpPr>
        <xdr:cNvPr id="4372" name="Arrow: Down 4371">
          <a:extLst>
            <a:ext uri="{FF2B5EF4-FFF2-40B4-BE49-F238E27FC236}">
              <a16:creationId xmlns:a16="http://schemas.microsoft.com/office/drawing/2014/main" id="{A1EBAFA5-615F-41BD-832F-45EA1F20EC7A}"/>
            </a:ext>
          </a:extLst>
        </xdr:cNvPr>
        <xdr:cNvSpPr/>
      </xdr:nvSpPr>
      <xdr:spPr>
        <a:xfrm rot="10800000">
          <a:off x="833628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580</xdr:row>
      <xdr:rowOff>0</xdr:rowOff>
    </xdr:from>
    <xdr:to>
      <xdr:col>24</xdr:col>
      <xdr:colOff>83820</xdr:colOff>
      <xdr:row>580</xdr:row>
      <xdr:rowOff>114300</xdr:rowOff>
    </xdr:to>
    <xdr:sp macro="" textlink="">
      <xdr:nvSpPr>
        <xdr:cNvPr id="4373" name="Arrow: Down 4372">
          <a:extLst>
            <a:ext uri="{FF2B5EF4-FFF2-40B4-BE49-F238E27FC236}">
              <a16:creationId xmlns:a16="http://schemas.microsoft.com/office/drawing/2014/main" id="{4A5E17A4-D00E-4A22-973B-7ACA3027C841}"/>
            </a:ext>
          </a:extLst>
        </xdr:cNvPr>
        <xdr:cNvSpPr/>
      </xdr:nvSpPr>
      <xdr:spPr>
        <a:xfrm rot="10800000">
          <a:off x="833628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581</xdr:row>
      <xdr:rowOff>0</xdr:rowOff>
    </xdr:from>
    <xdr:to>
      <xdr:col>5</xdr:col>
      <xdr:colOff>83820</xdr:colOff>
      <xdr:row>581</xdr:row>
      <xdr:rowOff>114300</xdr:rowOff>
    </xdr:to>
    <xdr:sp macro="" textlink="">
      <xdr:nvSpPr>
        <xdr:cNvPr id="4377" name="Arrow: Down 4376">
          <a:extLst>
            <a:ext uri="{FF2B5EF4-FFF2-40B4-BE49-F238E27FC236}">
              <a16:creationId xmlns:a16="http://schemas.microsoft.com/office/drawing/2014/main" id="{F824D448-36F4-4F89-9142-3A7DFEF3CA0F}"/>
            </a:ext>
          </a:extLst>
        </xdr:cNvPr>
        <xdr:cNvSpPr/>
      </xdr:nvSpPr>
      <xdr:spPr>
        <a:xfrm rot="10800000">
          <a:off x="192786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581</xdr:row>
      <xdr:rowOff>0</xdr:rowOff>
    </xdr:from>
    <xdr:to>
      <xdr:col>11</xdr:col>
      <xdr:colOff>83820</xdr:colOff>
      <xdr:row>581</xdr:row>
      <xdr:rowOff>114300</xdr:rowOff>
    </xdr:to>
    <xdr:sp macro="" textlink="">
      <xdr:nvSpPr>
        <xdr:cNvPr id="4378" name="Arrow: Down 4377">
          <a:extLst>
            <a:ext uri="{FF2B5EF4-FFF2-40B4-BE49-F238E27FC236}">
              <a16:creationId xmlns:a16="http://schemas.microsoft.com/office/drawing/2014/main" id="{30879408-D2EE-48A9-B7B8-1EB46E053D28}"/>
            </a:ext>
          </a:extLst>
        </xdr:cNvPr>
        <xdr:cNvSpPr/>
      </xdr:nvSpPr>
      <xdr:spPr>
        <a:xfrm rot="10800000">
          <a:off x="369570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581</xdr:row>
      <xdr:rowOff>0</xdr:rowOff>
    </xdr:from>
    <xdr:to>
      <xdr:col>24</xdr:col>
      <xdr:colOff>83820</xdr:colOff>
      <xdr:row>581</xdr:row>
      <xdr:rowOff>114300</xdr:rowOff>
    </xdr:to>
    <xdr:sp macro="" textlink="">
      <xdr:nvSpPr>
        <xdr:cNvPr id="4379" name="Arrow: Down 4378">
          <a:extLst>
            <a:ext uri="{FF2B5EF4-FFF2-40B4-BE49-F238E27FC236}">
              <a16:creationId xmlns:a16="http://schemas.microsoft.com/office/drawing/2014/main" id="{9DA51EBF-DCBC-4853-9D0A-9AFCF31F3E0F}"/>
            </a:ext>
          </a:extLst>
        </xdr:cNvPr>
        <xdr:cNvSpPr/>
      </xdr:nvSpPr>
      <xdr:spPr>
        <a:xfrm rot="10800000">
          <a:off x="833628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579</xdr:row>
      <xdr:rowOff>0</xdr:rowOff>
    </xdr:from>
    <xdr:to>
      <xdr:col>39</xdr:col>
      <xdr:colOff>83820</xdr:colOff>
      <xdr:row>579</xdr:row>
      <xdr:rowOff>114300</xdr:rowOff>
    </xdr:to>
    <xdr:sp macro="" textlink="">
      <xdr:nvSpPr>
        <xdr:cNvPr id="4381" name="Arrow: Down 4380">
          <a:extLst>
            <a:ext uri="{FF2B5EF4-FFF2-40B4-BE49-F238E27FC236}">
              <a16:creationId xmlns:a16="http://schemas.microsoft.com/office/drawing/2014/main" id="{5DBBCA23-61B7-41FD-8D81-F519C8521875}"/>
            </a:ext>
          </a:extLst>
        </xdr:cNvPr>
        <xdr:cNvSpPr/>
      </xdr:nvSpPr>
      <xdr:spPr>
        <a:xfrm rot="10800000">
          <a:off x="1154430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581</xdr:row>
      <xdr:rowOff>0</xdr:rowOff>
    </xdr:from>
    <xdr:to>
      <xdr:col>71</xdr:col>
      <xdr:colOff>83820</xdr:colOff>
      <xdr:row>581</xdr:row>
      <xdr:rowOff>114300</xdr:rowOff>
    </xdr:to>
    <xdr:sp macro="" textlink="">
      <xdr:nvSpPr>
        <xdr:cNvPr id="4383" name="Arrow: Down 4382">
          <a:extLst>
            <a:ext uri="{FF2B5EF4-FFF2-40B4-BE49-F238E27FC236}">
              <a16:creationId xmlns:a16="http://schemas.microsoft.com/office/drawing/2014/main" id="{A0FD9B62-A22D-4504-AAFD-49E869D52FC1}"/>
            </a:ext>
          </a:extLst>
        </xdr:cNvPr>
        <xdr:cNvSpPr/>
      </xdr:nvSpPr>
      <xdr:spPr>
        <a:xfrm>
          <a:off x="21800820" y="10616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579</xdr:row>
      <xdr:rowOff>0</xdr:rowOff>
    </xdr:from>
    <xdr:to>
      <xdr:col>60</xdr:col>
      <xdr:colOff>83820</xdr:colOff>
      <xdr:row>579</xdr:row>
      <xdr:rowOff>114300</xdr:rowOff>
    </xdr:to>
    <xdr:sp macro="" textlink="">
      <xdr:nvSpPr>
        <xdr:cNvPr id="4384" name="Arrow: Down 4383">
          <a:extLst>
            <a:ext uri="{FF2B5EF4-FFF2-40B4-BE49-F238E27FC236}">
              <a16:creationId xmlns:a16="http://schemas.microsoft.com/office/drawing/2014/main" id="{7FB78B71-A49A-424A-8211-D0F188C4F6DD}"/>
            </a:ext>
          </a:extLst>
        </xdr:cNvPr>
        <xdr:cNvSpPr/>
      </xdr:nvSpPr>
      <xdr:spPr>
        <a:xfrm>
          <a:off x="1908048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580</xdr:row>
      <xdr:rowOff>0</xdr:rowOff>
    </xdr:from>
    <xdr:to>
      <xdr:col>60</xdr:col>
      <xdr:colOff>83820</xdr:colOff>
      <xdr:row>580</xdr:row>
      <xdr:rowOff>114300</xdr:rowOff>
    </xdr:to>
    <xdr:sp macro="" textlink="">
      <xdr:nvSpPr>
        <xdr:cNvPr id="4386" name="Arrow: Down 4385">
          <a:extLst>
            <a:ext uri="{FF2B5EF4-FFF2-40B4-BE49-F238E27FC236}">
              <a16:creationId xmlns:a16="http://schemas.microsoft.com/office/drawing/2014/main" id="{A381D166-CD08-4D8A-8692-88465102D899}"/>
            </a:ext>
          </a:extLst>
        </xdr:cNvPr>
        <xdr:cNvSpPr/>
      </xdr:nvSpPr>
      <xdr:spPr>
        <a:xfrm>
          <a:off x="19080480" y="10616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582</xdr:row>
      <xdr:rowOff>0</xdr:rowOff>
    </xdr:from>
    <xdr:to>
      <xdr:col>45</xdr:col>
      <xdr:colOff>83820</xdr:colOff>
      <xdr:row>582</xdr:row>
      <xdr:rowOff>114300</xdr:rowOff>
    </xdr:to>
    <xdr:sp macro="" textlink="">
      <xdr:nvSpPr>
        <xdr:cNvPr id="4387" name="Arrow: Down 4386">
          <a:extLst>
            <a:ext uri="{FF2B5EF4-FFF2-40B4-BE49-F238E27FC236}">
              <a16:creationId xmlns:a16="http://schemas.microsoft.com/office/drawing/2014/main" id="{B1891F61-EBBF-4160-8B11-82355C52C6D2}"/>
            </a:ext>
          </a:extLst>
        </xdr:cNvPr>
        <xdr:cNvSpPr/>
      </xdr:nvSpPr>
      <xdr:spPr>
        <a:xfrm rot="10800000">
          <a:off x="13403580" y="10635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582</xdr:row>
      <xdr:rowOff>0</xdr:rowOff>
    </xdr:from>
    <xdr:to>
      <xdr:col>39</xdr:col>
      <xdr:colOff>83820</xdr:colOff>
      <xdr:row>582</xdr:row>
      <xdr:rowOff>114300</xdr:rowOff>
    </xdr:to>
    <xdr:sp macro="" textlink="">
      <xdr:nvSpPr>
        <xdr:cNvPr id="4388" name="Arrow: Down 4387">
          <a:extLst>
            <a:ext uri="{FF2B5EF4-FFF2-40B4-BE49-F238E27FC236}">
              <a16:creationId xmlns:a16="http://schemas.microsoft.com/office/drawing/2014/main" id="{36569112-2308-49A7-9EFF-2F9C32564FC4}"/>
            </a:ext>
          </a:extLst>
        </xdr:cNvPr>
        <xdr:cNvSpPr/>
      </xdr:nvSpPr>
      <xdr:spPr>
        <a:xfrm>
          <a:off x="11544300" y="10635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582</xdr:row>
      <xdr:rowOff>0</xdr:rowOff>
    </xdr:from>
    <xdr:to>
      <xdr:col>60</xdr:col>
      <xdr:colOff>83820</xdr:colOff>
      <xdr:row>582</xdr:row>
      <xdr:rowOff>114300</xdr:rowOff>
    </xdr:to>
    <xdr:sp macro="" textlink="">
      <xdr:nvSpPr>
        <xdr:cNvPr id="4389" name="Arrow: Down 4388">
          <a:extLst>
            <a:ext uri="{FF2B5EF4-FFF2-40B4-BE49-F238E27FC236}">
              <a16:creationId xmlns:a16="http://schemas.microsoft.com/office/drawing/2014/main" id="{59F1430C-28F3-4EE8-AA89-6F3EC70A011D}"/>
            </a:ext>
          </a:extLst>
        </xdr:cNvPr>
        <xdr:cNvSpPr/>
      </xdr:nvSpPr>
      <xdr:spPr>
        <a:xfrm rot="10800000">
          <a:off x="19080480" y="10635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582</xdr:row>
      <xdr:rowOff>0</xdr:rowOff>
    </xdr:from>
    <xdr:to>
      <xdr:col>71</xdr:col>
      <xdr:colOff>83820</xdr:colOff>
      <xdr:row>582</xdr:row>
      <xdr:rowOff>114300</xdr:rowOff>
    </xdr:to>
    <xdr:sp macro="" textlink="">
      <xdr:nvSpPr>
        <xdr:cNvPr id="4393" name="Arrow: Down 4392">
          <a:extLst>
            <a:ext uri="{FF2B5EF4-FFF2-40B4-BE49-F238E27FC236}">
              <a16:creationId xmlns:a16="http://schemas.microsoft.com/office/drawing/2014/main" id="{895901D1-5E28-441D-8BF4-C3838FDED9DE}"/>
            </a:ext>
          </a:extLst>
        </xdr:cNvPr>
        <xdr:cNvSpPr/>
      </xdr:nvSpPr>
      <xdr:spPr>
        <a:xfrm>
          <a:off x="21800820" y="10635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582</xdr:row>
      <xdr:rowOff>0</xdr:rowOff>
    </xdr:from>
    <xdr:to>
      <xdr:col>24</xdr:col>
      <xdr:colOff>83820</xdr:colOff>
      <xdr:row>582</xdr:row>
      <xdr:rowOff>114300</xdr:rowOff>
    </xdr:to>
    <xdr:sp macro="" textlink="">
      <xdr:nvSpPr>
        <xdr:cNvPr id="4398" name="Arrow: Down 4397">
          <a:extLst>
            <a:ext uri="{FF2B5EF4-FFF2-40B4-BE49-F238E27FC236}">
              <a16:creationId xmlns:a16="http://schemas.microsoft.com/office/drawing/2014/main" id="{54CD9FBF-9947-4D41-9C06-D688C92EED9E}"/>
            </a:ext>
          </a:extLst>
        </xdr:cNvPr>
        <xdr:cNvSpPr/>
      </xdr:nvSpPr>
      <xdr:spPr>
        <a:xfrm>
          <a:off x="833628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583</xdr:row>
      <xdr:rowOff>0</xdr:rowOff>
    </xdr:from>
    <xdr:to>
      <xdr:col>45</xdr:col>
      <xdr:colOff>83820</xdr:colOff>
      <xdr:row>583</xdr:row>
      <xdr:rowOff>114300</xdr:rowOff>
    </xdr:to>
    <xdr:sp macro="" textlink="">
      <xdr:nvSpPr>
        <xdr:cNvPr id="4399" name="Arrow: Down 4398">
          <a:extLst>
            <a:ext uri="{FF2B5EF4-FFF2-40B4-BE49-F238E27FC236}">
              <a16:creationId xmlns:a16="http://schemas.microsoft.com/office/drawing/2014/main" id="{EC6791D1-F4E8-47A3-8319-D600D22F4BBE}"/>
            </a:ext>
          </a:extLst>
        </xdr:cNvPr>
        <xdr:cNvSpPr/>
      </xdr:nvSpPr>
      <xdr:spPr>
        <a:xfrm rot="10800000">
          <a:off x="1340358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583</xdr:row>
      <xdr:rowOff>0</xdr:rowOff>
    </xdr:from>
    <xdr:to>
      <xdr:col>71</xdr:col>
      <xdr:colOff>83820</xdr:colOff>
      <xdr:row>583</xdr:row>
      <xdr:rowOff>114300</xdr:rowOff>
    </xdr:to>
    <xdr:sp macro="" textlink="">
      <xdr:nvSpPr>
        <xdr:cNvPr id="4402" name="Arrow: Down 4401">
          <a:extLst>
            <a:ext uri="{FF2B5EF4-FFF2-40B4-BE49-F238E27FC236}">
              <a16:creationId xmlns:a16="http://schemas.microsoft.com/office/drawing/2014/main" id="{70300858-970F-4047-A7FB-E886592346FA}"/>
            </a:ext>
          </a:extLst>
        </xdr:cNvPr>
        <xdr:cNvSpPr/>
      </xdr:nvSpPr>
      <xdr:spPr>
        <a:xfrm>
          <a:off x="2180082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583</xdr:row>
      <xdr:rowOff>0</xdr:rowOff>
    </xdr:from>
    <xdr:to>
      <xdr:col>5</xdr:col>
      <xdr:colOff>83820</xdr:colOff>
      <xdr:row>583</xdr:row>
      <xdr:rowOff>114300</xdr:rowOff>
    </xdr:to>
    <xdr:sp macro="" textlink="">
      <xdr:nvSpPr>
        <xdr:cNvPr id="4403" name="Arrow: Down 4402">
          <a:extLst>
            <a:ext uri="{FF2B5EF4-FFF2-40B4-BE49-F238E27FC236}">
              <a16:creationId xmlns:a16="http://schemas.microsoft.com/office/drawing/2014/main" id="{8FD2FC3B-FFA7-40F4-AACA-68FD5CC5818B}"/>
            </a:ext>
          </a:extLst>
        </xdr:cNvPr>
        <xdr:cNvSpPr/>
      </xdr:nvSpPr>
      <xdr:spPr>
        <a:xfrm rot="10800000">
          <a:off x="1927860" y="10653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583</xdr:row>
      <xdr:rowOff>0</xdr:rowOff>
    </xdr:from>
    <xdr:to>
      <xdr:col>11</xdr:col>
      <xdr:colOff>83820</xdr:colOff>
      <xdr:row>583</xdr:row>
      <xdr:rowOff>114300</xdr:rowOff>
    </xdr:to>
    <xdr:sp macro="" textlink="">
      <xdr:nvSpPr>
        <xdr:cNvPr id="4404" name="Arrow: Down 4403">
          <a:extLst>
            <a:ext uri="{FF2B5EF4-FFF2-40B4-BE49-F238E27FC236}">
              <a16:creationId xmlns:a16="http://schemas.microsoft.com/office/drawing/2014/main" id="{61A19163-D9F1-4C43-86CB-F0A9E0FE11E1}"/>
            </a:ext>
          </a:extLst>
        </xdr:cNvPr>
        <xdr:cNvSpPr/>
      </xdr:nvSpPr>
      <xdr:spPr>
        <a:xfrm rot="10800000">
          <a:off x="3695700" y="10653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582</xdr:row>
      <xdr:rowOff>0</xdr:rowOff>
    </xdr:from>
    <xdr:to>
      <xdr:col>5</xdr:col>
      <xdr:colOff>83820</xdr:colOff>
      <xdr:row>582</xdr:row>
      <xdr:rowOff>114300</xdr:rowOff>
    </xdr:to>
    <xdr:sp macro="" textlink="">
      <xdr:nvSpPr>
        <xdr:cNvPr id="4408" name="Arrow: Down 4407">
          <a:extLst>
            <a:ext uri="{FF2B5EF4-FFF2-40B4-BE49-F238E27FC236}">
              <a16:creationId xmlns:a16="http://schemas.microsoft.com/office/drawing/2014/main" id="{B471AED2-4DCD-4FCE-B45F-A68F8C21B534}"/>
            </a:ext>
          </a:extLst>
        </xdr:cNvPr>
        <xdr:cNvSpPr/>
      </xdr:nvSpPr>
      <xdr:spPr>
        <a:xfrm>
          <a:off x="192786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582</xdr:row>
      <xdr:rowOff>0</xdr:rowOff>
    </xdr:from>
    <xdr:to>
      <xdr:col>11</xdr:col>
      <xdr:colOff>83820</xdr:colOff>
      <xdr:row>582</xdr:row>
      <xdr:rowOff>114300</xdr:rowOff>
    </xdr:to>
    <xdr:sp macro="" textlink="">
      <xdr:nvSpPr>
        <xdr:cNvPr id="4409" name="Arrow: Down 4408">
          <a:extLst>
            <a:ext uri="{FF2B5EF4-FFF2-40B4-BE49-F238E27FC236}">
              <a16:creationId xmlns:a16="http://schemas.microsoft.com/office/drawing/2014/main" id="{6A3B9955-A575-458B-A00B-8B9470648899}"/>
            </a:ext>
          </a:extLst>
        </xdr:cNvPr>
        <xdr:cNvSpPr/>
      </xdr:nvSpPr>
      <xdr:spPr>
        <a:xfrm>
          <a:off x="369570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583</xdr:row>
      <xdr:rowOff>0</xdr:rowOff>
    </xdr:from>
    <xdr:to>
      <xdr:col>24</xdr:col>
      <xdr:colOff>83820</xdr:colOff>
      <xdr:row>583</xdr:row>
      <xdr:rowOff>114300</xdr:rowOff>
    </xdr:to>
    <xdr:sp macro="" textlink="">
      <xdr:nvSpPr>
        <xdr:cNvPr id="4411" name="Arrow: Down 4410">
          <a:extLst>
            <a:ext uri="{FF2B5EF4-FFF2-40B4-BE49-F238E27FC236}">
              <a16:creationId xmlns:a16="http://schemas.microsoft.com/office/drawing/2014/main" id="{18D2321A-BC6F-437A-AE3A-0F611749AFAE}"/>
            </a:ext>
          </a:extLst>
        </xdr:cNvPr>
        <xdr:cNvSpPr/>
      </xdr:nvSpPr>
      <xdr:spPr>
        <a:xfrm rot="10800000">
          <a:off x="8336280" y="10671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583</xdr:row>
      <xdr:rowOff>0</xdr:rowOff>
    </xdr:from>
    <xdr:to>
      <xdr:col>39</xdr:col>
      <xdr:colOff>83820</xdr:colOff>
      <xdr:row>583</xdr:row>
      <xdr:rowOff>114300</xdr:rowOff>
    </xdr:to>
    <xdr:sp macro="" textlink="">
      <xdr:nvSpPr>
        <xdr:cNvPr id="4412" name="Arrow: Down 4411">
          <a:extLst>
            <a:ext uri="{FF2B5EF4-FFF2-40B4-BE49-F238E27FC236}">
              <a16:creationId xmlns:a16="http://schemas.microsoft.com/office/drawing/2014/main" id="{74F96F85-DDCB-48A3-9667-8AF3CE9CDF94}"/>
            </a:ext>
          </a:extLst>
        </xdr:cNvPr>
        <xdr:cNvSpPr/>
      </xdr:nvSpPr>
      <xdr:spPr>
        <a:xfrm rot="10800000">
          <a:off x="1154430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583</xdr:row>
      <xdr:rowOff>0</xdr:rowOff>
    </xdr:from>
    <xdr:to>
      <xdr:col>60</xdr:col>
      <xdr:colOff>83820</xdr:colOff>
      <xdr:row>583</xdr:row>
      <xdr:rowOff>114300</xdr:rowOff>
    </xdr:to>
    <xdr:sp macro="" textlink="">
      <xdr:nvSpPr>
        <xdr:cNvPr id="4414" name="Arrow: Down 4413">
          <a:extLst>
            <a:ext uri="{FF2B5EF4-FFF2-40B4-BE49-F238E27FC236}">
              <a16:creationId xmlns:a16="http://schemas.microsoft.com/office/drawing/2014/main" id="{12AD8344-7C4F-432A-B8EA-33D0C87FED5C}"/>
            </a:ext>
          </a:extLst>
        </xdr:cNvPr>
        <xdr:cNvSpPr/>
      </xdr:nvSpPr>
      <xdr:spPr>
        <a:xfrm>
          <a:off x="1908048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584</xdr:row>
      <xdr:rowOff>0</xdr:rowOff>
    </xdr:from>
    <xdr:to>
      <xdr:col>45</xdr:col>
      <xdr:colOff>83820</xdr:colOff>
      <xdr:row>584</xdr:row>
      <xdr:rowOff>114300</xdr:rowOff>
    </xdr:to>
    <xdr:sp macro="" textlink="">
      <xdr:nvSpPr>
        <xdr:cNvPr id="4415" name="Arrow: Down 4414">
          <a:extLst>
            <a:ext uri="{FF2B5EF4-FFF2-40B4-BE49-F238E27FC236}">
              <a16:creationId xmlns:a16="http://schemas.microsoft.com/office/drawing/2014/main" id="{82A4A13D-3ED4-4BD6-805E-2A06EB794D66}"/>
            </a:ext>
          </a:extLst>
        </xdr:cNvPr>
        <xdr:cNvSpPr/>
      </xdr:nvSpPr>
      <xdr:spPr>
        <a:xfrm rot="10800000">
          <a:off x="1340358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584</xdr:row>
      <xdr:rowOff>0</xdr:rowOff>
    </xdr:from>
    <xdr:to>
      <xdr:col>71</xdr:col>
      <xdr:colOff>83820</xdr:colOff>
      <xdr:row>584</xdr:row>
      <xdr:rowOff>114300</xdr:rowOff>
    </xdr:to>
    <xdr:sp macro="" textlink="">
      <xdr:nvSpPr>
        <xdr:cNvPr id="4416" name="Arrow: Down 4415">
          <a:extLst>
            <a:ext uri="{FF2B5EF4-FFF2-40B4-BE49-F238E27FC236}">
              <a16:creationId xmlns:a16="http://schemas.microsoft.com/office/drawing/2014/main" id="{A8AB3193-B48D-48E5-8F8C-C0FE71F1B2A5}"/>
            </a:ext>
          </a:extLst>
        </xdr:cNvPr>
        <xdr:cNvSpPr/>
      </xdr:nvSpPr>
      <xdr:spPr>
        <a:xfrm>
          <a:off x="2180082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584</xdr:row>
      <xdr:rowOff>0</xdr:rowOff>
    </xdr:from>
    <xdr:to>
      <xdr:col>60</xdr:col>
      <xdr:colOff>83820</xdr:colOff>
      <xdr:row>584</xdr:row>
      <xdr:rowOff>114300</xdr:rowOff>
    </xdr:to>
    <xdr:sp macro="" textlink="">
      <xdr:nvSpPr>
        <xdr:cNvPr id="4423" name="Arrow: Down 4422">
          <a:extLst>
            <a:ext uri="{FF2B5EF4-FFF2-40B4-BE49-F238E27FC236}">
              <a16:creationId xmlns:a16="http://schemas.microsoft.com/office/drawing/2014/main" id="{8AC4232E-6D7F-49B7-876E-31321D2ADC7E}"/>
            </a:ext>
          </a:extLst>
        </xdr:cNvPr>
        <xdr:cNvSpPr/>
      </xdr:nvSpPr>
      <xdr:spPr>
        <a:xfrm rot="10800000">
          <a:off x="19080480" y="10690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584</xdr:row>
      <xdr:rowOff>0</xdr:rowOff>
    </xdr:from>
    <xdr:to>
      <xdr:col>24</xdr:col>
      <xdr:colOff>83820</xdr:colOff>
      <xdr:row>584</xdr:row>
      <xdr:rowOff>114300</xdr:rowOff>
    </xdr:to>
    <xdr:sp macro="" textlink="">
      <xdr:nvSpPr>
        <xdr:cNvPr id="4425" name="Arrow: Down 4424">
          <a:extLst>
            <a:ext uri="{FF2B5EF4-FFF2-40B4-BE49-F238E27FC236}">
              <a16:creationId xmlns:a16="http://schemas.microsoft.com/office/drawing/2014/main" id="{4ED03732-A011-4DFA-B12C-63EB34BB434A}"/>
            </a:ext>
          </a:extLst>
        </xdr:cNvPr>
        <xdr:cNvSpPr/>
      </xdr:nvSpPr>
      <xdr:spPr>
        <a:xfrm>
          <a:off x="833628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584</xdr:row>
      <xdr:rowOff>0</xdr:rowOff>
    </xdr:from>
    <xdr:to>
      <xdr:col>39</xdr:col>
      <xdr:colOff>83820</xdr:colOff>
      <xdr:row>584</xdr:row>
      <xdr:rowOff>114300</xdr:rowOff>
    </xdr:to>
    <xdr:sp macro="" textlink="">
      <xdr:nvSpPr>
        <xdr:cNvPr id="4427" name="Arrow: Down 4426">
          <a:extLst>
            <a:ext uri="{FF2B5EF4-FFF2-40B4-BE49-F238E27FC236}">
              <a16:creationId xmlns:a16="http://schemas.microsoft.com/office/drawing/2014/main" id="{C56A7B74-9A74-4594-B823-08303B87FCD1}"/>
            </a:ext>
          </a:extLst>
        </xdr:cNvPr>
        <xdr:cNvSpPr/>
      </xdr:nvSpPr>
      <xdr:spPr>
        <a:xfrm>
          <a:off x="11544300" y="10690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584</xdr:row>
      <xdr:rowOff>0</xdr:rowOff>
    </xdr:from>
    <xdr:to>
      <xdr:col>5</xdr:col>
      <xdr:colOff>83820</xdr:colOff>
      <xdr:row>584</xdr:row>
      <xdr:rowOff>114300</xdr:rowOff>
    </xdr:to>
    <xdr:sp macro="" textlink="">
      <xdr:nvSpPr>
        <xdr:cNvPr id="4428" name="Arrow: Down 4427">
          <a:extLst>
            <a:ext uri="{FF2B5EF4-FFF2-40B4-BE49-F238E27FC236}">
              <a16:creationId xmlns:a16="http://schemas.microsoft.com/office/drawing/2014/main" id="{B62A0F49-9561-4B4A-BE99-57B51B5783A8}"/>
            </a:ext>
          </a:extLst>
        </xdr:cNvPr>
        <xdr:cNvSpPr/>
      </xdr:nvSpPr>
      <xdr:spPr>
        <a:xfrm>
          <a:off x="192786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584</xdr:row>
      <xdr:rowOff>0</xdr:rowOff>
    </xdr:from>
    <xdr:to>
      <xdr:col>11</xdr:col>
      <xdr:colOff>83820</xdr:colOff>
      <xdr:row>584</xdr:row>
      <xdr:rowOff>114300</xdr:rowOff>
    </xdr:to>
    <xdr:sp macro="" textlink="">
      <xdr:nvSpPr>
        <xdr:cNvPr id="4429" name="Arrow: Down 4428">
          <a:extLst>
            <a:ext uri="{FF2B5EF4-FFF2-40B4-BE49-F238E27FC236}">
              <a16:creationId xmlns:a16="http://schemas.microsoft.com/office/drawing/2014/main" id="{B9E3B9D4-8A32-4950-925D-9B06B5B1EBFB}"/>
            </a:ext>
          </a:extLst>
        </xdr:cNvPr>
        <xdr:cNvSpPr/>
      </xdr:nvSpPr>
      <xdr:spPr>
        <a:xfrm>
          <a:off x="369570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585</xdr:row>
      <xdr:rowOff>0</xdr:rowOff>
    </xdr:from>
    <xdr:to>
      <xdr:col>45</xdr:col>
      <xdr:colOff>83820</xdr:colOff>
      <xdr:row>585</xdr:row>
      <xdr:rowOff>114300</xdr:rowOff>
    </xdr:to>
    <xdr:sp macro="" textlink="">
      <xdr:nvSpPr>
        <xdr:cNvPr id="4437" name="Arrow: Down 4436">
          <a:extLst>
            <a:ext uri="{FF2B5EF4-FFF2-40B4-BE49-F238E27FC236}">
              <a16:creationId xmlns:a16="http://schemas.microsoft.com/office/drawing/2014/main" id="{FA856FF3-6D3F-4E97-A990-D299A6517649}"/>
            </a:ext>
          </a:extLst>
        </xdr:cNvPr>
        <xdr:cNvSpPr/>
      </xdr:nvSpPr>
      <xdr:spPr>
        <a:xfrm rot="10800000">
          <a:off x="1340358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585</xdr:row>
      <xdr:rowOff>0</xdr:rowOff>
    </xdr:from>
    <xdr:to>
      <xdr:col>71</xdr:col>
      <xdr:colOff>83820</xdr:colOff>
      <xdr:row>585</xdr:row>
      <xdr:rowOff>114300</xdr:rowOff>
    </xdr:to>
    <xdr:sp macro="" textlink="">
      <xdr:nvSpPr>
        <xdr:cNvPr id="4438" name="Arrow: Down 4437">
          <a:extLst>
            <a:ext uri="{FF2B5EF4-FFF2-40B4-BE49-F238E27FC236}">
              <a16:creationId xmlns:a16="http://schemas.microsoft.com/office/drawing/2014/main" id="{FB2D0603-38D4-47D6-82B9-C010EA686C7A}"/>
            </a:ext>
          </a:extLst>
        </xdr:cNvPr>
        <xdr:cNvSpPr/>
      </xdr:nvSpPr>
      <xdr:spPr>
        <a:xfrm>
          <a:off x="2180082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585</xdr:row>
      <xdr:rowOff>0</xdr:rowOff>
    </xdr:from>
    <xdr:to>
      <xdr:col>24</xdr:col>
      <xdr:colOff>83820</xdr:colOff>
      <xdr:row>585</xdr:row>
      <xdr:rowOff>114300</xdr:rowOff>
    </xdr:to>
    <xdr:sp macro="" textlink="">
      <xdr:nvSpPr>
        <xdr:cNvPr id="4440" name="Arrow: Down 4439">
          <a:extLst>
            <a:ext uri="{FF2B5EF4-FFF2-40B4-BE49-F238E27FC236}">
              <a16:creationId xmlns:a16="http://schemas.microsoft.com/office/drawing/2014/main" id="{1B413D82-59A6-44AD-A9E7-E7F8A5F57175}"/>
            </a:ext>
          </a:extLst>
        </xdr:cNvPr>
        <xdr:cNvSpPr/>
      </xdr:nvSpPr>
      <xdr:spPr>
        <a:xfrm>
          <a:off x="833628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585</xdr:row>
      <xdr:rowOff>0</xdr:rowOff>
    </xdr:from>
    <xdr:to>
      <xdr:col>39</xdr:col>
      <xdr:colOff>83820</xdr:colOff>
      <xdr:row>585</xdr:row>
      <xdr:rowOff>114300</xdr:rowOff>
    </xdr:to>
    <xdr:sp macro="" textlink="">
      <xdr:nvSpPr>
        <xdr:cNvPr id="4441" name="Arrow: Down 4440">
          <a:extLst>
            <a:ext uri="{FF2B5EF4-FFF2-40B4-BE49-F238E27FC236}">
              <a16:creationId xmlns:a16="http://schemas.microsoft.com/office/drawing/2014/main" id="{8608A392-A68F-49A4-8EFA-BDFA96A6595C}"/>
            </a:ext>
          </a:extLst>
        </xdr:cNvPr>
        <xdr:cNvSpPr/>
      </xdr:nvSpPr>
      <xdr:spPr>
        <a:xfrm>
          <a:off x="11544300" y="10690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585</xdr:row>
      <xdr:rowOff>0</xdr:rowOff>
    </xdr:from>
    <xdr:to>
      <xdr:col>5</xdr:col>
      <xdr:colOff>83820</xdr:colOff>
      <xdr:row>585</xdr:row>
      <xdr:rowOff>114300</xdr:rowOff>
    </xdr:to>
    <xdr:sp macro="" textlink="">
      <xdr:nvSpPr>
        <xdr:cNvPr id="4442" name="Arrow: Down 4441">
          <a:extLst>
            <a:ext uri="{FF2B5EF4-FFF2-40B4-BE49-F238E27FC236}">
              <a16:creationId xmlns:a16="http://schemas.microsoft.com/office/drawing/2014/main" id="{B4D48F9F-03C1-4397-997C-3FD97176234C}"/>
            </a:ext>
          </a:extLst>
        </xdr:cNvPr>
        <xdr:cNvSpPr/>
      </xdr:nvSpPr>
      <xdr:spPr>
        <a:xfrm>
          <a:off x="192786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585</xdr:row>
      <xdr:rowOff>0</xdr:rowOff>
    </xdr:from>
    <xdr:to>
      <xdr:col>11</xdr:col>
      <xdr:colOff>83820</xdr:colOff>
      <xdr:row>585</xdr:row>
      <xdr:rowOff>114300</xdr:rowOff>
    </xdr:to>
    <xdr:sp macro="" textlink="">
      <xdr:nvSpPr>
        <xdr:cNvPr id="4443" name="Arrow: Down 4442">
          <a:extLst>
            <a:ext uri="{FF2B5EF4-FFF2-40B4-BE49-F238E27FC236}">
              <a16:creationId xmlns:a16="http://schemas.microsoft.com/office/drawing/2014/main" id="{94BAC50B-7F70-44CC-AC14-A9419B9F4C04}"/>
            </a:ext>
          </a:extLst>
        </xdr:cNvPr>
        <xdr:cNvSpPr/>
      </xdr:nvSpPr>
      <xdr:spPr>
        <a:xfrm>
          <a:off x="369570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585</xdr:row>
      <xdr:rowOff>0</xdr:rowOff>
    </xdr:from>
    <xdr:to>
      <xdr:col>60</xdr:col>
      <xdr:colOff>83820</xdr:colOff>
      <xdr:row>585</xdr:row>
      <xdr:rowOff>114300</xdr:rowOff>
    </xdr:to>
    <xdr:sp macro="" textlink="">
      <xdr:nvSpPr>
        <xdr:cNvPr id="4445" name="Arrow: Down 4444">
          <a:extLst>
            <a:ext uri="{FF2B5EF4-FFF2-40B4-BE49-F238E27FC236}">
              <a16:creationId xmlns:a16="http://schemas.microsoft.com/office/drawing/2014/main" id="{34D70ECF-D39C-492D-82FD-E4F82800FB61}"/>
            </a:ext>
          </a:extLst>
        </xdr:cNvPr>
        <xdr:cNvSpPr/>
      </xdr:nvSpPr>
      <xdr:spPr>
        <a:xfrm>
          <a:off x="1908048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58</xdr:col>
      <xdr:colOff>708660</xdr:colOff>
      <xdr:row>892</xdr:row>
      <xdr:rowOff>60960</xdr:rowOff>
    </xdr:from>
    <xdr:to>
      <xdr:col>76</xdr:col>
      <xdr:colOff>60960</xdr:colOff>
      <xdr:row>892</xdr:row>
      <xdr:rowOff>68580</xdr:rowOff>
    </xdr:to>
    <xdr:cxnSp macro="">
      <xdr:nvCxnSpPr>
        <xdr:cNvPr id="10" name="Straight Connector 9">
          <a:extLst>
            <a:ext uri="{FF2B5EF4-FFF2-40B4-BE49-F238E27FC236}">
              <a16:creationId xmlns:a16="http://schemas.microsoft.com/office/drawing/2014/main" id="{000E06B8-8AAD-47B2-8FC3-1565DB99F2DF}"/>
            </a:ext>
          </a:extLst>
        </xdr:cNvPr>
        <xdr:cNvCxnSpPr/>
      </xdr:nvCxnSpPr>
      <xdr:spPr>
        <a:xfrm flipV="1">
          <a:off x="18874740" y="131589780"/>
          <a:ext cx="3985260" cy="7620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0</xdr:colOff>
      <xdr:row>586</xdr:row>
      <xdr:rowOff>0</xdr:rowOff>
    </xdr:from>
    <xdr:to>
      <xdr:col>45</xdr:col>
      <xdr:colOff>83820</xdr:colOff>
      <xdr:row>586</xdr:row>
      <xdr:rowOff>114300</xdr:rowOff>
    </xdr:to>
    <xdr:sp macro="" textlink="">
      <xdr:nvSpPr>
        <xdr:cNvPr id="4453" name="Arrow: Down 4452">
          <a:extLst>
            <a:ext uri="{FF2B5EF4-FFF2-40B4-BE49-F238E27FC236}">
              <a16:creationId xmlns:a16="http://schemas.microsoft.com/office/drawing/2014/main" id="{DE11FCDE-2AB6-4B83-A7C9-14B5713FF792}"/>
            </a:ext>
          </a:extLst>
        </xdr:cNvPr>
        <xdr:cNvSpPr/>
      </xdr:nvSpPr>
      <xdr:spPr>
        <a:xfrm rot="10800000">
          <a:off x="1340358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586</xdr:row>
      <xdr:rowOff>0</xdr:rowOff>
    </xdr:from>
    <xdr:to>
      <xdr:col>71</xdr:col>
      <xdr:colOff>83820</xdr:colOff>
      <xdr:row>586</xdr:row>
      <xdr:rowOff>114300</xdr:rowOff>
    </xdr:to>
    <xdr:sp macro="" textlink="">
      <xdr:nvSpPr>
        <xdr:cNvPr id="4454" name="Arrow: Down 4453">
          <a:extLst>
            <a:ext uri="{FF2B5EF4-FFF2-40B4-BE49-F238E27FC236}">
              <a16:creationId xmlns:a16="http://schemas.microsoft.com/office/drawing/2014/main" id="{DAF44BBD-330B-480C-89ED-6AB52A52202E}"/>
            </a:ext>
          </a:extLst>
        </xdr:cNvPr>
        <xdr:cNvSpPr/>
      </xdr:nvSpPr>
      <xdr:spPr>
        <a:xfrm>
          <a:off x="2180082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586</xdr:row>
      <xdr:rowOff>0</xdr:rowOff>
    </xdr:from>
    <xdr:to>
      <xdr:col>60</xdr:col>
      <xdr:colOff>83820</xdr:colOff>
      <xdr:row>586</xdr:row>
      <xdr:rowOff>114300</xdr:rowOff>
    </xdr:to>
    <xdr:sp macro="" textlink="">
      <xdr:nvSpPr>
        <xdr:cNvPr id="4459" name="Arrow: Down 4458">
          <a:extLst>
            <a:ext uri="{FF2B5EF4-FFF2-40B4-BE49-F238E27FC236}">
              <a16:creationId xmlns:a16="http://schemas.microsoft.com/office/drawing/2014/main" id="{22001B11-37FC-4F16-8671-B43F5417872B}"/>
            </a:ext>
          </a:extLst>
        </xdr:cNvPr>
        <xdr:cNvSpPr/>
      </xdr:nvSpPr>
      <xdr:spPr>
        <a:xfrm>
          <a:off x="1908048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586</xdr:row>
      <xdr:rowOff>0</xdr:rowOff>
    </xdr:from>
    <xdr:to>
      <xdr:col>39</xdr:col>
      <xdr:colOff>83820</xdr:colOff>
      <xdr:row>586</xdr:row>
      <xdr:rowOff>114300</xdr:rowOff>
    </xdr:to>
    <xdr:sp macro="" textlink="">
      <xdr:nvSpPr>
        <xdr:cNvPr id="4460" name="Arrow: Down 4459">
          <a:extLst>
            <a:ext uri="{FF2B5EF4-FFF2-40B4-BE49-F238E27FC236}">
              <a16:creationId xmlns:a16="http://schemas.microsoft.com/office/drawing/2014/main" id="{D24706C1-B755-4493-9732-A0ECA9D9795F}"/>
            </a:ext>
          </a:extLst>
        </xdr:cNvPr>
        <xdr:cNvSpPr/>
      </xdr:nvSpPr>
      <xdr:spPr>
        <a:xfrm rot="10800000">
          <a:off x="11544300" y="10726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586</xdr:row>
      <xdr:rowOff>0</xdr:rowOff>
    </xdr:from>
    <xdr:to>
      <xdr:col>24</xdr:col>
      <xdr:colOff>83820</xdr:colOff>
      <xdr:row>586</xdr:row>
      <xdr:rowOff>114300</xdr:rowOff>
    </xdr:to>
    <xdr:sp macro="" textlink="">
      <xdr:nvSpPr>
        <xdr:cNvPr id="4462" name="Arrow: Down 4461">
          <a:extLst>
            <a:ext uri="{FF2B5EF4-FFF2-40B4-BE49-F238E27FC236}">
              <a16:creationId xmlns:a16="http://schemas.microsoft.com/office/drawing/2014/main" id="{5C6E4D67-7C68-4C9B-8769-67F77D40BD18}"/>
            </a:ext>
          </a:extLst>
        </xdr:cNvPr>
        <xdr:cNvSpPr/>
      </xdr:nvSpPr>
      <xdr:spPr>
        <a:xfrm rot="10800000">
          <a:off x="833628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586</xdr:row>
      <xdr:rowOff>0</xdr:rowOff>
    </xdr:from>
    <xdr:to>
      <xdr:col>11</xdr:col>
      <xdr:colOff>83820</xdr:colOff>
      <xdr:row>586</xdr:row>
      <xdr:rowOff>114300</xdr:rowOff>
    </xdr:to>
    <xdr:sp macro="" textlink="">
      <xdr:nvSpPr>
        <xdr:cNvPr id="4465" name="Arrow: Down 4464">
          <a:extLst>
            <a:ext uri="{FF2B5EF4-FFF2-40B4-BE49-F238E27FC236}">
              <a16:creationId xmlns:a16="http://schemas.microsoft.com/office/drawing/2014/main" id="{761A7666-B88F-4612-B13A-C1C7D6812721}"/>
            </a:ext>
          </a:extLst>
        </xdr:cNvPr>
        <xdr:cNvSpPr/>
      </xdr:nvSpPr>
      <xdr:spPr>
        <a:xfrm rot="10800000">
          <a:off x="369570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586</xdr:row>
      <xdr:rowOff>0</xdr:rowOff>
    </xdr:from>
    <xdr:to>
      <xdr:col>5</xdr:col>
      <xdr:colOff>83820</xdr:colOff>
      <xdr:row>586</xdr:row>
      <xdr:rowOff>114300</xdr:rowOff>
    </xdr:to>
    <xdr:sp macro="" textlink="">
      <xdr:nvSpPr>
        <xdr:cNvPr id="4467" name="Arrow: Down 4466">
          <a:extLst>
            <a:ext uri="{FF2B5EF4-FFF2-40B4-BE49-F238E27FC236}">
              <a16:creationId xmlns:a16="http://schemas.microsoft.com/office/drawing/2014/main" id="{EF106D39-60E8-4BC8-819C-62AD8B1E4DDC}"/>
            </a:ext>
          </a:extLst>
        </xdr:cNvPr>
        <xdr:cNvSpPr/>
      </xdr:nvSpPr>
      <xdr:spPr>
        <a:xfrm rot="10800000">
          <a:off x="192786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587</xdr:row>
      <xdr:rowOff>0</xdr:rowOff>
    </xdr:from>
    <xdr:to>
      <xdr:col>45</xdr:col>
      <xdr:colOff>83820</xdr:colOff>
      <xdr:row>587</xdr:row>
      <xdr:rowOff>114300</xdr:rowOff>
    </xdr:to>
    <xdr:sp macro="" textlink="">
      <xdr:nvSpPr>
        <xdr:cNvPr id="4468" name="Arrow: Down 4467">
          <a:extLst>
            <a:ext uri="{FF2B5EF4-FFF2-40B4-BE49-F238E27FC236}">
              <a16:creationId xmlns:a16="http://schemas.microsoft.com/office/drawing/2014/main" id="{5661212E-D85D-43D1-B3A4-C86EF2A5BC56}"/>
            </a:ext>
          </a:extLst>
        </xdr:cNvPr>
        <xdr:cNvSpPr/>
      </xdr:nvSpPr>
      <xdr:spPr>
        <a:xfrm rot="10800000">
          <a:off x="13403580" y="10726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587</xdr:row>
      <xdr:rowOff>0</xdr:rowOff>
    </xdr:from>
    <xdr:to>
      <xdr:col>71</xdr:col>
      <xdr:colOff>83820</xdr:colOff>
      <xdr:row>587</xdr:row>
      <xdr:rowOff>114300</xdr:rowOff>
    </xdr:to>
    <xdr:sp macro="" textlink="">
      <xdr:nvSpPr>
        <xdr:cNvPr id="4469" name="Arrow: Down 4468">
          <a:extLst>
            <a:ext uri="{FF2B5EF4-FFF2-40B4-BE49-F238E27FC236}">
              <a16:creationId xmlns:a16="http://schemas.microsoft.com/office/drawing/2014/main" id="{1C686214-78B3-4EF1-BDEC-F8F9870C23C2}"/>
            </a:ext>
          </a:extLst>
        </xdr:cNvPr>
        <xdr:cNvSpPr/>
      </xdr:nvSpPr>
      <xdr:spPr>
        <a:xfrm>
          <a:off x="21800820" y="10726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587</xdr:row>
      <xdr:rowOff>0</xdr:rowOff>
    </xdr:from>
    <xdr:to>
      <xdr:col>24</xdr:col>
      <xdr:colOff>83820</xdr:colOff>
      <xdr:row>587</xdr:row>
      <xdr:rowOff>114300</xdr:rowOff>
    </xdr:to>
    <xdr:sp macro="" textlink="">
      <xdr:nvSpPr>
        <xdr:cNvPr id="4472" name="Arrow: Down 4471">
          <a:extLst>
            <a:ext uri="{FF2B5EF4-FFF2-40B4-BE49-F238E27FC236}">
              <a16:creationId xmlns:a16="http://schemas.microsoft.com/office/drawing/2014/main" id="{36D73B17-0638-434B-BAB9-D9692942E69D}"/>
            </a:ext>
          </a:extLst>
        </xdr:cNvPr>
        <xdr:cNvSpPr/>
      </xdr:nvSpPr>
      <xdr:spPr>
        <a:xfrm rot="10800000">
          <a:off x="833628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587</xdr:row>
      <xdr:rowOff>0</xdr:rowOff>
    </xdr:from>
    <xdr:to>
      <xdr:col>11</xdr:col>
      <xdr:colOff>83820</xdr:colOff>
      <xdr:row>587</xdr:row>
      <xdr:rowOff>114300</xdr:rowOff>
    </xdr:to>
    <xdr:sp macro="" textlink="">
      <xdr:nvSpPr>
        <xdr:cNvPr id="4473" name="Arrow: Down 4472">
          <a:extLst>
            <a:ext uri="{FF2B5EF4-FFF2-40B4-BE49-F238E27FC236}">
              <a16:creationId xmlns:a16="http://schemas.microsoft.com/office/drawing/2014/main" id="{F17AE078-8AAC-4621-AC42-3175A09505C0}"/>
            </a:ext>
          </a:extLst>
        </xdr:cNvPr>
        <xdr:cNvSpPr/>
      </xdr:nvSpPr>
      <xdr:spPr>
        <a:xfrm rot="10800000">
          <a:off x="369570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587</xdr:row>
      <xdr:rowOff>0</xdr:rowOff>
    </xdr:from>
    <xdr:to>
      <xdr:col>5</xdr:col>
      <xdr:colOff>83820</xdr:colOff>
      <xdr:row>587</xdr:row>
      <xdr:rowOff>114300</xdr:rowOff>
    </xdr:to>
    <xdr:sp macro="" textlink="">
      <xdr:nvSpPr>
        <xdr:cNvPr id="4474" name="Arrow: Down 4473">
          <a:extLst>
            <a:ext uri="{FF2B5EF4-FFF2-40B4-BE49-F238E27FC236}">
              <a16:creationId xmlns:a16="http://schemas.microsoft.com/office/drawing/2014/main" id="{977FE18A-37CB-40BB-9D19-490F94896322}"/>
            </a:ext>
          </a:extLst>
        </xdr:cNvPr>
        <xdr:cNvSpPr/>
      </xdr:nvSpPr>
      <xdr:spPr>
        <a:xfrm rot="10800000">
          <a:off x="192786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587</xdr:row>
      <xdr:rowOff>0</xdr:rowOff>
    </xdr:from>
    <xdr:to>
      <xdr:col>39</xdr:col>
      <xdr:colOff>83820</xdr:colOff>
      <xdr:row>587</xdr:row>
      <xdr:rowOff>114300</xdr:rowOff>
    </xdr:to>
    <xdr:sp macro="" textlink="">
      <xdr:nvSpPr>
        <xdr:cNvPr id="4476" name="Arrow: Down 4475">
          <a:extLst>
            <a:ext uri="{FF2B5EF4-FFF2-40B4-BE49-F238E27FC236}">
              <a16:creationId xmlns:a16="http://schemas.microsoft.com/office/drawing/2014/main" id="{B0D989B1-C393-4847-8E15-2736ED00B403}"/>
            </a:ext>
          </a:extLst>
        </xdr:cNvPr>
        <xdr:cNvSpPr/>
      </xdr:nvSpPr>
      <xdr:spPr>
        <a:xfrm>
          <a:off x="1154430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587</xdr:row>
      <xdr:rowOff>0</xdr:rowOff>
    </xdr:from>
    <xdr:to>
      <xdr:col>60</xdr:col>
      <xdr:colOff>83820</xdr:colOff>
      <xdr:row>587</xdr:row>
      <xdr:rowOff>114300</xdr:rowOff>
    </xdr:to>
    <xdr:sp macro="" textlink="">
      <xdr:nvSpPr>
        <xdr:cNvPr id="4478" name="Arrow: Down 4477">
          <a:extLst>
            <a:ext uri="{FF2B5EF4-FFF2-40B4-BE49-F238E27FC236}">
              <a16:creationId xmlns:a16="http://schemas.microsoft.com/office/drawing/2014/main" id="{B1BC1525-5E13-46F1-9174-D28983CA5F60}"/>
            </a:ext>
          </a:extLst>
        </xdr:cNvPr>
        <xdr:cNvSpPr/>
      </xdr:nvSpPr>
      <xdr:spPr>
        <a:xfrm rot="10800000">
          <a:off x="1908048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588</xdr:row>
      <xdr:rowOff>0</xdr:rowOff>
    </xdr:from>
    <xdr:to>
      <xdr:col>45</xdr:col>
      <xdr:colOff>83820</xdr:colOff>
      <xdr:row>588</xdr:row>
      <xdr:rowOff>114300</xdr:rowOff>
    </xdr:to>
    <xdr:sp macro="" textlink="">
      <xdr:nvSpPr>
        <xdr:cNvPr id="4486" name="Arrow: Down 4485">
          <a:extLst>
            <a:ext uri="{FF2B5EF4-FFF2-40B4-BE49-F238E27FC236}">
              <a16:creationId xmlns:a16="http://schemas.microsoft.com/office/drawing/2014/main" id="{8F77D211-246B-4C66-B604-1AB281AF98AE}"/>
            </a:ext>
          </a:extLst>
        </xdr:cNvPr>
        <xdr:cNvSpPr/>
      </xdr:nvSpPr>
      <xdr:spPr>
        <a:xfrm rot="10800000">
          <a:off x="13403580" y="10744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588</xdr:row>
      <xdr:rowOff>0</xdr:rowOff>
    </xdr:from>
    <xdr:to>
      <xdr:col>71</xdr:col>
      <xdr:colOff>83820</xdr:colOff>
      <xdr:row>588</xdr:row>
      <xdr:rowOff>114300</xdr:rowOff>
    </xdr:to>
    <xdr:sp macro="" textlink="">
      <xdr:nvSpPr>
        <xdr:cNvPr id="4487" name="Arrow: Down 4486">
          <a:extLst>
            <a:ext uri="{FF2B5EF4-FFF2-40B4-BE49-F238E27FC236}">
              <a16:creationId xmlns:a16="http://schemas.microsoft.com/office/drawing/2014/main" id="{2CAD8BF2-9AAB-4988-BFA9-79AB1F02D1BC}"/>
            </a:ext>
          </a:extLst>
        </xdr:cNvPr>
        <xdr:cNvSpPr/>
      </xdr:nvSpPr>
      <xdr:spPr>
        <a:xfrm>
          <a:off x="21800820" y="10744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588</xdr:row>
      <xdr:rowOff>0</xdr:rowOff>
    </xdr:from>
    <xdr:to>
      <xdr:col>24</xdr:col>
      <xdr:colOff>83820</xdr:colOff>
      <xdr:row>588</xdr:row>
      <xdr:rowOff>114300</xdr:rowOff>
    </xdr:to>
    <xdr:sp macro="" textlink="">
      <xdr:nvSpPr>
        <xdr:cNvPr id="4488" name="Arrow: Down 4487">
          <a:extLst>
            <a:ext uri="{FF2B5EF4-FFF2-40B4-BE49-F238E27FC236}">
              <a16:creationId xmlns:a16="http://schemas.microsoft.com/office/drawing/2014/main" id="{63D97391-9101-4717-882F-8F65C0D24C10}"/>
            </a:ext>
          </a:extLst>
        </xdr:cNvPr>
        <xdr:cNvSpPr/>
      </xdr:nvSpPr>
      <xdr:spPr>
        <a:xfrm rot="10800000">
          <a:off x="833628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588</xdr:row>
      <xdr:rowOff>0</xdr:rowOff>
    </xdr:from>
    <xdr:to>
      <xdr:col>11</xdr:col>
      <xdr:colOff>83820</xdr:colOff>
      <xdr:row>588</xdr:row>
      <xdr:rowOff>114300</xdr:rowOff>
    </xdr:to>
    <xdr:sp macro="" textlink="">
      <xdr:nvSpPr>
        <xdr:cNvPr id="4489" name="Arrow: Down 4488">
          <a:extLst>
            <a:ext uri="{FF2B5EF4-FFF2-40B4-BE49-F238E27FC236}">
              <a16:creationId xmlns:a16="http://schemas.microsoft.com/office/drawing/2014/main" id="{EC04336A-E605-45B2-A225-7907FC2FD64B}"/>
            </a:ext>
          </a:extLst>
        </xdr:cNvPr>
        <xdr:cNvSpPr/>
      </xdr:nvSpPr>
      <xdr:spPr>
        <a:xfrm rot="10800000">
          <a:off x="369570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588</xdr:row>
      <xdr:rowOff>0</xdr:rowOff>
    </xdr:from>
    <xdr:to>
      <xdr:col>5</xdr:col>
      <xdr:colOff>83820</xdr:colOff>
      <xdr:row>588</xdr:row>
      <xdr:rowOff>114300</xdr:rowOff>
    </xdr:to>
    <xdr:sp macro="" textlink="">
      <xdr:nvSpPr>
        <xdr:cNvPr id="4490" name="Arrow: Down 4489">
          <a:extLst>
            <a:ext uri="{FF2B5EF4-FFF2-40B4-BE49-F238E27FC236}">
              <a16:creationId xmlns:a16="http://schemas.microsoft.com/office/drawing/2014/main" id="{A53EFE72-FECB-439F-859E-53D086D5EE9E}"/>
            </a:ext>
          </a:extLst>
        </xdr:cNvPr>
        <xdr:cNvSpPr/>
      </xdr:nvSpPr>
      <xdr:spPr>
        <a:xfrm rot="10800000">
          <a:off x="192786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588</xdr:row>
      <xdr:rowOff>0</xdr:rowOff>
    </xdr:from>
    <xdr:to>
      <xdr:col>39</xdr:col>
      <xdr:colOff>83820</xdr:colOff>
      <xdr:row>588</xdr:row>
      <xdr:rowOff>114300</xdr:rowOff>
    </xdr:to>
    <xdr:sp macro="" textlink="">
      <xdr:nvSpPr>
        <xdr:cNvPr id="4491" name="Arrow: Down 4490">
          <a:extLst>
            <a:ext uri="{FF2B5EF4-FFF2-40B4-BE49-F238E27FC236}">
              <a16:creationId xmlns:a16="http://schemas.microsoft.com/office/drawing/2014/main" id="{329F146B-917C-423E-B426-D1835CD85C28}"/>
            </a:ext>
          </a:extLst>
        </xdr:cNvPr>
        <xdr:cNvSpPr/>
      </xdr:nvSpPr>
      <xdr:spPr>
        <a:xfrm>
          <a:off x="1154430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588</xdr:row>
      <xdr:rowOff>0</xdr:rowOff>
    </xdr:from>
    <xdr:to>
      <xdr:col>60</xdr:col>
      <xdr:colOff>83820</xdr:colOff>
      <xdr:row>588</xdr:row>
      <xdr:rowOff>114300</xdr:rowOff>
    </xdr:to>
    <xdr:sp macro="" textlink="">
      <xdr:nvSpPr>
        <xdr:cNvPr id="4493" name="Arrow: Down 4492">
          <a:extLst>
            <a:ext uri="{FF2B5EF4-FFF2-40B4-BE49-F238E27FC236}">
              <a16:creationId xmlns:a16="http://schemas.microsoft.com/office/drawing/2014/main" id="{C82D5B68-AE4B-480F-94FE-D9AD6F96BBD0}"/>
            </a:ext>
          </a:extLst>
        </xdr:cNvPr>
        <xdr:cNvSpPr/>
      </xdr:nvSpPr>
      <xdr:spPr>
        <a:xfrm>
          <a:off x="1908048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589</xdr:row>
      <xdr:rowOff>0</xdr:rowOff>
    </xdr:from>
    <xdr:to>
      <xdr:col>45</xdr:col>
      <xdr:colOff>83820</xdr:colOff>
      <xdr:row>589</xdr:row>
      <xdr:rowOff>114300</xdr:rowOff>
    </xdr:to>
    <xdr:sp macro="" textlink="">
      <xdr:nvSpPr>
        <xdr:cNvPr id="4494" name="Arrow: Down 4493">
          <a:extLst>
            <a:ext uri="{FF2B5EF4-FFF2-40B4-BE49-F238E27FC236}">
              <a16:creationId xmlns:a16="http://schemas.microsoft.com/office/drawing/2014/main" id="{2D527AF6-3B4A-4C20-9D36-F73A95E876F9}"/>
            </a:ext>
          </a:extLst>
        </xdr:cNvPr>
        <xdr:cNvSpPr/>
      </xdr:nvSpPr>
      <xdr:spPr>
        <a:xfrm rot="10800000">
          <a:off x="1340358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589</xdr:row>
      <xdr:rowOff>0</xdr:rowOff>
    </xdr:from>
    <xdr:to>
      <xdr:col>71</xdr:col>
      <xdr:colOff>83820</xdr:colOff>
      <xdr:row>589</xdr:row>
      <xdr:rowOff>114300</xdr:rowOff>
    </xdr:to>
    <xdr:sp macro="" textlink="">
      <xdr:nvSpPr>
        <xdr:cNvPr id="4495" name="Arrow: Down 4494">
          <a:extLst>
            <a:ext uri="{FF2B5EF4-FFF2-40B4-BE49-F238E27FC236}">
              <a16:creationId xmlns:a16="http://schemas.microsoft.com/office/drawing/2014/main" id="{6202E135-F041-4EB6-A2B1-B3CAAA3F68EC}"/>
            </a:ext>
          </a:extLst>
        </xdr:cNvPr>
        <xdr:cNvSpPr/>
      </xdr:nvSpPr>
      <xdr:spPr>
        <a:xfrm>
          <a:off x="2180082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589</xdr:row>
      <xdr:rowOff>0</xdr:rowOff>
    </xdr:from>
    <xdr:to>
      <xdr:col>11</xdr:col>
      <xdr:colOff>83820</xdr:colOff>
      <xdr:row>589</xdr:row>
      <xdr:rowOff>114300</xdr:rowOff>
    </xdr:to>
    <xdr:sp macro="" textlink="">
      <xdr:nvSpPr>
        <xdr:cNvPr id="4497" name="Arrow: Down 4496">
          <a:extLst>
            <a:ext uri="{FF2B5EF4-FFF2-40B4-BE49-F238E27FC236}">
              <a16:creationId xmlns:a16="http://schemas.microsoft.com/office/drawing/2014/main" id="{730C339B-5B14-4166-9DB2-1C555A5365E9}"/>
            </a:ext>
          </a:extLst>
        </xdr:cNvPr>
        <xdr:cNvSpPr/>
      </xdr:nvSpPr>
      <xdr:spPr>
        <a:xfrm rot="10800000">
          <a:off x="3695700" y="10763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589</xdr:row>
      <xdr:rowOff>0</xdr:rowOff>
    </xdr:from>
    <xdr:to>
      <xdr:col>5</xdr:col>
      <xdr:colOff>83820</xdr:colOff>
      <xdr:row>589</xdr:row>
      <xdr:rowOff>114300</xdr:rowOff>
    </xdr:to>
    <xdr:sp macro="" textlink="">
      <xdr:nvSpPr>
        <xdr:cNvPr id="4498" name="Arrow: Down 4497">
          <a:extLst>
            <a:ext uri="{FF2B5EF4-FFF2-40B4-BE49-F238E27FC236}">
              <a16:creationId xmlns:a16="http://schemas.microsoft.com/office/drawing/2014/main" id="{A5A5B7C3-A3AD-4BD3-BC80-4317751C81A8}"/>
            </a:ext>
          </a:extLst>
        </xdr:cNvPr>
        <xdr:cNvSpPr/>
      </xdr:nvSpPr>
      <xdr:spPr>
        <a:xfrm rot="10800000">
          <a:off x="1927860" y="10763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589</xdr:row>
      <xdr:rowOff>0</xdr:rowOff>
    </xdr:from>
    <xdr:to>
      <xdr:col>39</xdr:col>
      <xdr:colOff>83820</xdr:colOff>
      <xdr:row>589</xdr:row>
      <xdr:rowOff>114300</xdr:rowOff>
    </xdr:to>
    <xdr:sp macro="" textlink="">
      <xdr:nvSpPr>
        <xdr:cNvPr id="4499" name="Arrow: Down 4498">
          <a:extLst>
            <a:ext uri="{FF2B5EF4-FFF2-40B4-BE49-F238E27FC236}">
              <a16:creationId xmlns:a16="http://schemas.microsoft.com/office/drawing/2014/main" id="{60069320-F3D8-4A07-BFA9-B1EFFBC6E90D}"/>
            </a:ext>
          </a:extLst>
        </xdr:cNvPr>
        <xdr:cNvSpPr/>
      </xdr:nvSpPr>
      <xdr:spPr>
        <a:xfrm>
          <a:off x="11544300" y="10763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589</xdr:row>
      <xdr:rowOff>0</xdr:rowOff>
    </xdr:from>
    <xdr:to>
      <xdr:col>60</xdr:col>
      <xdr:colOff>83820</xdr:colOff>
      <xdr:row>589</xdr:row>
      <xdr:rowOff>114300</xdr:rowOff>
    </xdr:to>
    <xdr:sp macro="" textlink="">
      <xdr:nvSpPr>
        <xdr:cNvPr id="4500" name="Arrow: Down 4499">
          <a:extLst>
            <a:ext uri="{FF2B5EF4-FFF2-40B4-BE49-F238E27FC236}">
              <a16:creationId xmlns:a16="http://schemas.microsoft.com/office/drawing/2014/main" id="{E405E066-915A-4EB3-86A2-E6513E9A4C82}"/>
            </a:ext>
          </a:extLst>
        </xdr:cNvPr>
        <xdr:cNvSpPr/>
      </xdr:nvSpPr>
      <xdr:spPr>
        <a:xfrm>
          <a:off x="1908048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589</xdr:row>
      <xdr:rowOff>0</xdr:rowOff>
    </xdr:from>
    <xdr:to>
      <xdr:col>24</xdr:col>
      <xdr:colOff>83820</xdr:colOff>
      <xdr:row>589</xdr:row>
      <xdr:rowOff>114300</xdr:rowOff>
    </xdr:to>
    <xdr:sp macro="" textlink="">
      <xdr:nvSpPr>
        <xdr:cNvPr id="4502" name="Arrow: Down 4501">
          <a:extLst>
            <a:ext uri="{FF2B5EF4-FFF2-40B4-BE49-F238E27FC236}">
              <a16:creationId xmlns:a16="http://schemas.microsoft.com/office/drawing/2014/main" id="{EF78C9FD-2017-4CAA-81F2-1E66FB265FC2}"/>
            </a:ext>
          </a:extLst>
        </xdr:cNvPr>
        <xdr:cNvSpPr/>
      </xdr:nvSpPr>
      <xdr:spPr>
        <a:xfrm>
          <a:off x="833628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590</xdr:row>
      <xdr:rowOff>0</xdr:rowOff>
    </xdr:from>
    <xdr:to>
      <xdr:col>45</xdr:col>
      <xdr:colOff>83820</xdr:colOff>
      <xdr:row>590</xdr:row>
      <xdr:rowOff>114300</xdr:rowOff>
    </xdr:to>
    <xdr:sp macro="" textlink="">
      <xdr:nvSpPr>
        <xdr:cNvPr id="4510" name="Arrow: Down 4509">
          <a:extLst>
            <a:ext uri="{FF2B5EF4-FFF2-40B4-BE49-F238E27FC236}">
              <a16:creationId xmlns:a16="http://schemas.microsoft.com/office/drawing/2014/main" id="{442EC924-451F-43E3-B65C-F703BB3DD526}"/>
            </a:ext>
          </a:extLst>
        </xdr:cNvPr>
        <xdr:cNvSpPr/>
      </xdr:nvSpPr>
      <xdr:spPr>
        <a:xfrm rot="10800000">
          <a:off x="1340358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590</xdr:row>
      <xdr:rowOff>0</xdr:rowOff>
    </xdr:from>
    <xdr:to>
      <xdr:col>71</xdr:col>
      <xdr:colOff>83820</xdr:colOff>
      <xdr:row>590</xdr:row>
      <xdr:rowOff>114300</xdr:rowOff>
    </xdr:to>
    <xdr:sp macro="" textlink="">
      <xdr:nvSpPr>
        <xdr:cNvPr id="4511" name="Arrow: Down 4510">
          <a:extLst>
            <a:ext uri="{FF2B5EF4-FFF2-40B4-BE49-F238E27FC236}">
              <a16:creationId xmlns:a16="http://schemas.microsoft.com/office/drawing/2014/main" id="{C28840AD-F523-42E8-94EB-FF5557332131}"/>
            </a:ext>
          </a:extLst>
        </xdr:cNvPr>
        <xdr:cNvSpPr/>
      </xdr:nvSpPr>
      <xdr:spPr>
        <a:xfrm>
          <a:off x="2180082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590</xdr:row>
      <xdr:rowOff>0</xdr:rowOff>
    </xdr:from>
    <xdr:to>
      <xdr:col>11</xdr:col>
      <xdr:colOff>83820</xdr:colOff>
      <xdr:row>590</xdr:row>
      <xdr:rowOff>114300</xdr:rowOff>
    </xdr:to>
    <xdr:sp macro="" textlink="">
      <xdr:nvSpPr>
        <xdr:cNvPr id="4512" name="Arrow: Down 4511">
          <a:extLst>
            <a:ext uri="{FF2B5EF4-FFF2-40B4-BE49-F238E27FC236}">
              <a16:creationId xmlns:a16="http://schemas.microsoft.com/office/drawing/2014/main" id="{67E5CC3A-1E7C-427D-8623-F80E50D454CB}"/>
            </a:ext>
          </a:extLst>
        </xdr:cNvPr>
        <xdr:cNvSpPr/>
      </xdr:nvSpPr>
      <xdr:spPr>
        <a:xfrm rot="10800000">
          <a:off x="3695700" y="10781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590</xdr:row>
      <xdr:rowOff>0</xdr:rowOff>
    </xdr:from>
    <xdr:to>
      <xdr:col>5</xdr:col>
      <xdr:colOff>83820</xdr:colOff>
      <xdr:row>590</xdr:row>
      <xdr:rowOff>114300</xdr:rowOff>
    </xdr:to>
    <xdr:sp macro="" textlink="">
      <xdr:nvSpPr>
        <xdr:cNvPr id="4513" name="Arrow: Down 4512">
          <a:extLst>
            <a:ext uri="{FF2B5EF4-FFF2-40B4-BE49-F238E27FC236}">
              <a16:creationId xmlns:a16="http://schemas.microsoft.com/office/drawing/2014/main" id="{626DC0DC-28EB-4C41-8AD4-0A2F1C116DB7}"/>
            </a:ext>
          </a:extLst>
        </xdr:cNvPr>
        <xdr:cNvSpPr/>
      </xdr:nvSpPr>
      <xdr:spPr>
        <a:xfrm rot="10800000">
          <a:off x="1927860" y="10781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590</xdr:row>
      <xdr:rowOff>0</xdr:rowOff>
    </xdr:from>
    <xdr:to>
      <xdr:col>60</xdr:col>
      <xdr:colOff>83820</xdr:colOff>
      <xdr:row>590</xdr:row>
      <xdr:rowOff>114300</xdr:rowOff>
    </xdr:to>
    <xdr:sp macro="" textlink="">
      <xdr:nvSpPr>
        <xdr:cNvPr id="4515" name="Arrow: Down 4514">
          <a:extLst>
            <a:ext uri="{FF2B5EF4-FFF2-40B4-BE49-F238E27FC236}">
              <a16:creationId xmlns:a16="http://schemas.microsoft.com/office/drawing/2014/main" id="{B3B54409-847C-4924-8997-08385189ECF7}"/>
            </a:ext>
          </a:extLst>
        </xdr:cNvPr>
        <xdr:cNvSpPr/>
      </xdr:nvSpPr>
      <xdr:spPr>
        <a:xfrm>
          <a:off x="1908048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590</xdr:row>
      <xdr:rowOff>0</xdr:rowOff>
    </xdr:from>
    <xdr:to>
      <xdr:col>24</xdr:col>
      <xdr:colOff>83820</xdr:colOff>
      <xdr:row>590</xdr:row>
      <xdr:rowOff>114300</xdr:rowOff>
    </xdr:to>
    <xdr:sp macro="" textlink="">
      <xdr:nvSpPr>
        <xdr:cNvPr id="4518" name="Arrow: Down 4517">
          <a:extLst>
            <a:ext uri="{FF2B5EF4-FFF2-40B4-BE49-F238E27FC236}">
              <a16:creationId xmlns:a16="http://schemas.microsoft.com/office/drawing/2014/main" id="{17EB7FEF-7681-4769-86FD-C531E5F91E0E}"/>
            </a:ext>
          </a:extLst>
        </xdr:cNvPr>
        <xdr:cNvSpPr/>
      </xdr:nvSpPr>
      <xdr:spPr>
        <a:xfrm rot="10800000">
          <a:off x="8336280" y="10799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590</xdr:row>
      <xdr:rowOff>0</xdr:rowOff>
    </xdr:from>
    <xdr:to>
      <xdr:col>39</xdr:col>
      <xdr:colOff>83820</xdr:colOff>
      <xdr:row>590</xdr:row>
      <xdr:rowOff>114300</xdr:rowOff>
    </xdr:to>
    <xdr:sp macro="" textlink="">
      <xdr:nvSpPr>
        <xdr:cNvPr id="4519" name="Arrow: Down 4518">
          <a:extLst>
            <a:ext uri="{FF2B5EF4-FFF2-40B4-BE49-F238E27FC236}">
              <a16:creationId xmlns:a16="http://schemas.microsoft.com/office/drawing/2014/main" id="{368C159D-C92D-4E86-B969-6E9719EAEA6A}"/>
            </a:ext>
          </a:extLst>
        </xdr:cNvPr>
        <xdr:cNvSpPr/>
      </xdr:nvSpPr>
      <xdr:spPr>
        <a:xfrm rot="10800000">
          <a:off x="11544300" y="10799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591</xdr:row>
      <xdr:rowOff>0</xdr:rowOff>
    </xdr:from>
    <xdr:to>
      <xdr:col>45</xdr:col>
      <xdr:colOff>83820</xdr:colOff>
      <xdr:row>591</xdr:row>
      <xdr:rowOff>114300</xdr:rowOff>
    </xdr:to>
    <xdr:sp macro="" textlink="">
      <xdr:nvSpPr>
        <xdr:cNvPr id="4527" name="Arrow: Down 4526">
          <a:extLst>
            <a:ext uri="{FF2B5EF4-FFF2-40B4-BE49-F238E27FC236}">
              <a16:creationId xmlns:a16="http://schemas.microsoft.com/office/drawing/2014/main" id="{93007FBB-FC53-4A84-9014-E8AC30C39299}"/>
            </a:ext>
          </a:extLst>
        </xdr:cNvPr>
        <xdr:cNvSpPr/>
      </xdr:nvSpPr>
      <xdr:spPr>
        <a:xfrm rot="10800000">
          <a:off x="13403580" y="10799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591</xdr:row>
      <xdr:rowOff>0</xdr:rowOff>
    </xdr:from>
    <xdr:to>
      <xdr:col>71</xdr:col>
      <xdr:colOff>83820</xdr:colOff>
      <xdr:row>591</xdr:row>
      <xdr:rowOff>114300</xdr:rowOff>
    </xdr:to>
    <xdr:sp macro="" textlink="">
      <xdr:nvSpPr>
        <xdr:cNvPr id="4528" name="Arrow: Down 4527">
          <a:extLst>
            <a:ext uri="{FF2B5EF4-FFF2-40B4-BE49-F238E27FC236}">
              <a16:creationId xmlns:a16="http://schemas.microsoft.com/office/drawing/2014/main" id="{15330276-CC43-4F39-A0A9-FF37E7BA12C5}"/>
            </a:ext>
          </a:extLst>
        </xdr:cNvPr>
        <xdr:cNvSpPr/>
      </xdr:nvSpPr>
      <xdr:spPr>
        <a:xfrm>
          <a:off x="21800820" y="10799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591</xdr:row>
      <xdr:rowOff>0</xdr:rowOff>
    </xdr:from>
    <xdr:to>
      <xdr:col>11</xdr:col>
      <xdr:colOff>83820</xdr:colOff>
      <xdr:row>591</xdr:row>
      <xdr:rowOff>114300</xdr:rowOff>
    </xdr:to>
    <xdr:sp macro="" textlink="">
      <xdr:nvSpPr>
        <xdr:cNvPr id="4534" name="Arrow: Down 4533">
          <a:extLst>
            <a:ext uri="{FF2B5EF4-FFF2-40B4-BE49-F238E27FC236}">
              <a16:creationId xmlns:a16="http://schemas.microsoft.com/office/drawing/2014/main" id="{27A74100-8352-479E-B8D9-3628C468F32C}"/>
            </a:ext>
          </a:extLst>
        </xdr:cNvPr>
        <xdr:cNvSpPr/>
      </xdr:nvSpPr>
      <xdr:spPr>
        <a:xfrm>
          <a:off x="369570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591</xdr:row>
      <xdr:rowOff>0</xdr:rowOff>
    </xdr:from>
    <xdr:to>
      <xdr:col>5</xdr:col>
      <xdr:colOff>83820</xdr:colOff>
      <xdr:row>591</xdr:row>
      <xdr:rowOff>114300</xdr:rowOff>
    </xdr:to>
    <xdr:sp macro="" textlink="">
      <xdr:nvSpPr>
        <xdr:cNvPr id="4535" name="Arrow: Down 4534">
          <a:extLst>
            <a:ext uri="{FF2B5EF4-FFF2-40B4-BE49-F238E27FC236}">
              <a16:creationId xmlns:a16="http://schemas.microsoft.com/office/drawing/2014/main" id="{553BDBE5-E9A8-4CD0-98BB-A5868695B606}"/>
            </a:ext>
          </a:extLst>
        </xdr:cNvPr>
        <xdr:cNvSpPr/>
      </xdr:nvSpPr>
      <xdr:spPr>
        <a:xfrm>
          <a:off x="192786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591</xdr:row>
      <xdr:rowOff>0</xdr:rowOff>
    </xdr:from>
    <xdr:to>
      <xdr:col>24</xdr:col>
      <xdr:colOff>83820</xdr:colOff>
      <xdr:row>591</xdr:row>
      <xdr:rowOff>114300</xdr:rowOff>
    </xdr:to>
    <xdr:sp macro="" textlink="">
      <xdr:nvSpPr>
        <xdr:cNvPr id="4536" name="Arrow: Down 4535">
          <a:extLst>
            <a:ext uri="{FF2B5EF4-FFF2-40B4-BE49-F238E27FC236}">
              <a16:creationId xmlns:a16="http://schemas.microsoft.com/office/drawing/2014/main" id="{A947B7D6-0F69-4CF7-8392-301C2D837136}"/>
            </a:ext>
          </a:extLst>
        </xdr:cNvPr>
        <xdr:cNvSpPr/>
      </xdr:nvSpPr>
      <xdr:spPr>
        <a:xfrm>
          <a:off x="833628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591</xdr:row>
      <xdr:rowOff>0</xdr:rowOff>
    </xdr:from>
    <xdr:to>
      <xdr:col>39</xdr:col>
      <xdr:colOff>83820</xdr:colOff>
      <xdr:row>591</xdr:row>
      <xdr:rowOff>114300</xdr:rowOff>
    </xdr:to>
    <xdr:sp macro="" textlink="">
      <xdr:nvSpPr>
        <xdr:cNvPr id="4538" name="Arrow: Down 4537">
          <a:extLst>
            <a:ext uri="{FF2B5EF4-FFF2-40B4-BE49-F238E27FC236}">
              <a16:creationId xmlns:a16="http://schemas.microsoft.com/office/drawing/2014/main" id="{A58D9E66-6DD1-4475-83E2-FAB9FCF1A96E}"/>
            </a:ext>
          </a:extLst>
        </xdr:cNvPr>
        <xdr:cNvSpPr/>
      </xdr:nvSpPr>
      <xdr:spPr>
        <a:xfrm>
          <a:off x="11544300" y="10818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591</xdr:row>
      <xdr:rowOff>0</xdr:rowOff>
    </xdr:from>
    <xdr:to>
      <xdr:col>60</xdr:col>
      <xdr:colOff>83820</xdr:colOff>
      <xdr:row>591</xdr:row>
      <xdr:rowOff>114300</xdr:rowOff>
    </xdr:to>
    <xdr:sp macro="" textlink="">
      <xdr:nvSpPr>
        <xdr:cNvPr id="4540" name="Arrow: Down 4539">
          <a:extLst>
            <a:ext uri="{FF2B5EF4-FFF2-40B4-BE49-F238E27FC236}">
              <a16:creationId xmlns:a16="http://schemas.microsoft.com/office/drawing/2014/main" id="{04DF1A6A-1CF4-4927-B5CF-0BB4D3ACB449}"/>
            </a:ext>
          </a:extLst>
        </xdr:cNvPr>
        <xdr:cNvSpPr/>
      </xdr:nvSpPr>
      <xdr:spPr>
        <a:xfrm rot="10800000">
          <a:off x="19080480" y="10818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592</xdr:row>
      <xdr:rowOff>0</xdr:rowOff>
    </xdr:from>
    <xdr:to>
      <xdr:col>45</xdr:col>
      <xdr:colOff>83820</xdr:colOff>
      <xdr:row>592</xdr:row>
      <xdr:rowOff>114300</xdr:rowOff>
    </xdr:to>
    <xdr:sp macro="" textlink="">
      <xdr:nvSpPr>
        <xdr:cNvPr id="4548" name="Arrow: Down 4547">
          <a:extLst>
            <a:ext uri="{FF2B5EF4-FFF2-40B4-BE49-F238E27FC236}">
              <a16:creationId xmlns:a16="http://schemas.microsoft.com/office/drawing/2014/main" id="{9020A1C6-77C2-4A12-81CC-6E7E92FEE647}"/>
            </a:ext>
          </a:extLst>
        </xdr:cNvPr>
        <xdr:cNvSpPr/>
      </xdr:nvSpPr>
      <xdr:spPr>
        <a:xfrm rot="10800000">
          <a:off x="1340358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592</xdr:row>
      <xdr:rowOff>0</xdr:rowOff>
    </xdr:from>
    <xdr:to>
      <xdr:col>71</xdr:col>
      <xdr:colOff>83820</xdr:colOff>
      <xdr:row>592</xdr:row>
      <xdr:rowOff>114300</xdr:rowOff>
    </xdr:to>
    <xdr:sp macro="" textlink="">
      <xdr:nvSpPr>
        <xdr:cNvPr id="4549" name="Arrow: Down 4548">
          <a:extLst>
            <a:ext uri="{FF2B5EF4-FFF2-40B4-BE49-F238E27FC236}">
              <a16:creationId xmlns:a16="http://schemas.microsoft.com/office/drawing/2014/main" id="{EFA84B6F-3B8E-4EE7-BEEB-09BF87AFCD4A}"/>
            </a:ext>
          </a:extLst>
        </xdr:cNvPr>
        <xdr:cNvSpPr/>
      </xdr:nvSpPr>
      <xdr:spPr>
        <a:xfrm>
          <a:off x="2180082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592</xdr:row>
      <xdr:rowOff>0</xdr:rowOff>
    </xdr:from>
    <xdr:to>
      <xdr:col>11</xdr:col>
      <xdr:colOff>83820</xdr:colOff>
      <xdr:row>592</xdr:row>
      <xdr:rowOff>114300</xdr:rowOff>
    </xdr:to>
    <xdr:sp macro="" textlink="">
      <xdr:nvSpPr>
        <xdr:cNvPr id="4550" name="Arrow: Down 4549">
          <a:extLst>
            <a:ext uri="{FF2B5EF4-FFF2-40B4-BE49-F238E27FC236}">
              <a16:creationId xmlns:a16="http://schemas.microsoft.com/office/drawing/2014/main" id="{88A262DD-576F-4C3E-BDE3-D1F9B5CDAC22}"/>
            </a:ext>
          </a:extLst>
        </xdr:cNvPr>
        <xdr:cNvSpPr/>
      </xdr:nvSpPr>
      <xdr:spPr>
        <a:xfrm>
          <a:off x="369570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592</xdr:row>
      <xdr:rowOff>0</xdr:rowOff>
    </xdr:from>
    <xdr:to>
      <xdr:col>5</xdr:col>
      <xdr:colOff>83820</xdr:colOff>
      <xdr:row>592</xdr:row>
      <xdr:rowOff>114300</xdr:rowOff>
    </xdr:to>
    <xdr:sp macro="" textlink="">
      <xdr:nvSpPr>
        <xdr:cNvPr id="4551" name="Arrow: Down 4550">
          <a:extLst>
            <a:ext uri="{FF2B5EF4-FFF2-40B4-BE49-F238E27FC236}">
              <a16:creationId xmlns:a16="http://schemas.microsoft.com/office/drawing/2014/main" id="{70AF4DD0-C9E1-49A8-8D58-78264F42CEAE}"/>
            </a:ext>
          </a:extLst>
        </xdr:cNvPr>
        <xdr:cNvSpPr/>
      </xdr:nvSpPr>
      <xdr:spPr>
        <a:xfrm>
          <a:off x="192786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592</xdr:row>
      <xdr:rowOff>0</xdr:rowOff>
    </xdr:from>
    <xdr:to>
      <xdr:col>24</xdr:col>
      <xdr:colOff>83820</xdr:colOff>
      <xdr:row>592</xdr:row>
      <xdr:rowOff>114300</xdr:rowOff>
    </xdr:to>
    <xdr:sp macro="" textlink="">
      <xdr:nvSpPr>
        <xdr:cNvPr id="4552" name="Arrow: Down 4551">
          <a:extLst>
            <a:ext uri="{FF2B5EF4-FFF2-40B4-BE49-F238E27FC236}">
              <a16:creationId xmlns:a16="http://schemas.microsoft.com/office/drawing/2014/main" id="{9BC899E0-E855-4FE3-92BF-11E984F6D4D6}"/>
            </a:ext>
          </a:extLst>
        </xdr:cNvPr>
        <xdr:cNvSpPr/>
      </xdr:nvSpPr>
      <xdr:spPr>
        <a:xfrm>
          <a:off x="833628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592</xdr:row>
      <xdr:rowOff>0</xdr:rowOff>
    </xdr:from>
    <xdr:to>
      <xdr:col>39</xdr:col>
      <xdr:colOff>83820</xdr:colOff>
      <xdr:row>592</xdr:row>
      <xdr:rowOff>114300</xdr:rowOff>
    </xdr:to>
    <xdr:sp macro="" textlink="">
      <xdr:nvSpPr>
        <xdr:cNvPr id="4553" name="Arrow: Down 4552">
          <a:extLst>
            <a:ext uri="{FF2B5EF4-FFF2-40B4-BE49-F238E27FC236}">
              <a16:creationId xmlns:a16="http://schemas.microsoft.com/office/drawing/2014/main" id="{425109E4-6285-4104-9B6E-014FF2090EEE}"/>
            </a:ext>
          </a:extLst>
        </xdr:cNvPr>
        <xdr:cNvSpPr/>
      </xdr:nvSpPr>
      <xdr:spPr>
        <a:xfrm>
          <a:off x="11544300" y="10818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592</xdr:row>
      <xdr:rowOff>0</xdr:rowOff>
    </xdr:from>
    <xdr:to>
      <xdr:col>60</xdr:col>
      <xdr:colOff>83820</xdr:colOff>
      <xdr:row>592</xdr:row>
      <xdr:rowOff>114300</xdr:rowOff>
    </xdr:to>
    <xdr:sp macro="" textlink="">
      <xdr:nvSpPr>
        <xdr:cNvPr id="4556" name="Arrow: Down 4555">
          <a:extLst>
            <a:ext uri="{FF2B5EF4-FFF2-40B4-BE49-F238E27FC236}">
              <a16:creationId xmlns:a16="http://schemas.microsoft.com/office/drawing/2014/main" id="{87C3F8DB-BB7E-4CD2-A1F2-6FFA9E1D203E}"/>
            </a:ext>
          </a:extLst>
        </xdr:cNvPr>
        <xdr:cNvSpPr/>
      </xdr:nvSpPr>
      <xdr:spPr>
        <a:xfrm>
          <a:off x="1908048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593</xdr:row>
      <xdr:rowOff>0</xdr:rowOff>
    </xdr:from>
    <xdr:to>
      <xdr:col>45</xdr:col>
      <xdr:colOff>83820</xdr:colOff>
      <xdr:row>593</xdr:row>
      <xdr:rowOff>114300</xdr:rowOff>
    </xdr:to>
    <xdr:sp macro="" textlink="">
      <xdr:nvSpPr>
        <xdr:cNvPr id="4557" name="Arrow: Down 4556">
          <a:extLst>
            <a:ext uri="{FF2B5EF4-FFF2-40B4-BE49-F238E27FC236}">
              <a16:creationId xmlns:a16="http://schemas.microsoft.com/office/drawing/2014/main" id="{5962A076-81DF-4E63-B986-0FEE33A1B0BE}"/>
            </a:ext>
          </a:extLst>
        </xdr:cNvPr>
        <xdr:cNvSpPr/>
      </xdr:nvSpPr>
      <xdr:spPr>
        <a:xfrm rot="10800000">
          <a:off x="1340358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593</xdr:row>
      <xdr:rowOff>0</xdr:rowOff>
    </xdr:from>
    <xdr:to>
      <xdr:col>71</xdr:col>
      <xdr:colOff>83820</xdr:colOff>
      <xdr:row>593</xdr:row>
      <xdr:rowOff>114300</xdr:rowOff>
    </xdr:to>
    <xdr:sp macro="" textlink="">
      <xdr:nvSpPr>
        <xdr:cNvPr id="4558" name="Arrow: Down 4557">
          <a:extLst>
            <a:ext uri="{FF2B5EF4-FFF2-40B4-BE49-F238E27FC236}">
              <a16:creationId xmlns:a16="http://schemas.microsoft.com/office/drawing/2014/main" id="{42B44155-5239-43D2-B3E1-D9B3C3A9235C}"/>
            </a:ext>
          </a:extLst>
        </xdr:cNvPr>
        <xdr:cNvSpPr/>
      </xdr:nvSpPr>
      <xdr:spPr>
        <a:xfrm>
          <a:off x="2180082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593</xdr:row>
      <xdr:rowOff>0</xdr:rowOff>
    </xdr:from>
    <xdr:to>
      <xdr:col>60</xdr:col>
      <xdr:colOff>83820</xdr:colOff>
      <xdr:row>593</xdr:row>
      <xdr:rowOff>114300</xdr:rowOff>
    </xdr:to>
    <xdr:sp macro="" textlink="">
      <xdr:nvSpPr>
        <xdr:cNvPr id="4563" name="Arrow: Down 4562">
          <a:extLst>
            <a:ext uri="{FF2B5EF4-FFF2-40B4-BE49-F238E27FC236}">
              <a16:creationId xmlns:a16="http://schemas.microsoft.com/office/drawing/2014/main" id="{8B958F90-00AD-4607-9020-59A7157E0CA0}"/>
            </a:ext>
          </a:extLst>
        </xdr:cNvPr>
        <xdr:cNvSpPr/>
      </xdr:nvSpPr>
      <xdr:spPr>
        <a:xfrm>
          <a:off x="1908048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593</xdr:row>
      <xdr:rowOff>0</xdr:rowOff>
    </xdr:from>
    <xdr:to>
      <xdr:col>11</xdr:col>
      <xdr:colOff>83820</xdr:colOff>
      <xdr:row>593</xdr:row>
      <xdr:rowOff>114300</xdr:rowOff>
    </xdr:to>
    <xdr:sp macro="" textlink="">
      <xdr:nvSpPr>
        <xdr:cNvPr id="4564" name="Arrow: Down 4563">
          <a:extLst>
            <a:ext uri="{FF2B5EF4-FFF2-40B4-BE49-F238E27FC236}">
              <a16:creationId xmlns:a16="http://schemas.microsoft.com/office/drawing/2014/main" id="{1ED8B186-9E14-43FA-BC3C-F1E15B1F7ABA}"/>
            </a:ext>
          </a:extLst>
        </xdr:cNvPr>
        <xdr:cNvSpPr/>
      </xdr:nvSpPr>
      <xdr:spPr>
        <a:xfrm rot="10800000">
          <a:off x="369570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593</xdr:row>
      <xdr:rowOff>0</xdr:rowOff>
    </xdr:from>
    <xdr:to>
      <xdr:col>5</xdr:col>
      <xdr:colOff>83820</xdr:colOff>
      <xdr:row>593</xdr:row>
      <xdr:rowOff>114300</xdr:rowOff>
    </xdr:to>
    <xdr:sp macro="" textlink="">
      <xdr:nvSpPr>
        <xdr:cNvPr id="4565" name="Arrow: Down 4564">
          <a:extLst>
            <a:ext uri="{FF2B5EF4-FFF2-40B4-BE49-F238E27FC236}">
              <a16:creationId xmlns:a16="http://schemas.microsoft.com/office/drawing/2014/main" id="{C38EDF74-1F41-46EE-AD4B-6F0A478689F9}"/>
            </a:ext>
          </a:extLst>
        </xdr:cNvPr>
        <xdr:cNvSpPr/>
      </xdr:nvSpPr>
      <xdr:spPr>
        <a:xfrm rot="10800000">
          <a:off x="192786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593</xdr:row>
      <xdr:rowOff>0</xdr:rowOff>
    </xdr:from>
    <xdr:to>
      <xdr:col>24</xdr:col>
      <xdr:colOff>83820</xdr:colOff>
      <xdr:row>593</xdr:row>
      <xdr:rowOff>114300</xdr:rowOff>
    </xdr:to>
    <xdr:sp macro="" textlink="">
      <xdr:nvSpPr>
        <xdr:cNvPr id="4566" name="Arrow: Down 4565">
          <a:extLst>
            <a:ext uri="{FF2B5EF4-FFF2-40B4-BE49-F238E27FC236}">
              <a16:creationId xmlns:a16="http://schemas.microsoft.com/office/drawing/2014/main" id="{B08F2BB0-1B4F-47FD-B093-5B5A378E5B6B}"/>
            </a:ext>
          </a:extLst>
        </xdr:cNvPr>
        <xdr:cNvSpPr/>
      </xdr:nvSpPr>
      <xdr:spPr>
        <a:xfrm rot="10800000">
          <a:off x="833628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593</xdr:row>
      <xdr:rowOff>0</xdr:rowOff>
    </xdr:from>
    <xdr:to>
      <xdr:col>39</xdr:col>
      <xdr:colOff>83820</xdr:colOff>
      <xdr:row>593</xdr:row>
      <xdr:rowOff>114300</xdr:rowOff>
    </xdr:to>
    <xdr:sp macro="" textlink="">
      <xdr:nvSpPr>
        <xdr:cNvPr id="4568" name="Arrow: Down 4567">
          <a:extLst>
            <a:ext uri="{FF2B5EF4-FFF2-40B4-BE49-F238E27FC236}">
              <a16:creationId xmlns:a16="http://schemas.microsoft.com/office/drawing/2014/main" id="{4A30F9B6-E3C5-4EC5-939D-3C3D8370431C}"/>
            </a:ext>
          </a:extLst>
        </xdr:cNvPr>
        <xdr:cNvSpPr/>
      </xdr:nvSpPr>
      <xdr:spPr>
        <a:xfrm rot="10800000">
          <a:off x="11544300" y="10854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594</xdr:row>
      <xdr:rowOff>0</xdr:rowOff>
    </xdr:from>
    <xdr:to>
      <xdr:col>45</xdr:col>
      <xdr:colOff>83820</xdr:colOff>
      <xdr:row>594</xdr:row>
      <xdr:rowOff>114300</xdr:rowOff>
    </xdr:to>
    <xdr:sp macro="" textlink="">
      <xdr:nvSpPr>
        <xdr:cNvPr id="4569" name="Arrow: Down 4568">
          <a:extLst>
            <a:ext uri="{FF2B5EF4-FFF2-40B4-BE49-F238E27FC236}">
              <a16:creationId xmlns:a16="http://schemas.microsoft.com/office/drawing/2014/main" id="{DB038E05-F19A-4D74-B615-0F525DC9A1E0}"/>
            </a:ext>
          </a:extLst>
        </xdr:cNvPr>
        <xdr:cNvSpPr/>
      </xdr:nvSpPr>
      <xdr:spPr>
        <a:xfrm rot="10800000">
          <a:off x="13403580" y="10854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594</xdr:row>
      <xdr:rowOff>0</xdr:rowOff>
    </xdr:from>
    <xdr:to>
      <xdr:col>71</xdr:col>
      <xdr:colOff>83820</xdr:colOff>
      <xdr:row>594</xdr:row>
      <xdr:rowOff>114300</xdr:rowOff>
    </xdr:to>
    <xdr:sp macro="" textlink="">
      <xdr:nvSpPr>
        <xdr:cNvPr id="4570" name="Arrow: Down 4569">
          <a:extLst>
            <a:ext uri="{FF2B5EF4-FFF2-40B4-BE49-F238E27FC236}">
              <a16:creationId xmlns:a16="http://schemas.microsoft.com/office/drawing/2014/main" id="{9B60CAE7-BF55-498F-9FA0-8304A4F2BDEA}"/>
            </a:ext>
          </a:extLst>
        </xdr:cNvPr>
        <xdr:cNvSpPr/>
      </xdr:nvSpPr>
      <xdr:spPr>
        <a:xfrm>
          <a:off x="21800820" y="10854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594</xdr:row>
      <xdr:rowOff>0</xdr:rowOff>
    </xdr:from>
    <xdr:to>
      <xdr:col>11</xdr:col>
      <xdr:colOff>83820</xdr:colOff>
      <xdr:row>594</xdr:row>
      <xdr:rowOff>114300</xdr:rowOff>
    </xdr:to>
    <xdr:sp macro="" textlink="">
      <xdr:nvSpPr>
        <xdr:cNvPr id="4572" name="Arrow: Down 4571">
          <a:extLst>
            <a:ext uri="{FF2B5EF4-FFF2-40B4-BE49-F238E27FC236}">
              <a16:creationId xmlns:a16="http://schemas.microsoft.com/office/drawing/2014/main" id="{63CCAA3F-FEF5-4E86-A985-D21D89DF02D8}"/>
            </a:ext>
          </a:extLst>
        </xdr:cNvPr>
        <xdr:cNvSpPr/>
      </xdr:nvSpPr>
      <xdr:spPr>
        <a:xfrm rot="10800000">
          <a:off x="369570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594</xdr:row>
      <xdr:rowOff>0</xdr:rowOff>
    </xdr:from>
    <xdr:to>
      <xdr:col>5</xdr:col>
      <xdr:colOff>83820</xdr:colOff>
      <xdr:row>594</xdr:row>
      <xdr:rowOff>114300</xdr:rowOff>
    </xdr:to>
    <xdr:sp macro="" textlink="">
      <xdr:nvSpPr>
        <xdr:cNvPr id="4573" name="Arrow: Down 4572">
          <a:extLst>
            <a:ext uri="{FF2B5EF4-FFF2-40B4-BE49-F238E27FC236}">
              <a16:creationId xmlns:a16="http://schemas.microsoft.com/office/drawing/2014/main" id="{E767D6A9-FEAB-4402-8C63-E266B713CB56}"/>
            </a:ext>
          </a:extLst>
        </xdr:cNvPr>
        <xdr:cNvSpPr/>
      </xdr:nvSpPr>
      <xdr:spPr>
        <a:xfrm rot="10800000">
          <a:off x="192786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594</xdr:row>
      <xdr:rowOff>0</xdr:rowOff>
    </xdr:from>
    <xdr:to>
      <xdr:col>24</xdr:col>
      <xdr:colOff>83820</xdr:colOff>
      <xdr:row>594</xdr:row>
      <xdr:rowOff>114300</xdr:rowOff>
    </xdr:to>
    <xdr:sp macro="" textlink="">
      <xdr:nvSpPr>
        <xdr:cNvPr id="4574" name="Arrow: Down 4573">
          <a:extLst>
            <a:ext uri="{FF2B5EF4-FFF2-40B4-BE49-F238E27FC236}">
              <a16:creationId xmlns:a16="http://schemas.microsoft.com/office/drawing/2014/main" id="{59C9D629-3934-4812-9B2D-8417FA6733FC}"/>
            </a:ext>
          </a:extLst>
        </xdr:cNvPr>
        <xdr:cNvSpPr/>
      </xdr:nvSpPr>
      <xdr:spPr>
        <a:xfrm rot="10800000">
          <a:off x="833628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594</xdr:row>
      <xdr:rowOff>0</xdr:rowOff>
    </xdr:from>
    <xdr:to>
      <xdr:col>39</xdr:col>
      <xdr:colOff>83820</xdr:colOff>
      <xdr:row>594</xdr:row>
      <xdr:rowOff>114300</xdr:rowOff>
    </xdr:to>
    <xdr:sp macro="" textlink="">
      <xdr:nvSpPr>
        <xdr:cNvPr id="4576" name="Arrow: Down 4575">
          <a:extLst>
            <a:ext uri="{FF2B5EF4-FFF2-40B4-BE49-F238E27FC236}">
              <a16:creationId xmlns:a16="http://schemas.microsoft.com/office/drawing/2014/main" id="{5641F891-12A8-40DB-B148-84B853BE7CB0}"/>
            </a:ext>
          </a:extLst>
        </xdr:cNvPr>
        <xdr:cNvSpPr/>
      </xdr:nvSpPr>
      <xdr:spPr>
        <a:xfrm>
          <a:off x="1154430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594</xdr:row>
      <xdr:rowOff>0</xdr:rowOff>
    </xdr:from>
    <xdr:to>
      <xdr:col>60</xdr:col>
      <xdr:colOff>83820</xdr:colOff>
      <xdr:row>594</xdr:row>
      <xdr:rowOff>114300</xdr:rowOff>
    </xdr:to>
    <xdr:sp macro="" textlink="">
      <xdr:nvSpPr>
        <xdr:cNvPr id="4578" name="Arrow: Down 4577">
          <a:extLst>
            <a:ext uri="{FF2B5EF4-FFF2-40B4-BE49-F238E27FC236}">
              <a16:creationId xmlns:a16="http://schemas.microsoft.com/office/drawing/2014/main" id="{E70C07DB-B757-4C3A-A41C-F4A794554448}"/>
            </a:ext>
          </a:extLst>
        </xdr:cNvPr>
        <xdr:cNvSpPr/>
      </xdr:nvSpPr>
      <xdr:spPr>
        <a:xfrm rot="10800000">
          <a:off x="1908048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595</xdr:row>
      <xdr:rowOff>0</xdr:rowOff>
    </xdr:from>
    <xdr:to>
      <xdr:col>45</xdr:col>
      <xdr:colOff>83820</xdr:colOff>
      <xdr:row>595</xdr:row>
      <xdr:rowOff>114300</xdr:rowOff>
    </xdr:to>
    <xdr:sp macro="" textlink="">
      <xdr:nvSpPr>
        <xdr:cNvPr id="4579" name="Arrow: Down 4578">
          <a:extLst>
            <a:ext uri="{FF2B5EF4-FFF2-40B4-BE49-F238E27FC236}">
              <a16:creationId xmlns:a16="http://schemas.microsoft.com/office/drawing/2014/main" id="{4F9AACA4-37F9-47A3-B1EB-FF4E7117102C}"/>
            </a:ext>
          </a:extLst>
        </xdr:cNvPr>
        <xdr:cNvSpPr/>
      </xdr:nvSpPr>
      <xdr:spPr>
        <a:xfrm rot="10800000">
          <a:off x="13403580" y="10872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595</xdr:row>
      <xdr:rowOff>0</xdr:rowOff>
    </xdr:from>
    <xdr:to>
      <xdr:col>71</xdr:col>
      <xdr:colOff>83820</xdr:colOff>
      <xdr:row>595</xdr:row>
      <xdr:rowOff>114300</xdr:rowOff>
    </xdr:to>
    <xdr:sp macro="" textlink="">
      <xdr:nvSpPr>
        <xdr:cNvPr id="4580" name="Arrow: Down 4579">
          <a:extLst>
            <a:ext uri="{FF2B5EF4-FFF2-40B4-BE49-F238E27FC236}">
              <a16:creationId xmlns:a16="http://schemas.microsoft.com/office/drawing/2014/main" id="{CDDA2147-3D2A-4CAF-93B5-96C1A705BC8B}"/>
            </a:ext>
          </a:extLst>
        </xdr:cNvPr>
        <xdr:cNvSpPr/>
      </xdr:nvSpPr>
      <xdr:spPr>
        <a:xfrm>
          <a:off x="21800820" y="10872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595</xdr:row>
      <xdr:rowOff>0</xdr:rowOff>
    </xdr:from>
    <xdr:to>
      <xdr:col>11</xdr:col>
      <xdr:colOff>83820</xdr:colOff>
      <xdr:row>595</xdr:row>
      <xdr:rowOff>114300</xdr:rowOff>
    </xdr:to>
    <xdr:sp macro="" textlink="">
      <xdr:nvSpPr>
        <xdr:cNvPr id="4581" name="Arrow: Down 4580">
          <a:extLst>
            <a:ext uri="{FF2B5EF4-FFF2-40B4-BE49-F238E27FC236}">
              <a16:creationId xmlns:a16="http://schemas.microsoft.com/office/drawing/2014/main" id="{98A71469-3071-4279-9CC6-C775E9E55EE2}"/>
            </a:ext>
          </a:extLst>
        </xdr:cNvPr>
        <xdr:cNvSpPr/>
      </xdr:nvSpPr>
      <xdr:spPr>
        <a:xfrm rot="10800000">
          <a:off x="369570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595</xdr:row>
      <xdr:rowOff>0</xdr:rowOff>
    </xdr:from>
    <xdr:to>
      <xdr:col>5</xdr:col>
      <xdr:colOff>83820</xdr:colOff>
      <xdr:row>595</xdr:row>
      <xdr:rowOff>114300</xdr:rowOff>
    </xdr:to>
    <xdr:sp macro="" textlink="">
      <xdr:nvSpPr>
        <xdr:cNvPr id="4582" name="Arrow: Down 4581">
          <a:extLst>
            <a:ext uri="{FF2B5EF4-FFF2-40B4-BE49-F238E27FC236}">
              <a16:creationId xmlns:a16="http://schemas.microsoft.com/office/drawing/2014/main" id="{CCE8D1AC-1EDF-4995-B0E8-36CED7C35CF4}"/>
            </a:ext>
          </a:extLst>
        </xdr:cNvPr>
        <xdr:cNvSpPr/>
      </xdr:nvSpPr>
      <xdr:spPr>
        <a:xfrm rot="10800000">
          <a:off x="192786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595</xdr:row>
      <xdr:rowOff>0</xdr:rowOff>
    </xdr:from>
    <xdr:to>
      <xdr:col>24</xdr:col>
      <xdr:colOff>83820</xdr:colOff>
      <xdr:row>595</xdr:row>
      <xdr:rowOff>114300</xdr:rowOff>
    </xdr:to>
    <xdr:sp macro="" textlink="">
      <xdr:nvSpPr>
        <xdr:cNvPr id="4583" name="Arrow: Down 4582">
          <a:extLst>
            <a:ext uri="{FF2B5EF4-FFF2-40B4-BE49-F238E27FC236}">
              <a16:creationId xmlns:a16="http://schemas.microsoft.com/office/drawing/2014/main" id="{383BBB4F-32D3-4C1B-B239-1E77DBA361EC}"/>
            </a:ext>
          </a:extLst>
        </xdr:cNvPr>
        <xdr:cNvSpPr/>
      </xdr:nvSpPr>
      <xdr:spPr>
        <a:xfrm rot="10800000">
          <a:off x="833628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595</xdr:row>
      <xdr:rowOff>0</xdr:rowOff>
    </xdr:from>
    <xdr:to>
      <xdr:col>39</xdr:col>
      <xdr:colOff>83820</xdr:colOff>
      <xdr:row>595</xdr:row>
      <xdr:rowOff>114300</xdr:rowOff>
    </xdr:to>
    <xdr:sp macro="" textlink="">
      <xdr:nvSpPr>
        <xdr:cNvPr id="4584" name="Arrow: Down 4583">
          <a:extLst>
            <a:ext uri="{FF2B5EF4-FFF2-40B4-BE49-F238E27FC236}">
              <a16:creationId xmlns:a16="http://schemas.microsoft.com/office/drawing/2014/main" id="{435A922B-1B2B-4F0E-BCF1-BE8EDCD7B46A}"/>
            </a:ext>
          </a:extLst>
        </xdr:cNvPr>
        <xdr:cNvSpPr/>
      </xdr:nvSpPr>
      <xdr:spPr>
        <a:xfrm>
          <a:off x="1154430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595</xdr:row>
      <xdr:rowOff>0</xdr:rowOff>
    </xdr:from>
    <xdr:to>
      <xdr:col>60</xdr:col>
      <xdr:colOff>83820</xdr:colOff>
      <xdr:row>595</xdr:row>
      <xdr:rowOff>114300</xdr:rowOff>
    </xdr:to>
    <xdr:sp macro="" textlink="">
      <xdr:nvSpPr>
        <xdr:cNvPr id="4585" name="Arrow: Down 4584">
          <a:extLst>
            <a:ext uri="{FF2B5EF4-FFF2-40B4-BE49-F238E27FC236}">
              <a16:creationId xmlns:a16="http://schemas.microsoft.com/office/drawing/2014/main" id="{CC5F1FE8-AE2A-462D-8F5B-7A0C517BBFAE}"/>
            </a:ext>
          </a:extLst>
        </xdr:cNvPr>
        <xdr:cNvSpPr/>
      </xdr:nvSpPr>
      <xdr:spPr>
        <a:xfrm rot="10800000">
          <a:off x="1908048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596</xdr:row>
      <xdr:rowOff>0</xdr:rowOff>
    </xdr:from>
    <xdr:to>
      <xdr:col>45</xdr:col>
      <xdr:colOff>83820</xdr:colOff>
      <xdr:row>596</xdr:row>
      <xdr:rowOff>114300</xdr:rowOff>
    </xdr:to>
    <xdr:sp macro="" textlink="">
      <xdr:nvSpPr>
        <xdr:cNvPr id="4586" name="Arrow: Down 4585">
          <a:extLst>
            <a:ext uri="{FF2B5EF4-FFF2-40B4-BE49-F238E27FC236}">
              <a16:creationId xmlns:a16="http://schemas.microsoft.com/office/drawing/2014/main" id="{BE7C5C1B-10B8-4642-B224-E77CF595250C}"/>
            </a:ext>
          </a:extLst>
        </xdr:cNvPr>
        <xdr:cNvSpPr/>
      </xdr:nvSpPr>
      <xdr:spPr>
        <a:xfrm rot="10800000">
          <a:off x="13403580" y="10891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596</xdr:row>
      <xdr:rowOff>0</xdr:rowOff>
    </xdr:from>
    <xdr:to>
      <xdr:col>71</xdr:col>
      <xdr:colOff>83820</xdr:colOff>
      <xdr:row>596</xdr:row>
      <xdr:rowOff>114300</xdr:rowOff>
    </xdr:to>
    <xdr:sp macro="" textlink="">
      <xdr:nvSpPr>
        <xdr:cNvPr id="4587" name="Arrow: Down 4586">
          <a:extLst>
            <a:ext uri="{FF2B5EF4-FFF2-40B4-BE49-F238E27FC236}">
              <a16:creationId xmlns:a16="http://schemas.microsoft.com/office/drawing/2014/main" id="{94A9094E-8EB8-4D24-B049-61B998FDFB38}"/>
            </a:ext>
          </a:extLst>
        </xdr:cNvPr>
        <xdr:cNvSpPr/>
      </xdr:nvSpPr>
      <xdr:spPr>
        <a:xfrm>
          <a:off x="21800820" y="10891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596</xdr:row>
      <xdr:rowOff>0</xdr:rowOff>
    </xdr:from>
    <xdr:to>
      <xdr:col>39</xdr:col>
      <xdr:colOff>83820</xdr:colOff>
      <xdr:row>596</xdr:row>
      <xdr:rowOff>114300</xdr:rowOff>
    </xdr:to>
    <xdr:sp macro="" textlink="">
      <xdr:nvSpPr>
        <xdr:cNvPr id="4591" name="Arrow: Down 4590">
          <a:extLst>
            <a:ext uri="{FF2B5EF4-FFF2-40B4-BE49-F238E27FC236}">
              <a16:creationId xmlns:a16="http://schemas.microsoft.com/office/drawing/2014/main" id="{D7D8921E-EEB4-4A0C-B96E-38E4859C7311}"/>
            </a:ext>
          </a:extLst>
        </xdr:cNvPr>
        <xdr:cNvSpPr/>
      </xdr:nvSpPr>
      <xdr:spPr>
        <a:xfrm>
          <a:off x="11544300" y="10891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596</xdr:row>
      <xdr:rowOff>0</xdr:rowOff>
    </xdr:from>
    <xdr:to>
      <xdr:col>60</xdr:col>
      <xdr:colOff>83820</xdr:colOff>
      <xdr:row>596</xdr:row>
      <xdr:rowOff>114300</xdr:rowOff>
    </xdr:to>
    <xdr:sp macro="" textlink="">
      <xdr:nvSpPr>
        <xdr:cNvPr id="4593" name="Arrow: Down 4592">
          <a:extLst>
            <a:ext uri="{FF2B5EF4-FFF2-40B4-BE49-F238E27FC236}">
              <a16:creationId xmlns:a16="http://schemas.microsoft.com/office/drawing/2014/main" id="{6B097F6D-ACBA-4AEF-AF36-CF120C0F207F}"/>
            </a:ext>
          </a:extLst>
        </xdr:cNvPr>
        <xdr:cNvSpPr/>
      </xdr:nvSpPr>
      <xdr:spPr>
        <a:xfrm>
          <a:off x="1908048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596</xdr:row>
      <xdr:rowOff>0</xdr:rowOff>
    </xdr:from>
    <xdr:to>
      <xdr:col>24</xdr:col>
      <xdr:colOff>83820</xdr:colOff>
      <xdr:row>596</xdr:row>
      <xdr:rowOff>114300</xdr:rowOff>
    </xdr:to>
    <xdr:sp macro="" textlink="">
      <xdr:nvSpPr>
        <xdr:cNvPr id="4596" name="Arrow: Down 4595">
          <a:extLst>
            <a:ext uri="{FF2B5EF4-FFF2-40B4-BE49-F238E27FC236}">
              <a16:creationId xmlns:a16="http://schemas.microsoft.com/office/drawing/2014/main" id="{A63B3D9C-51F1-4174-B0F0-53D57C3234B5}"/>
            </a:ext>
          </a:extLst>
        </xdr:cNvPr>
        <xdr:cNvSpPr/>
      </xdr:nvSpPr>
      <xdr:spPr>
        <a:xfrm>
          <a:off x="833628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596</xdr:row>
      <xdr:rowOff>0</xdr:rowOff>
    </xdr:from>
    <xdr:to>
      <xdr:col>11</xdr:col>
      <xdr:colOff>83820</xdr:colOff>
      <xdr:row>596</xdr:row>
      <xdr:rowOff>114300</xdr:rowOff>
    </xdr:to>
    <xdr:sp macro="" textlink="">
      <xdr:nvSpPr>
        <xdr:cNvPr id="4598" name="Arrow: Down 4597">
          <a:extLst>
            <a:ext uri="{FF2B5EF4-FFF2-40B4-BE49-F238E27FC236}">
              <a16:creationId xmlns:a16="http://schemas.microsoft.com/office/drawing/2014/main" id="{D46E1DD7-3AE4-4648-8AF2-CF1954E364B8}"/>
            </a:ext>
          </a:extLst>
        </xdr:cNvPr>
        <xdr:cNvSpPr/>
      </xdr:nvSpPr>
      <xdr:spPr>
        <a:xfrm>
          <a:off x="369570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596</xdr:row>
      <xdr:rowOff>0</xdr:rowOff>
    </xdr:from>
    <xdr:to>
      <xdr:col>5</xdr:col>
      <xdr:colOff>83820</xdr:colOff>
      <xdr:row>596</xdr:row>
      <xdr:rowOff>114300</xdr:rowOff>
    </xdr:to>
    <xdr:sp macro="" textlink="">
      <xdr:nvSpPr>
        <xdr:cNvPr id="4600" name="Arrow: Down 4599">
          <a:extLst>
            <a:ext uri="{FF2B5EF4-FFF2-40B4-BE49-F238E27FC236}">
              <a16:creationId xmlns:a16="http://schemas.microsoft.com/office/drawing/2014/main" id="{420013C6-E354-45D5-9CA5-60D1C821CC45}"/>
            </a:ext>
          </a:extLst>
        </xdr:cNvPr>
        <xdr:cNvSpPr/>
      </xdr:nvSpPr>
      <xdr:spPr>
        <a:xfrm>
          <a:off x="192786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597</xdr:row>
      <xdr:rowOff>0</xdr:rowOff>
    </xdr:from>
    <xdr:to>
      <xdr:col>45</xdr:col>
      <xdr:colOff>83820</xdr:colOff>
      <xdr:row>597</xdr:row>
      <xdr:rowOff>114300</xdr:rowOff>
    </xdr:to>
    <xdr:sp macro="" textlink="">
      <xdr:nvSpPr>
        <xdr:cNvPr id="4608" name="Arrow: Down 4607">
          <a:extLst>
            <a:ext uri="{FF2B5EF4-FFF2-40B4-BE49-F238E27FC236}">
              <a16:creationId xmlns:a16="http://schemas.microsoft.com/office/drawing/2014/main" id="{40A2F2A7-DB47-4323-A877-8B46EB7F76F0}"/>
            </a:ext>
          </a:extLst>
        </xdr:cNvPr>
        <xdr:cNvSpPr/>
      </xdr:nvSpPr>
      <xdr:spPr>
        <a:xfrm rot="10800000">
          <a:off x="1340358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597</xdr:row>
      <xdr:rowOff>0</xdr:rowOff>
    </xdr:from>
    <xdr:to>
      <xdr:col>71</xdr:col>
      <xdr:colOff>83820</xdr:colOff>
      <xdr:row>597</xdr:row>
      <xdr:rowOff>114300</xdr:rowOff>
    </xdr:to>
    <xdr:sp macro="" textlink="">
      <xdr:nvSpPr>
        <xdr:cNvPr id="4609" name="Arrow: Down 4608">
          <a:extLst>
            <a:ext uri="{FF2B5EF4-FFF2-40B4-BE49-F238E27FC236}">
              <a16:creationId xmlns:a16="http://schemas.microsoft.com/office/drawing/2014/main" id="{C6E6E6DE-73C3-42F1-94F0-C64C9B7BF2B2}"/>
            </a:ext>
          </a:extLst>
        </xdr:cNvPr>
        <xdr:cNvSpPr/>
      </xdr:nvSpPr>
      <xdr:spPr>
        <a:xfrm>
          <a:off x="2180082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597</xdr:row>
      <xdr:rowOff>0</xdr:rowOff>
    </xdr:from>
    <xdr:to>
      <xdr:col>39</xdr:col>
      <xdr:colOff>83820</xdr:colOff>
      <xdr:row>597</xdr:row>
      <xdr:rowOff>114300</xdr:rowOff>
    </xdr:to>
    <xdr:sp macro="" textlink="">
      <xdr:nvSpPr>
        <xdr:cNvPr id="4610" name="Arrow: Down 4609">
          <a:extLst>
            <a:ext uri="{FF2B5EF4-FFF2-40B4-BE49-F238E27FC236}">
              <a16:creationId xmlns:a16="http://schemas.microsoft.com/office/drawing/2014/main" id="{CFF185F1-EF9F-4122-9231-3BF4772C3B88}"/>
            </a:ext>
          </a:extLst>
        </xdr:cNvPr>
        <xdr:cNvSpPr/>
      </xdr:nvSpPr>
      <xdr:spPr>
        <a:xfrm>
          <a:off x="11544300" y="10909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597</xdr:row>
      <xdr:rowOff>0</xdr:rowOff>
    </xdr:from>
    <xdr:to>
      <xdr:col>60</xdr:col>
      <xdr:colOff>83820</xdr:colOff>
      <xdr:row>597</xdr:row>
      <xdr:rowOff>114300</xdr:rowOff>
    </xdr:to>
    <xdr:sp macro="" textlink="">
      <xdr:nvSpPr>
        <xdr:cNvPr id="4616" name="Arrow: Down 4615">
          <a:extLst>
            <a:ext uri="{FF2B5EF4-FFF2-40B4-BE49-F238E27FC236}">
              <a16:creationId xmlns:a16="http://schemas.microsoft.com/office/drawing/2014/main" id="{C84A0CC3-C3F6-40A9-8115-6BBCE356660F}"/>
            </a:ext>
          </a:extLst>
        </xdr:cNvPr>
        <xdr:cNvSpPr/>
      </xdr:nvSpPr>
      <xdr:spPr>
        <a:xfrm rot="10800000">
          <a:off x="1908048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597</xdr:row>
      <xdr:rowOff>0</xdr:rowOff>
    </xdr:from>
    <xdr:to>
      <xdr:col>24</xdr:col>
      <xdr:colOff>83820</xdr:colOff>
      <xdr:row>597</xdr:row>
      <xdr:rowOff>114300</xdr:rowOff>
    </xdr:to>
    <xdr:sp macro="" textlink="">
      <xdr:nvSpPr>
        <xdr:cNvPr id="4619" name="Arrow: Down 4618">
          <a:extLst>
            <a:ext uri="{FF2B5EF4-FFF2-40B4-BE49-F238E27FC236}">
              <a16:creationId xmlns:a16="http://schemas.microsoft.com/office/drawing/2014/main" id="{42753702-2E8B-46E7-9AD3-EA01241B5B8D}"/>
            </a:ext>
          </a:extLst>
        </xdr:cNvPr>
        <xdr:cNvSpPr/>
      </xdr:nvSpPr>
      <xdr:spPr>
        <a:xfrm rot="10800000">
          <a:off x="833628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597</xdr:row>
      <xdr:rowOff>0</xdr:rowOff>
    </xdr:from>
    <xdr:to>
      <xdr:col>5</xdr:col>
      <xdr:colOff>83820</xdr:colOff>
      <xdr:row>597</xdr:row>
      <xdr:rowOff>114300</xdr:rowOff>
    </xdr:to>
    <xdr:sp macro="" textlink="">
      <xdr:nvSpPr>
        <xdr:cNvPr id="4620" name="Arrow: Down 4619">
          <a:extLst>
            <a:ext uri="{FF2B5EF4-FFF2-40B4-BE49-F238E27FC236}">
              <a16:creationId xmlns:a16="http://schemas.microsoft.com/office/drawing/2014/main" id="{2FED5375-83FA-493F-B4EB-6EAF380A52BC}"/>
            </a:ext>
          </a:extLst>
        </xdr:cNvPr>
        <xdr:cNvSpPr/>
      </xdr:nvSpPr>
      <xdr:spPr>
        <a:xfrm rot="10800000">
          <a:off x="192786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597</xdr:row>
      <xdr:rowOff>0</xdr:rowOff>
    </xdr:from>
    <xdr:to>
      <xdr:col>11</xdr:col>
      <xdr:colOff>83820</xdr:colOff>
      <xdr:row>597</xdr:row>
      <xdr:rowOff>114300</xdr:rowOff>
    </xdr:to>
    <xdr:sp macro="" textlink="">
      <xdr:nvSpPr>
        <xdr:cNvPr id="4622" name="Arrow: Down 4621">
          <a:extLst>
            <a:ext uri="{FF2B5EF4-FFF2-40B4-BE49-F238E27FC236}">
              <a16:creationId xmlns:a16="http://schemas.microsoft.com/office/drawing/2014/main" id="{73D48F42-D1EA-452D-B864-FD2F3FF17154}"/>
            </a:ext>
          </a:extLst>
        </xdr:cNvPr>
        <xdr:cNvSpPr/>
      </xdr:nvSpPr>
      <xdr:spPr>
        <a:xfrm rot="10800000">
          <a:off x="369570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598</xdr:row>
      <xdr:rowOff>0</xdr:rowOff>
    </xdr:from>
    <xdr:to>
      <xdr:col>45</xdr:col>
      <xdr:colOff>83820</xdr:colOff>
      <xdr:row>598</xdr:row>
      <xdr:rowOff>114300</xdr:rowOff>
    </xdr:to>
    <xdr:sp macro="" textlink="">
      <xdr:nvSpPr>
        <xdr:cNvPr id="4644" name="Arrow: Down 4643">
          <a:extLst>
            <a:ext uri="{FF2B5EF4-FFF2-40B4-BE49-F238E27FC236}">
              <a16:creationId xmlns:a16="http://schemas.microsoft.com/office/drawing/2014/main" id="{5B85D245-C801-4499-B3DD-47A66EB3969C}"/>
            </a:ext>
          </a:extLst>
        </xdr:cNvPr>
        <xdr:cNvSpPr/>
      </xdr:nvSpPr>
      <xdr:spPr>
        <a:xfrm rot="10800000">
          <a:off x="13403580" y="10927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598</xdr:row>
      <xdr:rowOff>0</xdr:rowOff>
    </xdr:from>
    <xdr:to>
      <xdr:col>39</xdr:col>
      <xdr:colOff>83820</xdr:colOff>
      <xdr:row>598</xdr:row>
      <xdr:rowOff>114300</xdr:rowOff>
    </xdr:to>
    <xdr:sp macro="" textlink="">
      <xdr:nvSpPr>
        <xdr:cNvPr id="4646" name="Arrow: Down 4645">
          <a:extLst>
            <a:ext uri="{FF2B5EF4-FFF2-40B4-BE49-F238E27FC236}">
              <a16:creationId xmlns:a16="http://schemas.microsoft.com/office/drawing/2014/main" id="{B6176107-A81A-47E4-AC40-032DEBF72FE5}"/>
            </a:ext>
          </a:extLst>
        </xdr:cNvPr>
        <xdr:cNvSpPr/>
      </xdr:nvSpPr>
      <xdr:spPr>
        <a:xfrm>
          <a:off x="1154430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598</xdr:row>
      <xdr:rowOff>0</xdr:rowOff>
    </xdr:from>
    <xdr:to>
      <xdr:col>71</xdr:col>
      <xdr:colOff>83820</xdr:colOff>
      <xdr:row>598</xdr:row>
      <xdr:rowOff>114300</xdr:rowOff>
    </xdr:to>
    <xdr:sp macro="" textlink="">
      <xdr:nvSpPr>
        <xdr:cNvPr id="4651" name="Arrow: Down 4650">
          <a:extLst>
            <a:ext uri="{FF2B5EF4-FFF2-40B4-BE49-F238E27FC236}">
              <a16:creationId xmlns:a16="http://schemas.microsoft.com/office/drawing/2014/main" id="{AB5C51E7-AE54-49B2-A598-C04937B70A7F}"/>
            </a:ext>
          </a:extLst>
        </xdr:cNvPr>
        <xdr:cNvSpPr/>
      </xdr:nvSpPr>
      <xdr:spPr>
        <a:xfrm rot="10800000">
          <a:off x="21800820" y="10946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598</xdr:row>
      <xdr:rowOff>0</xdr:rowOff>
    </xdr:from>
    <xdr:to>
      <xdr:col>60</xdr:col>
      <xdr:colOff>83820</xdr:colOff>
      <xdr:row>598</xdr:row>
      <xdr:rowOff>114300</xdr:rowOff>
    </xdr:to>
    <xdr:sp macro="" textlink="">
      <xdr:nvSpPr>
        <xdr:cNvPr id="4652" name="Arrow: Down 4651">
          <a:extLst>
            <a:ext uri="{FF2B5EF4-FFF2-40B4-BE49-F238E27FC236}">
              <a16:creationId xmlns:a16="http://schemas.microsoft.com/office/drawing/2014/main" id="{08DC5902-6E4B-478E-892E-598343C9D632}"/>
            </a:ext>
          </a:extLst>
        </xdr:cNvPr>
        <xdr:cNvSpPr/>
      </xdr:nvSpPr>
      <xdr:spPr>
        <a:xfrm rot="10800000">
          <a:off x="19080480" y="10946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598</xdr:row>
      <xdr:rowOff>0</xdr:rowOff>
    </xdr:from>
    <xdr:to>
      <xdr:col>24</xdr:col>
      <xdr:colOff>83820</xdr:colOff>
      <xdr:row>598</xdr:row>
      <xdr:rowOff>114300</xdr:rowOff>
    </xdr:to>
    <xdr:sp macro="" textlink="">
      <xdr:nvSpPr>
        <xdr:cNvPr id="4654" name="Arrow: Down 4653">
          <a:extLst>
            <a:ext uri="{FF2B5EF4-FFF2-40B4-BE49-F238E27FC236}">
              <a16:creationId xmlns:a16="http://schemas.microsoft.com/office/drawing/2014/main" id="{B2BFEE43-FF87-4E8E-A462-43BF6DEC5858}"/>
            </a:ext>
          </a:extLst>
        </xdr:cNvPr>
        <xdr:cNvSpPr/>
      </xdr:nvSpPr>
      <xdr:spPr>
        <a:xfrm>
          <a:off x="833628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598</xdr:row>
      <xdr:rowOff>0</xdr:rowOff>
    </xdr:from>
    <xdr:to>
      <xdr:col>11</xdr:col>
      <xdr:colOff>83820</xdr:colOff>
      <xdr:row>598</xdr:row>
      <xdr:rowOff>114300</xdr:rowOff>
    </xdr:to>
    <xdr:sp macro="" textlink="">
      <xdr:nvSpPr>
        <xdr:cNvPr id="4656" name="Arrow: Down 4655">
          <a:extLst>
            <a:ext uri="{FF2B5EF4-FFF2-40B4-BE49-F238E27FC236}">
              <a16:creationId xmlns:a16="http://schemas.microsoft.com/office/drawing/2014/main" id="{BDE6A4EF-ED8A-4E22-B890-C155ABDFA963}"/>
            </a:ext>
          </a:extLst>
        </xdr:cNvPr>
        <xdr:cNvSpPr/>
      </xdr:nvSpPr>
      <xdr:spPr>
        <a:xfrm>
          <a:off x="369570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598</xdr:row>
      <xdr:rowOff>0</xdr:rowOff>
    </xdr:from>
    <xdr:to>
      <xdr:col>5</xdr:col>
      <xdr:colOff>83820</xdr:colOff>
      <xdr:row>598</xdr:row>
      <xdr:rowOff>114300</xdr:rowOff>
    </xdr:to>
    <xdr:sp macro="" textlink="">
      <xdr:nvSpPr>
        <xdr:cNvPr id="4657" name="Arrow: Down 4656">
          <a:extLst>
            <a:ext uri="{FF2B5EF4-FFF2-40B4-BE49-F238E27FC236}">
              <a16:creationId xmlns:a16="http://schemas.microsoft.com/office/drawing/2014/main" id="{D476131E-9582-45E2-B90E-D8FD7F083867}"/>
            </a:ext>
          </a:extLst>
        </xdr:cNvPr>
        <xdr:cNvSpPr/>
      </xdr:nvSpPr>
      <xdr:spPr>
        <a:xfrm>
          <a:off x="192786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599</xdr:row>
      <xdr:rowOff>0</xdr:rowOff>
    </xdr:from>
    <xdr:to>
      <xdr:col>45</xdr:col>
      <xdr:colOff>83820</xdr:colOff>
      <xdr:row>599</xdr:row>
      <xdr:rowOff>114300</xdr:rowOff>
    </xdr:to>
    <xdr:sp macro="" textlink="">
      <xdr:nvSpPr>
        <xdr:cNvPr id="4665" name="Arrow: Down 4664">
          <a:extLst>
            <a:ext uri="{FF2B5EF4-FFF2-40B4-BE49-F238E27FC236}">
              <a16:creationId xmlns:a16="http://schemas.microsoft.com/office/drawing/2014/main" id="{C105BB9B-7717-4DB7-B5EA-0ABBA38AEE9A}"/>
            </a:ext>
          </a:extLst>
        </xdr:cNvPr>
        <xdr:cNvSpPr/>
      </xdr:nvSpPr>
      <xdr:spPr>
        <a:xfrm rot="10800000">
          <a:off x="1340358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599</xdr:row>
      <xdr:rowOff>0</xdr:rowOff>
    </xdr:from>
    <xdr:to>
      <xdr:col>39</xdr:col>
      <xdr:colOff>83820</xdr:colOff>
      <xdr:row>599</xdr:row>
      <xdr:rowOff>114300</xdr:rowOff>
    </xdr:to>
    <xdr:sp macro="" textlink="">
      <xdr:nvSpPr>
        <xdr:cNvPr id="4666" name="Arrow: Down 4665">
          <a:extLst>
            <a:ext uri="{FF2B5EF4-FFF2-40B4-BE49-F238E27FC236}">
              <a16:creationId xmlns:a16="http://schemas.microsoft.com/office/drawing/2014/main" id="{082BA850-655B-4985-B0E6-3816C6807C7E}"/>
            </a:ext>
          </a:extLst>
        </xdr:cNvPr>
        <xdr:cNvSpPr/>
      </xdr:nvSpPr>
      <xdr:spPr>
        <a:xfrm>
          <a:off x="11544300" y="10946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599</xdr:row>
      <xdr:rowOff>0</xdr:rowOff>
    </xdr:from>
    <xdr:to>
      <xdr:col>24</xdr:col>
      <xdr:colOff>83820</xdr:colOff>
      <xdr:row>599</xdr:row>
      <xdr:rowOff>114300</xdr:rowOff>
    </xdr:to>
    <xdr:sp macro="" textlink="">
      <xdr:nvSpPr>
        <xdr:cNvPr id="4669" name="Arrow: Down 4668">
          <a:extLst>
            <a:ext uri="{FF2B5EF4-FFF2-40B4-BE49-F238E27FC236}">
              <a16:creationId xmlns:a16="http://schemas.microsoft.com/office/drawing/2014/main" id="{5A14991F-3FE0-489F-8611-93CB5D03384F}"/>
            </a:ext>
          </a:extLst>
        </xdr:cNvPr>
        <xdr:cNvSpPr/>
      </xdr:nvSpPr>
      <xdr:spPr>
        <a:xfrm>
          <a:off x="833628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599</xdr:row>
      <xdr:rowOff>0</xdr:rowOff>
    </xdr:from>
    <xdr:to>
      <xdr:col>11</xdr:col>
      <xdr:colOff>83820</xdr:colOff>
      <xdr:row>599</xdr:row>
      <xdr:rowOff>114300</xdr:rowOff>
    </xdr:to>
    <xdr:sp macro="" textlink="">
      <xdr:nvSpPr>
        <xdr:cNvPr id="4670" name="Arrow: Down 4669">
          <a:extLst>
            <a:ext uri="{FF2B5EF4-FFF2-40B4-BE49-F238E27FC236}">
              <a16:creationId xmlns:a16="http://schemas.microsoft.com/office/drawing/2014/main" id="{EF24B6F1-BEF3-4128-94CF-CFBF8C73B030}"/>
            </a:ext>
          </a:extLst>
        </xdr:cNvPr>
        <xdr:cNvSpPr/>
      </xdr:nvSpPr>
      <xdr:spPr>
        <a:xfrm>
          <a:off x="369570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599</xdr:row>
      <xdr:rowOff>0</xdr:rowOff>
    </xdr:from>
    <xdr:to>
      <xdr:col>5</xdr:col>
      <xdr:colOff>83820</xdr:colOff>
      <xdr:row>599</xdr:row>
      <xdr:rowOff>114300</xdr:rowOff>
    </xdr:to>
    <xdr:sp macro="" textlink="">
      <xdr:nvSpPr>
        <xdr:cNvPr id="4671" name="Arrow: Down 4670">
          <a:extLst>
            <a:ext uri="{FF2B5EF4-FFF2-40B4-BE49-F238E27FC236}">
              <a16:creationId xmlns:a16="http://schemas.microsoft.com/office/drawing/2014/main" id="{DEA393C7-6D52-4F9E-BB1E-0D3DA1E9E97E}"/>
            </a:ext>
          </a:extLst>
        </xdr:cNvPr>
        <xdr:cNvSpPr/>
      </xdr:nvSpPr>
      <xdr:spPr>
        <a:xfrm>
          <a:off x="192786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599</xdr:row>
      <xdr:rowOff>0</xdr:rowOff>
    </xdr:from>
    <xdr:to>
      <xdr:col>71</xdr:col>
      <xdr:colOff>83820</xdr:colOff>
      <xdr:row>599</xdr:row>
      <xdr:rowOff>114300</xdr:rowOff>
    </xdr:to>
    <xdr:sp macro="" textlink="">
      <xdr:nvSpPr>
        <xdr:cNvPr id="4673" name="Arrow: Down 4672">
          <a:extLst>
            <a:ext uri="{FF2B5EF4-FFF2-40B4-BE49-F238E27FC236}">
              <a16:creationId xmlns:a16="http://schemas.microsoft.com/office/drawing/2014/main" id="{7E281321-A1F4-4E1E-9E20-8300737DA77F}"/>
            </a:ext>
          </a:extLst>
        </xdr:cNvPr>
        <xdr:cNvSpPr/>
      </xdr:nvSpPr>
      <xdr:spPr>
        <a:xfrm>
          <a:off x="2180082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599</xdr:row>
      <xdr:rowOff>0</xdr:rowOff>
    </xdr:from>
    <xdr:to>
      <xdr:col>60</xdr:col>
      <xdr:colOff>83820</xdr:colOff>
      <xdr:row>599</xdr:row>
      <xdr:rowOff>114300</xdr:rowOff>
    </xdr:to>
    <xdr:sp macro="" textlink="">
      <xdr:nvSpPr>
        <xdr:cNvPr id="4675" name="Arrow: Down 4674">
          <a:extLst>
            <a:ext uri="{FF2B5EF4-FFF2-40B4-BE49-F238E27FC236}">
              <a16:creationId xmlns:a16="http://schemas.microsoft.com/office/drawing/2014/main" id="{3915F8B3-962A-452E-B5F6-BF4FB29CFF90}"/>
            </a:ext>
          </a:extLst>
        </xdr:cNvPr>
        <xdr:cNvSpPr/>
      </xdr:nvSpPr>
      <xdr:spPr>
        <a:xfrm>
          <a:off x="190804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600</xdr:row>
      <xdr:rowOff>0</xdr:rowOff>
    </xdr:from>
    <xdr:to>
      <xdr:col>45</xdr:col>
      <xdr:colOff>83820</xdr:colOff>
      <xdr:row>600</xdr:row>
      <xdr:rowOff>114300</xdr:rowOff>
    </xdr:to>
    <xdr:sp macro="" textlink="">
      <xdr:nvSpPr>
        <xdr:cNvPr id="4288" name="Arrow: Down 4287">
          <a:extLst>
            <a:ext uri="{FF2B5EF4-FFF2-40B4-BE49-F238E27FC236}">
              <a16:creationId xmlns:a16="http://schemas.microsoft.com/office/drawing/2014/main" id="{04EA5890-BFEA-4650-B9AB-0217EE1F6F5E}"/>
            </a:ext>
          </a:extLst>
        </xdr:cNvPr>
        <xdr:cNvSpPr/>
      </xdr:nvSpPr>
      <xdr:spPr>
        <a:xfrm rot="10800000">
          <a:off x="134035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600</xdr:row>
      <xdr:rowOff>0</xdr:rowOff>
    </xdr:from>
    <xdr:to>
      <xdr:col>39</xdr:col>
      <xdr:colOff>83820</xdr:colOff>
      <xdr:row>600</xdr:row>
      <xdr:rowOff>114300</xdr:rowOff>
    </xdr:to>
    <xdr:sp macro="" textlink="">
      <xdr:nvSpPr>
        <xdr:cNvPr id="4297" name="Arrow: Down 4296">
          <a:extLst>
            <a:ext uri="{FF2B5EF4-FFF2-40B4-BE49-F238E27FC236}">
              <a16:creationId xmlns:a16="http://schemas.microsoft.com/office/drawing/2014/main" id="{555F2E44-E909-4A8D-96B5-2DAB48445B76}"/>
            </a:ext>
          </a:extLst>
        </xdr:cNvPr>
        <xdr:cNvSpPr/>
      </xdr:nvSpPr>
      <xdr:spPr>
        <a:xfrm>
          <a:off x="11544300" y="10964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600</xdr:row>
      <xdr:rowOff>0</xdr:rowOff>
    </xdr:from>
    <xdr:to>
      <xdr:col>24</xdr:col>
      <xdr:colOff>83820</xdr:colOff>
      <xdr:row>600</xdr:row>
      <xdr:rowOff>114300</xdr:rowOff>
    </xdr:to>
    <xdr:sp macro="" textlink="">
      <xdr:nvSpPr>
        <xdr:cNvPr id="4298" name="Arrow: Down 4297">
          <a:extLst>
            <a:ext uri="{FF2B5EF4-FFF2-40B4-BE49-F238E27FC236}">
              <a16:creationId xmlns:a16="http://schemas.microsoft.com/office/drawing/2014/main" id="{D716E77C-DA9C-4504-8DBC-D16C4E0E7ACD}"/>
            </a:ext>
          </a:extLst>
        </xdr:cNvPr>
        <xdr:cNvSpPr/>
      </xdr:nvSpPr>
      <xdr:spPr>
        <a:xfrm>
          <a:off x="83362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600</xdr:row>
      <xdr:rowOff>0</xdr:rowOff>
    </xdr:from>
    <xdr:to>
      <xdr:col>11</xdr:col>
      <xdr:colOff>83820</xdr:colOff>
      <xdr:row>600</xdr:row>
      <xdr:rowOff>114300</xdr:rowOff>
    </xdr:to>
    <xdr:sp macro="" textlink="">
      <xdr:nvSpPr>
        <xdr:cNvPr id="4305" name="Arrow: Down 4304">
          <a:extLst>
            <a:ext uri="{FF2B5EF4-FFF2-40B4-BE49-F238E27FC236}">
              <a16:creationId xmlns:a16="http://schemas.microsoft.com/office/drawing/2014/main" id="{7AADDCB7-5D7B-4CAE-AD03-46718CCA62C6}"/>
            </a:ext>
          </a:extLst>
        </xdr:cNvPr>
        <xdr:cNvSpPr/>
      </xdr:nvSpPr>
      <xdr:spPr>
        <a:xfrm>
          <a:off x="369570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600</xdr:row>
      <xdr:rowOff>0</xdr:rowOff>
    </xdr:from>
    <xdr:to>
      <xdr:col>5</xdr:col>
      <xdr:colOff>83820</xdr:colOff>
      <xdr:row>600</xdr:row>
      <xdr:rowOff>114300</xdr:rowOff>
    </xdr:to>
    <xdr:sp macro="" textlink="">
      <xdr:nvSpPr>
        <xdr:cNvPr id="4352" name="Arrow: Down 4351">
          <a:extLst>
            <a:ext uri="{FF2B5EF4-FFF2-40B4-BE49-F238E27FC236}">
              <a16:creationId xmlns:a16="http://schemas.microsoft.com/office/drawing/2014/main" id="{88F749E5-F01C-475F-9947-3FE5695CADF5}"/>
            </a:ext>
          </a:extLst>
        </xdr:cNvPr>
        <xdr:cNvSpPr/>
      </xdr:nvSpPr>
      <xdr:spPr>
        <a:xfrm>
          <a:off x="192786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600</xdr:row>
      <xdr:rowOff>0</xdr:rowOff>
    </xdr:from>
    <xdr:to>
      <xdr:col>71</xdr:col>
      <xdr:colOff>83820</xdr:colOff>
      <xdr:row>600</xdr:row>
      <xdr:rowOff>114300</xdr:rowOff>
    </xdr:to>
    <xdr:sp macro="" textlink="">
      <xdr:nvSpPr>
        <xdr:cNvPr id="4353" name="Arrow: Down 4352">
          <a:extLst>
            <a:ext uri="{FF2B5EF4-FFF2-40B4-BE49-F238E27FC236}">
              <a16:creationId xmlns:a16="http://schemas.microsoft.com/office/drawing/2014/main" id="{F7D0F2C6-7465-44C5-8436-CBA83489A176}"/>
            </a:ext>
          </a:extLst>
        </xdr:cNvPr>
        <xdr:cNvSpPr/>
      </xdr:nvSpPr>
      <xdr:spPr>
        <a:xfrm>
          <a:off x="2180082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600</xdr:row>
      <xdr:rowOff>0</xdr:rowOff>
    </xdr:from>
    <xdr:to>
      <xdr:col>60</xdr:col>
      <xdr:colOff>83820</xdr:colOff>
      <xdr:row>600</xdr:row>
      <xdr:rowOff>114300</xdr:rowOff>
    </xdr:to>
    <xdr:sp macro="" textlink="">
      <xdr:nvSpPr>
        <xdr:cNvPr id="4354" name="Arrow: Down 4353">
          <a:extLst>
            <a:ext uri="{FF2B5EF4-FFF2-40B4-BE49-F238E27FC236}">
              <a16:creationId xmlns:a16="http://schemas.microsoft.com/office/drawing/2014/main" id="{2451886A-6B91-4F23-9EC0-5D1329D5DF81}"/>
            </a:ext>
          </a:extLst>
        </xdr:cNvPr>
        <xdr:cNvSpPr/>
      </xdr:nvSpPr>
      <xdr:spPr>
        <a:xfrm>
          <a:off x="190804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601</xdr:row>
      <xdr:rowOff>0</xdr:rowOff>
    </xdr:from>
    <xdr:to>
      <xdr:col>45</xdr:col>
      <xdr:colOff>83820</xdr:colOff>
      <xdr:row>601</xdr:row>
      <xdr:rowOff>114300</xdr:rowOff>
    </xdr:to>
    <xdr:sp macro="" textlink="">
      <xdr:nvSpPr>
        <xdr:cNvPr id="4367" name="Arrow: Down 4366">
          <a:extLst>
            <a:ext uri="{FF2B5EF4-FFF2-40B4-BE49-F238E27FC236}">
              <a16:creationId xmlns:a16="http://schemas.microsoft.com/office/drawing/2014/main" id="{69A3D062-9251-4DCA-A3A5-DB31E7B4DEDE}"/>
            </a:ext>
          </a:extLst>
        </xdr:cNvPr>
        <xdr:cNvSpPr/>
      </xdr:nvSpPr>
      <xdr:spPr>
        <a:xfrm rot="10800000">
          <a:off x="13403580" y="10982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601</xdr:row>
      <xdr:rowOff>0</xdr:rowOff>
    </xdr:from>
    <xdr:to>
      <xdr:col>71</xdr:col>
      <xdr:colOff>83820</xdr:colOff>
      <xdr:row>601</xdr:row>
      <xdr:rowOff>114300</xdr:rowOff>
    </xdr:to>
    <xdr:sp macro="" textlink="">
      <xdr:nvSpPr>
        <xdr:cNvPr id="4376" name="Arrow: Down 4375">
          <a:extLst>
            <a:ext uri="{FF2B5EF4-FFF2-40B4-BE49-F238E27FC236}">
              <a16:creationId xmlns:a16="http://schemas.microsoft.com/office/drawing/2014/main" id="{40C3C0FB-04AC-4499-A497-628431B47D7B}"/>
            </a:ext>
          </a:extLst>
        </xdr:cNvPr>
        <xdr:cNvSpPr/>
      </xdr:nvSpPr>
      <xdr:spPr>
        <a:xfrm>
          <a:off x="21800820" y="10982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22860</xdr:colOff>
      <xdr:row>601</xdr:row>
      <xdr:rowOff>0</xdr:rowOff>
    </xdr:from>
    <xdr:to>
      <xdr:col>60</xdr:col>
      <xdr:colOff>106680</xdr:colOff>
      <xdr:row>601</xdr:row>
      <xdr:rowOff>114300</xdr:rowOff>
    </xdr:to>
    <xdr:sp macro="" textlink="">
      <xdr:nvSpPr>
        <xdr:cNvPr id="4380" name="Arrow: Down 4379">
          <a:extLst>
            <a:ext uri="{FF2B5EF4-FFF2-40B4-BE49-F238E27FC236}">
              <a16:creationId xmlns:a16="http://schemas.microsoft.com/office/drawing/2014/main" id="{A2742908-CE38-4177-AA5A-EAC379560CC5}"/>
            </a:ext>
          </a:extLst>
        </xdr:cNvPr>
        <xdr:cNvSpPr/>
      </xdr:nvSpPr>
      <xdr:spPr>
        <a:xfrm>
          <a:off x="1910334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602</xdr:row>
      <xdr:rowOff>0</xdr:rowOff>
    </xdr:from>
    <xdr:to>
      <xdr:col>45</xdr:col>
      <xdr:colOff>83820</xdr:colOff>
      <xdr:row>602</xdr:row>
      <xdr:rowOff>114300</xdr:rowOff>
    </xdr:to>
    <xdr:sp macro="" textlink="">
      <xdr:nvSpPr>
        <xdr:cNvPr id="4396" name="Arrow: Down 4395">
          <a:extLst>
            <a:ext uri="{FF2B5EF4-FFF2-40B4-BE49-F238E27FC236}">
              <a16:creationId xmlns:a16="http://schemas.microsoft.com/office/drawing/2014/main" id="{636487DA-DF9A-4BD9-B3EF-592953C0D36B}"/>
            </a:ext>
          </a:extLst>
        </xdr:cNvPr>
        <xdr:cNvSpPr/>
      </xdr:nvSpPr>
      <xdr:spPr>
        <a:xfrm rot="10800000">
          <a:off x="1340358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602</xdr:row>
      <xdr:rowOff>0</xdr:rowOff>
    </xdr:from>
    <xdr:to>
      <xdr:col>39</xdr:col>
      <xdr:colOff>83820</xdr:colOff>
      <xdr:row>602</xdr:row>
      <xdr:rowOff>114300</xdr:rowOff>
    </xdr:to>
    <xdr:sp macro="" textlink="">
      <xdr:nvSpPr>
        <xdr:cNvPr id="4397" name="Arrow: Down 4396">
          <a:extLst>
            <a:ext uri="{FF2B5EF4-FFF2-40B4-BE49-F238E27FC236}">
              <a16:creationId xmlns:a16="http://schemas.microsoft.com/office/drawing/2014/main" id="{5312783F-7BD5-43AD-9365-3330089CE856}"/>
            </a:ext>
          </a:extLst>
        </xdr:cNvPr>
        <xdr:cNvSpPr/>
      </xdr:nvSpPr>
      <xdr:spPr>
        <a:xfrm>
          <a:off x="1154430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602</xdr:row>
      <xdr:rowOff>0</xdr:rowOff>
    </xdr:from>
    <xdr:to>
      <xdr:col>11</xdr:col>
      <xdr:colOff>83820</xdr:colOff>
      <xdr:row>602</xdr:row>
      <xdr:rowOff>114300</xdr:rowOff>
    </xdr:to>
    <xdr:sp macro="" textlink="">
      <xdr:nvSpPr>
        <xdr:cNvPr id="4401" name="Arrow: Down 4400">
          <a:extLst>
            <a:ext uri="{FF2B5EF4-FFF2-40B4-BE49-F238E27FC236}">
              <a16:creationId xmlns:a16="http://schemas.microsoft.com/office/drawing/2014/main" id="{5E779A78-3E07-4DF4-B7A2-711F0CD534AB}"/>
            </a:ext>
          </a:extLst>
        </xdr:cNvPr>
        <xdr:cNvSpPr/>
      </xdr:nvSpPr>
      <xdr:spPr>
        <a:xfrm>
          <a:off x="369570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602</xdr:row>
      <xdr:rowOff>0</xdr:rowOff>
    </xdr:from>
    <xdr:to>
      <xdr:col>71</xdr:col>
      <xdr:colOff>83820</xdr:colOff>
      <xdr:row>602</xdr:row>
      <xdr:rowOff>114300</xdr:rowOff>
    </xdr:to>
    <xdr:sp macro="" textlink="">
      <xdr:nvSpPr>
        <xdr:cNvPr id="4406" name="Arrow: Down 4405">
          <a:extLst>
            <a:ext uri="{FF2B5EF4-FFF2-40B4-BE49-F238E27FC236}">
              <a16:creationId xmlns:a16="http://schemas.microsoft.com/office/drawing/2014/main" id="{A2FC6924-821F-484C-B1BF-95B0AFAE850F}"/>
            </a:ext>
          </a:extLst>
        </xdr:cNvPr>
        <xdr:cNvSpPr/>
      </xdr:nvSpPr>
      <xdr:spPr>
        <a:xfrm>
          <a:off x="2180082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602</xdr:row>
      <xdr:rowOff>0</xdr:rowOff>
    </xdr:from>
    <xdr:to>
      <xdr:col>60</xdr:col>
      <xdr:colOff>83820</xdr:colOff>
      <xdr:row>602</xdr:row>
      <xdr:rowOff>114300</xdr:rowOff>
    </xdr:to>
    <xdr:sp macro="" textlink="">
      <xdr:nvSpPr>
        <xdr:cNvPr id="4417" name="Arrow: Down 4416">
          <a:extLst>
            <a:ext uri="{FF2B5EF4-FFF2-40B4-BE49-F238E27FC236}">
              <a16:creationId xmlns:a16="http://schemas.microsoft.com/office/drawing/2014/main" id="{E74FC8C8-4220-4A63-A802-A323649215D6}"/>
            </a:ext>
          </a:extLst>
        </xdr:cNvPr>
        <xdr:cNvSpPr/>
      </xdr:nvSpPr>
      <xdr:spPr>
        <a:xfrm rot="10800000">
          <a:off x="1908048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601</xdr:row>
      <xdr:rowOff>0</xdr:rowOff>
    </xdr:from>
    <xdr:to>
      <xdr:col>11</xdr:col>
      <xdr:colOff>83820</xdr:colOff>
      <xdr:row>601</xdr:row>
      <xdr:rowOff>114300</xdr:rowOff>
    </xdr:to>
    <xdr:sp macro="" textlink="">
      <xdr:nvSpPr>
        <xdr:cNvPr id="4419" name="Arrow: Down 4418">
          <a:extLst>
            <a:ext uri="{FF2B5EF4-FFF2-40B4-BE49-F238E27FC236}">
              <a16:creationId xmlns:a16="http://schemas.microsoft.com/office/drawing/2014/main" id="{3866FA41-3351-4799-A992-75BB5BC32053}"/>
            </a:ext>
          </a:extLst>
        </xdr:cNvPr>
        <xdr:cNvSpPr/>
      </xdr:nvSpPr>
      <xdr:spPr>
        <a:xfrm rot="10800000">
          <a:off x="369570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601</xdr:row>
      <xdr:rowOff>0</xdr:rowOff>
    </xdr:from>
    <xdr:to>
      <xdr:col>5</xdr:col>
      <xdr:colOff>83820</xdr:colOff>
      <xdr:row>601</xdr:row>
      <xdr:rowOff>114300</xdr:rowOff>
    </xdr:to>
    <xdr:sp macro="" textlink="">
      <xdr:nvSpPr>
        <xdr:cNvPr id="4420" name="Arrow: Down 4419">
          <a:extLst>
            <a:ext uri="{FF2B5EF4-FFF2-40B4-BE49-F238E27FC236}">
              <a16:creationId xmlns:a16="http://schemas.microsoft.com/office/drawing/2014/main" id="{246A7403-EAB6-4698-8990-99B39A95E98C}"/>
            </a:ext>
          </a:extLst>
        </xdr:cNvPr>
        <xdr:cNvSpPr/>
      </xdr:nvSpPr>
      <xdr:spPr>
        <a:xfrm rot="10800000">
          <a:off x="192786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602</xdr:row>
      <xdr:rowOff>0</xdr:rowOff>
    </xdr:from>
    <xdr:to>
      <xdr:col>5</xdr:col>
      <xdr:colOff>83820</xdr:colOff>
      <xdr:row>602</xdr:row>
      <xdr:rowOff>114300</xdr:rowOff>
    </xdr:to>
    <xdr:sp macro="" textlink="">
      <xdr:nvSpPr>
        <xdr:cNvPr id="4422" name="Arrow: Down 4421">
          <a:extLst>
            <a:ext uri="{FF2B5EF4-FFF2-40B4-BE49-F238E27FC236}">
              <a16:creationId xmlns:a16="http://schemas.microsoft.com/office/drawing/2014/main" id="{F4974630-439F-4093-A4E6-F92C2B064FA9}"/>
            </a:ext>
          </a:extLst>
        </xdr:cNvPr>
        <xdr:cNvSpPr/>
      </xdr:nvSpPr>
      <xdr:spPr>
        <a:xfrm rot="10800000">
          <a:off x="192786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601</xdr:row>
      <xdr:rowOff>0</xdr:rowOff>
    </xdr:from>
    <xdr:to>
      <xdr:col>24</xdr:col>
      <xdr:colOff>83820</xdr:colOff>
      <xdr:row>601</xdr:row>
      <xdr:rowOff>114300</xdr:rowOff>
    </xdr:to>
    <xdr:sp macro="" textlink="">
      <xdr:nvSpPr>
        <xdr:cNvPr id="4426" name="Arrow: Down 4425">
          <a:extLst>
            <a:ext uri="{FF2B5EF4-FFF2-40B4-BE49-F238E27FC236}">
              <a16:creationId xmlns:a16="http://schemas.microsoft.com/office/drawing/2014/main" id="{29B7E710-2176-45D0-94A2-4587F0C48BC6}"/>
            </a:ext>
          </a:extLst>
        </xdr:cNvPr>
        <xdr:cNvSpPr/>
      </xdr:nvSpPr>
      <xdr:spPr>
        <a:xfrm rot="10800000">
          <a:off x="833628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602</xdr:row>
      <xdr:rowOff>0</xdr:rowOff>
    </xdr:from>
    <xdr:to>
      <xdr:col>24</xdr:col>
      <xdr:colOff>83820</xdr:colOff>
      <xdr:row>602</xdr:row>
      <xdr:rowOff>114300</xdr:rowOff>
    </xdr:to>
    <xdr:sp macro="" textlink="">
      <xdr:nvSpPr>
        <xdr:cNvPr id="4430" name="Arrow: Down 4429">
          <a:extLst>
            <a:ext uri="{FF2B5EF4-FFF2-40B4-BE49-F238E27FC236}">
              <a16:creationId xmlns:a16="http://schemas.microsoft.com/office/drawing/2014/main" id="{B201F5CF-B2E0-4804-8998-074B20317FF2}"/>
            </a:ext>
          </a:extLst>
        </xdr:cNvPr>
        <xdr:cNvSpPr/>
      </xdr:nvSpPr>
      <xdr:spPr>
        <a:xfrm rot="10800000">
          <a:off x="833628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603</xdr:row>
      <xdr:rowOff>0</xdr:rowOff>
    </xdr:from>
    <xdr:to>
      <xdr:col>45</xdr:col>
      <xdr:colOff>83820</xdr:colOff>
      <xdr:row>603</xdr:row>
      <xdr:rowOff>114300</xdr:rowOff>
    </xdr:to>
    <xdr:sp macro="" textlink="">
      <xdr:nvSpPr>
        <xdr:cNvPr id="4431" name="Arrow: Down 4430">
          <a:extLst>
            <a:ext uri="{FF2B5EF4-FFF2-40B4-BE49-F238E27FC236}">
              <a16:creationId xmlns:a16="http://schemas.microsoft.com/office/drawing/2014/main" id="{2B25CADB-7A4F-4774-A7C8-08D95CEB265D}"/>
            </a:ext>
          </a:extLst>
        </xdr:cNvPr>
        <xdr:cNvSpPr/>
      </xdr:nvSpPr>
      <xdr:spPr>
        <a:xfrm rot="10800000">
          <a:off x="13403580" y="11019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603</xdr:row>
      <xdr:rowOff>0</xdr:rowOff>
    </xdr:from>
    <xdr:to>
      <xdr:col>39</xdr:col>
      <xdr:colOff>83820</xdr:colOff>
      <xdr:row>603</xdr:row>
      <xdr:rowOff>114300</xdr:rowOff>
    </xdr:to>
    <xdr:sp macro="" textlink="">
      <xdr:nvSpPr>
        <xdr:cNvPr id="4432" name="Arrow: Down 4431">
          <a:extLst>
            <a:ext uri="{FF2B5EF4-FFF2-40B4-BE49-F238E27FC236}">
              <a16:creationId xmlns:a16="http://schemas.microsoft.com/office/drawing/2014/main" id="{A6494896-3207-4C71-8275-318B54B78CAB}"/>
            </a:ext>
          </a:extLst>
        </xdr:cNvPr>
        <xdr:cNvSpPr/>
      </xdr:nvSpPr>
      <xdr:spPr>
        <a:xfrm>
          <a:off x="1154430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603</xdr:row>
      <xdr:rowOff>0</xdr:rowOff>
    </xdr:from>
    <xdr:to>
      <xdr:col>71</xdr:col>
      <xdr:colOff>83820</xdr:colOff>
      <xdr:row>603</xdr:row>
      <xdr:rowOff>114300</xdr:rowOff>
    </xdr:to>
    <xdr:sp macro="" textlink="">
      <xdr:nvSpPr>
        <xdr:cNvPr id="4434" name="Arrow: Down 4433">
          <a:extLst>
            <a:ext uri="{FF2B5EF4-FFF2-40B4-BE49-F238E27FC236}">
              <a16:creationId xmlns:a16="http://schemas.microsoft.com/office/drawing/2014/main" id="{D7AEDA4A-65B0-48B9-A2B1-49A55393B0C8}"/>
            </a:ext>
          </a:extLst>
        </xdr:cNvPr>
        <xdr:cNvSpPr/>
      </xdr:nvSpPr>
      <xdr:spPr>
        <a:xfrm>
          <a:off x="21800820" y="11019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603</xdr:row>
      <xdr:rowOff>0</xdr:rowOff>
    </xdr:from>
    <xdr:to>
      <xdr:col>60</xdr:col>
      <xdr:colOff>83820</xdr:colOff>
      <xdr:row>603</xdr:row>
      <xdr:rowOff>114300</xdr:rowOff>
    </xdr:to>
    <xdr:sp macro="" textlink="">
      <xdr:nvSpPr>
        <xdr:cNvPr id="4435" name="Arrow: Down 4434">
          <a:extLst>
            <a:ext uri="{FF2B5EF4-FFF2-40B4-BE49-F238E27FC236}">
              <a16:creationId xmlns:a16="http://schemas.microsoft.com/office/drawing/2014/main" id="{E5A390D2-B3DD-4F63-8BB5-0F940CDB1077}"/>
            </a:ext>
          </a:extLst>
        </xdr:cNvPr>
        <xdr:cNvSpPr/>
      </xdr:nvSpPr>
      <xdr:spPr>
        <a:xfrm rot="10800000">
          <a:off x="1908048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603</xdr:row>
      <xdr:rowOff>0</xdr:rowOff>
    </xdr:from>
    <xdr:to>
      <xdr:col>5</xdr:col>
      <xdr:colOff>83820</xdr:colOff>
      <xdr:row>603</xdr:row>
      <xdr:rowOff>114300</xdr:rowOff>
    </xdr:to>
    <xdr:sp macro="" textlink="">
      <xdr:nvSpPr>
        <xdr:cNvPr id="4436" name="Arrow: Down 4435">
          <a:extLst>
            <a:ext uri="{FF2B5EF4-FFF2-40B4-BE49-F238E27FC236}">
              <a16:creationId xmlns:a16="http://schemas.microsoft.com/office/drawing/2014/main" id="{0E3C9C7D-1F66-4579-97F2-CF6E5D79318F}"/>
            </a:ext>
          </a:extLst>
        </xdr:cNvPr>
        <xdr:cNvSpPr/>
      </xdr:nvSpPr>
      <xdr:spPr>
        <a:xfrm rot="10800000">
          <a:off x="192786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603</xdr:row>
      <xdr:rowOff>0</xdr:rowOff>
    </xdr:from>
    <xdr:to>
      <xdr:col>11</xdr:col>
      <xdr:colOff>83820</xdr:colOff>
      <xdr:row>603</xdr:row>
      <xdr:rowOff>114300</xdr:rowOff>
    </xdr:to>
    <xdr:sp macro="" textlink="">
      <xdr:nvSpPr>
        <xdr:cNvPr id="4446" name="Arrow: Down 4445">
          <a:extLst>
            <a:ext uri="{FF2B5EF4-FFF2-40B4-BE49-F238E27FC236}">
              <a16:creationId xmlns:a16="http://schemas.microsoft.com/office/drawing/2014/main" id="{A0F7A235-3B63-4547-AAC9-FF86EAF4E80F}"/>
            </a:ext>
          </a:extLst>
        </xdr:cNvPr>
        <xdr:cNvSpPr/>
      </xdr:nvSpPr>
      <xdr:spPr>
        <a:xfrm rot="10800000">
          <a:off x="369570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603</xdr:row>
      <xdr:rowOff>0</xdr:rowOff>
    </xdr:from>
    <xdr:to>
      <xdr:col>24</xdr:col>
      <xdr:colOff>83820</xdr:colOff>
      <xdr:row>603</xdr:row>
      <xdr:rowOff>114300</xdr:rowOff>
    </xdr:to>
    <xdr:sp macro="" textlink="">
      <xdr:nvSpPr>
        <xdr:cNvPr id="4448" name="Arrow: Down 4447">
          <a:extLst>
            <a:ext uri="{FF2B5EF4-FFF2-40B4-BE49-F238E27FC236}">
              <a16:creationId xmlns:a16="http://schemas.microsoft.com/office/drawing/2014/main" id="{DAA17684-DA4B-456A-BA40-6F785EC64141}"/>
            </a:ext>
          </a:extLst>
        </xdr:cNvPr>
        <xdr:cNvSpPr/>
      </xdr:nvSpPr>
      <xdr:spPr>
        <a:xfrm>
          <a:off x="8336280" y="11037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601</xdr:row>
      <xdr:rowOff>0</xdr:rowOff>
    </xdr:from>
    <xdr:to>
      <xdr:col>39</xdr:col>
      <xdr:colOff>83820</xdr:colOff>
      <xdr:row>601</xdr:row>
      <xdr:rowOff>114300</xdr:rowOff>
    </xdr:to>
    <xdr:sp macro="" textlink="">
      <xdr:nvSpPr>
        <xdr:cNvPr id="4450" name="Arrow: Down 4449">
          <a:extLst>
            <a:ext uri="{FF2B5EF4-FFF2-40B4-BE49-F238E27FC236}">
              <a16:creationId xmlns:a16="http://schemas.microsoft.com/office/drawing/2014/main" id="{8FC8CE42-C134-461F-8EF3-0EF4A0E4420E}"/>
            </a:ext>
          </a:extLst>
        </xdr:cNvPr>
        <xdr:cNvSpPr/>
      </xdr:nvSpPr>
      <xdr:spPr>
        <a:xfrm rot="10800000">
          <a:off x="1154430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604</xdr:row>
      <xdr:rowOff>0</xdr:rowOff>
    </xdr:from>
    <xdr:to>
      <xdr:col>45</xdr:col>
      <xdr:colOff>83820</xdr:colOff>
      <xdr:row>604</xdr:row>
      <xdr:rowOff>114300</xdr:rowOff>
    </xdr:to>
    <xdr:sp macro="" textlink="">
      <xdr:nvSpPr>
        <xdr:cNvPr id="4356" name="Arrow: Down 4355">
          <a:extLst>
            <a:ext uri="{FF2B5EF4-FFF2-40B4-BE49-F238E27FC236}">
              <a16:creationId xmlns:a16="http://schemas.microsoft.com/office/drawing/2014/main" id="{39748AD5-956D-47A2-B28E-228A2BBAEDC5}"/>
            </a:ext>
          </a:extLst>
        </xdr:cNvPr>
        <xdr:cNvSpPr/>
      </xdr:nvSpPr>
      <xdr:spPr>
        <a:xfrm rot="10800000">
          <a:off x="13403580" y="11037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604</xdr:row>
      <xdr:rowOff>0</xdr:rowOff>
    </xdr:from>
    <xdr:to>
      <xdr:col>39</xdr:col>
      <xdr:colOff>83820</xdr:colOff>
      <xdr:row>604</xdr:row>
      <xdr:rowOff>114300</xdr:rowOff>
    </xdr:to>
    <xdr:sp macro="" textlink="">
      <xdr:nvSpPr>
        <xdr:cNvPr id="4357" name="Arrow: Down 4356">
          <a:extLst>
            <a:ext uri="{FF2B5EF4-FFF2-40B4-BE49-F238E27FC236}">
              <a16:creationId xmlns:a16="http://schemas.microsoft.com/office/drawing/2014/main" id="{F7DFA575-F9E7-4F76-A825-642CEE4307A9}"/>
            </a:ext>
          </a:extLst>
        </xdr:cNvPr>
        <xdr:cNvSpPr/>
      </xdr:nvSpPr>
      <xdr:spPr>
        <a:xfrm>
          <a:off x="1154430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604</xdr:row>
      <xdr:rowOff>0</xdr:rowOff>
    </xdr:from>
    <xdr:to>
      <xdr:col>71</xdr:col>
      <xdr:colOff>83820</xdr:colOff>
      <xdr:row>604</xdr:row>
      <xdr:rowOff>114300</xdr:rowOff>
    </xdr:to>
    <xdr:sp macro="" textlink="">
      <xdr:nvSpPr>
        <xdr:cNvPr id="4358" name="Arrow: Down 4357">
          <a:extLst>
            <a:ext uri="{FF2B5EF4-FFF2-40B4-BE49-F238E27FC236}">
              <a16:creationId xmlns:a16="http://schemas.microsoft.com/office/drawing/2014/main" id="{E522B43B-52DA-42F3-8CCD-FBBBD7B4D37F}"/>
            </a:ext>
          </a:extLst>
        </xdr:cNvPr>
        <xdr:cNvSpPr/>
      </xdr:nvSpPr>
      <xdr:spPr>
        <a:xfrm>
          <a:off x="21800820" y="11037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604</xdr:row>
      <xdr:rowOff>0</xdr:rowOff>
    </xdr:from>
    <xdr:to>
      <xdr:col>5</xdr:col>
      <xdr:colOff>83820</xdr:colOff>
      <xdr:row>604</xdr:row>
      <xdr:rowOff>114300</xdr:rowOff>
    </xdr:to>
    <xdr:sp macro="" textlink="">
      <xdr:nvSpPr>
        <xdr:cNvPr id="4360" name="Arrow: Down 4359">
          <a:extLst>
            <a:ext uri="{FF2B5EF4-FFF2-40B4-BE49-F238E27FC236}">
              <a16:creationId xmlns:a16="http://schemas.microsoft.com/office/drawing/2014/main" id="{73991E8E-5DC3-4332-B40E-56BCCA50F166}"/>
            </a:ext>
          </a:extLst>
        </xdr:cNvPr>
        <xdr:cNvSpPr/>
      </xdr:nvSpPr>
      <xdr:spPr>
        <a:xfrm rot="10800000">
          <a:off x="192786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604</xdr:row>
      <xdr:rowOff>0</xdr:rowOff>
    </xdr:from>
    <xdr:to>
      <xdr:col>11</xdr:col>
      <xdr:colOff>83820</xdr:colOff>
      <xdr:row>604</xdr:row>
      <xdr:rowOff>114300</xdr:rowOff>
    </xdr:to>
    <xdr:sp macro="" textlink="">
      <xdr:nvSpPr>
        <xdr:cNvPr id="4361" name="Arrow: Down 4360">
          <a:extLst>
            <a:ext uri="{FF2B5EF4-FFF2-40B4-BE49-F238E27FC236}">
              <a16:creationId xmlns:a16="http://schemas.microsoft.com/office/drawing/2014/main" id="{94CDD17B-6AB1-47A5-AC64-C4D54521BCDA}"/>
            </a:ext>
          </a:extLst>
        </xdr:cNvPr>
        <xdr:cNvSpPr/>
      </xdr:nvSpPr>
      <xdr:spPr>
        <a:xfrm rot="10800000">
          <a:off x="369570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605</xdr:row>
      <xdr:rowOff>0</xdr:rowOff>
    </xdr:from>
    <xdr:to>
      <xdr:col>45</xdr:col>
      <xdr:colOff>83820</xdr:colOff>
      <xdr:row>605</xdr:row>
      <xdr:rowOff>114300</xdr:rowOff>
    </xdr:to>
    <xdr:sp macro="" textlink="">
      <xdr:nvSpPr>
        <xdr:cNvPr id="4369" name="Arrow: Down 4368">
          <a:extLst>
            <a:ext uri="{FF2B5EF4-FFF2-40B4-BE49-F238E27FC236}">
              <a16:creationId xmlns:a16="http://schemas.microsoft.com/office/drawing/2014/main" id="{58F836E9-9155-4A9D-AE71-CE84EDDA5A0E}"/>
            </a:ext>
          </a:extLst>
        </xdr:cNvPr>
        <xdr:cNvSpPr/>
      </xdr:nvSpPr>
      <xdr:spPr>
        <a:xfrm rot="10800000">
          <a:off x="13403580" y="11055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605</xdr:row>
      <xdr:rowOff>0</xdr:rowOff>
    </xdr:from>
    <xdr:to>
      <xdr:col>39</xdr:col>
      <xdr:colOff>83820</xdr:colOff>
      <xdr:row>605</xdr:row>
      <xdr:rowOff>114300</xdr:rowOff>
    </xdr:to>
    <xdr:sp macro="" textlink="">
      <xdr:nvSpPr>
        <xdr:cNvPr id="4371" name="Arrow: Down 4370">
          <a:extLst>
            <a:ext uri="{FF2B5EF4-FFF2-40B4-BE49-F238E27FC236}">
              <a16:creationId xmlns:a16="http://schemas.microsoft.com/office/drawing/2014/main" id="{0541F27D-9AC7-474A-8095-9506C8A83D21}"/>
            </a:ext>
          </a:extLst>
        </xdr:cNvPr>
        <xdr:cNvSpPr/>
      </xdr:nvSpPr>
      <xdr:spPr>
        <a:xfrm>
          <a:off x="11544300" y="11055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605</xdr:row>
      <xdr:rowOff>0</xdr:rowOff>
    </xdr:from>
    <xdr:to>
      <xdr:col>60</xdr:col>
      <xdr:colOff>83820</xdr:colOff>
      <xdr:row>605</xdr:row>
      <xdr:rowOff>114300</xdr:rowOff>
    </xdr:to>
    <xdr:sp macro="" textlink="">
      <xdr:nvSpPr>
        <xdr:cNvPr id="4375" name="Arrow: Down 4374">
          <a:extLst>
            <a:ext uri="{FF2B5EF4-FFF2-40B4-BE49-F238E27FC236}">
              <a16:creationId xmlns:a16="http://schemas.microsoft.com/office/drawing/2014/main" id="{637241FC-0A77-4434-A7B8-ED00936E7974}"/>
            </a:ext>
          </a:extLst>
        </xdr:cNvPr>
        <xdr:cNvSpPr/>
      </xdr:nvSpPr>
      <xdr:spPr>
        <a:xfrm rot="10800000">
          <a:off x="19080480" y="11055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605</xdr:row>
      <xdr:rowOff>0</xdr:rowOff>
    </xdr:from>
    <xdr:to>
      <xdr:col>24</xdr:col>
      <xdr:colOff>83820</xdr:colOff>
      <xdr:row>605</xdr:row>
      <xdr:rowOff>114300</xdr:rowOff>
    </xdr:to>
    <xdr:sp macro="" textlink="">
      <xdr:nvSpPr>
        <xdr:cNvPr id="4390" name="Arrow: Down 4389">
          <a:extLst>
            <a:ext uri="{FF2B5EF4-FFF2-40B4-BE49-F238E27FC236}">
              <a16:creationId xmlns:a16="http://schemas.microsoft.com/office/drawing/2014/main" id="{31CA5FF4-EB28-421C-BA45-61D62CDFA716}"/>
            </a:ext>
          </a:extLst>
        </xdr:cNvPr>
        <xdr:cNvSpPr/>
      </xdr:nvSpPr>
      <xdr:spPr>
        <a:xfrm>
          <a:off x="8336280" y="11055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604</xdr:row>
      <xdr:rowOff>0</xdr:rowOff>
    </xdr:from>
    <xdr:to>
      <xdr:col>24</xdr:col>
      <xdr:colOff>83820</xdr:colOff>
      <xdr:row>604</xdr:row>
      <xdr:rowOff>114300</xdr:rowOff>
    </xdr:to>
    <xdr:sp macro="" textlink="">
      <xdr:nvSpPr>
        <xdr:cNvPr id="4391" name="Arrow: Down 4390">
          <a:extLst>
            <a:ext uri="{FF2B5EF4-FFF2-40B4-BE49-F238E27FC236}">
              <a16:creationId xmlns:a16="http://schemas.microsoft.com/office/drawing/2014/main" id="{A6716221-49F6-4A48-9E6B-DADA813ACE4E}"/>
            </a:ext>
          </a:extLst>
        </xdr:cNvPr>
        <xdr:cNvSpPr/>
      </xdr:nvSpPr>
      <xdr:spPr>
        <a:xfrm rot="10800000">
          <a:off x="8336280" y="11055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604</xdr:row>
      <xdr:rowOff>0</xdr:rowOff>
    </xdr:from>
    <xdr:to>
      <xdr:col>60</xdr:col>
      <xdr:colOff>83820</xdr:colOff>
      <xdr:row>604</xdr:row>
      <xdr:rowOff>114300</xdr:rowOff>
    </xdr:to>
    <xdr:sp macro="" textlink="">
      <xdr:nvSpPr>
        <xdr:cNvPr id="4392" name="Arrow: Down 4391">
          <a:extLst>
            <a:ext uri="{FF2B5EF4-FFF2-40B4-BE49-F238E27FC236}">
              <a16:creationId xmlns:a16="http://schemas.microsoft.com/office/drawing/2014/main" id="{FE4ED787-3204-41B7-AC67-7AFA84E36328}"/>
            </a:ext>
          </a:extLst>
        </xdr:cNvPr>
        <xdr:cNvSpPr/>
      </xdr:nvSpPr>
      <xdr:spPr>
        <a:xfrm>
          <a:off x="19080480" y="11055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605</xdr:row>
      <xdr:rowOff>0</xdr:rowOff>
    </xdr:from>
    <xdr:to>
      <xdr:col>71</xdr:col>
      <xdr:colOff>83820</xdr:colOff>
      <xdr:row>605</xdr:row>
      <xdr:rowOff>114300</xdr:rowOff>
    </xdr:to>
    <xdr:sp macro="" textlink="">
      <xdr:nvSpPr>
        <xdr:cNvPr id="4394" name="Arrow: Down 4393">
          <a:extLst>
            <a:ext uri="{FF2B5EF4-FFF2-40B4-BE49-F238E27FC236}">
              <a16:creationId xmlns:a16="http://schemas.microsoft.com/office/drawing/2014/main" id="{0282D4BB-5965-4297-AB75-005B3CACBFA4}"/>
            </a:ext>
          </a:extLst>
        </xdr:cNvPr>
        <xdr:cNvSpPr/>
      </xdr:nvSpPr>
      <xdr:spPr>
        <a:xfrm rot="10800000">
          <a:off x="21800820" y="11074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605</xdr:row>
      <xdr:rowOff>0</xdr:rowOff>
    </xdr:from>
    <xdr:to>
      <xdr:col>5</xdr:col>
      <xdr:colOff>83820</xdr:colOff>
      <xdr:row>605</xdr:row>
      <xdr:rowOff>114300</xdr:rowOff>
    </xdr:to>
    <xdr:sp macro="" textlink="">
      <xdr:nvSpPr>
        <xdr:cNvPr id="4395" name="Arrow: Down 4394">
          <a:extLst>
            <a:ext uri="{FF2B5EF4-FFF2-40B4-BE49-F238E27FC236}">
              <a16:creationId xmlns:a16="http://schemas.microsoft.com/office/drawing/2014/main" id="{167F35BD-0954-4BEC-AB53-4F7D50389953}"/>
            </a:ext>
          </a:extLst>
        </xdr:cNvPr>
        <xdr:cNvSpPr/>
      </xdr:nvSpPr>
      <xdr:spPr>
        <a:xfrm>
          <a:off x="192786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605</xdr:row>
      <xdr:rowOff>0</xdr:rowOff>
    </xdr:from>
    <xdr:to>
      <xdr:col>11</xdr:col>
      <xdr:colOff>83820</xdr:colOff>
      <xdr:row>605</xdr:row>
      <xdr:rowOff>114300</xdr:rowOff>
    </xdr:to>
    <xdr:sp macro="" textlink="">
      <xdr:nvSpPr>
        <xdr:cNvPr id="4400" name="Arrow: Down 4399">
          <a:extLst>
            <a:ext uri="{FF2B5EF4-FFF2-40B4-BE49-F238E27FC236}">
              <a16:creationId xmlns:a16="http://schemas.microsoft.com/office/drawing/2014/main" id="{C8A76B53-D4FD-4DE6-B6A9-9CEC92245436}"/>
            </a:ext>
          </a:extLst>
        </xdr:cNvPr>
        <xdr:cNvSpPr/>
      </xdr:nvSpPr>
      <xdr:spPr>
        <a:xfrm>
          <a:off x="369570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606</xdr:row>
      <xdr:rowOff>0</xdr:rowOff>
    </xdr:from>
    <xdr:to>
      <xdr:col>45</xdr:col>
      <xdr:colOff>83820</xdr:colOff>
      <xdr:row>606</xdr:row>
      <xdr:rowOff>114300</xdr:rowOff>
    </xdr:to>
    <xdr:sp macro="" textlink="">
      <xdr:nvSpPr>
        <xdr:cNvPr id="4405" name="Arrow: Down 4404">
          <a:extLst>
            <a:ext uri="{FF2B5EF4-FFF2-40B4-BE49-F238E27FC236}">
              <a16:creationId xmlns:a16="http://schemas.microsoft.com/office/drawing/2014/main" id="{DF9C89CC-94B2-453F-BCBB-5E573B83172F}"/>
            </a:ext>
          </a:extLst>
        </xdr:cNvPr>
        <xdr:cNvSpPr/>
      </xdr:nvSpPr>
      <xdr:spPr>
        <a:xfrm rot="10800000">
          <a:off x="1340358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606</xdr:row>
      <xdr:rowOff>0</xdr:rowOff>
    </xdr:from>
    <xdr:to>
      <xdr:col>39</xdr:col>
      <xdr:colOff>83820</xdr:colOff>
      <xdr:row>606</xdr:row>
      <xdr:rowOff>114300</xdr:rowOff>
    </xdr:to>
    <xdr:sp macro="" textlink="">
      <xdr:nvSpPr>
        <xdr:cNvPr id="4407" name="Arrow: Down 4406">
          <a:extLst>
            <a:ext uri="{FF2B5EF4-FFF2-40B4-BE49-F238E27FC236}">
              <a16:creationId xmlns:a16="http://schemas.microsoft.com/office/drawing/2014/main" id="{7E87A8A8-7676-4A1F-86A4-CA29709AE65A}"/>
            </a:ext>
          </a:extLst>
        </xdr:cNvPr>
        <xdr:cNvSpPr/>
      </xdr:nvSpPr>
      <xdr:spPr>
        <a:xfrm>
          <a:off x="11544300" y="11074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606</xdr:row>
      <xdr:rowOff>0</xdr:rowOff>
    </xdr:from>
    <xdr:to>
      <xdr:col>24</xdr:col>
      <xdr:colOff>83820</xdr:colOff>
      <xdr:row>606</xdr:row>
      <xdr:rowOff>114300</xdr:rowOff>
    </xdr:to>
    <xdr:sp macro="" textlink="">
      <xdr:nvSpPr>
        <xdr:cNvPr id="4413" name="Arrow: Down 4412">
          <a:extLst>
            <a:ext uri="{FF2B5EF4-FFF2-40B4-BE49-F238E27FC236}">
              <a16:creationId xmlns:a16="http://schemas.microsoft.com/office/drawing/2014/main" id="{62DC113C-1A5B-460E-A335-21D46F1CF128}"/>
            </a:ext>
          </a:extLst>
        </xdr:cNvPr>
        <xdr:cNvSpPr/>
      </xdr:nvSpPr>
      <xdr:spPr>
        <a:xfrm>
          <a:off x="833628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606</xdr:row>
      <xdr:rowOff>0</xdr:rowOff>
    </xdr:from>
    <xdr:to>
      <xdr:col>5</xdr:col>
      <xdr:colOff>83820</xdr:colOff>
      <xdr:row>606</xdr:row>
      <xdr:rowOff>114300</xdr:rowOff>
    </xdr:to>
    <xdr:sp macro="" textlink="">
      <xdr:nvSpPr>
        <xdr:cNvPr id="4421" name="Arrow: Down 4420">
          <a:extLst>
            <a:ext uri="{FF2B5EF4-FFF2-40B4-BE49-F238E27FC236}">
              <a16:creationId xmlns:a16="http://schemas.microsoft.com/office/drawing/2014/main" id="{0DC80C0A-4E6F-4A67-86EB-F7DC16916443}"/>
            </a:ext>
          </a:extLst>
        </xdr:cNvPr>
        <xdr:cNvSpPr/>
      </xdr:nvSpPr>
      <xdr:spPr>
        <a:xfrm>
          <a:off x="192786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606</xdr:row>
      <xdr:rowOff>0</xdr:rowOff>
    </xdr:from>
    <xdr:to>
      <xdr:col>11</xdr:col>
      <xdr:colOff>83820</xdr:colOff>
      <xdr:row>606</xdr:row>
      <xdr:rowOff>114300</xdr:rowOff>
    </xdr:to>
    <xdr:sp macro="" textlink="">
      <xdr:nvSpPr>
        <xdr:cNvPr id="4424" name="Arrow: Down 4423">
          <a:extLst>
            <a:ext uri="{FF2B5EF4-FFF2-40B4-BE49-F238E27FC236}">
              <a16:creationId xmlns:a16="http://schemas.microsoft.com/office/drawing/2014/main" id="{37581000-5B17-49A9-B0FB-1113772ACE39}"/>
            </a:ext>
          </a:extLst>
        </xdr:cNvPr>
        <xdr:cNvSpPr/>
      </xdr:nvSpPr>
      <xdr:spPr>
        <a:xfrm>
          <a:off x="369570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606</xdr:row>
      <xdr:rowOff>0</xdr:rowOff>
    </xdr:from>
    <xdr:to>
      <xdr:col>60</xdr:col>
      <xdr:colOff>83820</xdr:colOff>
      <xdr:row>606</xdr:row>
      <xdr:rowOff>114300</xdr:rowOff>
    </xdr:to>
    <xdr:sp macro="" textlink="">
      <xdr:nvSpPr>
        <xdr:cNvPr id="4433" name="Arrow: Down 4432">
          <a:extLst>
            <a:ext uri="{FF2B5EF4-FFF2-40B4-BE49-F238E27FC236}">
              <a16:creationId xmlns:a16="http://schemas.microsoft.com/office/drawing/2014/main" id="{A72B8C44-26F0-41B8-BB24-11DEAA94C96A}"/>
            </a:ext>
          </a:extLst>
        </xdr:cNvPr>
        <xdr:cNvSpPr/>
      </xdr:nvSpPr>
      <xdr:spPr>
        <a:xfrm>
          <a:off x="1908048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606</xdr:row>
      <xdr:rowOff>0</xdr:rowOff>
    </xdr:from>
    <xdr:to>
      <xdr:col>71</xdr:col>
      <xdr:colOff>83820</xdr:colOff>
      <xdr:row>606</xdr:row>
      <xdr:rowOff>114300</xdr:rowOff>
    </xdr:to>
    <xdr:sp macro="" textlink="">
      <xdr:nvSpPr>
        <xdr:cNvPr id="4439" name="Arrow: Down 4438">
          <a:extLst>
            <a:ext uri="{FF2B5EF4-FFF2-40B4-BE49-F238E27FC236}">
              <a16:creationId xmlns:a16="http://schemas.microsoft.com/office/drawing/2014/main" id="{D4F888C5-45D1-490F-90E4-098EF5DD06E7}"/>
            </a:ext>
          </a:extLst>
        </xdr:cNvPr>
        <xdr:cNvSpPr/>
      </xdr:nvSpPr>
      <xdr:spPr>
        <a:xfrm>
          <a:off x="2180082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607</xdr:row>
      <xdr:rowOff>0</xdr:rowOff>
    </xdr:from>
    <xdr:to>
      <xdr:col>45</xdr:col>
      <xdr:colOff>83820</xdr:colOff>
      <xdr:row>607</xdr:row>
      <xdr:rowOff>114300</xdr:rowOff>
    </xdr:to>
    <xdr:sp macro="" textlink="">
      <xdr:nvSpPr>
        <xdr:cNvPr id="4444" name="Arrow: Down 4443">
          <a:extLst>
            <a:ext uri="{FF2B5EF4-FFF2-40B4-BE49-F238E27FC236}">
              <a16:creationId xmlns:a16="http://schemas.microsoft.com/office/drawing/2014/main" id="{FB6EBCDA-9D5D-4CFB-9FA4-795A5F7BCF07}"/>
            </a:ext>
          </a:extLst>
        </xdr:cNvPr>
        <xdr:cNvSpPr/>
      </xdr:nvSpPr>
      <xdr:spPr>
        <a:xfrm rot="10800000">
          <a:off x="1340358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607</xdr:row>
      <xdr:rowOff>0</xdr:rowOff>
    </xdr:from>
    <xdr:to>
      <xdr:col>71</xdr:col>
      <xdr:colOff>83820</xdr:colOff>
      <xdr:row>607</xdr:row>
      <xdr:rowOff>114300</xdr:rowOff>
    </xdr:to>
    <xdr:sp macro="" textlink="">
      <xdr:nvSpPr>
        <xdr:cNvPr id="4456" name="Arrow: Down 4455">
          <a:extLst>
            <a:ext uri="{FF2B5EF4-FFF2-40B4-BE49-F238E27FC236}">
              <a16:creationId xmlns:a16="http://schemas.microsoft.com/office/drawing/2014/main" id="{036F6264-3D93-4823-B289-F22DEDC82964}"/>
            </a:ext>
          </a:extLst>
        </xdr:cNvPr>
        <xdr:cNvSpPr/>
      </xdr:nvSpPr>
      <xdr:spPr>
        <a:xfrm>
          <a:off x="2180082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607</xdr:row>
      <xdr:rowOff>0</xdr:rowOff>
    </xdr:from>
    <xdr:to>
      <xdr:col>5</xdr:col>
      <xdr:colOff>83820</xdr:colOff>
      <xdr:row>607</xdr:row>
      <xdr:rowOff>114300</xdr:rowOff>
    </xdr:to>
    <xdr:sp macro="" textlink="">
      <xdr:nvSpPr>
        <xdr:cNvPr id="4458" name="Arrow: Down 4457">
          <a:extLst>
            <a:ext uri="{FF2B5EF4-FFF2-40B4-BE49-F238E27FC236}">
              <a16:creationId xmlns:a16="http://schemas.microsoft.com/office/drawing/2014/main" id="{554F04A2-795A-42CC-A27E-1BCFF9CE6B5C}"/>
            </a:ext>
          </a:extLst>
        </xdr:cNvPr>
        <xdr:cNvSpPr/>
      </xdr:nvSpPr>
      <xdr:spPr>
        <a:xfrm rot="10800000">
          <a:off x="192786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607</xdr:row>
      <xdr:rowOff>0</xdr:rowOff>
    </xdr:from>
    <xdr:to>
      <xdr:col>11</xdr:col>
      <xdr:colOff>83820</xdr:colOff>
      <xdr:row>607</xdr:row>
      <xdr:rowOff>114300</xdr:rowOff>
    </xdr:to>
    <xdr:sp macro="" textlink="">
      <xdr:nvSpPr>
        <xdr:cNvPr id="4463" name="Arrow: Down 4462">
          <a:extLst>
            <a:ext uri="{FF2B5EF4-FFF2-40B4-BE49-F238E27FC236}">
              <a16:creationId xmlns:a16="http://schemas.microsoft.com/office/drawing/2014/main" id="{295816AC-21DF-47C6-B6D4-D26C62109426}"/>
            </a:ext>
          </a:extLst>
        </xdr:cNvPr>
        <xdr:cNvSpPr/>
      </xdr:nvSpPr>
      <xdr:spPr>
        <a:xfrm rot="10800000">
          <a:off x="369570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607</xdr:row>
      <xdr:rowOff>0</xdr:rowOff>
    </xdr:from>
    <xdr:to>
      <xdr:col>24</xdr:col>
      <xdr:colOff>83820</xdr:colOff>
      <xdr:row>607</xdr:row>
      <xdr:rowOff>114300</xdr:rowOff>
    </xdr:to>
    <xdr:sp macro="" textlink="">
      <xdr:nvSpPr>
        <xdr:cNvPr id="4464" name="Arrow: Down 4463">
          <a:extLst>
            <a:ext uri="{FF2B5EF4-FFF2-40B4-BE49-F238E27FC236}">
              <a16:creationId xmlns:a16="http://schemas.microsoft.com/office/drawing/2014/main" id="{5C4813BD-46BE-4F58-9C0E-4B84AD991765}"/>
            </a:ext>
          </a:extLst>
        </xdr:cNvPr>
        <xdr:cNvSpPr/>
      </xdr:nvSpPr>
      <xdr:spPr>
        <a:xfrm rot="10800000">
          <a:off x="833628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607</xdr:row>
      <xdr:rowOff>0</xdr:rowOff>
    </xdr:from>
    <xdr:to>
      <xdr:col>39</xdr:col>
      <xdr:colOff>83820</xdr:colOff>
      <xdr:row>607</xdr:row>
      <xdr:rowOff>114300</xdr:rowOff>
    </xdr:to>
    <xdr:sp macro="" textlink="">
      <xdr:nvSpPr>
        <xdr:cNvPr id="4466" name="Arrow: Down 4465">
          <a:extLst>
            <a:ext uri="{FF2B5EF4-FFF2-40B4-BE49-F238E27FC236}">
              <a16:creationId xmlns:a16="http://schemas.microsoft.com/office/drawing/2014/main" id="{5247E3CC-6313-446F-932E-08A571FA7E6F}"/>
            </a:ext>
          </a:extLst>
        </xdr:cNvPr>
        <xdr:cNvSpPr/>
      </xdr:nvSpPr>
      <xdr:spPr>
        <a:xfrm rot="10800000">
          <a:off x="1154430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608</xdr:row>
      <xdr:rowOff>0</xdr:rowOff>
    </xdr:from>
    <xdr:to>
      <xdr:col>45</xdr:col>
      <xdr:colOff>83820</xdr:colOff>
      <xdr:row>608</xdr:row>
      <xdr:rowOff>114300</xdr:rowOff>
    </xdr:to>
    <xdr:sp macro="" textlink="">
      <xdr:nvSpPr>
        <xdr:cNvPr id="4471" name="Arrow: Down 4470">
          <a:extLst>
            <a:ext uri="{FF2B5EF4-FFF2-40B4-BE49-F238E27FC236}">
              <a16:creationId xmlns:a16="http://schemas.microsoft.com/office/drawing/2014/main" id="{DA055602-2CB9-4371-AE1D-0DF7F21CB742}"/>
            </a:ext>
          </a:extLst>
        </xdr:cNvPr>
        <xdr:cNvSpPr/>
      </xdr:nvSpPr>
      <xdr:spPr>
        <a:xfrm rot="10800000">
          <a:off x="1340358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608</xdr:row>
      <xdr:rowOff>0</xdr:rowOff>
    </xdr:from>
    <xdr:to>
      <xdr:col>71</xdr:col>
      <xdr:colOff>83820</xdr:colOff>
      <xdr:row>608</xdr:row>
      <xdr:rowOff>114300</xdr:rowOff>
    </xdr:to>
    <xdr:sp macro="" textlink="">
      <xdr:nvSpPr>
        <xdr:cNvPr id="4475" name="Arrow: Down 4474">
          <a:extLst>
            <a:ext uri="{FF2B5EF4-FFF2-40B4-BE49-F238E27FC236}">
              <a16:creationId xmlns:a16="http://schemas.microsoft.com/office/drawing/2014/main" id="{2CA9A59C-F090-49FB-8334-185756237B00}"/>
            </a:ext>
          </a:extLst>
        </xdr:cNvPr>
        <xdr:cNvSpPr/>
      </xdr:nvSpPr>
      <xdr:spPr>
        <a:xfrm>
          <a:off x="2180082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608</xdr:row>
      <xdr:rowOff>0</xdr:rowOff>
    </xdr:from>
    <xdr:to>
      <xdr:col>5</xdr:col>
      <xdr:colOff>83820</xdr:colOff>
      <xdr:row>608</xdr:row>
      <xdr:rowOff>114300</xdr:rowOff>
    </xdr:to>
    <xdr:sp macro="" textlink="">
      <xdr:nvSpPr>
        <xdr:cNvPr id="4477" name="Arrow: Down 4476">
          <a:extLst>
            <a:ext uri="{FF2B5EF4-FFF2-40B4-BE49-F238E27FC236}">
              <a16:creationId xmlns:a16="http://schemas.microsoft.com/office/drawing/2014/main" id="{DCC8ABA2-D74C-41EE-8FD0-C239E6F8442E}"/>
            </a:ext>
          </a:extLst>
        </xdr:cNvPr>
        <xdr:cNvSpPr/>
      </xdr:nvSpPr>
      <xdr:spPr>
        <a:xfrm rot="10800000">
          <a:off x="192786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608</xdr:row>
      <xdr:rowOff>0</xdr:rowOff>
    </xdr:from>
    <xdr:to>
      <xdr:col>11</xdr:col>
      <xdr:colOff>83820</xdr:colOff>
      <xdr:row>608</xdr:row>
      <xdr:rowOff>114300</xdr:rowOff>
    </xdr:to>
    <xdr:sp macro="" textlink="">
      <xdr:nvSpPr>
        <xdr:cNvPr id="4479" name="Arrow: Down 4478">
          <a:extLst>
            <a:ext uri="{FF2B5EF4-FFF2-40B4-BE49-F238E27FC236}">
              <a16:creationId xmlns:a16="http://schemas.microsoft.com/office/drawing/2014/main" id="{5B47E393-4686-4C5E-8BBC-2CD21ACE75A4}"/>
            </a:ext>
          </a:extLst>
        </xdr:cNvPr>
        <xdr:cNvSpPr/>
      </xdr:nvSpPr>
      <xdr:spPr>
        <a:xfrm rot="10800000">
          <a:off x="369570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608</xdr:row>
      <xdr:rowOff>0</xdr:rowOff>
    </xdr:from>
    <xdr:to>
      <xdr:col>24</xdr:col>
      <xdr:colOff>83820</xdr:colOff>
      <xdr:row>608</xdr:row>
      <xdr:rowOff>114300</xdr:rowOff>
    </xdr:to>
    <xdr:sp macro="" textlink="">
      <xdr:nvSpPr>
        <xdr:cNvPr id="4480" name="Arrow: Down 4479">
          <a:extLst>
            <a:ext uri="{FF2B5EF4-FFF2-40B4-BE49-F238E27FC236}">
              <a16:creationId xmlns:a16="http://schemas.microsoft.com/office/drawing/2014/main" id="{7B53511B-880B-46D9-B95E-D112B330907C}"/>
            </a:ext>
          </a:extLst>
        </xdr:cNvPr>
        <xdr:cNvSpPr/>
      </xdr:nvSpPr>
      <xdr:spPr>
        <a:xfrm rot="10800000">
          <a:off x="833628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608</xdr:row>
      <xdr:rowOff>0</xdr:rowOff>
    </xdr:from>
    <xdr:to>
      <xdr:col>60</xdr:col>
      <xdr:colOff>83820</xdr:colOff>
      <xdr:row>608</xdr:row>
      <xdr:rowOff>114300</xdr:rowOff>
    </xdr:to>
    <xdr:sp macro="" textlink="">
      <xdr:nvSpPr>
        <xdr:cNvPr id="4482" name="Arrow: Down 4481">
          <a:extLst>
            <a:ext uri="{FF2B5EF4-FFF2-40B4-BE49-F238E27FC236}">
              <a16:creationId xmlns:a16="http://schemas.microsoft.com/office/drawing/2014/main" id="{C4FBD3E7-45D1-491D-8A04-4E081B41124D}"/>
            </a:ext>
          </a:extLst>
        </xdr:cNvPr>
        <xdr:cNvSpPr/>
      </xdr:nvSpPr>
      <xdr:spPr>
        <a:xfrm rot="10800000">
          <a:off x="1908048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607</xdr:row>
      <xdr:rowOff>0</xdr:rowOff>
    </xdr:from>
    <xdr:to>
      <xdr:col>60</xdr:col>
      <xdr:colOff>83820</xdr:colOff>
      <xdr:row>607</xdr:row>
      <xdr:rowOff>114300</xdr:rowOff>
    </xdr:to>
    <xdr:sp macro="" textlink="">
      <xdr:nvSpPr>
        <xdr:cNvPr id="4484" name="Arrow: Down 4483">
          <a:extLst>
            <a:ext uri="{FF2B5EF4-FFF2-40B4-BE49-F238E27FC236}">
              <a16:creationId xmlns:a16="http://schemas.microsoft.com/office/drawing/2014/main" id="{AA0ECCAF-A552-472C-B5E7-065ABE3B332A}"/>
            </a:ext>
          </a:extLst>
        </xdr:cNvPr>
        <xdr:cNvSpPr/>
      </xdr:nvSpPr>
      <xdr:spPr>
        <a:xfrm>
          <a:off x="1908048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608</xdr:row>
      <xdr:rowOff>0</xdr:rowOff>
    </xdr:from>
    <xdr:to>
      <xdr:col>39</xdr:col>
      <xdr:colOff>83820</xdr:colOff>
      <xdr:row>608</xdr:row>
      <xdr:rowOff>114300</xdr:rowOff>
    </xdr:to>
    <xdr:sp macro="" textlink="">
      <xdr:nvSpPr>
        <xdr:cNvPr id="4492" name="Arrow: Down 4491">
          <a:extLst>
            <a:ext uri="{FF2B5EF4-FFF2-40B4-BE49-F238E27FC236}">
              <a16:creationId xmlns:a16="http://schemas.microsoft.com/office/drawing/2014/main" id="{46E18745-4DBC-4B53-BC97-E203CE8C8CDB}"/>
            </a:ext>
          </a:extLst>
        </xdr:cNvPr>
        <xdr:cNvSpPr/>
      </xdr:nvSpPr>
      <xdr:spPr>
        <a:xfrm>
          <a:off x="1154430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609</xdr:row>
      <xdr:rowOff>0</xdr:rowOff>
    </xdr:from>
    <xdr:to>
      <xdr:col>45</xdr:col>
      <xdr:colOff>83820</xdr:colOff>
      <xdr:row>609</xdr:row>
      <xdr:rowOff>114300</xdr:rowOff>
    </xdr:to>
    <xdr:sp macro="" textlink="">
      <xdr:nvSpPr>
        <xdr:cNvPr id="4496" name="Arrow: Down 4495">
          <a:extLst>
            <a:ext uri="{FF2B5EF4-FFF2-40B4-BE49-F238E27FC236}">
              <a16:creationId xmlns:a16="http://schemas.microsoft.com/office/drawing/2014/main" id="{C494F709-C58E-4030-B1ED-A0DDF4FAA38E}"/>
            </a:ext>
          </a:extLst>
        </xdr:cNvPr>
        <xdr:cNvSpPr/>
      </xdr:nvSpPr>
      <xdr:spPr>
        <a:xfrm rot="10800000">
          <a:off x="13403580" y="11129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609</xdr:row>
      <xdr:rowOff>0</xdr:rowOff>
    </xdr:from>
    <xdr:to>
      <xdr:col>71</xdr:col>
      <xdr:colOff>83820</xdr:colOff>
      <xdr:row>609</xdr:row>
      <xdr:rowOff>114300</xdr:rowOff>
    </xdr:to>
    <xdr:sp macro="" textlink="">
      <xdr:nvSpPr>
        <xdr:cNvPr id="4501" name="Arrow: Down 4500">
          <a:extLst>
            <a:ext uri="{FF2B5EF4-FFF2-40B4-BE49-F238E27FC236}">
              <a16:creationId xmlns:a16="http://schemas.microsoft.com/office/drawing/2014/main" id="{20AEB57C-582C-4714-A2FE-34C5253209E5}"/>
            </a:ext>
          </a:extLst>
        </xdr:cNvPr>
        <xdr:cNvSpPr/>
      </xdr:nvSpPr>
      <xdr:spPr>
        <a:xfrm>
          <a:off x="21800820" y="11129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609</xdr:row>
      <xdr:rowOff>0</xdr:rowOff>
    </xdr:from>
    <xdr:to>
      <xdr:col>5</xdr:col>
      <xdr:colOff>83820</xdr:colOff>
      <xdr:row>609</xdr:row>
      <xdr:rowOff>114300</xdr:rowOff>
    </xdr:to>
    <xdr:sp macro="" textlink="">
      <xdr:nvSpPr>
        <xdr:cNvPr id="4503" name="Arrow: Down 4502">
          <a:extLst>
            <a:ext uri="{FF2B5EF4-FFF2-40B4-BE49-F238E27FC236}">
              <a16:creationId xmlns:a16="http://schemas.microsoft.com/office/drawing/2014/main" id="{84F1060E-1AF6-47F6-B9A5-8C429BD07916}"/>
            </a:ext>
          </a:extLst>
        </xdr:cNvPr>
        <xdr:cNvSpPr/>
      </xdr:nvSpPr>
      <xdr:spPr>
        <a:xfrm rot="10800000">
          <a:off x="192786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609</xdr:row>
      <xdr:rowOff>0</xdr:rowOff>
    </xdr:from>
    <xdr:to>
      <xdr:col>11</xdr:col>
      <xdr:colOff>83820</xdr:colOff>
      <xdr:row>609</xdr:row>
      <xdr:rowOff>114300</xdr:rowOff>
    </xdr:to>
    <xdr:sp macro="" textlink="">
      <xdr:nvSpPr>
        <xdr:cNvPr id="4504" name="Arrow: Down 4503">
          <a:extLst>
            <a:ext uri="{FF2B5EF4-FFF2-40B4-BE49-F238E27FC236}">
              <a16:creationId xmlns:a16="http://schemas.microsoft.com/office/drawing/2014/main" id="{61796514-B4A1-4FFC-BE98-10AF5C148D39}"/>
            </a:ext>
          </a:extLst>
        </xdr:cNvPr>
        <xdr:cNvSpPr/>
      </xdr:nvSpPr>
      <xdr:spPr>
        <a:xfrm rot="10800000">
          <a:off x="369570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609</xdr:row>
      <xdr:rowOff>0</xdr:rowOff>
    </xdr:from>
    <xdr:to>
      <xdr:col>24</xdr:col>
      <xdr:colOff>83820</xdr:colOff>
      <xdr:row>609</xdr:row>
      <xdr:rowOff>114300</xdr:rowOff>
    </xdr:to>
    <xdr:sp macro="" textlink="">
      <xdr:nvSpPr>
        <xdr:cNvPr id="4505" name="Arrow: Down 4504">
          <a:extLst>
            <a:ext uri="{FF2B5EF4-FFF2-40B4-BE49-F238E27FC236}">
              <a16:creationId xmlns:a16="http://schemas.microsoft.com/office/drawing/2014/main" id="{EA7FA4C3-C566-4855-BF14-378A03D8CE49}"/>
            </a:ext>
          </a:extLst>
        </xdr:cNvPr>
        <xdr:cNvSpPr/>
      </xdr:nvSpPr>
      <xdr:spPr>
        <a:xfrm rot="10800000">
          <a:off x="833628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609</xdr:row>
      <xdr:rowOff>0</xdr:rowOff>
    </xdr:from>
    <xdr:to>
      <xdr:col>60</xdr:col>
      <xdr:colOff>83820</xdr:colOff>
      <xdr:row>609</xdr:row>
      <xdr:rowOff>114300</xdr:rowOff>
    </xdr:to>
    <xdr:sp macro="" textlink="">
      <xdr:nvSpPr>
        <xdr:cNvPr id="4506" name="Arrow: Down 4505">
          <a:extLst>
            <a:ext uri="{FF2B5EF4-FFF2-40B4-BE49-F238E27FC236}">
              <a16:creationId xmlns:a16="http://schemas.microsoft.com/office/drawing/2014/main" id="{C8BA2114-6B3D-4184-8494-5187BF8E4574}"/>
            </a:ext>
          </a:extLst>
        </xdr:cNvPr>
        <xdr:cNvSpPr/>
      </xdr:nvSpPr>
      <xdr:spPr>
        <a:xfrm rot="10800000">
          <a:off x="1908048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609</xdr:row>
      <xdr:rowOff>0</xdr:rowOff>
    </xdr:from>
    <xdr:to>
      <xdr:col>39</xdr:col>
      <xdr:colOff>83820</xdr:colOff>
      <xdr:row>609</xdr:row>
      <xdr:rowOff>114300</xdr:rowOff>
    </xdr:to>
    <xdr:sp macro="" textlink="">
      <xdr:nvSpPr>
        <xdr:cNvPr id="4507" name="Arrow: Down 4506">
          <a:extLst>
            <a:ext uri="{FF2B5EF4-FFF2-40B4-BE49-F238E27FC236}">
              <a16:creationId xmlns:a16="http://schemas.microsoft.com/office/drawing/2014/main" id="{4EA1A58D-4466-414E-96D5-536009D7D8B5}"/>
            </a:ext>
          </a:extLst>
        </xdr:cNvPr>
        <xdr:cNvSpPr/>
      </xdr:nvSpPr>
      <xdr:spPr>
        <a:xfrm>
          <a:off x="1154430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610</xdr:row>
      <xdr:rowOff>0</xdr:rowOff>
    </xdr:from>
    <xdr:to>
      <xdr:col>45</xdr:col>
      <xdr:colOff>83820</xdr:colOff>
      <xdr:row>610</xdr:row>
      <xdr:rowOff>114300</xdr:rowOff>
    </xdr:to>
    <xdr:sp macro="" textlink="">
      <xdr:nvSpPr>
        <xdr:cNvPr id="4522" name="Arrow: Down 4521">
          <a:extLst>
            <a:ext uri="{FF2B5EF4-FFF2-40B4-BE49-F238E27FC236}">
              <a16:creationId xmlns:a16="http://schemas.microsoft.com/office/drawing/2014/main" id="{3D6A4999-D8E4-40B7-937E-9C3C8B466224}"/>
            </a:ext>
          </a:extLst>
        </xdr:cNvPr>
        <xdr:cNvSpPr/>
      </xdr:nvSpPr>
      <xdr:spPr>
        <a:xfrm rot="10800000">
          <a:off x="13403580" y="11147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610</xdr:row>
      <xdr:rowOff>0</xdr:rowOff>
    </xdr:from>
    <xdr:to>
      <xdr:col>5</xdr:col>
      <xdr:colOff>83820</xdr:colOff>
      <xdr:row>610</xdr:row>
      <xdr:rowOff>114300</xdr:rowOff>
    </xdr:to>
    <xdr:sp macro="" textlink="">
      <xdr:nvSpPr>
        <xdr:cNvPr id="4532" name="Arrow: Down 4531">
          <a:extLst>
            <a:ext uri="{FF2B5EF4-FFF2-40B4-BE49-F238E27FC236}">
              <a16:creationId xmlns:a16="http://schemas.microsoft.com/office/drawing/2014/main" id="{55822D9E-5B6D-4993-B860-619490C738BB}"/>
            </a:ext>
          </a:extLst>
        </xdr:cNvPr>
        <xdr:cNvSpPr/>
      </xdr:nvSpPr>
      <xdr:spPr>
        <a:xfrm>
          <a:off x="192786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610</xdr:row>
      <xdr:rowOff>0</xdr:rowOff>
    </xdr:from>
    <xdr:to>
      <xdr:col>11</xdr:col>
      <xdr:colOff>83820</xdr:colOff>
      <xdr:row>610</xdr:row>
      <xdr:rowOff>114300</xdr:rowOff>
    </xdr:to>
    <xdr:sp macro="" textlink="">
      <xdr:nvSpPr>
        <xdr:cNvPr id="4533" name="Arrow: Down 4532">
          <a:extLst>
            <a:ext uri="{FF2B5EF4-FFF2-40B4-BE49-F238E27FC236}">
              <a16:creationId xmlns:a16="http://schemas.microsoft.com/office/drawing/2014/main" id="{E91264B8-7D29-493C-904D-AE8E84A88DC5}"/>
            </a:ext>
          </a:extLst>
        </xdr:cNvPr>
        <xdr:cNvSpPr/>
      </xdr:nvSpPr>
      <xdr:spPr>
        <a:xfrm>
          <a:off x="369570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610</xdr:row>
      <xdr:rowOff>0</xdr:rowOff>
    </xdr:from>
    <xdr:to>
      <xdr:col>24</xdr:col>
      <xdr:colOff>83820</xdr:colOff>
      <xdr:row>610</xdr:row>
      <xdr:rowOff>114300</xdr:rowOff>
    </xdr:to>
    <xdr:sp macro="" textlink="">
      <xdr:nvSpPr>
        <xdr:cNvPr id="4537" name="Arrow: Down 4536">
          <a:extLst>
            <a:ext uri="{FF2B5EF4-FFF2-40B4-BE49-F238E27FC236}">
              <a16:creationId xmlns:a16="http://schemas.microsoft.com/office/drawing/2014/main" id="{F3D36BD6-B95F-40E4-8C0A-9B990F9189FB}"/>
            </a:ext>
          </a:extLst>
        </xdr:cNvPr>
        <xdr:cNvSpPr/>
      </xdr:nvSpPr>
      <xdr:spPr>
        <a:xfrm>
          <a:off x="833628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610</xdr:row>
      <xdr:rowOff>0</xdr:rowOff>
    </xdr:from>
    <xdr:to>
      <xdr:col>39</xdr:col>
      <xdr:colOff>83820</xdr:colOff>
      <xdr:row>610</xdr:row>
      <xdr:rowOff>114300</xdr:rowOff>
    </xdr:to>
    <xdr:sp macro="" textlink="">
      <xdr:nvSpPr>
        <xdr:cNvPr id="4541" name="Arrow: Down 4540">
          <a:extLst>
            <a:ext uri="{FF2B5EF4-FFF2-40B4-BE49-F238E27FC236}">
              <a16:creationId xmlns:a16="http://schemas.microsoft.com/office/drawing/2014/main" id="{C03A01E0-BEF2-4A08-9845-2CF67DC7424A}"/>
            </a:ext>
          </a:extLst>
        </xdr:cNvPr>
        <xdr:cNvSpPr/>
      </xdr:nvSpPr>
      <xdr:spPr>
        <a:xfrm>
          <a:off x="11544300" y="11165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610</xdr:row>
      <xdr:rowOff>0</xdr:rowOff>
    </xdr:from>
    <xdr:to>
      <xdr:col>71</xdr:col>
      <xdr:colOff>83820</xdr:colOff>
      <xdr:row>610</xdr:row>
      <xdr:rowOff>114300</xdr:rowOff>
    </xdr:to>
    <xdr:sp macro="" textlink="">
      <xdr:nvSpPr>
        <xdr:cNvPr id="4543" name="Arrow: Down 4542">
          <a:extLst>
            <a:ext uri="{FF2B5EF4-FFF2-40B4-BE49-F238E27FC236}">
              <a16:creationId xmlns:a16="http://schemas.microsoft.com/office/drawing/2014/main" id="{BC4428C3-CDF0-4BE0-9CCD-F4F5B0257861}"/>
            </a:ext>
          </a:extLst>
        </xdr:cNvPr>
        <xdr:cNvSpPr/>
      </xdr:nvSpPr>
      <xdr:spPr>
        <a:xfrm rot="10800000">
          <a:off x="21800820" y="11165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610</xdr:row>
      <xdr:rowOff>0</xdr:rowOff>
    </xdr:from>
    <xdr:to>
      <xdr:col>60</xdr:col>
      <xdr:colOff>83820</xdr:colOff>
      <xdr:row>610</xdr:row>
      <xdr:rowOff>114300</xdr:rowOff>
    </xdr:to>
    <xdr:sp macro="" textlink="">
      <xdr:nvSpPr>
        <xdr:cNvPr id="4545" name="Arrow: Down 4544">
          <a:extLst>
            <a:ext uri="{FF2B5EF4-FFF2-40B4-BE49-F238E27FC236}">
              <a16:creationId xmlns:a16="http://schemas.microsoft.com/office/drawing/2014/main" id="{FF673A69-CF44-4A5E-9ADF-6062CAE46E98}"/>
            </a:ext>
          </a:extLst>
        </xdr:cNvPr>
        <xdr:cNvSpPr/>
      </xdr:nvSpPr>
      <xdr:spPr>
        <a:xfrm rot="10800000">
          <a:off x="19080480" y="11165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611</xdr:row>
      <xdr:rowOff>0</xdr:rowOff>
    </xdr:from>
    <xdr:to>
      <xdr:col>45</xdr:col>
      <xdr:colOff>83820</xdr:colOff>
      <xdr:row>611</xdr:row>
      <xdr:rowOff>114300</xdr:rowOff>
    </xdr:to>
    <xdr:sp macro="" textlink="">
      <xdr:nvSpPr>
        <xdr:cNvPr id="4447" name="Arrow: Down 4446">
          <a:extLst>
            <a:ext uri="{FF2B5EF4-FFF2-40B4-BE49-F238E27FC236}">
              <a16:creationId xmlns:a16="http://schemas.microsoft.com/office/drawing/2014/main" id="{F1670055-914C-468A-A00A-D145D6627985}"/>
            </a:ext>
          </a:extLst>
        </xdr:cNvPr>
        <xdr:cNvSpPr/>
      </xdr:nvSpPr>
      <xdr:spPr>
        <a:xfrm rot="10800000">
          <a:off x="1340358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611</xdr:row>
      <xdr:rowOff>0</xdr:rowOff>
    </xdr:from>
    <xdr:to>
      <xdr:col>60</xdr:col>
      <xdr:colOff>83820</xdr:colOff>
      <xdr:row>611</xdr:row>
      <xdr:rowOff>114300</xdr:rowOff>
    </xdr:to>
    <xdr:sp macro="" textlink="">
      <xdr:nvSpPr>
        <xdr:cNvPr id="4470" name="Arrow: Down 4469">
          <a:extLst>
            <a:ext uri="{FF2B5EF4-FFF2-40B4-BE49-F238E27FC236}">
              <a16:creationId xmlns:a16="http://schemas.microsoft.com/office/drawing/2014/main" id="{F5F5878E-7E9E-41C0-87F7-44711091705C}"/>
            </a:ext>
          </a:extLst>
        </xdr:cNvPr>
        <xdr:cNvSpPr/>
      </xdr:nvSpPr>
      <xdr:spPr>
        <a:xfrm>
          <a:off x="1908048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611</xdr:row>
      <xdr:rowOff>0</xdr:rowOff>
    </xdr:from>
    <xdr:to>
      <xdr:col>39</xdr:col>
      <xdr:colOff>83820</xdr:colOff>
      <xdr:row>611</xdr:row>
      <xdr:rowOff>114300</xdr:rowOff>
    </xdr:to>
    <xdr:sp macro="" textlink="">
      <xdr:nvSpPr>
        <xdr:cNvPr id="4481" name="Arrow: Down 4480">
          <a:extLst>
            <a:ext uri="{FF2B5EF4-FFF2-40B4-BE49-F238E27FC236}">
              <a16:creationId xmlns:a16="http://schemas.microsoft.com/office/drawing/2014/main" id="{3C9D9A0E-DE45-4B66-96E6-751827893836}"/>
            </a:ext>
          </a:extLst>
        </xdr:cNvPr>
        <xdr:cNvSpPr/>
      </xdr:nvSpPr>
      <xdr:spPr>
        <a:xfrm rot="10800000">
          <a:off x="1154430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611</xdr:row>
      <xdr:rowOff>0</xdr:rowOff>
    </xdr:from>
    <xdr:to>
      <xdr:col>5</xdr:col>
      <xdr:colOff>83820</xdr:colOff>
      <xdr:row>611</xdr:row>
      <xdr:rowOff>114300</xdr:rowOff>
    </xdr:to>
    <xdr:sp macro="" textlink="">
      <xdr:nvSpPr>
        <xdr:cNvPr id="4483" name="Arrow: Down 4482">
          <a:extLst>
            <a:ext uri="{FF2B5EF4-FFF2-40B4-BE49-F238E27FC236}">
              <a16:creationId xmlns:a16="http://schemas.microsoft.com/office/drawing/2014/main" id="{5CD291FC-12D2-4E2E-93BA-0375F1C0C57F}"/>
            </a:ext>
          </a:extLst>
        </xdr:cNvPr>
        <xdr:cNvSpPr/>
      </xdr:nvSpPr>
      <xdr:spPr>
        <a:xfrm rot="10800000">
          <a:off x="1927860" y="11183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611</xdr:row>
      <xdr:rowOff>0</xdr:rowOff>
    </xdr:from>
    <xdr:to>
      <xdr:col>24</xdr:col>
      <xdr:colOff>83820</xdr:colOff>
      <xdr:row>611</xdr:row>
      <xdr:rowOff>114300</xdr:rowOff>
    </xdr:to>
    <xdr:sp macro="" textlink="">
      <xdr:nvSpPr>
        <xdr:cNvPr id="4485" name="Arrow: Down 4484">
          <a:extLst>
            <a:ext uri="{FF2B5EF4-FFF2-40B4-BE49-F238E27FC236}">
              <a16:creationId xmlns:a16="http://schemas.microsoft.com/office/drawing/2014/main" id="{B9134E0A-A3CE-40C7-BAD9-ED6037695C79}"/>
            </a:ext>
          </a:extLst>
        </xdr:cNvPr>
        <xdr:cNvSpPr/>
      </xdr:nvSpPr>
      <xdr:spPr>
        <a:xfrm rot="10800000">
          <a:off x="8336280" y="111838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611</xdr:row>
      <xdr:rowOff>0</xdr:rowOff>
    </xdr:from>
    <xdr:to>
      <xdr:col>11</xdr:col>
      <xdr:colOff>83820</xdr:colOff>
      <xdr:row>611</xdr:row>
      <xdr:rowOff>114300</xdr:rowOff>
    </xdr:to>
    <xdr:sp macro="" textlink="">
      <xdr:nvSpPr>
        <xdr:cNvPr id="4509" name="Arrow: Down 4508">
          <a:extLst>
            <a:ext uri="{FF2B5EF4-FFF2-40B4-BE49-F238E27FC236}">
              <a16:creationId xmlns:a16="http://schemas.microsoft.com/office/drawing/2014/main" id="{FDD1B38F-E8ED-4FEB-BB0C-5017BBDD8F03}"/>
            </a:ext>
          </a:extLst>
        </xdr:cNvPr>
        <xdr:cNvSpPr/>
      </xdr:nvSpPr>
      <xdr:spPr>
        <a:xfrm rot="10800000">
          <a:off x="3695700" y="11183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612</xdr:row>
      <xdr:rowOff>0</xdr:rowOff>
    </xdr:from>
    <xdr:to>
      <xdr:col>45</xdr:col>
      <xdr:colOff>83820</xdr:colOff>
      <xdr:row>612</xdr:row>
      <xdr:rowOff>114300</xdr:rowOff>
    </xdr:to>
    <xdr:sp macro="" textlink="">
      <xdr:nvSpPr>
        <xdr:cNvPr id="4514" name="Arrow: Down 4513">
          <a:extLst>
            <a:ext uri="{FF2B5EF4-FFF2-40B4-BE49-F238E27FC236}">
              <a16:creationId xmlns:a16="http://schemas.microsoft.com/office/drawing/2014/main" id="{0A01C52B-CAC3-41E2-9F78-46D6A7503D75}"/>
            </a:ext>
          </a:extLst>
        </xdr:cNvPr>
        <xdr:cNvSpPr/>
      </xdr:nvSpPr>
      <xdr:spPr>
        <a:xfrm rot="10800000">
          <a:off x="1340358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612</xdr:row>
      <xdr:rowOff>0</xdr:rowOff>
    </xdr:from>
    <xdr:to>
      <xdr:col>60</xdr:col>
      <xdr:colOff>83820</xdr:colOff>
      <xdr:row>612</xdr:row>
      <xdr:rowOff>114300</xdr:rowOff>
    </xdr:to>
    <xdr:sp macro="" textlink="">
      <xdr:nvSpPr>
        <xdr:cNvPr id="4517" name="Arrow: Down 4516">
          <a:extLst>
            <a:ext uri="{FF2B5EF4-FFF2-40B4-BE49-F238E27FC236}">
              <a16:creationId xmlns:a16="http://schemas.microsoft.com/office/drawing/2014/main" id="{3235A518-300D-436D-98AB-B15E4693CBB2}"/>
            </a:ext>
          </a:extLst>
        </xdr:cNvPr>
        <xdr:cNvSpPr/>
      </xdr:nvSpPr>
      <xdr:spPr>
        <a:xfrm>
          <a:off x="1908048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612</xdr:row>
      <xdr:rowOff>0</xdr:rowOff>
    </xdr:from>
    <xdr:to>
      <xdr:col>39</xdr:col>
      <xdr:colOff>83820</xdr:colOff>
      <xdr:row>612</xdr:row>
      <xdr:rowOff>114300</xdr:rowOff>
    </xdr:to>
    <xdr:sp macro="" textlink="">
      <xdr:nvSpPr>
        <xdr:cNvPr id="4525" name="Arrow: Down 4524">
          <a:extLst>
            <a:ext uri="{FF2B5EF4-FFF2-40B4-BE49-F238E27FC236}">
              <a16:creationId xmlns:a16="http://schemas.microsoft.com/office/drawing/2014/main" id="{DE69D67A-BBB2-4506-8B85-031E63835C8C}"/>
            </a:ext>
          </a:extLst>
        </xdr:cNvPr>
        <xdr:cNvSpPr/>
      </xdr:nvSpPr>
      <xdr:spPr>
        <a:xfrm>
          <a:off x="11544300" y="11202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612</xdr:row>
      <xdr:rowOff>0</xdr:rowOff>
    </xdr:from>
    <xdr:to>
      <xdr:col>24</xdr:col>
      <xdr:colOff>83820</xdr:colOff>
      <xdr:row>612</xdr:row>
      <xdr:rowOff>114300</xdr:rowOff>
    </xdr:to>
    <xdr:sp macro="" textlink="">
      <xdr:nvSpPr>
        <xdr:cNvPr id="4526" name="Arrow: Down 4525">
          <a:extLst>
            <a:ext uri="{FF2B5EF4-FFF2-40B4-BE49-F238E27FC236}">
              <a16:creationId xmlns:a16="http://schemas.microsoft.com/office/drawing/2014/main" id="{2C229401-010E-44CE-9B16-F9EE912E42BA}"/>
            </a:ext>
          </a:extLst>
        </xdr:cNvPr>
        <xdr:cNvSpPr/>
      </xdr:nvSpPr>
      <xdr:spPr>
        <a:xfrm>
          <a:off x="833628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612</xdr:row>
      <xdr:rowOff>0</xdr:rowOff>
    </xdr:from>
    <xdr:to>
      <xdr:col>11</xdr:col>
      <xdr:colOff>83820</xdr:colOff>
      <xdr:row>612</xdr:row>
      <xdr:rowOff>114300</xdr:rowOff>
    </xdr:to>
    <xdr:sp macro="" textlink="">
      <xdr:nvSpPr>
        <xdr:cNvPr id="4530" name="Arrow: Down 4529">
          <a:extLst>
            <a:ext uri="{FF2B5EF4-FFF2-40B4-BE49-F238E27FC236}">
              <a16:creationId xmlns:a16="http://schemas.microsoft.com/office/drawing/2014/main" id="{B5F3A72D-40E5-48C0-A33E-CD49CB614EA2}"/>
            </a:ext>
          </a:extLst>
        </xdr:cNvPr>
        <xdr:cNvSpPr/>
      </xdr:nvSpPr>
      <xdr:spPr>
        <a:xfrm>
          <a:off x="369570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612</xdr:row>
      <xdr:rowOff>0</xdr:rowOff>
    </xdr:from>
    <xdr:to>
      <xdr:col>5</xdr:col>
      <xdr:colOff>83820</xdr:colOff>
      <xdr:row>612</xdr:row>
      <xdr:rowOff>114300</xdr:rowOff>
    </xdr:to>
    <xdr:sp macro="" textlink="">
      <xdr:nvSpPr>
        <xdr:cNvPr id="4531" name="Arrow: Down 4530">
          <a:extLst>
            <a:ext uri="{FF2B5EF4-FFF2-40B4-BE49-F238E27FC236}">
              <a16:creationId xmlns:a16="http://schemas.microsoft.com/office/drawing/2014/main" id="{CB8FCAF4-1A2A-4CB2-8645-A0CF751F9ADA}"/>
            </a:ext>
          </a:extLst>
        </xdr:cNvPr>
        <xdr:cNvSpPr/>
      </xdr:nvSpPr>
      <xdr:spPr>
        <a:xfrm>
          <a:off x="192786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613</xdr:row>
      <xdr:rowOff>0</xdr:rowOff>
    </xdr:from>
    <xdr:to>
      <xdr:col>45</xdr:col>
      <xdr:colOff>83820</xdr:colOff>
      <xdr:row>613</xdr:row>
      <xdr:rowOff>114300</xdr:rowOff>
    </xdr:to>
    <xdr:sp macro="" textlink="">
      <xdr:nvSpPr>
        <xdr:cNvPr id="4539" name="Arrow: Down 4538">
          <a:extLst>
            <a:ext uri="{FF2B5EF4-FFF2-40B4-BE49-F238E27FC236}">
              <a16:creationId xmlns:a16="http://schemas.microsoft.com/office/drawing/2014/main" id="{3DFF041E-D733-4D97-9B98-6DFF3568F70C}"/>
            </a:ext>
          </a:extLst>
        </xdr:cNvPr>
        <xdr:cNvSpPr/>
      </xdr:nvSpPr>
      <xdr:spPr>
        <a:xfrm rot="10800000">
          <a:off x="1340358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613</xdr:row>
      <xdr:rowOff>0</xdr:rowOff>
    </xdr:from>
    <xdr:to>
      <xdr:col>39</xdr:col>
      <xdr:colOff>83820</xdr:colOff>
      <xdr:row>613</xdr:row>
      <xdr:rowOff>114300</xdr:rowOff>
    </xdr:to>
    <xdr:sp macro="" textlink="">
      <xdr:nvSpPr>
        <xdr:cNvPr id="4546" name="Arrow: Down 4545">
          <a:extLst>
            <a:ext uri="{FF2B5EF4-FFF2-40B4-BE49-F238E27FC236}">
              <a16:creationId xmlns:a16="http://schemas.microsoft.com/office/drawing/2014/main" id="{5272E315-DF77-4BEA-905D-581F8ECD19BC}"/>
            </a:ext>
          </a:extLst>
        </xdr:cNvPr>
        <xdr:cNvSpPr/>
      </xdr:nvSpPr>
      <xdr:spPr>
        <a:xfrm>
          <a:off x="11544300" y="11202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613</xdr:row>
      <xdr:rowOff>0</xdr:rowOff>
    </xdr:from>
    <xdr:to>
      <xdr:col>24</xdr:col>
      <xdr:colOff>83820</xdr:colOff>
      <xdr:row>613</xdr:row>
      <xdr:rowOff>114300</xdr:rowOff>
    </xdr:to>
    <xdr:sp macro="" textlink="">
      <xdr:nvSpPr>
        <xdr:cNvPr id="4547" name="Arrow: Down 4546">
          <a:extLst>
            <a:ext uri="{FF2B5EF4-FFF2-40B4-BE49-F238E27FC236}">
              <a16:creationId xmlns:a16="http://schemas.microsoft.com/office/drawing/2014/main" id="{EED84B47-32FA-436A-9FC8-B024BB057D39}"/>
            </a:ext>
          </a:extLst>
        </xdr:cNvPr>
        <xdr:cNvSpPr/>
      </xdr:nvSpPr>
      <xdr:spPr>
        <a:xfrm>
          <a:off x="833628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613</xdr:row>
      <xdr:rowOff>0</xdr:rowOff>
    </xdr:from>
    <xdr:to>
      <xdr:col>11</xdr:col>
      <xdr:colOff>83820</xdr:colOff>
      <xdr:row>613</xdr:row>
      <xdr:rowOff>114300</xdr:rowOff>
    </xdr:to>
    <xdr:sp macro="" textlink="">
      <xdr:nvSpPr>
        <xdr:cNvPr id="4554" name="Arrow: Down 4553">
          <a:extLst>
            <a:ext uri="{FF2B5EF4-FFF2-40B4-BE49-F238E27FC236}">
              <a16:creationId xmlns:a16="http://schemas.microsoft.com/office/drawing/2014/main" id="{60AEA0AD-3FE9-49D5-9205-9363501D2762}"/>
            </a:ext>
          </a:extLst>
        </xdr:cNvPr>
        <xdr:cNvSpPr/>
      </xdr:nvSpPr>
      <xdr:spPr>
        <a:xfrm>
          <a:off x="369570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613</xdr:row>
      <xdr:rowOff>0</xdr:rowOff>
    </xdr:from>
    <xdr:to>
      <xdr:col>5</xdr:col>
      <xdr:colOff>83820</xdr:colOff>
      <xdr:row>613</xdr:row>
      <xdr:rowOff>114300</xdr:rowOff>
    </xdr:to>
    <xdr:sp macro="" textlink="">
      <xdr:nvSpPr>
        <xdr:cNvPr id="4555" name="Arrow: Down 4554">
          <a:extLst>
            <a:ext uri="{FF2B5EF4-FFF2-40B4-BE49-F238E27FC236}">
              <a16:creationId xmlns:a16="http://schemas.microsoft.com/office/drawing/2014/main" id="{C220BD9C-4339-4D51-9755-6BC082851621}"/>
            </a:ext>
          </a:extLst>
        </xdr:cNvPr>
        <xdr:cNvSpPr/>
      </xdr:nvSpPr>
      <xdr:spPr>
        <a:xfrm>
          <a:off x="192786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611</xdr:row>
      <xdr:rowOff>0</xdr:rowOff>
    </xdr:from>
    <xdr:to>
      <xdr:col>71</xdr:col>
      <xdr:colOff>83820</xdr:colOff>
      <xdr:row>611</xdr:row>
      <xdr:rowOff>114300</xdr:rowOff>
    </xdr:to>
    <xdr:sp macro="" textlink="">
      <xdr:nvSpPr>
        <xdr:cNvPr id="4559" name="Arrow: Down 4558">
          <a:extLst>
            <a:ext uri="{FF2B5EF4-FFF2-40B4-BE49-F238E27FC236}">
              <a16:creationId xmlns:a16="http://schemas.microsoft.com/office/drawing/2014/main" id="{22234A30-E47A-4FCC-B376-E4A277FB308D}"/>
            </a:ext>
          </a:extLst>
        </xdr:cNvPr>
        <xdr:cNvSpPr/>
      </xdr:nvSpPr>
      <xdr:spPr>
        <a:xfrm>
          <a:off x="2180082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613</xdr:row>
      <xdr:rowOff>0</xdr:rowOff>
    </xdr:from>
    <xdr:to>
      <xdr:col>71</xdr:col>
      <xdr:colOff>83820</xdr:colOff>
      <xdr:row>613</xdr:row>
      <xdr:rowOff>114300</xdr:rowOff>
    </xdr:to>
    <xdr:sp macro="" textlink="">
      <xdr:nvSpPr>
        <xdr:cNvPr id="4560" name="Arrow: Down 4559">
          <a:extLst>
            <a:ext uri="{FF2B5EF4-FFF2-40B4-BE49-F238E27FC236}">
              <a16:creationId xmlns:a16="http://schemas.microsoft.com/office/drawing/2014/main" id="{D3E1BD11-D546-4D16-B23A-72019082727F}"/>
            </a:ext>
          </a:extLst>
        </xdr:cNvPr>
        <xdr:cNvSpPr/>
      </xdr:nvSpPr>
      <xdr:spPr>
        <a:xfrm>
          <a:off x="2180082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612</xdr:row>
      <xdr:rowOff>0</xdr:rowOff>
    </xdr:from>
    <xdr:to>
      <xdr:col>71</xdr:col>
      <xdr:colOff>83820</xdr:colOff>
      <xdr:row>612</xdr:row>
      <xdr:rowOff>114300</xdr:rowOff>
    </xdr:to>
    <xdr:sp macro="" textlink="">
      <xdr:nvSpPr>
        <xdr:cNvPr id="4561" name="Arrow: Down 4560">
          <a:extLst>
            <a:ext uri="{FF2B5EF4-FFF2-40B4-BE49-F238E27FC236}">
              <a16:creationId xmlns:a16="http://schemas.microsoft.com/office/drawing/2014/main" id="{198C4A05-D308-4FCF-B1F2-17F534A987FA}"/>
            </a:ext>
          </a:extLst>
        </xdr:cNvPr>
        <xdr:cNvSpPr/>
      </xdr:nvSpPr>
      <xdr:spPr>
        <a:xfrm>
          <a:off x="2180082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614</xdr:row>
      <xdr:rowOff>0</xdr:rowOff>
    </xdr:from>
    <xdr:to>
      <xdr:col>45</xdr:col>
      <xdr:colOff>83820</xdr:colOff>
      <xdr:row>614</xdr:row>
      <xdr:rowOff>114300</xdr:rowOff>
    </xdr:to>
    <xdr:sp macro="" textlink="">
      <xdr:nvSpPr>
        <xdr:cNvPr id="4359" name="Arrow: Down 4358">
          <a:extLst>
            <a:ext uri="{FF2B5EF4-FFF2-40B4-BE49-F238E27FC236}">
              <a16:creationId xmlns:a16="http://schemas.microsoft.com/office/drawing/2014/main" id="{09204ECF-7D45-492E-A8A4-D04098B63F28}"/>
            </a:ext>
          </a:extLst>
        </xdr:cNvPr>
        <xdr:cNvSpPr/>
      </xdr:nvSpPr>
      <xdr:spPr>
        <a:xfrm rot="10800000">
          <a:off x="1340358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614</xdr:row>
      <xdr:rowOff>0</xdr:rowOff>
    </xdr:from>
    <xdr:to>
      <xdr:col>60</xdr:col>
      <xdr:colOff>83820</xdr:colOff>
      <xdr:row>614</xdr:row>
      <xdr:rowOff>114300</xdr:rowOff>
    </xdr:to>
    <xdr:sp macro="" textlink="">
      <xdr:nvSpPr>
        <xdr:cNvPr id="4362" name="Arrow: Down 4361">
          <a:extLst>
            <a:ext uri="{FF2B5EF4-FFF2-40B4-BE49-F238E27FC236}">
              <a16:creationId xmlns:a16="http://schemas.microsoft.com/office/drawing/2014/main" id="{085C8C55-8AE6-4EE8-8535-D5AEB2118EF2}"/>
            </a:ext>
          </a:extLst>
        </xdr:cNvPr>
        <xdr:cNvSpPr/>
      </xdr:nvSpPr>
      <xdr:spPr>
        <a:xfrm>
          <a:off x="1908048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614</xdr:row>
      <xdr:rowOff>0</xdr:rowOff>
    </xdr:from>
    <xdr:to>
      <xdr:col>71</xdr:col>
      <xdr:colOff>83820</xdr:colOff>
      <xdr:row>614</xdr:row>
      <xdr:rowOff>114300</xdr:rowOff>
    </xdr:to>
    <xdr:sp macro="" textlink="">
      <xdr:nvSpPr>
        <xdr:cNvPr id="4418" name="Arrow: Down 4417">
          <a:extLst>
            <a:ext uri="{FF2B5EF4-FFF2-40B4-BE49-F238E27FC236}">
              <a16:creationId xmlns:a16="http://schemas.microsoft.com/office/drawing/2014/main" id="{D3DD9480-8B75-4A4D-9CF5-1998A9AEFB7D}"/>
            </a:ext>
          </a:extLst>
        </xdr:cNvPr>
        <xdr:cNvSpPr/>
      </xdr:nvSpPr>
      <xdr:spPr>
        <a:xfrm>
          <a:off x="2180082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613</xdr:row>
      <xdr:rowOff>0</xdr:rowOff>
    </xdr:from>
    <xdr:to>
      <xdr:col>60</xdr:col>
      <xdr:colOff>83820</xdr:colOff>
      <xdr:row>613</xdr:row>
      <xdr:rowOff>114300</xdr:rowOff>
    </xdr:to>
    <xdr:sp macro="" textlink="">
      <xdr:nvSpPr>
        <xdr:cNvPr id="4449" name="Arrow: Down 4448">
          <a:extLst>
            <a:ext uri="{FF2B5EF4-FFF2-40B4-BE49-F238E27FC236}">
              <a16:creationId xmlns:a16="http://schemas.microsoft.com/office/drawing/2014/main" id="{8D431187-F834-4CCD-ABF5-B88CF7D5AE01}"/>
            </a:ext>
          </a:extLst>
        </xdr:cNvPr>
        <xdr:cNvSpPr/>
      </xdr:nvSpPr>
      <xdr:spPr>
        <a:xfrm rot="10800000">
          <a:off x="19080480" y="11220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614</xdr:row>
      <xdr:rowOff>0</xdr:rowOff>
    </xdr:from>
    <xdr:to>
      <xdr:col>11</xdr:col>
      <xdr:colOff>83820</xdr:colOff>
      <xdr:row>614</xdr:row>
      <xdr:rowOff>114300</xdr:rowOff>
    </xdr:to>
    <xdr:sp macro="" textlink="">
      <xdr:nvSpPr>
        <xdr:cNvPr id="4451" name="Arrow: Down 4450">
          <a:extLst>
            <a:ext uri="{FF2B5EF4-FFF2-40B4-BE49-F238E27FC236}">
              <a16:creationId xmlns:a16="http://schemas.microsoft.com/office/drawing/2014/main" id="{5A9C2C4D-A7B1-465B-A3EE-CEEDE834ADBA}"/>
            </a:ext>
          </a:extLst>
        </xdr:cNvPr>
        <xdr:cNvSpPr/>
      </xdr:nvSpPr>
      <xdr:spPr>
        <a:xfrm rot="10800000">
          <a:off x="369570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614</xdr:row>
      <xdr:rowOff>0</xdr:rowOff>
    </xdr:from>
    <xdr:to>
      <xdr:col>5</xdr:col>
      <xdr:colOff>83820</xdr:colOff>
      <xdr:row>614</xdr:row>
      <xdr:rowOff>114300</xdr:rowOff>
    </xdr:to>
    <xdr:sp macro="" textlink="">
      <xdr:nvSpPr>
        <xdr:cNvPr id="4452" name="Arrow: Down 4451">
          <a:extLst>
            <a:ext uri="{FF2B5EF4-FFF2-40B4-BE49-F238E27FC236}">
              <a16:creationId xmlns:a16="http://schemas.microsoft.com/office/drawing/2014/main" id="{0D9301D7-06E8-4F09-8A18-D05304A7CC6D}"/>
            </a:ext>
          </a:extLst>
        </xdr:cNvPr>
        <xdr:cNvSpPr/>
      </xdr:nvSpPr>
      <xdr:spPr>
        <a:xfrm rot="10800000">
          <a:off x="192786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614</xdr:row>
      <xdr:rowOff>0</xdr:rowOff>
    </xdr:from>
    <xdr:to>
      <xdr:col>24</xdr:col>
      <xdr:colOff>83820</xdr:colOff>
      <xdr:row>614</xdr:row>
      <xdr:rowOff>114300</xdr:rowOff>
    </xdr:to>
    <xdr:sp macro="" textlink="">
      <xdr:nvSpPr>
        <xdr:cNvPr id="4457" name="Arrow: Down 4456">
          <a:extLst>
            <a:ext uri="{FF2B5EF4-FFF2-40B4-BE49-F238E27FC236}">
              <a16:creationId xmlns:a16="http://schemas.microsoft.com/office/drawing/2014/main" id="{F93D0182-E333-48B7-A6B5-77D7407BADA7}"/>
            </a:ext>
          </a:extLst>
        </xdr:cNvPr>
        <xdr:cNvSpPr/>
      </xdr:nvSpPr>
      <xdr:spPr>
        <a:xfrm rot="10800000">
          <a:off x="833628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614</xdr:row>
      <xdr:rowOff>0</xdr:rowOff>
    </xdr:from>
    <xdr:to>
      <xdr:col>39</xdr:col>
      <xdr:colOff>83820</xdr:colOff>
      <xdr:row>614</xdr:row>
      <xdr:rowOff>114300</xdr:rowOff>
    </xdr:to>
    <xdr:sp macro="" textlink="">
      <xdr:nvSpPr>
        <xdr:cNvPr id="4508" name="Arrow: Down 4507">
          <a:extLst>
            <a:ext uri="{FF2B5EF4-FFF2-40B4-BE49-F238E27FC236}">
              <a16:creationId xmlns:a16="http://schemas.microsoft.com/office/drawing/2014/main" id="{3BFC73C5-C595-4529-B933-0903AAE15CB6}"/>
            </a:ext>
          </a:extLst>
        </xdr:cNvPr>
        <xdr:cNvSpPr/>
      </xdr:nvSpPr>
      <xdr:spPr>
        <a:xfrm rot="10800000">
          <a:off x="11544300" y="11238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615</xdr:row>
      <xdr:rowOff>0</xdr:rowOff>
    </xdr:from>
    <xdr:to>
      <xdr:col>45</xdr:col>
      <xdr:colOff>83820</xdr:colOff>
      <xdr:row>615</xdr:row>
      <xdr:rowOff>114300</xdr:rowOff>
    </xdr:to>
    <xdr:sp macro="" textlink="">
      <xdr:nvSpPr>
        <xdr:cNvPr id="4562" name="Arrow: Down 4561">
          <a:extLst>
            <a:ext uri="{FF2B5EF4-FFF2-40B4-BE49-F238E27FC236}">
              <a16:creationId xmlns:a16="http://schemas.microsoft.com/office/drawing/2014/main" id="{9FAEE196-E3DA-4218-9AE2-71779BED60E5}"/>
            </a:ext>
          </a:extLst>
        </xdr:cNvPr>
        <xdr:cNvSpPr/>
      </xdr:nvSpPr>
      <xdr:spPr>
        <a:xfrm rot="10800000">
          <a:off x="13403580" y="11238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615</xdr:row>
      <xdr:rowOff>0</xdr:rowOff>
    </xdr:from>
    <xdr:to>
      <xdr:col>11</xdr:col>
      <xdr:colOff>83820</xdr:colOff>
      <xdr:row>615</xdr:row>
      <xdr:rowOff>114300</xdr:rowOff>
    </xdr:to>
    <xdr:sp macro="" textlink="">
      <xdr:nvSpPr>
        <xdr:cNvPr id="4575" name="Arrow: Down 4574">
          <a:extLst>
            <a:ext uri="{FF2B5EF4-FFF2-40B4-BE49-F238E27FC236}">
              <a16:creationId xmlns:a16="http://schemas.microsoft.com/office/drawing/2014/main" id="{91E5C40D-9060-46AB-B221-A60B98879BE3}"/>
            </a:ext>
          </a:extLst>
        </xdr:cNvPr>
        <xdr:cNvSpPr/>
      </xdr:nvSpPr>
      <xdr:spPr>
        <a:xfrm rot="10800000">
          <a:off x="369570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615</xdr:row>
      <xdr:rowOff>0</xdr:rowOff>
    </xdr:from>
    <xdr:to>
      <xdr:col>5</xdr:col>
      <xdr:colOff>83820</xdr:colOff>
      <xdr:row>615</xdr:row>
      <xdr:rowOff>114300</xdr:rowOff>
    </xdr:to>
    <xdr:sp macro="" textlink="">
      <xdr:nvSpPr>
        <xdr:cNvPr id="4577" name="Arrow: Down 4576">
          <a:extLst>
            <a:ext uri="{FF2B5EF4-FFF2-40B4-BE49-F238E27FC236}">
              <a16:creationId xmlns:a16="http://schemas.microsoft.com/office/drawing/2014/main" id="{7658F296-B32F-440F-9B69-6C3595BC6121}"/>
            </a:ext>
          </a:extLst>
        </xdr:cNvPr>
        <xdr:cNvSpPr/>
      </xdr:nvSpPr>
      <xdr:spPr>
        <a:xfrm rot="10800000">
          <a:off x="192786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615</xdr:row>
      <xdr:rowOff>0</xdr:rowOff>
    </xdr:from>
    <xdr:to>
      <xdr:col>24</xdr:col>
      <xdr:colOff>83820</xdr:colOff>
      <xdr:row>615</xdr:row>
      <xdr:rowOff>114300</xdr:rowOff>
    </xdr:to>
    <xdr:sp macro="" textlink="">
      <xdr:nvSpPr>
        <xdr:cNvPr id="4588" name="Arrow: Down 4587">
          <a:extLst>
            <a:ext uri="{FF2B5EF4-FFF2-40B4-BE49-F238E27FC236}">
              <a16:creationId xmlns:a16="http://schemas.microsoft.com/office/drawing/2014/main" id="{C7925E1C-7800-44BA-AE2A-961762B27E09}"/>
            </a:ext>
          </a:extLst>
        </xdr:cNvPr>
        <xdr:cNvSpPr/>
      </xdr:nvSpPr>
      <xdr:spPr>
        <a:xfrm rot="10800000">
          <a:off x="833628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615</xdr:row>
      <xdr:rowOff>0</xdr:rowOff>
    </xdr:from>
    <xdr:to>
      <xdr:col>39</xdr:col>
      <xdr:colOff>83820</xdr:colOff>
      <xdr:row>615</xdr:row>
      <xdr:rowOff>114300</xdr:rowOff>
    </xdr:to>
    <xdr:sp macro="" textlink="">
      <xdr:nvSpPr>
        <xdr:cNvPr id="4590" name="Arrow: Down 4589">
          <a:extLst>
            <a:ext uri="{FF2B5EF4-FFF2-40B4-BE49-F238E27FC236}">
              <a16:creationId xmlns:a16="http://schemas.microsoft.com/office/drawing/2014/main" id="{9096CD1A-1048-44E6-B43C-498203B6B159}"/>
            </a:ext>
          </a:extLst>
        </xdr:cNvPr>
        <xdr:cNvSpPr/>
      </xdr:nvSpPr>
      <xdr:spPr>
        <a:xfrm>
          <a:off x="1154430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615</xdr:row>
      <xdr:rowOff>0</xdr:rowOff>
    </xdr:from>
    <xdr:to>
      <xdr:col>60</xdr:col>
      <xdr:colOff>83820</xdr:colOff>
      <xdr:row>615</xdr:row>
      <xdr:rowOff>114300</xdr:rowOff>
    </xdr:to>
    <xdr:sp macro="" textlink="">
      <xdr:nvSpPr>
        <xdr:cNvPr id="4594" name="Arrow: Down 4593">
          <a:extLst>
            <a:ext uri="{FF2B5EF4-FFF2-40B4-BE49-F238E27FC236}">
              <a16:creationId xmlns:a16="http://schemas.microsoft.com/office/drawing/2014/main" id="{2BB751F3-6E72-4C74-9F4D-F204A176643D}"/>
            </a:ext>
          </a:extLst>
        </xdr:cNvPr>
        <xdr:cNvSpPr/>
      </xdr:nvSpPr>
      <xdr:spPr>
        <a:xfrm rot="10800000">
          <a:off x="1908048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615</xdr:row>
      <xdr:rowOff>0</xdr:rowOff>
    </xdr:from>
    <xdr:to>
      <xdr:col>71</xdr:col>
      <xdr:colOff>83820</xdr:colOff>
      <xdr:row>615</xdr:row>
      <xdr:rowOff>114300</xdr:rowOff>
    </xdr:to>
    <xdr:sp macro="" textlink="">
      <xdr:nvSpPr>
        <xdr:cNvPr id="4595" name="Arrow: Down 4594">
          <a:extLst>
            <a:ext uri="{FF2B5EF4-FFF2-40B4-BE49-F238E27FC236}">
              <a16:creationId xmlns:a16="http://schemas.microsoft.com/office/drawing/2014/main" id="{D66DD669-5292-497D-8272-160DCDE6F058}"/>
            </a:ext>
          </a:extLst>
        </xdr:cNvPr>
        <xdr:cNvSpPr/>
      </xdr:nvSpPr>
      <xdr:spPr>
        <a:xfrm rot="10800000">
          <a:off x="2180082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616</xdr:row>
      <xdr:rowOff>0</xdr:rowOff>
    </xdr:from>
    <xdr:to>
      <xdr:col>45</xdr:col>
      <xdr:colOff>83820</xdr:colOff>
      <xdr:row>616</xdr:row>
      <xdr:rowOff>114300</xdr:rowOff>
    </xdr:to>
    <xdr:sp macro="" textlink="">
      <xdr:nvSpPr>
        <xdr:cNvPr id="4597" name="Arrow: Down 4596">
          <a:extLst>
            <a:ext uri="{FF2B5EF4-FFF2-40B4-BE49-F238E27FC236}">
              <a16:creationId xmlns:a16="http://schemas.microsoft.com/office/drawing/2014/main" id="{CA8404C0-0C1F-4BCE-8782-DE3B48F42094}"/>
            </a:ext>
          </a:extLst>
        </xdr:cNvPr>
        <xdr:cNvSpPr/>
      </xdr:nvSpPr>
      <xdr:spPr>
        <a:xfrm rot="10800000">
          <a:off x="13403580" y="11257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616</xdr:row>
      <xdr:rowOff>0</xdr:rowOff>
    </xdr:from>
    <xdr:to>
      <xdr:col>11</xdr:col>
      <xdr:colOff>83820</xdr:colOff>
      <xdr:row>616</xdr:row>
      <xdr:rowOff>114300</xdr:rowOff>
    </xdr:to>
    <xdr:sp macro="" textlink="">
      <xdr:nvSpPr>
        <xdr:cNvPr id="4599" name="Arrow: Down 4598">
          <a:extLst>
            <a:ext uri="{FF2B5EF4-FFF2-40B4-BE49-F238E27FC236}">
              <a16:creationId xmlns:a16="http://schemas.microsoft.com/office/drawing/2014/main" id="{D30F3E3B-CDB8-4AE6-9648-176889BE7F4B}"/>
            </a:ext>
          </a:extLst>
        </xdr:cNvPr>
        <xdr:cNvSpPr/>
      </xdr:nvSpPr>
      <xdr:spPr>
        <a:xfrm rot="10800000">
          <a:off x="369570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616</xdr:row>
      <xdr:rowOff>0</xdr:rowOff>
    </xdr:from>
    <xdr:to>
      <xdr:col>5</xdr:col>
      <xdr:colOff>83820</xdr:colOff>
      <xdr:row>616</xdr:row>
      <xdr:rowOff>114300</xdr:rowOff>
    </xdr:to>
    <xdr:sp macro="" textlink="">
      <xdr:nvSpPr>
        <xdr:cNvPr id="4601" name="Arrow: Down 4600">
          <a:extLst>
            <a:ext uri="{FF2B5EF4-FFF2-40B4-BE49-F238E27FC236}">
              <a16:creationId xmlns:a16="http://schemas.microsoft.com/office/drawing/2014/main" id="{3FBA13EE-A3EB-4CB3-8E0A-6F7E95511DCA}"/>
            </a:ext>
          </a:extLst>
        </xdr:cNvPr>
        <xdr:cNvSpPr/>
      </xdr:nvSpPr>
      <xdr:spPr>
        <a:xfrm rot="10800000">
          <a:off x="192786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616</xdr:row>
      <xdr:rowOff>0</xdr:rowOff>
    </xdr:from>
    <xdr:to>
      <xdr:col>71</xdr:col>
      <xdr:colOff>83820</xdr:colOff>
      <xdr:row>616</xdr:row>
      <xdr:rowOff>114300</xdr:rowOff>
    </xdr:to>
    <xdr:sp macro="" textlink="">
      <xdr:nvSpPr>
        <xdr:cNvPr id="4605" name="Arrow: Down 4604">
          <a:extLst>
            <a:ext uri="{FF2B5EF4-FFF2-40B4-BE49-F238E27FC236}">
              <a16:creationId xmlns:a16="http://schemas.microsoft.com/office/drawing/2014/main" id="{5A1A4EB7-E2D6-418D-9B12-5320CF116E7D}"/>
            </a:ext>
          </a:extLst>
        </xdr:cNvPr>
        <xdr:cNvSpPr/>
      </xdr:nvSpPr>
      <xdr:spPr>
        <a:xfrm rot="10800000">
          <a:off x="2180082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616</xdr:row>
      <xdr:rowOff>0</xdr:rowOff>
    </xdr:from>
    <xdr:to>
      <xdr:col>24</xdr:col>
      <xdr:colOff>83820</xdr:colOff>
      <xdr:row>616</xdr:row>
      <xdr:rowOff>114300</xdr:rowOff>
    </xdr:to>
    <xdr:sp macro="" textlink="">
      <xdr:nvSpPr>
        <xdr:cNvPr id="4607" name="Arrow: Down 4606">
          <a:extLst>
            <a:ext uri="{FF2B5EF4-FFF2-40B4-BE49-F238E27FC236}">
              <a16:creationId xmlns:a16="http://schemas.microsoft.com/office/drawing/2014/main" id="{30AF56C4-EA90-4C3B-ABAB-E661701683FF}"/>
            </a:ext>
          </a:extLst>
        </xdr:cNvPr>
        <xdr:cNvSpPr/>
      </xdr:nvSpPr>
      <xdr:spPr>
        <a:xfrm>
          <a:off x="83362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616</xdr:row>
      <xdr:rowOff>0</xdr:rowOff>
    </xdr:from>
    <xdr:to>
      <xdr:col>60</xdr:col>
      <xdr:colOff>83820</xdr:colOff>
      <xdr:row>616</xdr:row>
      <xdr:rowOff>114300</xdr:rowOff>
    </xdr:to>
    <xdr:sp macro="" textlink="">
      <xdr:nvSpPr>
        <xdr:cNvPr id="4612" name="Arrow: Down 4611">
          <a:extLst>
            <a:ext uri="{FF2B5EF4-FFF2-40B4-BE49-F238E27FC236}">
              <a16:creationId xmlns:a16="http://schemas.microsoft.com/office/drawing/2014/main" id="{942B31B6-94EE-4089-978B-A7A2EF3D68AE}"/>
            </a:ext>
          </a:extLst>
        </xdr:cNvPr>
        <xdr:cNvSpPr/>
      </xdr:nvSpPr>
      <xdr:spPr>
        <a:xfrm>
          <a:off x="190804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617</xdr:row>
      <xdr:rowOff>0</xdr:rowOff>
    </xdr:from>
    <xdr:to>
      <xdr:col>45</xdr:col>
      <xdr:colOff>83820</xdr:colOff>
      <xdr:row>617</xdr:row>
      <xdr:rowOff>114300</xdr:rowOff>
    </xdr:to>
    <xdr:sp macro="" textlink="">
      <xdr:nvSpPr>
        <xdr:cNvPr id="4613" name="Arrow: Down 4612">
          <a:extLst>
            <a:ext uri="{FF2B5EF4-FFF2-40B4-BE49-F238E27FC236}">
              <a16:creationId xmlns:a16="http://schemas.microsoft.com/office/drawing/2014/main" id="{E78D4DA9-6FCB-4542-A2ED-B9353A3E91BF}"/>
            </a:ext>
          </a:extLst>
        </xdr:cNvPr>
        <xdr:cNvSpPr/>
      </xdr:nvSpPr>
      <xdr:spPr>
        <a:xfrm rot="10800000">
          <a:off x="134035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617</xdr:row>
      <xdr:rowOff>0</xdr:rowOff>
    </xdr:from>
    <xdr:to>
      <xdr:col>24</xdr:col>
      <xdr:colOff>83820</xdr:colOff>
      <xdr:row>617</xdr:row>
      <xdr:rowOff>114300</xdr:rowOff>
    </xdr:to>
    <xdr:sp macro="" textlink="">
      <xdr:nvSpPr>
        <xdr:cNvPr id="4621" name="Arrow: Down 4620">
          <a:extLst>
            <a:ext uri="{FF2B5EF4-FFF2-40B4-BE49-F238E27FC236}">
              <a16:creationId xmlns:a16="http://schemas.microsoft.com/office/drawing/2014/main" id="{88008B6E-C9D0-4071-9C59-91A000B6B6B0}"/>
            </a:ext>
          </a:extLst>
        </xdr:cNvPr>
        <xdr:cNvSpPr/>
      </xdr:nvSpPr>
      <xdr:spPr>
        <a:xfrm>
          <a:off x="83362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617</xdr:row>
      <xdr:rowOff>0</xdr:rowOff>
    </xdr:from>
    <xdr:to>
      <xdr:col>60</xdr:col>
      <xdr:colOff>83820</xdr:colOff>
      <xdr:row>617</xdr:row>
      <xdr:rowOff>114300</xdr:rowOff>
    </xdr:to>
    <xdr:sp macro="" textlink="">
      <xdr:nvSpPr>
        <xdr:cNvPr id="4623" name="Arrow: Down 4622">
          <a:extLst>
            <a:ext uri="{FF2B5EF4-FFF2-40B4-BE49-F238E27FC236}">
              <a16:creationId xmlns:a16="http://schemas.microsoft.com/office/drawing/2014/main" id="{0661F504-6C50-4855-B0E0-72D44B06C647}"/>
            </a:ext>
          </a:extLst>
        </xdr:cNvPr>
        <xdr:cNvSpPr/>
      </xdr:nvSpPr>
      <xdr:spPr>
        <a:xfrm>
          <a:off x="190804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617</xdr:row>
      <xdr:rowOff>0</xdr:rowOff>
    </xdr:from>
    <xdr:to>
      <xdr:col>11</xdr:col>
      <xdr:colOff>83820</xdr:colOff>
      <xdr:row>617</xdr:row>
      <xdr:rowOff>114300</xdr:rowOff>
    </xdr:to>
    <xdr:sp macro="" textlink="">
      <xdr:nvSpPr>
        <xdr:cNvPr id="4625" name="Arrow: Down 4624">
          <a:extLst>
            <a:ext uri="{FF2B5EF4-FFF2-40B4-BE49-F238E27FC236}">
              <a16:creationId xmlns:a16="http://schemas.microsoft.com/office/drawing/2014/main" id="{4EB13FE1-2BEC-4CDF-9B39-3242F7BD442E}"/>
            </a:ext>
          </a:extLst>
        </xdr:cNvPr>
        <xdr:cNvSpPr/>
      </xdr:nvSpPr>
      <xdr:spPr>
        <a:xfrm>
          <a:off x="369570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617</xdr:row>
      <xdr:rowOff>0</xdr:rowOff>
    </xdr:from>
    <xdr:to>
      <xdr:col>5</xdr:col>
      <xdr:colOff>83820</xdr:colOff>
      <xdr:row>617</xdr:row>
      <xdr:rowOff>114300</xdr:rowOff>
    </xdr:to>
    <xdr:sp macro="" textlink="">
      <xdr:nvSpPr>
        <xdr:cNvPr id="4626" name="Arrow: Down 4625">
          <a:extLst>
            <a:ext uri="{FF2B5EF4-FFF2-40B4-BE49-F238E27FC236}">
              <a16:creationId xmlns:a16="http://schemas.microsoft.com/office/drawing/2014/main" id="{7008766B-81BB-4A9B-B381-9FC271660D86}"/>
            </a:ext>
          </a:extLst>
        </xdr:cNvPr>
        <xdr:cNvSpPr/>
      </xdr:nvSpPr>
      <xdr:spPr>
        <a:xfrm>
          <a:off x="192786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616</xdr:row>
      <xdr:rowOff>0</xdr:rowOff>
    </xdr:from>
    <xdr:to>
      <xdr:col>39</xdr:col>
      <xdr:colOff>83820</xdr:colOff>
      <xdr:row>616</xdr:row>
      <xdr:rowOff>114300</xdr:rowOff>
    </xdr:to>
    <xdr:sp macro="" textlink="">
      <xdr:nvSpPr>
        <xdr:cNvPr id="4629" name="Arrow: Down 4628">
          <a:extLst>
            <a:ext uri="{FF2B5EF4-FFF2-40B4-BE49-F238E27FC236}">
              <a16:creationId xmlns:a16="http://schemas.microsoft.com/office/drawing/2014/main" id="{6B51553D-19AE-4487-BBE2-2D670838F9D8}"/>
            </a:ext>
          </a:extLst>
        </xdr:cNvPr>
        <xdr:cNvSpPr/>
      </xdr:nvSpPr>
      <xdr:spPr>
        <a:xfrm rot="10800000">
          <a:off x="1154430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617</xdr:row>
      <xdr:rowOff>0</xdr:rowOff>
    </xdr:from>
    <xdr:to>
      <xdr:col>39</xdr:col>
      <xdr:colOff>83820</xdr:colOff>
      <xdr:row>617</xdr:row>
      <xdr:rowOff>114300</xdr:rowOff>
    </xdr:to>
    <xdr:sp macro="" textlink="">
      <xdr:nvSpPr>
        <xdr:cNvPr id="4630" name="Arrow: Down 4629">
          <a:extLst>
            <a:ext uri="{FF2B5EF4-FFF2-40B4-BE49-F238E27FC236}">
              <a16:creationId xmlns:a16="http://schemas.microsoft.com/office/drawing/2014/main" id="{D6FC2BCA-3029-4C0A-B32A-D3931524CC96}"/>
            </a:ext>
          </a:extLst>
        </xdr:cNvPr>
        <xdr:cNvSpPr/>
      </xdr:nvSpPr>
      <xdr:spPr>
        <a:xfrm>
          <a:off x="11544300" y="11293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617</xdr:row>
      <xdr:rowOff>0</xdr:rowOff>
    </xdr:from>
    <xdr:to>
      <xdr:col>71</xdr:col>
      <xdr:colOff>83820</xdr:colOff>
      <xdr:row>617</xdr:row>
      <xdr:rowOff>114300</xdr:rowOff>
    </xdr:to>
    <xdr:sp macro="" textlink="">
      <xdr:nvSpPr>
        <xdr:cNvPr id="4631" name="Arrow: Down 4630">
          <a:extLst>
            <a:ext uri="{FF2B5EF4-FFF2-40B4-BE49-F238E27FC236}">
              <a16:creationId xmlns:a16="http://schemas.microsoft.com/office/drawing/2014/main" id="{A4B63A70-B61A-4960-95E6-31650E7813C2}"/>
            </a:ext>
          </a:extLst>
        </xdr:cNvPr>
        <xdr:cNvSpPr/>
      </xdr:nvSpPr>
      <xdr:spPr>
        <a:xfrm>
          <a:off x="2180082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618</xdr:row>
      <xdr:rowOff>0</xdr:rowOff>
    </xdr:from>
    <xdr:to>
      <xdr:col>45</xdr:col>
      <xdr:colOff>83820</xdr:colOff>
      <xdr:row>618</xdr:row>
      <xdr:rowOff>114300</xdr:rowOff>
    </xdr:to>
    <xdr:sp macro="" textlink="">
      <xdr:nvSpPr>
        <xdr:cNvPr id="4639" name="Arrow: Down 4638">
          <a:extLst>
            <a:ext uri="{FF2B5EF4-FFF2-40B4-BE49-F238E27FC236}">
              <a16:creationId xmlns:a16="http://schemas.microsoft.com/office/drawing/2014/main" id="{4EA371EC-D2EC-4D32-BF90-639D6916B58F}"/>
            </a:ext>
          </a:extLst>
        </xdr:cNvPr>
        <xdr:cNvSpPr/>
      </xdr:nvSpPr>
      <xdr:spPr>
        <a:xfrm rot="10800000">
          <a:off x="1340358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618</xdr:row>
      <xdr:rowOff>0</xdr:rowOff>
    </xdr:from>
    <xdr:to>
      <xdr:col>71</xdr:col>
      <xdr:colOff>83820</xdr:colOff>
      <xdr:row>618</xdr:row>
      <xdr:rowOff>114300</xdr:rowOff>
    </xdr:to>
    <xdr:sp macro="" textlink="">
      <xdr:nvSpPr>
        <xdr:cNvPr id="4647" name="Arrow: Down 4646">
          <a:extLst>
            <a:ext uri="{FF2B5EF4-FFF2-40B4-BE49-F238E27FC236}">
              <a16:creationId xmlns:a16="http://schemas.microsoft.com/office/drawing/2014/main" id="{CFBCE9F4-1666-4A15-88C9-7C4A4F4229E0}"/>
            </a:ext>
          </a:extLst>
        </xdr:cNvPr>
        <xdr:cNvSpPr/>
      </xdr:nvSpPr>
      <xdr:spPr>
        <a:xfrm>
          <a:off x="2180082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618</xdr:row>
      <xdr:rowOff>0</xdr:rowOff>
    </xdr:from>
    <xdr:to>
      <xdr:col>5</xdr:col>
      <xdr:colOff>83820</xdr:colOff>
      <xdr:row>618</xdr:row>
      <xdr:rowOff>114300</xdr:rowOff>
    </xdr:to>
    <xdr:sp macro="" textlink="">
      <xdr:nvSpPr>
        <xdr:cNvPr id="4648" name="Arrow: Down 4647">
          <a:extLst>
            <a:ext uri="{FF2B5EF4-FFF2-40B4-BE49-F238E27FC236}">
              <a16:creationId xmlns:a16="http://schemas.microsoft.com/office/drawing/2014/main" id="{B86FC11B-C205-4CEB-ACDB-005ED69A921D}"/>
            </a:ext>
          </a:extLst>
        </xdr:cNvPr>
        <xdr:cNvSpPr/>
      </xdr:nvSpPr>
      <xdr:spPr>
        <a:xfrm rot="10800000">
          <a:off x="192786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618</xdr:row>
      <xdr:rowOff>0</xdr:rowOff>
    </xdr:from>
    <xdr:to>
      <xdr:col>24</xdr:col>
      <xdr:colOff>83820</xdr:colOff>
      <xdr:row>618</xdr:row>
      <xdr:rowOff>114300</xdr:rowOff>
    </xdr:to>
    <xdr:sp macro="" textlink="">
      <xdr:nvSpPr>
        <xdr:cNvPr id="4649" name="Arrow: Down 4648">
          <a:extLst>
            <a:ext uri="{FF2B5EF4-FFF2-40B4-BE49-F238E27FC236}">
              <a16:creationId xmlns:a16="http://schemas.microsoft.com/office/drawing/2014/main" id="{065E2944-87F4-4B9E-8CD8-A7752076DD4D}"/>
            </a:ext>
          </a:extLst>
        </xdr:cNvPr>
        <xdr:cNvSpPr/>
      </xdr:nvSpPr>
      <xdr:spPr>
        <a:xfrm rot="10800000">
          <a:off x="833628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618</xdr:row>
      <xdr:rowOff>0</xdr:rowOff>
    </xdr:from>
    <xdr:to>
      <xdr:col>39</xdr:col>
      <xdr:colOff>83820</xdr:colOff>
      <xdr:row>618</xdr:row>
      <xdr:rowOff>114300</xdr:rowOff>
    </xdr:to>
    <xdr:sp macro="" textlink="">
      <xdr:nvSpPr>
        <xdr:cNvPr id="4650" name="Arrow: Down 4649">
          <a:extLst>
            <a:ext uri="{FF2B5EF4-FFF2-40B4-BE49-F238E27FC236}">
              <a16:creationId xmlns:a16="http://schemas.microsoft.com/office/drawing/2014/main" id="{0EE729D6-E4C7-49C5-8044-06244117E8F8}"/>
            </a:ext>
          </a:extLst>
        </xdr:cNvPr>
        <xdr:cNvSpPr/>
      </xdr:nvSpPr>
      <xdr:spPr>
        <a:xfrm rot="10800000">
          <a:off x="11544300" y="113118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618</xdr:row>
      <xdr:rowOff>0</xdr:rowOff>
    </xdr:from>
    <xdr:to>
      <xdr:col>60</xdr:col>
      <xdr:colOff>83820</xdr:colOff>
      <xdr:row>618</xdr:row>
      <xdr:rowOff>114300</xdr:rowOff>
    </xdr:to>
    <xdr:sp macro="" textlink="">
      <xdr:nvSpPr>
        <xdr:cNvPr id="4653" name="Arrow: Down 4652">
          <a:extLst>
            <a:ext uri="{FF2B5EF4-FFF2-40B4-BE49-F238E27FC236}">
              <a16:creationId xmlns:a16="http://schemas.microsoft.com/office/drawing/2014/main" id="{7CFC6DD2-F3EF-445C-9535-A9444BB97274}"/>
            </a:ext>
          </a:extLst>
        </xdr:cNvPr>
        <xdr:cNvSpPr/>
      </xdr:nvSpPr>
      <xdr:spPr>
        <a:xfrm rot="10800000">
          <a:off x="1908048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619</xdr:row>
      <xdr:rowOff>0</xdr:rowOff>
    </xdr:from>
    <xdr:to>
      <xdr:col>45</xdr:col>
      <xdr:colOff>83820</xdr:colOff>
      <xdr:row>619</xdr:row>
      <xdr:rowOff>114300</xdr:rowOff>
    </xdr:to>
    <xdr:sp macro="" textlink="">
      <xdr:nvSpPr>
        <xdr:cNvPr id="4524" name="Arrow: Down 4523">
          <a:extLst>
            <a:ext uri="{FF2B5EF4-FFF2-40B4-BE49-F238E27FC236}">
              <a16:creationId xmlns:a16="http://schemas.microsoft.com/office/drawing/2014/main" id="{FA3F1F25-A2C3-462B-8B1F-016ECD3F35D2}"/>
            </a:ext>
          </a:extLst>
        </xdr:cNvPr>
        <xdr:cNvSpPr/>
      </xdr:nvSpPr>
      <xdr:spPr>
        <a:xfrm rot="10800000">
          <a:off x="13403580" y="11311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619</xdr:row>
      <xdr:rowOff>0</xdr:rowOff>
    </xdr:from>
    <xdr:to>
      <xdr:col>11</xdr:col>
      <xdr:colOff>83820</xdr:colOff>
      <xdr:row>619</xdr:row>
      <xdr:rowOff>114300</xdr:rowOff>
    </xdr:to>
    <xdr:sp macro="" textlink="">
      <xdr:nvSpPr>
        <xdr:cNvPr id="4529" name="Arrow: Down 4528">
          <a:extLst>
            <a:ext uri="{FF2B5EF4-FFF2-40B4-BE49-F238E27FC236}">
              <a16:creationId xmlns:a16="http://schemas.microsoft.com/office/drawing/2014/main" id="{5CF98F8D-5D58-4F64-B366-33789F89650F}"/>
            </a:ext>
          </a:extLst>
        </xdr:cNvPr>
        <xdr:cNvSpPr/>
      </xdr:nvSpPr>
      <xdr:spPr>
        <a:xfrm>
          <a:off x="3695700" y="11311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619</xdr:row>
      <xdr:rowOff>0</xdr:rowOff>
    </xdr:from>
    <xdr:to>
      <xdr:col>71</xdr:col>
      <xdr:colOff>83820</xdr:colOff>
      <xdr:row>619</xdr:row>
      <xdr:rowOff>114300</xdr:rowOff>
    </xdr:to>
    <xdr:sp macro="" textlink="">
      <xdr:nvSpPr>
        <xdr:cNvPr id="4542" name="Arrow: Down 4541">
          <a:extLst>
            <a:ext uri="{FF2B5EF4-FFF2-40B4-BE49-F238E27FC236}">
              <a16:creationId xmlns:a16="http://schemas.microsoft.com/office/drawing/2014/main" id="{AC143409-928A-4C82-B53C-74D2BBBB3C3D}"/>
            </a:ext>
          </a:extLst>
        </xdr:cNvPr>
        <xdr:cNvSpPr/>
      </xdr:nvSpPr>
      <xdr:spPr>
        <a:xfrm>
          <a:off x="21800820" y="11311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619</xdr:row>
      <xdr:rowOff>0</xdr:rowOff>
    </xdr:from>
    <xdr:to>
      <xdr:col>5</xdr:col>
      <xdr:colOff>83820</xdr:colOff>
      <xdr:row>619</xdr:row>
      <xdr:rowOff>114300</xdr:rowOff>
    </xdr:to>
    <xdr:sp macro="" textlink="">
      <xdr:nvSpPr>
        <xdr:cNvPr id="4602" name="Arrow: Down 4601">
          <a:extLst>
            <a:ext uri="{FF2B5EF4-FFF2-40B4-BE49-F238E27FC236}">
              <a16:creationId xmlns:a16="http://schemas.microsoft.com/office/drawing/2014/main" id="{41C8C3B7-5DB0-437C-A741-630966B84438}"/>
            </a:ext>
          </a:extLst>
        </xdr:cNvPr>
        <xdr:cNvSpPr/>
      </xdr:nvSpPr>
      <xdr:spPr>
        <a:xfrm>
          <a:off x="192786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619</xdr:row>
      <xdr:rowOff>0</xdr:rowOff>
    </xdr:from>
    <xdr:to>
      <xdr:col>24</xdr:col>
      <xdr:colOff>83820</xdr:colOff>
      <xdr:row>619</xdr:row>
      <xdr:rowOff>114300</xdr:rowOff>
    </xdr:to>
    <xdr:sp macro="" textlink="">
      <xdr:nvSpPr>
        <xdr:cNvPr id="4603" name="Arrow: Down 4602">
          <a:extLst>
            <a:ext uri="{FF2B5EF4-FFF2-40B4-BE49-F238E27FC236}">
              <a16:creationId xmlns:a16="http://schemas.microsoft.com/office/drawing/2014/main" id="{8C3140FB-1FBB-45DF-88A7-1D2A85AB23C3}"/>
            </a:ext>
          </a:extLst>
        </xdr:cNvPr>
        <xdr:cNvSpPr/>
      </xdr:nvSpPr>
      <xdr:spPr>
        <a:xfrm>
          <a:off x="83362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618</xdr:row>
      <xdr:rowOff>0</xdr:rowOff>
    </xdr:from>
    <xdr:to>
      <xdr:col>11</xdr:col>
      <xdr:colOff>83820</xdr:colOff>
      <xdr:row>618</xdr:row>
      <xdr:rowOff>114300</xdr:rowOff>
    </xdr:to>
    <xdr:sp macro="" textlink="">
      <xdr:nvSpPr>
        <xdr:cNvPr id="4604" name="Arrow: Down 4603">
          <a:extLst>
            <a:ext uri="{FF2B5EF4-FFF2-40B4-BE49-F238E27FC236}">
              <a16:creationId xmlns:a16="http://schemas.microsoft.com/office/drawing/2014/main" id="{20B837BA-387F-4B24-BACD-D417C3DE3394}"/>
            </a:ext>
          </a:extLst>
        </xdr:cNvPr>
        <xdr:cNvSpPr/>
      </xdr:nvSpPr>
      <xdr:spPr>
        <a:xfrm rot="10800000">
          <a:off x="369570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619</xdr:row>
      <xdr:rowOff>0</xdr:rowOff>
    </xdr:from>
    <xdr:to>
      <xdr:col>39</xdr:col>
      <xdr:colOff>83820</xdr:colOff>
      <xdr:row>619</xdr:row>
      <xdr:rowOff>114300</xdr:rowOff>
    </xdr:to>
    <xdr:sp macro="" textlink="">
      <xdr:nvSpPr>
        <xdr:cNvPr id="4611" name="Arrow: Down 4610">
          <a:extLst>
            <a:ext uri="{FF2B5EF4-FFF2-40B4-BE49-F238E27FC236}">
              <a16:creationId xmlns:a16="http://schemas.microsoft.com/office/drawing/2014/main" id="{E296ED3D-000E-4F0E-9FA3-EE2D0879889C}"/>
            </a:ext>
          </a:extLst>
        </xdr:cNvPr>
        <xdr:cNvSpPr/>
      </xdr:nvSpPr>
      <xdr:spPr>
        <a:xfrm>
          <a:off x="11544300" y="11330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619</xdr:row>
      <xdr:rowOff>0</xdr:rowOff>
    </xdr:from>
    <xdr:to>
      <xdr:col>60</xdr:col>
      <xdr:colOff>83820</xdr:colOff>
      <xdr:row>619</xdr:row>
      <xdr:rowOff>114300</xdr:rowOff>
    </xdr:to>
    <xdr:sp macro="" textlink="">
      <xdr:nvSpPr>
        <xdr:cNvPr id="4614" name="Arrow: Down 4613">
          <a:extLst>
            <a:ext uri="{FF2B5EF4-FFF2-40B4-BE49-F238E27FC236}">
              <a16:creationId xmlns:a16="http://schemas.microsoft.com/office/drawing/2014/main" id="{A40B72E2-9E2A-4628-97EA-D43FF0FD8585}"/>
            </a:ext>
          </a:extLst>
        </xdr:cNvPr>
        <xdr:cNvSpPr/>
      </xdr:nvSpPr>
      <xdr:spPr>
        <a:xfrm>
          <a:off x="190804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620</xdr:row>
      <xdr:rowOff>0</xdr:rowOff>
    </xdr:from>
    <xdr:to>
      <xdr:col>45</xdr:col>
      <xdr:colOff>83820</xdr:colOff>
      <xdr:row>620</xdr:row>
      <xdr:rowOff>114300</xdr:rowOff>
    </xdr:to>
    <xdr:sp macro="" textlink="">
      <xdr:nvSpPr>
        <xdr:cNvPr id="4633" name="Arrow: Down 4632">
          <a:extLst>
            <a:ext uri="{FF2B5EF4-FFF2-40B4-BE49-F238E27FC236}">
              <a16:creationId xmlns:a16="http://schemas.microsoft.com/office/drawing/2014/main" id="{0964140A-93C5-4975-992D-8FB7FFE3B3E4}"/>
            </a:ext>
          </a:extLst>
        </xdr:cNvPr>
        <xdr:cNvSpPr/>
      </xdr:nvSpPr>
      <xdr:spPr>
        <a:xfrm rot="10800000">
          <a:off x="134035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620</xdr:row>
      <xdr:rowOff>0</xdr:rowOff>
    </xdr:from>
    <xdr:to>
      <xdr:col>71</xdr:col>
      <xdr:colOff>83820</xdr:colOff>
      <xdr:row>620</xdr:row>
      <xdr:rowOff>114300</xdr:rowOff>
    </xdr:to>
    <xdr:sp macro="" textlink="">
      <xdr:nvSpPr>
        <xdr:cNvPr id="4635" name="Arrow: Down 4634">
          <a:extLst>
            <a:ext uri="{FF2B5EF4-FFF2-40B4-BE49-F238E27FC236}">
              <a16:creationId xmlns:a16="http://schemas.microsoft.com/office/drawing/2014/main" id="{B2491424-B0D0-4BE9-8933-A2A1ECFDE997}"/>
            </a:ext>
          </a:extLst>
        </xdr:cNvPr>
        <xdr:cNvSpPr/>
      </xdr:nvSpPr>
      <xdr:spPr>
        <a:xfrm>
          <a:off x="2180082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620</xdr:row>
      <xdr:rowOff>0</xdr:rowOff>
    </xdr:from>
    <xdr:to>
      <xdr:col>24</xdr:col>
      <xdr:colOff>83820</xdr:colOff>
      <xdr:row>620</xdr:row>
      <xdr:rowOff>114300</xdr:rowOff>
    </xdr:to>
    <xdr:sp macro="" textlink="">
      <xdr:nvSpPr>
        <xdr:cNvPr id="4637" name="Arrow: Down 4636">
          <a:extLst>
            <a:ext uri="{FF2B5EF4-FFF2-40B4-BE49-F238E27FC236}">
              <a16:creationId xmlns:a16="http://schemas.microsoft.com/office/drawing/2014/main" id="{6262AD01-7F8A-494D-A8CB-D0EC49EE7F59}"/>
            </a:ext>
          </a:extLst>
        </xdr:cNvPr>
        <xdr:cNvSpPr/>
      </xdr:nvSpPr>
      <xdr:spPr>
        <a:xfrm>
          <a:off x="83362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620</xdr:row>
      <xdr:rowOff>0</xdr:rowOff>
    </xdr:from>
    <xdr:to>
      <xdr:col>5</xdr:col>
      <xdr:colOff>83820</xdr:colOff>
      <xdr:row>620</xdr:row>
      <xdr:rowOff>114300</xdr:rowOff>
    </xdr:to>
    <xdr:sp macro="" textlink="">
      <xdr:nvSpPr>
        <xdr:cNvPr id="4643" name="Arrow: Down 4642">
          <a:extLst>
            <a:ext uri="{FF2B5EF4-FFF2-40B4-BE49-F238E27FC236}">
              <a16:creationId xmlns:a16="http://schemas.microsoft.com/office/drawing/2014/main" id="{0D1A1A03-B396-44B2-A73B-CDA7D1D7CB63}"/>
            </a:ext>
          </a:extLst>
        </xdr:cNvPr>
        <xdr:cNvSpPr/>
      </xdr:nvSpPr>
      <xdr:spPr>
        <a:xfrm rot="10800000">
          <a:off x="192786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620</xdr:row>
      <xdr:rowOff>0</xdr:rowOff>
    </xdr:from>
    <xdr:to>
      <xdr:col>11</xdr:col>
      <xdr:colOff>83820</xdr:colOff>
      <xdr:row>620</xdr:row>
      <xdr:rowOff>114300</xdr:rowOff>
    </xdr:to>
    <xdr:sp macro="" textlink="">
      <xdr:nvSpPr>
        <xdr:cNvPr id="4645" name="Arrow: Down 4644">
          <a:extLst>
            <a:ext uri="{FF2B5EF4-FFF2-40B4-BE49-F238E27FC236}">
              <a16:creationId xmlns:a16="http://schemas.microsoft.com/office/drawing/2014/main" id="{91C54E39-D044-4F9E-A58D-734BB1F149F6}"/>
            </a:ext>
          </a:extLst>
        </xdr:cNvPr>
        <xdr:cNvSpPr/>
      </xdr:nvSpPr>
      <xdr:spPr>
        <a:xfrm rot="10800000">
          <a:off x="369570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620</xdr:row>
      <xdr:rowOff>0</xdr:rowOff>
    </xdr:from>
    <xdr:to>
      <xdr:col>39</xdr:col>
      <xdr:colOff>83820</xdr:colOff>
      <xdr:row>620</xdr:row>
      <xdr:rowOff>114300</xdr:rowOff>
    </xdr:to>
    <xdr:sp macro="" textlink="">
      <xdr:nvSpPr>
        <xdr:cNvPr id="4655" name="Arrow: Down 4654">
          <a:extLst>
            <a:ext uri="{FF2B5EF4-FFF2-40B4-BE49-F238E27FC236}">
              <a16:creationId xmlns:a16="http://schemas.microsoft.com/office/drawing/2014/main" id="{BABD0D8B-86B7-4D64-A6DD-09491ED6E3D4}"/>
            </a:ext>
          </a:extLst>
        </xdr:cNvPr>
        <xdr:cNvSpPr/>
      </xdr:nvSpPr>
      <xdr:spPr>
        <a:xfrm rot="10800000">
          <a:off x="1154430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620</xdr:row>
      <xdr:rowOff>0</xdr:rowOff>
    </xdr:from>
    <xdr:to>
      <xdr:col>60</xdr:col>
      <xdr:colOff>83820</xdr:colOff>
      <xdr:row>620</xdr:row>
      <xdr:rowOff>114300</xdr:rowOff>
    </xdr:to>
    <xdr:sp macro="" textlink="">
      <xdr:nvSpPr>
        <xdr:cNvPr id="4658" name="Arrow: Down 4657">
          <a:extLst>
            <a:ext uri="{FF2B5EF4-FFF2-40B4-BE49-F238E27FC236}">
              <a16:creationId xmlns:a16="http://schemas.microsoft.com/office/drawing/2014/main" id="{B8155FF3-E160-46B6-9C65-E6DFD07CB4EF}"/>
            </a:ext>
          </a:extLst>
        </xdr:cNvPr>
        <xdr:cNvSpPr/>
      </xdr:nvSpPr>
      <xdr:spPr>
        <a:xfrm rot="10800000">
          <a:off x="1908048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621</xdr:row>
      <xdr:rowOff>0</xdr:rowOff>
    </xdr:from>
    <xdr:to>
      <xdr:col>45</xdr:col>
      <xdr:colOff>83820</xdr:colOff>
      <xdr:row>621</xdr:row>
      <xdr:rowOff>114300</xdr:rowOff>
    </xdr:to>
    <xdr:sp macro="" textlink="">
      <xdr:nvSpPr>
        <xdr:cNvPr id="4410" name="Arrow: Down 4409">
          <a:extLst>
            <a:ext uri="{FF2B5EF4-FFF2-40B4-BE49-F238E27FC236}">
              <a16:creationId xmlns:a16="http://schemas.microsoft.com/office/drawing/2014/main" id="{2A9E593E-89C2-437A-A8BA-CE8750383A7B}"/>
            </a:ext>
          </a:extLst>
        </xdr:cNvPr>
        <xdr:cNvSpPr/>
      </xdr:nvSpPr>
      <xdr:spPr>
        <a:xfrm rot="10800000">
          <a:off x="1340358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621</xdr:row>
      <xdr:rowOff>0</xdr:rowOff>
    </xdr:from>
    <xdr:to>
      <xdr:col>71</xdr:col>
      <xdr:colOff>83820</xdr:colOff>
      <xdr:row>621</xdr:row>
      <xdr:rowOff>114300</xdr:rowOff>
    </xdr:to>
    <xdr:sp macro="" textlink="">
      <xdr:nvSpPr>
        <xdr:cNvPr id="4455" name="Arrow: Down 4454">
          <a:extLst>
            <a:ext uri="{FF2B5EF4-FFF2-40B4-BE49-F238E27FC236}">
              <a16:creationId xmlns:a16="http://schemas.microsoft.com/office/drawing/2014/main" id="{EE13FC08-D8DB-4AD7-8C8A-77F9CCC1DA06}"/>
            </a:ext>
          </a:extLst>
        </xdr:cNvPr>
        <xdr:cNvSpPr/>
      </xdr:nvSpPr>
      <xdr:spPr>
        <a:xfrm>
          <a:off x="2180082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621</xdr:row>
      <xdr:rowOff>0</xdr:rowOff>
    </xdr:from>
    <xdr:to>
      <xdr:col>5</xdr:col>
      <xdr:colOff>83820</xdr:colOff>
      <xdr:row>621</xdr:row>
      <xdr:rowOff>114300</xdr:rowOff>
    </xdr:to>
    <xdr:sp macro="" textlink="">
      <xdr:nvSpPr>
        <xdr:cNvPr id="4516" name="Arrow: Down 4515">
          <a:extLst>
            <a:ext uri="{FF2B5EF4-FFF2-40B4-BE49-F238E27FC236}">
              <a16:creationId xmlns:a16="http://schemas.microsoft.com/office/drawing/2014/main" id="{28FC8345-314C-4926-A73C-A8C4E43ACF50}"/>
            </a:ext>
          </a:extLst>
        </xdr:cNvPr>
        <xdr:cNvSpPr/>
      </xdr:nvSpPr>
      <xdr:spPr>
        <a:xfrm rot="10800000">
          <a:off x="192786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621</xdr:row>
      <xdr:rowOff>0</xdr:rowOff>
    </xdr:from>
    <xdr:to>
      <xdr:col>11</xdr:col>
      <xdr:colOff>83820</xdr:colOff>
      <xdr:row>621</xdr:row>
      <xdr:rowOff>114300</xdr:rowOff>
    </xdr:to>
    <xdr:sp macro="" textlink="">
      <xdr:nvSpPr>
        <xdr:cNvPr id="4520" name="Arrow: Down 4519">
          <a:extLst>
            <a:ext uri="{FF2B5EF4-FFF2-40B4-BE49-F238E27FC236}">
              <a16:creationId xmlns:a16="http://schemas.microsoft.com/office/drawing/2014/main" id="{021DA1B3-9384-4EDA-B532-6B14E33C4360}"/>
            </a:ext>
          </a:extLst>
        </xdr:cNvPr>
        <xdr:cNvSpPr/>
      </xdr:nvSpPr>
      <xdr:spPr>
        <a:xfrm rot="10800000">
          <a:off x="369570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621</xdr:row>
      <xdr:rowOff>0</xdr:rowOff>
    </xdr:from>
    <xdr:to>
      <xdr:col>39</xdr:col>
      <xdr:colOff>83820</xdr:colOff>
      <xdr:row>621</xdr:row>
      <xdr:rowOff>114300</xdr:rowOff>
    </xdr:to>
    <xdr:sp macro="" textlink="">
      <xdr:nvSpPr>
        <xdr:cNvPr id="4521" name="Arrow: Down 4520">
          <a:extLst>
            <a:ext uri="{FF2B5EF4-FFF2-40B4-BE49-F238E27FC236}">
              <a16:creationId xmlns:a16="http://schemas.microsoft.com/office/drawing/2014/main" id="{B8F75D3A-3991-476C-AF11-65696245B8A1}"/>
            </a:ext>
          </a:extLst>
        </xdr:cNvPr>
        <xdr:cNvSpPr/>
      </xdr:nvSpPr>
      <xdr:spPr>
        <a:xfrm rot="10800000">
          <a:off x="1154430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621</xdr:row>
      <xdr:rowOff>0</xdr:rowOff>
    </xdr:from>
    <xdr:to>
      <xdr:col>24</xdr:col>
      <xdr:colOff>83820</xdr:colOff>
      <xdr:row>621</xdr:row>
      <xdr:rowOff>114300</xdr:rowOff>
    </xdr:to>
    <xdr:sp macro="" textlink="">
      <xdr:nvSpPr>
        <xdr:cNvPr id="4544" name="Arrow: Down 4543">
          <a:extLst>
            <a:ext uri="{FF2B5EF4-FFF2-40B4-BE49-F238E27FC236}">
              <a16:creationId xmlns:a16="http://schemas.microsoft.com/office/drawing/2014/main" id="{42004CFF-6E2B-4999-A099-F289DA52CB7B}"/>
            </a:ext>
          </a:extLst>
        </xdr:cNvPr>
        <xdr:cNvSpPr/>
      </xdr:nvSpPr>
      <xdr:spPr>
        <a:xfrm rot="10800000">
          <a:off x="833628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622</xdr:row>
      <xdr:rowOff>0</xdr:rowOff>
    </xdr:from>
    <xdr:to>
      <xdr:col>45</xdr:col>
      <xdr:colOff>83820</xdr:colOff>
      <xdr:row>622</xdr:row>
      <xdr:rowOff>114300</xdr:rowOff>
    </xdr:to>
    <xdr:sp macro="" textlink="">
      <xdr:nvSpPr>
        <xdr:cNvPr id="4567" name="Arrow: Down 4566">
          <a:extLst>
            <a:ext uri="{FF2B5EF4-FFF2-40B4-BE49-F238E27FC236}">
              <a16:creationId xmlns:a16="http://schemas.microsoft.com/office/drawing/2014/main" id="{0814F431-D61A-4E51-8945-463053F2CB01}"/>
            </a:ext>
          </a:extLst>
        </xdr:cNvPr>
        <xdr:cNvSpPr/>
      </xdr:nvSpPr>
      <xdr:spPr>
        <a:xfrm rot="10800000">
          <a:off x="13403580" y="11366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622</xdr:row>
      <xdr:rowOff>0</xdr:rowOff>
    </xdr:from>
    <xdr:to>
      <xdr:col>5</xdr:col>
      <xdr:colOff>83820</xdr:colOff>
      <xdr:row>622</xdr:row>
      <xdr:rowOff>114300</xdr:rowOff>
    </xdr:to>
    <xdr:sp macro="" textlink="">
      <xdr:nvSpPr>
        <xdr:cNvPr id="4589" name="Arrow: Down 4588">
          <a:extLst>
            <a:ext uri="{FF2B5EF4-FFF2-40B4-BE49-F238E27FC236}">
              <a16:creationId xmlns:a16="http://schemas.microsoft.com/office/drawing/2014/main" id="{928B9568-3D62-44BA-AAB3-951DB76F1DA4}"/>
            </a:ext>
          </a:extLst>
        </xdr:cNvPr>
        <xdr:cNvSpPr/>
      </xdr:nvSpPr>
      <xdr:spPr>
        <a:xfrm rot="10800000">
          <a:off x="192786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622</xdr:row>
      <xdr:rowOff>0</xdr:rowOff>
    </xdr:from>
    <xdr:to>
      <xdr:col>11</xdr:col>
      <xdr:colOff>83820</xdr:colOff>
      <xdr:row>622</xdr:row>
      <xdr:rowOff>114300</xdr:rowOff>
    </xdr:to>
    <xdr:sp macro="" textlink="">
      <xdr:nvSpPr>
        <xdr:cNvPr id="4592" name="Arrow: Down 4591">
          <a:extLst>
            <a:ext uri="{FF2B5EF4-FFF2-40B4-BE49-F238E27FC236}">
              <a16:creationId xmlns:a16="http://schemas.microsoft.com/office/drawing/2014/main" id="{9452BD6F-1508-4145-A5E3-936407A68201}"/>
            </a:ext>
          </a:extLst>
        </xdr:cNvPr>
        <xdr:cNvSpPr/>
      </xdr:nvSpPr>
      <xdr:spPr>
        <a:xfrm rot="10800000">
          <a:off x="369570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622</xdr:row>
      <xdr:rowOff>0</xdr:rowOff>
    </xdr:from>
    <xdr:to>
      <xdr:col>60</xdr:col>
      <xdr:colOff>83820</xdr:colOff>
      <xdr:row>622</xdr:row>
      <xdr:rowOff>114300</xdr:rowOff>
    </xdr:to>
    <xdr:sp macro="" textlink="">
      <xdr:nvSpPr>
        <xdr:cNvPr id="4615" name="Arrow: Down 4614">
          <a:extLst>
            <a:ext uri="{FF2B5EF4-FFF2-40B4-BE49-F238E27FC236}">
              <a16:creationId xmlns:a16="http://schemas.microsoft.com/office/drawing/2014/main" id="{CD1DF164-3C5E-4C36-AF46-86BBA14A3016}"/>
            </a:ext>
          </a:extLst>
        </xdr:cNvPr>
        <xdr:cNvSpPr/>
      </xdr:nvSpPr>
      <xdr:spPr>
        <a:xfrm rot="10800000">
          <a:off x="1908048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622</xdr:row>
      <xdr:rowOff>0</xdr:rowOff>
    </xdr:from>
    <xdr:to>
      <xdr:col>24</xdr:col>
      <xdr:colOff>83820</xdr:colOff>
      <xdr:row>622</xdr:row>
      <xdr:rowOff>114300</xdr:rowOff>
    </xdr:to>
    <xdr:sp macro="" textlink="">
      <xdr:nvSpPr>
        <xdr:cNvPr id="4617" name="Arrow: Down 4616">
          <a:extLst>
            <a:ext uri="{FF2B5EF4-FFF2-40B4-BE49-F238E27FC236}">
              <a16:creationId xmlns:a16="http://schemas.microsoft.com/office/drawing/2014/main" id="{E63A37FF-B3E9-47C3-B847-49A974454458}"/>
            </a:ext>
          </a:extLst>
        </xdr:cNvPr>
        <xdr:cNvSpPr/>
      </xdr:nvSpPr>
      <xdr:spPr>
        <a:xfrm rot="10800000">
          <a:off x="833628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622</xdr:row>
      <xdr:rowOff>0</xdr:rowOff>
    </xdr:from>
    <xdr:to>
      <xdr:col>39</xdr:col>
      <xdr:colOff>83820</xdr:colOff>
      <xdr:row>622</xdr:row>
      <xdr:rowOff>114300</xdr:rowOff>
    </xdr:to>
    <xdr:sp macro="" textlink="">
      <xdr:nvSpPr>
        <xdr:cNvPr id="4618" name="Arrow: Down 4617">
          <a:extLst>
            <a:ext uri="{FF2B5EF4-FFF2-40B4-BE49-F238E27FC236}">
              <a16:creationId xmlns:a16="http://schemas.microsoft.com/office/drawing/2014/main" id="{44BD3253-1DA7-4CA6-8BB4-E86663FC75A2}"/>
            </a:ext>
          </a:extLst>
        </xdr:cNvPr>
        <xdr:cNvSpPr/>
      </xdr:nvSpPr>
      <xdr:spPr>
        <a:xfrm>
          <a:off x="1154430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621</xdr:row>
      <xdr:rowOff>0</xdr:rowOff>
    </xdr:from>
    <xdr:to>
      <xdr:col>60</xdr:col>
      <xdr:colOff>83820</xdr:colOff>
      <xdr:row>621</xdr:row>
      <xdr:rowOff>114300</xdr:rowOff>
    </xdr:to>
    <xdr:sp macro="" textlink="">
      <xdr:nvSpPr>
        <xdr:cNvPr id="4627" name="Arrow: Down 4626">
          <a:extLst>
            <a:ext uri="{FF2B5EF4-FFF2-40B4-BE49-F238E27FC236}">
              <a16:creationId xmlns:a16="http://schemas.microsoft.com/office/drawing/2014/main" id="{A679C51F-1606-45D6-9806-47743586B2B0}"/>
            </a:ext>
          </a:extLst>
        </xdr:cNvPr>
        <xdr:cNvSpPr/>
      </xdr:nvSpPr>
      <xdr:spPr>
        <a:xfrm>
          <a:off x="19080480" y="11366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622</xdr:row>
      <xdr:rowOff>0</xdr:rowOff>
    </xdr:from>
    <xdr:to>
      <xdr:col>71</xdr:col>
      <xdr:colOff>83820</xdr:colOff>
      <xdr:row>622</xdr:row>
      <xdr:rowOff>114300</xdr:rowOff>
    </xdr:to>
    <xdr:sp macro="" textlink="">
      <xdr:nvSpPr>
        <xdr:cNvPr id="4628" name="Arrow: Down 4627">
          <a:extLst>
            <a:ext uri="{FF2B5EF4-FFF2-40B4-BE49-F238E27FC236}">
              <a16:creationId xmlns:a16="http://schemas.microsoft.com/office/drawing/2014/main" id="{AC520F2D-8AB5-44F8-9E10-E2F88BCE1E09}"/>
            </a:ext>
          </a:extLst>
        </xdr:cNvPr>
        <xdr:cNvSpPr/>
      </xdr:nvSpPr>
      <xdr:spPr>
        <a:xfrm rot="10800000">
          <a:off x="2180082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623</xdr:row>
      <xdr:rowOff>0</xdr:rowOff>
    </xdr:from>
    <xdr:to>
      <xdr:col>45</xdr:col>
      <xdr:colOff>83820</xdr:colOff>
      <xdr:row>623</xdr:row>
      <xdr:rowOff>114300</xdr:rowOff>
    </xdr:to>
    <xdr:sp macro="" textlink="">
      <xdr:nvSpPr>
        <xdr:cNvPr id="4632" name="Arrow: Down 4631">
          <a:extLst>
            <a:ext uri="{FF2B5EF4-FFF2-40B4-BE49-F238E27FC236}">
              <a16:creationId xmlns:a16="http://schemas.microsoft.com/office/drawing/2014/main" id="{26DEDBB9-12DF-44F9-86C7-7672A695DFF9}"/>
            </a:ext>
          </a:extLst>
        </xdr:cNvPr>
        <xdr:cNvSpPr/>
      </xdr:nvSpPr>
      <xdr:spPr>
        <a:xfrm rot="10800000">
          <a:off x="13403580" y="11385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623</xdr:row>
      <xdr:rowOff>0</xdr:rowOff>
    </xdr:from>
    <xdr:to>
      <xdr:col>5</xdr:col>
      <xdr:colOff>83820</xdr:colOff>
      <xdr:row>623</xdr:row>
      <xdr:rowOff>114300</xdr:rowOff>
    </xdr:to>
    <xdr:sp macro="" textlink="">
      <xdr:nvSpPr>
        <xdr:cNvPr id="4634" name="Arrow: Down 4633">
          <a:extLst>
            <a:ext uri="{FF2B5EF4-FFF2-40B4-BE49-F238E27FC236}">
              <a16:creationId xmlns:a16="http://schemas.microsoft.com/office/drawing/2014/main" id="{18505EEF-9FB1-498F-9708-33DC87F0882D}"/>
            </a:ext>
          </a:extLst>
        </xdr:cNvPr>
        <xdr:cNvSpPr/>
      </xdr:nvSpPr>
      <xdr:spPr>
        <a:xfrm rot="10800000">
          <a:off x="192786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623</xdr:row>
      <xdr:rowOff>0</xdr:rowOff>
    </xdr:from>
    <xdr:to>
      <xdr:col>11</xdr:col>
      <xdr:colOff>83820</xdr:colOff>
      <xdr:row>623</xdr:row>
      <xdr:rowOff>114300</xdr:rowOff>
    </xdr:to>
    <xdr:sp macro="" textlink="">
      <xdr:nvSpPr>
        <xdr:cNvPr id="4636" name="Arrow: Down 4635">
          <a:extLst>
            <a:ext uri="{FF2B5EF4-FFF2-40B4-BE49-F238E27FC236}">
              <a16:creationId xmlns:a16="http://schemas.microsoft.com/office/drawing/2014/main" id="{04B3A0E1-845E-4450-A8A5-3BCA204D9975}"/>
            </a:ext>
          </a:extLst>
        </xdr:cNvPr>
        <xdr:cNvSpPr/>
      </xdr:nvSpPr>
      <xdr:spPr>
        <a:xfrm rot="10800000">
          <a:off x="369570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623</xdr:row>
      <xdr:rowOff>0</xdr:rowOff>
    </xdr:from>
    <xdr:to>
      <xdr:col>24</xdr:col>
      <xdr:colOff>83820</xdr:colOff>
      <xdr:row>623</xdr:row>
      <xdr:rowOff>114300</xdr:rowOff>
    </xdr:to>
    <xdr:sp macro="" textlink="">
      <xdr:nvSpPr>
        <xdr:cNvPr id="4640" name="Arrow: Down 4639">
          <a:extLst>
            <a:ext uri="{FF2B5EF4-FFF2-40B4-BE49-F238E27FC236}">
              <a16:creationId xmlns:a16="http://schemas.microsoft.com/office/drawing/2014/main" id="{0C39FFCC-CC29-4820-A73D-4B8A172AC4EE}"/>
            </a:ext>
          </a:extLst>
        </xdr:cNvPr>
        <xdr:cNvSpPr/>
      </xdr:nvSpPr>
      <xdr:spPr>
        <a:xfrm rot="10800000">
          <a:off x="833628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623</xdr:row>
      <xdr:rowOff>0</xdr:rowOff>
    </xdr:from>
    <xdr:to>
      <xdr:col>39</xdr:col>
      <xdr:colOff>83820</xdr:colOff>
      <xdr:row>623</xdr:row>
      <xdr:rowOff>114300</xdr:rowOff>
    </xdr:to>
    <xdr:sp macro="" textlink="">
      <xdr:nvSpPr>
        <xdr:cNvPr id="4660" name="Arrow: Down 4659">
          <a:extLst>
            <a:ext uri="{FF2B5EF4-FFF2-40B4-BE49-F238E27FC236}">
              <a16:creationId xmlns:a16="http://schemas.microsoft.com/office/drawing/2014/main" id="{4CBC409D-85A5-457B-BEEC-5B7DD9688A61}"/>
            </a:ext>
          </a:extLst>
        </xdr:cNvPr>
        <xdr:cNvSpPr/>
      </xdr:nvSpPr>
      <xdr:spPr>
        <a:xfrm rot="10800000">
          <a:off x="1154430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623</xdr:row>
      <xdr:rowOff>0</xdr:rowOff>
    </xdr:from>
    <xdr:to>
      <xdr:col>60</xdr:col>
      <xdr:colOff>83820</xdr:colOff>
      <xdr:row>623</xdr:row>
      <xdr:rowOff>114300</xdr:rowOff>
    </xdr:to>
    <xdr:sp macro="" textlink="">
      <xdr:nvSpPr>
        <xdr:cNvPr id="4662" name="Arrow: Down 4661">
          <a:extLst>
            <a:ext uri="{FF2B5EF4-FFF2-40B4-BE49-F238E27FC236}">
              <a16:creationId xmlns:a16="http://schemas.microsoft.com/office/drawing/2014/main" id="{98E0DA64-56CD-4332-BE84-8D4B1236D28F}"/>
            </a:ext>
          </a:extLst>
        </xdr:cNvPr>
        <xdr:cNvSpPr/>
      </xdr:nvSpPr>
      <xdr:spPr>
        <a:xfrm>
          <a:off x="1908048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624</xdr:row>
      <xdr:rowOff>0</xdr:rowOff>
    </xdr:from>
    <xdr:to>
      <xdr:col>45</xdr:col>
      <xdr:colOff>83820</xdr:colOff>
      <xdr:row>624</xdr:row>
      <xdr:rowOff>114300</xdr:rowOff>
    </xdr:to>
    <xdr:sp macro="" textlink="">
      <xdr:nvSpPr>
        <xdr:cNvPr id="4663" name="Arrow: Down 4662">
          <a:extLst>
            <a:ext uri="{FF2B5EF4-FFF2-40B4-BE49-F238E27FC236}">
              <a16:creationId xmlns:a16="http://schemas.microsoft.com/office/drawing/2014/main" id="{9314DEE4-9E0D-4D55-9C00-A122DD89D395}"/>
            </a:ext>
          </a:extLst>
        </xdr:cNvPr>
        <xdr:cNvSpPr/>
      </xdr:nvSpPr>
      <xdr:spPr>
        <a:xfrm rot="10800000">
          <a:off x="1340358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624</xdr:row>
      <xdr:rowOff>0</xdr:rowOff>
    </xdr:from>
    <xdr:to>
      <xdr:col>60</xdr:col>
      <xdr:colOff>83820</xdr:colOff>
      <xdr:row>624</xdr:row>
      <xdr:rowOff>114300</xdr:rowOff>
    </xdr:to>
    <xdr:sp macro="" textlink="">
      <xdr:nvSpPr>
        <xdr:cNvPr id="4676" name="Arrow: Down 4675">
          <a:extLst>
            <a:ext uri="{FF2B5EF4-FFF2-40B4-BE49-F238E27FC236}">
              <a16:creationId xmlns:a16="http://schemas.microsoft.com/office/drawing/2014/main" id="{E0C18404-F0AB-4603-A40D-61E9C4147D28}"/>
            </a:ext>
          </a:extLst>
        </xdr:cNvPr>
        <xdr:cNvSpPr/>
      </xdr:nvSpPr>
      <xdr:spPr>
        <a:xfrm>
          <a:off x="1908048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623</xdr:row>
      <xdr:rowOff>0</xdr:rowOff>
    </xdr:from>
    <xdr:to>
      <xdr:col>71</xdr:col>
      <xdr:colOff>83820</xdr:colOff>
      <xdr:row>623</xdr:row>
      <xdr:rowOff>114300</xdr:rowOff>
    </xdr:to>
    <xdr:sp macro="" textlink="">
      <xdr:nvSpPr>
        <xdr:cNvPr id="4677" name="Arrow: Down 4676">
          <a:extLst>
            <a:ext uri="{FF2B5EF4-FFF2-40B4-BE49-F238E27FC236}">
              <a16:creationId xmlns:a16="http://schemas.microsoft.com/office/drawing/2014/main" id="{6339A0B4-189E-4028-8E8B-B1C1D4216ED1}"/>
            </a:ext>
          </a:extLst>
        </xdr:cNvPr>
        <xdr:cNvSpPr/>
      </xdr:nvSpPr>
      <xdr:spPr>
        <a:xfrm>
          <a:off x="2180082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624</xdr:row>
      <xdr:rowOff>0</xdr:rowOff>
    </xdr:from>
    <xdr:to>
      <xdr:col>71</xdr:col>
      <xdr:colOff>83820</xdr:colOff>
      <xdr:row>624</xdr:row>
      <xdr:rowOff>114300</xdr:rowOff>
    </xdr:to>
    <xdr:sp macro="" textlink="">
      <xdr:nvSpPr>
        <xdr:cNvPr id="4678" name="Arrow: Down 4677">
          <a:extLst>
            <a:ext uri="{FF2B5EF4-FFF2-40B4-BE49-F238E27FC236}">
              <a16:creationId xmlns:a16="http://schemas.microsoft.com/office/drawing/2014/main" id="{71A640CE-23D6-4E61-BFE8-9618EF42D53C}"/>
            </a:ext>
          </a:extLst>
        </xdr:cNvPr>
        <xdr:cNvSpPr/>
      </xdr:nvSpPr>
      <xdr:spPr>
        <a:xfrm>
          <a:off x="2180082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624</xdr:row>
      <xdr:rowOff>0</xdr:rowOff>
    </xdr:from>
    <xdr:to>
      <xdr:col>5</xdr:col>
      <xdr:colOff>83820</xdr:colOff>
      <xdr:row>624</xdr:row>
      <xdr:rowOff>114300</xdr:rowOff>
    </xdr:to>
    <xdr:sp macro="" textlink="">
      <xdr:nvSpPr>
        <xdr:cNvPr id="4679" name="Arrow: Down 4678">
          <a:extLst>
            <a:ext uri="{FF2B5EF4-FFF2-40B4-BE49-F238E27FC236}">
              <a16:creationId xmlns:a16="http://schemas.microsoft.com/office/drawing/2014/main" id="{7710FFCC-102C-4248-95BA-C018760C7355}"/>
            </a:ext>
          </a:extLst>
        </xdr:cNvPr>
        <xdr:cNvSpPr/>
      </xdr:nvSpPr>
      <xdr:spPr>
        <a:xfrm>
          <a:off x="192786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624</xdr:row>
      <xdr:rowOff>0</xdr:rowOff>
    </xdr:from>
    <xdr:to>
      <xdr:col>11</xdr:col>
      <xdr:colOff>83820</xdr:colOff>
      <xdr:row>624</xdr:row>
      <xdr:rowOff>114300</xdr:rowOff>
    </xdr:to>
    <xdr:sp macro="" textlink="">
      <xdr:nvSpPr>
        <xdr:cNvPr id="4681" name="Arrow: Down 4680">
          <a:extLst>
            <a:ext uri="{FF2B5EF4-FFF2-40B4-BE49-F238E27FC236}">
              <a16:creationId xmlns:a16="http://schemas.microsoft.com/office/drawing/2014/main" id="{CB94BF6C-BF65-46CC-B400-A3BB0DD6F8F4}"/>
            </a:ext>
          </a:extLst>
        </xdr:cNvPr>
        <xdr:cNvSpPr/>
      </xdr:nvSpPr>
      <xdr:spPr>
        <a:xfrm>
          <a:off x="369570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624</xdr:row>
      <xdr:rowOff>0</xdr:rowOff>
    </xdr:from>
    <xdr:to>
      <xdr:col>24</xdr:col>
      <xdr:colOff>83820</xdr:colOff>
      <xdr:row>624</xdr:row>
      <xdr:rowOff>114300</xdr:rowOff>
    </xdr:to>
    <xdr:sp macro="" textlink="">
      <xdr:nvSpPr>
        <xdr:cNvPr id="4683" name="Arrow: Down 4682">
          <a:extLst>
            <a:ext uri="{FF2B5EF4-FFF2-40B4-BE49-F238E27FC236}">
              <a16:creationId xmlns:a16="http://schemas.microsoft.com/office/drawing/2014/main" id="{A7A9B0A0-F9F2-4A7F-86F9-86BDF297CC2F}"/>
            </a:ext>
          </a:extLst>
        </xdr:cNvPr>
        <xdr:cNvSpPr/>
      </xdr:nvSpPr>
      <xdr:spPr>
        <a:xfrm>
          <a:off x="833628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624</xdr:row>
      <xdr:rowOff>0</xdr:rowOff>
    </xdr:from>
    <xdr:to>
      <xdr:col>39</xdr:col>
      <xdr:colOff>83820</xdr:colOff>
      <xdr:row>624</xdr:row>
      <xdr:rowOff>114300</xdr:rowOff>
    </xdr:to>
    <xdr:sp macro="" textlink="">
      <xdr:nvSpPr>
        <xdr:cNvPr id="4684" name="Arrow: Down 4683">
          <a:extLst>
            <a:ext uri="{FF2B5EF4-FFF2-40B4-BE49-F238E27FC236}">
              <a16:creationId xmlns:a16="http://schemas.microsoft.com/office/drawing/2014/main" id="{4924B10F-75BB-4135-9DF9-F437BFB0E531}"/>
            </a:ext>
          </a:extLst>
        </xdr:cNvPr>
        <xdr:cNvSpPr/>
      </xdr:nvSpPr>
      <xdr:spPr>
        <a:xfrm>
          <a:off x="11544300" y="11421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625</xdr:row>
      <xdr:rowOff>0</xdr:rowOff>
    </xdr:from>
    <xdr:to>
      <xdr:col>45</xdr:col>
      <xdr:colOff>83820</xdr:colOff>
      <xdr:row>625</xdr:row>
      <xdr:rowOff>114300</xdr:rowOff>
    </xdr:to>
    <xdr:sp macro="" textlink="">
      <xdr:nvSpPr>
        <xdr:cNvPr id="4685" name="Arrow: Down 4684">
          <a:extLst>
            <a:ext uri="{FF2B5EF4-FFF2-40B4-BE49-F238E27FC236}">
              <a16:creationId xmlns:a16="http://schemas.microsoft.com/office/drawing/2014/main" id="{4F7AB734-60B5-4AC0-AE8E-18837E961FAB}"/>
            </a:ext>
          </a:extLst>
        </xdr:cNvPr>
        <xdr:cNvSpPr/>
      </xdr:nvSpPr>
      <xdr:spPr>
        <a:xfrm rot="10800000">
          <a:off x="1340358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625</xdr:row>
      <xdr:rowOff>0</xdr:rowOff>
    </xdr:from>
    <xdr:to>
      <xdr:col>71</xdr:col>
      <xdr:colOff>83820</xdr:colOff>
      <xdr:row>625</xdr:row>
      <xdr:rowOff>114300</xdr:rowOff>
    </xdr:to>
    <xdr:sp macro="" textlink="">
      <xdr:nvSpPr>
        <xdr:cNvPr id="4687" name="Arrow: Down 4686">
          <a:extLst>
            <a:ext uri="{FF2B5EF4-FFF2-40B4-BE49-F238E27FC236}">
              <a16:creationId xmlns:a16="http://schemas.microsoft.com/office/drawing/2014/main" id="{B0415306-6AE5-409D-8202-4AAD0FEDDC4C}"/>
            </a:ext>
          </a:extLst>
        </xdr:cNvPr>
        <xdr:cNvSpPr/>
      </xdr:nvSpPr>
      <xdr:spPr>
        <a:xfrm>
          <a:off x="2180082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625</xdr:row>
      <xdr:rowOff>0</xdr:rowOff>
    </xdr:from>
    <xdr:to>
      <xdr:col>5</xdr:col>
      <xdr:colOff>83820</xdr:colOff>
      <xdr:row>625</xdr:row>
      <xdr:rowOff>114300</xdr:rowOff>
    </xdr:to>
    <xdr:sp macro="" textlink="">
      <xdr:nvSpPr>
        <xdr:cNvPr id="4688" name="Arrow: Down 4687">
          <a:extLst>
            <a:ext uri="{FF2B5EF4-FFF2-40B4-BE49-F238E27FC236}">
              <a16:creationId xmlns:a16="http://schemas.microsoft.com/office/drawing/2014/main" id="{1D27819D-36D9-4E44-9415-EEA203382197}"/>
            </a:ext>
          </a:extLst>
        </xdr:cNvPr>
        <xdr:cNvSpPr/>
      </xdr:nvSpPr>
      <xdr:spPr>
        <a:xfrm>
          <a:off x="192786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625</xdr:row>
      <xdr:rowOff>0</xdr:rowOff>
    </xdr:from>
    <xdr:to>
      <xdr:col>11</xdr:col>
      <xdr:colOff>83820</xdr:colOff>
      <xdr:row>625</xdr:row>
      <xdr:rowOff>114300</xdr:rowOff>
    </xdr:to>
    <xdr:sp macro="" textlink="">
      <xdr:nvSpPr>
        <xdr:cNvPr id="4689" name="Arrow: Down 4688">
          <a:extLst>
            <a:ext uri="{FF2B5EF4-FFF2-40B4-BE49-F238E27FC236}">
              <a16:creationId xmlns:a16="http://schemas.microsoft.com/office/drawing/2014/main" id="{95EF3190-3736-4BDE-8448-ED58D6DA6A35}"/>
            </a:ext>
          </a:extLst>
        </xdr:cNvPr>
        <xdr:cNvSpPr/>
      </xdr:nvSpPr>
      <xdr:spPr>
        <a:xfrm>
          <a:off x="369570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625</xdr:row>
      <xdr:rowOff>0</xdr:rowOff>
    </xdr:from>
    <xdr:to>
      <xdr:col>24</xdr:col>
      <xdr:colOff>83820</xdr:colOff>
      <xdr:row>625</xdr:row>
      <xdr:rowOff>114300</xdr:rowOff>
    </xdr:to>
    <xdr:sp macro="" textlink="">
      <xdr:nvSpPr>
        <xdr:cNvPr id="4690" name="Arrow: Down 4689">
          <a:extLst>
            <a:ext uri="{FF2B5EF4-FFF2-40B4-BE49-F238E27FC236}">
              <a16:creationId xmlns:a16="http://schemas.microsoft.com/office/drawing/2014/main" id="{260B1995-1E35-47AE-A40B-E1655D608C77}"/>
            </a:ext>
          </a:extLst>
        </xdr:cNvPr>
        <xdr:cNvSpPr/>
      </xdr:nvSpPr>
      <xdr:spPr>
        <a:xfrm>
          <a:off x="833628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625</xdr:row>
      <xdr:rowOff>0</xdr:rowOff>
    </xdr:from>
    <xdr:to>
      <xdr:col>39</xdr:col>
      <xdr:colOff>83820</xdr:colOff>
      <xdr:row>625</xdr:row>
      <xdr:rowOff>114300</xdr:rowOff>
    </xdr:to>
    <xdr:sp macro="" textlink="">
      <xdr:nvSpPr>
        <xdr:cNvPr id="4692" name="Arrow: Down 4691">
          <a:extLst>
            <a:ext uri="{FF2B5EF4-FFF2-40B4-BE49-F238E27FC236}">
              <a16:creationId xmlns:a16="http://schemas.microsoft.com/office/drawing/2014/main" id="{B47EA84C-E334-413E-8F91-FA57D87259BE}"/>
            </a:ext>
          </a:extLst>
        </xdr:cNvPr>
        <xdr:cNvSpPr/>
      </xdr:nvSpPr>
      <xdr:spPr>
        <a:xfrm rot="10800000">
          <a:off x="1154430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625</xdr:row>
      <xdr:rowOff>0</xdr:rowOff>
    </xdr:from>
    <xdr:to>
      <xdr:col>60</xdr:col>
      <xdr:colOff>83820</xdr:colOff>
      <xdr:row>625</xdr:row>
      <xdr:rowOff>114300</xdr:rowOff>
    </xdr:to>
    <xdr:sp macro="" textlink="">
      <xdr:nvSpPr>
        <xdr:cNvPr id="4694" name="Arrow: Down 4693">
          <a:extLst>
            <a:ext uri="{FF2B5EF4-FFF2-40B4-BE49-F238E27FC236}">
              <a16:creationId xmlns:a16="http://schemas.microsoft.com/office/drawing/2014/main" id="{7FC24D9E-FC78-48CD-9B4E-ED755004A23D}"/>
            </a:ext>
          </a:extLst>
        </xdr:cNvPr>
        <xdr:cNvSpPr/>
      </xdr:nvSpPr>
      <xdr:spPr>
        <a:xfrm rot="10800000">
          <a:off x="19080480" y="11439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626</xdr:row>
      <xdr:rowOff>0</xdr:rowOff>
    </xdr:from>
    <xdr:to>
      <xdr:col>45</xdr:col>
      <xdr:colOff>83820</xdr:colOff>
      <xdr:row>626</xdr:row>
      <xdr:rowOff>114300</xdr:rowOff>
    </xdr:to>
    <xdr:sp macro="" textlink="">
      <xdr:nvSpPr>
        <xdr:cNvPr id="4695" name="Arrow: Down 4694">
          <a:extLst>
            <a:ext uri="{FF2B5EF4-FFF2-40B4-BE49-F238E27FC236}">
              <a16:creationId xmlns:a16="http://schemas.microsoft.com/office/drawing/2014/main" id="{9204C3F8-70CB-4292-990D-3B9BDBE8321C}"/>
            </a:ext>
          </a:extLst>
        </xdr:cNvPr>
        <xdr:cNvSpPr/>
      </xdr:nvSpPr>
      <xdr:spPr>
        <a:xfrm rot="10800000">
          <a:off x="1340358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626</xdr:row>
      <xdr:rowOff>0</xdr:rowOff>
    </xdr:from>
    <xdr:to>
      <xdr:col>5</xdr:col>
      <xdr:colOff>83820</xdr:colOff>
      <xdr:row>626</xdr:row>
      <xdr:rowOff>114300</xdr:rowOff>
    </xdr:to>
    <xdr:sp macro="" textlink="">
      <xdr:nvSpPr>
        <xdr:cNvPr id="4697" name="Arrow: Down 4696">
          <a:extLst>
            <a:ext uri="{FF2B5EF4-FFF2-40B4-BE49-F238E27FC236}">
              <a16:creationId xmlns:a16="http://schemas.microsoft.com/office/drawing/2014/main" id="{2599D2B4-3623-4563-9C40-3D68987D73D4}"/>
            </a:ext>
          </a:extLst>
        </xdr:cNvPr>
        <xdr:cNvSpPr/>
      </xdr:nvSpPr>
      <xdr:spPr>
        <a:xfrm>
          <a:off x="192786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626</xdr:row>
      <xdr:rowOff>0</xdr:rowOff>
    </xdr:from>
    <xdr:to>
      <xdr:col>11</xdr:col>
      <xdr:colOff>83820</xdr:colOff>
      <xdr:row>626</xdr:row>
      <xdr:rowOff>114300</xdr:rowOff>
    </xdr:to>
    <xdr:sp macro="" textlink="">
      <xdr:nvSpPr>
        <xdr:cNvPr id="4698" name="Arrow: Down 4697">
          <a:extLst>
            <a:ext uri="{FF2B5EF4-FFF2-40B4-BE49-F238E27FC236}">
              <a16:creationId xmlns:a16="http://schemas.microsoft.com/office/drawing/2014/main" id="{7A953571-4003-483D-90C3-561578F33CBE}"/>
            </a:ext>
          </a:extLst>
        </xdr:cNvPr>
        <xdr:cNvSpPr/>
      </xdr:nvSpPr>
      <xdr:spPr>
        <a:xfrm>
          <a:off x="369570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626</xdr:row>
      <xdr:rowOff>0</xdr:rowOff>
    </xdr:from>
    <xdr:to>
      <xdr:col>24</xdr:col>
      <xdr:colOff>83820</xdr:colOff>
      <xdr:row>626</xdr:row>
      <xdr:rowOff>114300</xdr:rowOff>
    </xdr:to>
    <xdr:sp macro="" textlink="">
      <xdr:nvSpPr>
        <xdr:cNvPr id="4699" name="Arrow: Down 4698">
          <a:extLst>
            <a:ext uri="{FF2B5EF4-FFF2-40B4-BE49-F238E27FC236}">
              <a16:creationId xmlns:a16="http://schemas.microsoft.com/office/drawing/2014/main" id="{73692313-02E2-4060-BCD2-881B9EAD51F3}"/>
            </a:ext>
          </a:extLst>
        </xdr:cNvPr>
        <xdr:cNvSpPr/>
      </xdr:nvSpPr>
      <xdr:spPr>
        <a:xfrm>
          <a:off x="833628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626</xdr:row>
      <xdr:rowOff>0</xdr:rowOff>
    </xdr:from>
    <xdr:to>
      <xdr:col>60</xdr:col>
      <xdr:colOff>83820</xdr:colOff>
      <xdr:row>626</xdr:row>
      <xdr:rowOff>114300</xdr:rowOff>
    </xdr:to>
    <xdr:sp macro="" textlink="">
      <xdr:nvSpPr>
        <xdr:cNvPr id="4701" name="Arrow: Down 4700">
          <a:extLst>
            <a:ext uri="{FF2B5EF4-FFF2-40B4-BE49-F238E27FC236}">
              <a16:creationId xmlns:a16="http://schemas.microsoft.com/office/drawing/2014/main" id="{645DD83E-5D22-4C4D-86E4-2E4242431E30}"/>
            </a:ext>
          </a:extLst>
        </xdr:cNvPr>
        <xdr:cNvSpPr/>
      </xdr:nvSpPr>
      <xdr:spPr>
        <a:xfrm rot="10800000">
          <a:off x="1908048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626</xdr:row>
      <xdr:rowOff>0</xdr:rowOff>
    </xdr:from>
    <xdr:to>
      <xdr:col>39</xdr:col>
      <xdr:colOff>83820</xdr:colOff>
      <xdr:row>626</xdr:row>
      <xdr:rowOff>114300</xdr:rowOff>
    </xdr:to>
    <xdr:sp macro="" textlink="">
      <xdr:nvSpPr>
        <xdr:cNvPr id="4703" name="Arrow: Down 4702">
          <a:extLst>
            <a:ext uri="{FF2B5EF4-FFF2-40B4-BE49-F238E27FC236}">
              <a16:creationId xmlns:a16="http://schemas.microsoft.com/office/drawing/2014/main" id="{EBA86399-8078-44D3-8BE6-360A394AE259}"/>
            </a:ext>
          </a:extLst>
        </xdr:cNvPr>
        <xdr:cNvSpPr/>
      </xdr:nvSpPr>
      <xdr:spPr>
        <a:xfrm>
          <a:off x="1154430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626</xdr:row>
      <xdr:rowOff>0</xdr:rowOff>
    </xdr:from>
    <xdr:to>
      <xdr:col>71</xdr:col>
      <xdr:colOff>83820</xdr:colOff>
      <xdr:row>626</xdr:row>
      <xdr:rowOff>114300</xdr:rowOff>
    </xdr:to>
    <xdr:sp macro="" textlink="">
      <xdr:nvSpPr>
        <xdr:cNvPr id="4704" name="Arrow: Down 4703">
          <a:extLst>
            <a:ext uri="{FF2B5EF4-FFF2-40B4-BE49-F238E27FC236}">
              <a16:creationId xmlns:a16="http://schemas.microsoft.com/office/drawing/2014/main" id="{B581BC73-D018-4712-A346-ED746D07B719}"/>
            </a:ext>
          </a:extLst>
        </xdr:cNvPr>
        <xdr:cNvSpPr/>
      </xdr:nvSpPr>
      <xdr:spPr>
        <a:xfrm rot="10800000">
          <a:off x="2180082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627</xdr:row>
      <xdr:rowOff>0</xdr:rowOff>
    </xdr:from>
    <xdr:to>
      <xdr:col>45</xdr:col>
      <xdr:colOff>83820</xdr:colOff>
      <xdr:row>627</xdr:row>
      <xdr:rowOff>114300</xdr:rowOff>
    </xdr:to>
    <xdr:sp macro="" textlink="">
      <xdr:nvSpPr>
        <xdr:cNvPr id="4705" name="Arrow: Down 4704">
          <a:extLst>
            <a:ext uri="{FF2B5EF4-FFF2-40B4-BE49-F238E27FC236}">
              <a16:creationId xmlns:a16="http://schemas.microsoft.com/office/drawing/2014/main" id="{F4A89EBB-4BB8-40F7-8602-8BAA9286CE58}"/>
            </a:ext>
          </a:extLst>
        </xdr:cNvPr>
        <xdr:cNvSpPr/>
      </xdr:nvSpPr>
      <xdr:spPr>
        <a:xfrm rot="10800000">
          <a:off x="1340358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627</xdr:row>
      <xdr:rowOff>0</xdr:rowOff>
    </xdr:from>
    <xdr:to>
      <xdr:col>5</xdr:col>
      <xdr:colOff>83820</xdr:colOff>
      <xdr:row>627</xdr:row>
      <xdr:rowOff>114300</xdr:rowOff>
    </xdr:to>
    <xdr:sp macro="" textlink="">
      <xdr:nvSpPr>
        <xdr:cNvPr id="4706" name="Arrow: Down 4705">
          <a:extLst>
            <a:ext uri="{FF2B5EF4-FFF2-40B4-BE49-F238E27FC236}">
              <a16:creationId xmlns:a16="http://schemas.microsoft.com/office/drawing/2014/main" id="{7DA41AF9-5A5D-4480-8C0C-0F4901A2F32E}"/>
            </a:ext>
          </a:extLst>
        </xdr:cNvPr>
        <xdr:cNvSpPr/>
      </xdr:nvSpPr>
      <xdr:spPr>
        <a:xfrm>
          <a:off x="192786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627</xdr:row>
      <xdr:rowOff>0</xdr:rowOff>
    </xdr:from>
    <xdr:to>
      <xdr:col>11</xdr:col>
      <xdr:colOff>83820</xdr:colOff>
      <xdr:row>627</xdr:row>
      <xdr:rowOff>114300</xdr:rowOff>
    </xdr:to>
    <xdr:sp macro="" textlink="">
      <xdr:nvSpPr>
        <xdr:cNvPr id="4707" name="Arrow: Down 4706">
          <a:extLst>
            <a:ext uri="{FF2B5EF4-FFF2-40B4-BE49-F238E27FC236}">
              <a16:creationId xmlns:a16="http://schemas.microsoft.com/office/drawing/2014/main" id="{1D396BDA-037E-493D-B744-BD33AD96CE9B}"/>
            </a:ext>
          </a:extLst>
        </xdr:cNvPr>
        <xdr:cNvSpPr/>
      </xdr:nvSpPr>
      <xdr:spPr>
        <a:xfrm>
          <a:off x="369570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627</xdr:row>
      <xdr:rowOff>0</xdr:rowOff>
    </xdr:from>
    <xdr:to>
      <xdr:col>24</xdr:col>
      <xdr:colOff>83820</xdr:colOff>
      <xdr:row>627</xdr:row>
      <xdr:rowOff>114300</xdr:rowOff>
    </xdr:to>
    <xdr:sp macro="" textlink="">
      <xdr:nvSpPr>
        <xdr:cNvPr id="4708" name="Arrow: Down 4707">
          <a:extLst>
            <a:ext uri="{FF2B5EF4-FFF2-40B4-BE49-F238E27FC236}">
              <a16:creationId xmlns:a16="http://schemas.microsoft.com/office/drawing/2014/main" id="{9C71D49B-B658-4A59-B710-1DEE8380F0AB}"/>
            </a:ext>
          </a:extLst>
        </xdr:cNvPr>
        <xdr:cNvSpPr/>
      </xdr:nvSpPr>
      <xdr:spPr>
        <a:xfrm>
          <a:off x="833628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627</xdr:row>
      <xdr:rowOff>0</xdr:rowOff>
    </xdr:from>
    <xdr:to>
      <xdr:col>60</xdr:col>
      <xdr:colOff>83820</xdr:colOff>
      <xdr:row>627</xdr:row>
      <xdr:rowOff>114300</xdr:rowOff>
    </xdr:to>
    <xdr:sp macro="" textlink="">
      <xdr:nvSpPr>
        <xdr:cNvPr id="4709" name="Arrow: Down 4708">
          <a:extLst>
            <a:ext uri="{FF2B5EF4-FFF2-40B4-BE49-F238E27FC236}">
              <a16:creationId xmlns:a16="http://schemas.microsoft.com/office/drawing/2014/main" id="{ABFC202F-756B-43AC-92E8-DD1214F0D8B3}"/>
            </a:ext>
          </a:extLst>
        </xdr:cNvPr>
        <xdr:cNvSpPr/>
      </xdr:nvSpPr>
      <xdr:spPr>
        <a:xfrm rot="10800000">
          <a:off x="1908048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627</xdr:row>
      <xdr:rowOff>0</xdr:rowOff>
    </xdr:from>
    <xdr:to>
      <xdr:col>39</xdr:col>
      <xdr:colOff>83820</xdr:colOff>
      <xdr:row>627</xdr:row>
      <xdr:rowOff>114300</xdr:rowOff>
    </xdr:to>
    <xdr:sp macro="" textlink="">
      <xdr:nvSpPr>
        <xdr:cNvPr id="4710" name="Arrow: Down 4709">
          <a:extLst>
            <a:ext uri="{FF2B5EF4-FFF2-40B4-BE49-F238E27FC236}">
              <a16:creationId xmlns:a16="http://schemas.microsoft.com/office/drawing/2014/main" id="{B025D0FB-754A-40A3-92A1-BFCF22164135}"/>
            </a:ext>
          </a:extLst>
        </xdr:cNvPr>
        <xdr:cNvSpPr/>
      </xdr:nvSpPr>
      <xdr:spPr>
        <a:xfrm>
          <a:off x="1154430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627</xdr:row>
      <xdr:rowOff>0</xdr:rowOff>
    </xdr:from>
    <xdr:to>
      <xdr:col>71</xdr:col>
      <xdr:colOff>83820</xdr:colOff>
      <xdr:row>627</xdr:row>
      <xdr:rowOff>114300</xdr:rowOff>
    </xdr:to>
    <xdr:sp macro="" textlink="">
      <xdr:nvSpPr>
        <xdr:cNvPr id="4711" name="Arrow: Down 4710">
          <a:extLst>
            <a:ext uri="{FF2B5EF4-FFF2-40B4-BE49-F238E27FC236}">
              <a16:creationId xmlns:a16="http://schemas.microsoft.com/office/drawing/2014/main" id="{0A979B96-09BD-4BB8-AB16-49691B536D98}"/>
            </a:ext>
          </a:extLst>
        </xdr:cNvPr>
        <xdr:cNvSpPr/>
      </xdr:nvSpPr>
      <xdr:spPr>
        <a:xfrm rot="10800000">
          <a:off x="2180082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628</xdr:row>
      <xdr:rowOff>0</xdr:rowOff>
    </xdr:from>
    <xdr:to>
      <xdr:col>45</xdr:col>
      <xdr:colOff>83820</xdr:colOff>
      <xdr:row>628</xdr:row>
      <xdr:rowOff>114300</xdr:rowOff>
    </xdr:to>
    <xdr:sp macro="" textlink="">
      <xdr:nvSpPr>
        <xdr:cNvPr id="4719" name="Arrow: Down 4718">
          <a:extLst>
            <a:ext uri="{FF2B5EF4-FFF2-40B4-BE49-F238E27FC236}">
              <a16:creationId xmlns:a16="http://schemas.microsoft.com/office/drawing/2014/main" id="{0E5DCA1A-31A2-474C-8DAF-E304E534367B}"/>
            </a:ext>
          </a:extLst>
        </xdr:cNvPr>
        <xdr:cNvSpPr/>
      </xdr:nvSpPr>
      <xdr:spPr>
        <a:xfrm rot="10800000">
          <a:off x="13403580" y="11476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629</xdr:row>
      <xdr:rowOff>0</xdr:rowOff>
    </xdr:from>
    <xdr:to>
      <xdr:col>45</xdr:col>
      <xdr:colOff>83820</xdr:colOff>
      <xdr:row>629</xdr:row>
      <xdr:rowOff>114300</xdr:rowOff>
    </xdr:to>
    <xdr:sp macro="" textlink="">
      <xdr:nvSpPr>
        <xdr:cNvPr id="4733" name="Arrow: Down 4732">
          <a:extLst>
            <a:ext uri="{FF2B5EF4-FFF2-40B4-BE49-F238E27FC236}">
              <a16:creationId xmlns:a16="http://schemas.microsoft.com/office/drawing/2014/main" id="{4F4A96D6-4139-466E-AF6A-C349EA11371D}"/>
            </a:ext>
          </a:extLst>
        </xdr:cNvPr>
        <xdr:cNvSpPr/>
      </xdr:nvSpPr>
      <xdr:spPr>
        <a:xfrm rot="10800000">
          <a:off x="13403580" y="11494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629</xdr:row>
      <xdr:rowOff>0</xdr:rowOff>
    </xdr:from>
    <xdr:to>
      <xdr:col>60</xdr:col>
      <xdr:colOff>83820</xdr:colOff>
      <xdr:row>629</xdr:row>
      <xdr:rowOff>114300</xdr:rowOff>
    </xdr:to>
    <xdr:sp macro="" textlink="">
      <xdr:nvSpPr>
        <xdr:cNvPr id="4737" name="Arrow: Down 4736">
          <a:extLst>
            <a:ext uri="{FF2B5EF4-FFF2-40B4-BE49-F238E27FC236}">
              <a16:creationId xmlns:a16="http://schemas.microsoft.com/office/drawing/2014/main" id="{B43AA435-FAAF-4BD6-AE32-30E83C48D564}"/>
            </a:ext>
          </a:extLst>
        </xdr:cNvPr>
        <xdr:cNvSpPr/>
      </xdr:nvSpPr>
      <xdr:spPr>
        <a:xfrm rot="10800000">
          <a:off x="1908048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629</xdr:row>
      <xdr:rowOff>0</xdr:rowOff>
    </xdr:from>
    <xdr:to>
      <xdr:col>39</xdr:col>
      <xdr:colOff>83820</xdr:colOff>
      <xdr:row>629</xdr:row>
      <xdr:rowOff>114300</xdr:rowOff>
    </xdr:to>
    <xdr:sp macro="" textlink="">
      <xdr:nvSpPr>
        <xdr:cNvPr id="4738" name="Arrow: Down 4737">
          <a:extLst>
            <a:ext uri="{FF2B5EF4-FFF2-40B4-BE49-F238E27FC236}">
              <a16:creationId xmlns:a16="http://schemas.microsoft.com/office/drawing/2014/main" id="{9A6DC83C-46E3-421A-A30B-CD81BC32FD30}"/>
            </a:ext>
          </a:extLst>
        </xdr:cNvPr>
        <xdr:cNvSpPr/>
      </xdr:nvSpPr>
      <xdr:spPr>
        <a:xfrm>
          <a:off x="1154430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629</xdr:row>
      <xdr:rowOff>0</xdr:rowOff>
    </xdr:from>
    <xdr:to>
      <xdr:col>71</xdr:col>
      <xdr:colOff>83820</xdr:colOff>
      <xdr:row>629</xdr:row>
      <xdr:rowOff>114300</xdr:rowOff>
    </xdr:to>
    <xdr:sp macro="" textlink="">
      <xdr:nvSpPr>
        <xdr:cNvPr id="4739" name="Arrow: Down 4738">
          <a:extLst>
            <a:ext uri="{FF2B5EF4-FFF2-40B4-BE49-F238E27FC236}">
              <a16:creationId xmlns:a16="http://schemas.microsoft.com/office/drawing/2014/main" id="{D23BE264-9C70-4455-BD4E-E4D90F557EC8}"/>
            </a:ext>
          </a:extLst>
        </xdr:cNvPr>
        <xdr:cNvSpPr/>
      </xdr:nvSpPr>
      <xdr:spPr>
        <a:xfrm rot="10800000">
          <a:off x="2180082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628</xdr:row>
      <xdr:rowOff>0</xdr:rowOff>
    </xdr:from>
    <xdr:to>
      <xdr:col>60</xdr:col>
      <xdr:colOff>83820</xdr:colOff>
      <xdr:row>628</xdr:row>
      <xdr:rowOff>114300</xdr:rowOff>
    </xdr:to>
    <xdr:sp macro="" textlink="">
      <xdr:nvSpPr>
        <xdr:cNvPr id="4741" name="Arrow: Down 4740">
          <a:extLst>
            <a:ext uri="{FF2B5EF4-FFF2-40B4-BE49-F238E27FC236}">
              <a16:creationId xmlns:a16="http://schemas.microsoft.com/office/drawing/2014/main" id="{FBEE8285-A436-4187-8C09-0E4696A40E14}"/>
            </a:ext>
          </a:extLst>
        </xdr:cNvPr>
        <xdr:cNvSpPr/>
      </xdr:nvSpPr>
      <xdr:spPr>
        <a:xfrm>
          <a:off x="19080480" y="11494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628</xdr:row>
      <xdr:rowOff>0</xdr:rowOff>
    </xdr:from>
    <xdr:to>
      <xdr:col>71</xdr:col>
      <xdr:colOff>83820</xdr:colOff>
      <xdr:row>628</xdr:row>
      <xdr:rowOff>114300</xdr:rowOff>
    </xdr:to>
    <xdr:sp macro="" textlink="">
      <xdr:nvSpPr>
        <xdr:cNvPr id="4742" name="Arrow: Down 4741">
          <a:extLst>
            <a:ext uri="{FF2B5EF4-FFF2-40B4-BE49-F238E27FC236}">
              <a16:creationId xmlns:a16="http://schemas.microsoft.com/office/drawing/2014/main" id="{F76115C6-A3C3-43FF-9033-A6BFD8D8F304}"/>
            </a:ext>
          </a:extLst>
        </xdr:cNvPr>
        <xdr:cNvSpPr/>
      </xdr:nvSpPr>
      <xdr:spPr>
        <a:xfrm>
          <a:off x="21800820" y="11494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628</xdr:row>
      <xdr:rowOff>0</xdr:rowOff>
    </xdr:from>
    <xdr:to>
      <xdr:col>24</xdr:col>
      <xdr:colOff>83820</xdr:colOff>
      <xdr:row>628</xdr:row>
      <xdr:rowOff>114300</xdr:rowOff>
    </xdr:to>
    <xdr:sp macro="" textlink="">
      <xdr:nvSpPr>
        <xdr:cNvPr id="4743" name="Arrow: Down 4742">
          <a:extLst>
            <a:ext uri="{FF2B5EF4-FFF2-40B4-BE49-F238E27FC236}">
              <a16:creationId xmlns:a16="http://schemas.microsoft.com/office/drawing/2014/main" id="{DCBEE91E-8149-46BB-AC42-7E645D143774}"/>
            </a:ext>
          </a:extLst>
        </xdr:cNvPr>
        <xdr:cNvSpPr/>
      </xdr:nvSpPr>
      <xdr:spPr>
        <a:xfrm rot="10800000">
          <a:off x="833628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629</xdr:row>
      <xdr:rowOff>0</xdr:rowOff>
    </xdr:from>
    <xdr:to>
      <xdr:col>24</xdr:col>
      <xdr:colOff>83820</xdr:colOff>
      <xdr:row>629</xdr:row>
      <xdr:rowOff>114300</xdr:rowOff>
    </xdr:to>
    <xdr:sp macro="" textlink="">
      <xdr:nvSpPr>
        <xdr:cNvPr id="4745" name="Arrow: Down 4744">
          <a:extLst>
            <a:ext uri="{FF2B5EF4-FFF2-40B4-BE49-F238E27FC236}">
              <a16:creationId xmlns:a16="http://schemas.microsoft.com/office/drawing/2014/main" id="{A45A3572-2359-4A42-B448-1985F2CFAF34}"/>
            </a:ext>
          </a:extLst>
        </xdr:cNvPr>
        <xdr:cNvSpPr/>
      </xdr:nvSpPr>
      <xdr:spPr>
        <a:xfrm rot="10800000">
          <a:off x="833628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628</xdr:row>
      <xdr:rowOff>0</xdr:rowOff>
    </xdr:from>
    <xdr:to>
      <xdr:col>5</xdr:col>
      <xdr:colOff>83820</xdr:colOff>
      <xdr:row>628</xdr:row>
      <xdr:rowOff>114300</xdr:rowOff>
    </xdr:to>
    <xdr:sp macro="" textlink="">
      <xdr:nvSpPr>
        <xdr:cNvPr id="4746" name="Arrow: Down 4745">
          <a:extLst>
            <a:ext uri="{FF2B5EF4-FFF2-40B4-BE49-F238E27FC236}">
              <a16:creationId xmlns:a16="http://schemas.microsoft.com/office/drawing/2014/main" id="{B27A8278-7D58-483A-BEBB-8433E335713B}"/>
            </a:ext>
          </a:extLst>
        </xdr:cNvPr>
        <xdr:cNvSpPr/>
      </xdr:nvSpPr>
      <xdr:spPr>
        <a:xfrm rot="10800000">
          <a:off x="192786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629</xdr:row>
      <xdr:rowOff>0</xdr:rowOff>
    </xdr:from>
    <xdr:to>
      <xdr:col>11</xdr:col>
      <xdr:colOff>83820</xdr:colOff>
      <xdr:row>629</xdr:row>
      <xdr:rowOff>114300</xdr:rowOff>
    </xdr:to>
    <xdr:sp macro="" textlink="">
      <xdr:nvSpPr>
        <xdr:cNvPr id="4747" name="Arrow: Down 4746">
          <a:extLst>
            <a:ext uri="{FF2B5EF4-FFF2-40B4-BE49-F238E27FC236}">
              <a16:creationId xmlns:a16="http://schemas.microsoft.com/office/drawing/2014/main" id="{0E9B693E-4F0F-4A3F-AD8E-9E193CAB1DEE}"/>
            </a:ext>
          </a:extLst>
        </xdr:cNvPr>
        <xdr:cNvSpPr/>
      </xdr:nvSpPr>
      <xdr:spPr>
        <a:xfrm rot="10800000">
          <a:off x="369570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629</xdr:row>
      <xdr:rowOff>0</xdr:rowOff>
    </xdr:from>
    <xdr:to>
      <xdr:col>5</xdr:col>
      <xdr:colOff>83820</xdr:colOff>
      <xdr:row>629</xdr:row>
      <xdr:rowOff>114300</xdr:rowOff>
    </xdr:to>
    <xdr:sp macro="" textlink="">
      <xdr:nvSpPr>
        <xdr:cNvPr id="4748" name="Arrow: Down 4747">
          <a:extLst>
            <a:ext uri="{FF2B5EF4-FFF2-40B4-BE49-F238E27FC236}">
              <a16:creationId xmlns:a16="http://schemas.microsoft.com/office/drawing/2014/main" id="{4BF8AA2E-7495-4512-B9AA-88CA8E3B64DB}"/>
            </a:ext>
          </a:extLst>
        </xdr:cNvPr>
        <xdr:cNvSpPr/>
      </xdr:nvSpPr>
      <xdr:spPr>
        <a:xfrm rot="10800000">
          <a:off x="192786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628</xdr:row>
      <xdr:rowOff>0</xdr:rowOff>
    </xdr:from>
    <xdr:to>
      <xdr:col>11</xdr:col>
      <xdr:colOff>83820</xdr:colOff>
      <xdr:row>628</xdr:row>
      <xdr:rowOff>114300</xdr:rowOff>
    </xdr:to>
    <xdr:sp macro="" textlink="">
      <xdr:nvSpPr>
        <xdr:cNvPr id="4749" name="Arrow: Down 4748">
          <a:extLst>
            <a:ext uri="{FF2B5EF4-FFF2-40B4-BE49-F238E27FC236}">
              <a16:creationId xmlns:a16="http://schemas.microsoft.com/office/drawing/2014/main" id="{364EF2DE-33CA-4ED9-83C1-8CE9ACE953D3}"/>
            </a:ext>
          </a:extLst>
        </xdr:cNvPr>
        <xdr:cNvSpPr/>
      </xdr:nvSpPr>
      <xdr:spPr>
        <a:xfrm rot="10800000">
          <a:off x="369570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630</xdr:row>
      <xdr:rowOff>0</xdr:rowOff>
    </xdr:from>
    <xdr:to>
      <xdr:col>45</xdr:col>
      <xdr:colOff>83820</xdr:colOff>
      <xdr:row>630</xdr:row>
      <xdr:rowOff>114300</xdr:rowOff>
    </xdr:to>
    <xdr:sp macro="" textlink="">
      <xdr:nvSpPr>
        <xdr:cNvPr id="4757" name="Arrow: Down 4756">
          <a:extLst>
            <a:ext uri="{FF2B5EF4-FFF2-40B4-BE49-F238E27FC236}">
              <a16:creationId xmlns:a16="http://schemas.microsoft.com/office/drawing/2014/main" id="{0F2C7439-3DBF-47A9-A7F3-A4F94CF55A7F}"/>
            </a:ext>
          </a:extLst>
        </xdr:cNvPr>
        <xdr:cNvSpPr/>
      </xdr:nvSpPr>
      <xdr:spPr>
        <a:xfrm rot="10800000">
          <a:off x="13403580" y="11513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630</xdr:row>
      <xdr:rowOff>0</xdr:rowOff>
    </xdr:from>
    <xdr:to>
      <xdr:col>71</xdr:col>
      <xdr:colOff>83820</xdr:colOff>
      <xdr:row>630</xdr:row>
      <xdr:rowOff>114300</xdr:rowOff>
    </xdr:to>
    <xdr:sp macro="" textlink="">
      <xdr:nvSpPr>
        <xdr:cNvPr id="4760" name="Arrow: Down 4759">
          <a:extLst>
            <a:ext uri="{FF2B5EF4-FFF2-40B4-BE49-F238E27FC236}">
              <a16:creationId xmlns:a16="http://schemas.microsoft.com/office/drawing/2014/main" id="{35A5F5A8-6A69-4792-A812-009AD29FEB61}"/>
            </a:ext>
          </a:extLst>
        </xdr:cNvPr>
        <xdr:cNvSpPr/>
      </xdr:nvSpPr>
      <xdr:spPr>
        <a:xfrm rot="10800000">
          <a:off x="2180082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630</xdr:row>
      <xdr:rowOff>0</xdr:rowOff>
    </xdr:from>
    <xdr:to>
      <xdr:col>24</xdr:col>
      <xdr:colOff>83820</xdr:colOff>
      <xdr:row>630</xdr:row>
      <xdr:rowOff>114300</xdr:rowOff>
    </xdr:to>
    <xdr:sp macro="" textlink="">
      <xdr:nvSpPr>
        <xdr:cNvPr id="4761" name="Arrow: Down 4760">
          <a:extLst>
            <a:ext uri="{FF2B5EF4-FFF2-40B4-BE49-F238E27FC236}">
              <a16:creationId xmlns:a16="http://schemas.microsoft.com/office/drawing/2014/main" id="{E28E830B-7FF0-4763-AFD6-C62DBA7A0300}"/>
            </a:ext>
          </a:extLst>
        </xdr:cNvPr>
        <xdr:cNvSpPr/>
      </xdr:nvSpPr>
      <xdr:spPr>
        <a:xfrm rot="10800000">
          <a:off x="833628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630</xdr:row>
      <xdr:rowOff>0</xdr:rowOff>
    </xdr:from>
    <xdr:to>
      <xdr:col>11</xdr:col>
      <xdr:colOff>83820</xdr:colOff>
      <xdr:row>630</xdr:row>
      <xdr:rowOff>114300</xdr:rowOff>
    </xdr:to>
    <xdr:sp macro="" textlink="">
      <xdr:nvSpPr>
        <xdr:cNvPr id="4762" name="Arrow: Down 4761">
          <a:extLst>
            <a:ext uri="{FF2B5EF4-FFF2-40B4-BE49-F238E27FC236}">
              <a16:creationId xmlns:a16="http://schemas.microsoft.com/office/drawing/2014/main" id="{146998FC-26E6-4721-A22B-A2F065458432}"/>
            </a:ext>
          </a:extLst>
        </xdr:cNvPr>
        <xdr:cNvSpPr/>
      </xdr:nvSpPr>
      <xdr:spPr>
        <a:xfrm rot="10800000">
          <a:off x="369570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630</xdr:row>
      <xdr:rowOff>0</xdr:rowOff>
    </xdr:from>
    <xdr:to>
      <xdr:col>5</xdr:col>
      <xdr:colOff>83820</xdr:colOff>
      <xdr:row>630</xdr:row>
      <xdr:rowOff>114300</xdr:rowOff>
    </xdr:to>
    <xdr:sp macro="" textlink="">
      <xdr:nvSpPr>
        <xdr:cNvPr id="4763" name="Arrow: Down 4762">
          <a:extLst>
            <a:ext uri="{FF2B5EF4-FFF2-40B4-BE49-F238E27FC236}">
              <a16:creationId xmlns:a16="http://schemas.microsoft.com/office/drawing/2014/main" id="{A23A620E-2783-4809-9B2A-42E3F06FAF7B}"/>
            </a:ext>
          </a:extLst>
        </xdr:cNvPr>
        <xdr:cNvSpPr/>
      </xdr:nvSpPr>
      <xdr:spPr>
        <a:xfrm rot="10800000">
          <a:off x="192786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630</xdr:row>
      <xdr:rowOff>0</xdr:rowOff>
    </xdr:from>
    <xdr:to>
      <xdr:col>39</xdr:col>
      <xdr:colOff>83820</xdr:colOff>
      <xdr:row>630</xdr:row>
      <xdr:rowOff>114300</xdr:rowOff>
    </xdr:to>
    <xdr:sp macro="" textlink="">
      <xdr:nvSpPr>
        <xdr:cNvPr id="4764" name="Arrow: Down 4763">
          <a:extLst>
            <a:ext uri="{FF2B5EF4-FFF2-40B4-BE49-F238E27FC236}">
              <a16:creationId xmlns:a16="http://schemas.microsoft.com/office/drawing/2014/main" id="{0F1163F3-226E-4713-800B-458DCE6BBD01}"/>
            </a:ext>
          </a:extLst>
        </xdr:cNvPr>
        <xdr:cNvSpPr/>
      </xdr:nvSpPr>
      <xdr:spPr>
        <a:xfrm rot="10800000">
          <a:off x="11544300" y="11531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628</xdr:row>
      <xdr:rowOff>22860</xdr:rowOff>
    </xdr:from>
    <xdr:to>
      <xdr:col>39</xdr:col>
      <xdr:colOff>83820</xdr:colOff>
      <xdr:row>628</xdr:row>
      <xdr:rowOff>137160</xdr:rowOff>
    </xdr:to>
    <xdr:sp macro="" textlink="">
      <xdr:nvSpPr>
        <xdr:cNvPr id="4765" name="Arrow: Down 4764">
          <a:extLst>
            <a:ext uri="{FF2B5EF4-FFF2-40B4-BE49-F238E27FC236}">
              <a16:creationId xmlns:a16="http://schemas.microsoft.com/office/drawing/2014/main" id="{B4C1EC52-3371-49D8-B656-9DB49C3935BB}"/>
            </a:ext>
          </a:extLst>
        </xdr:cNvPr>
        <xdr:cNvSpPr/>
      </xdr:nvSpPr>
      <xdr:spPr>
        <a:xfrm rot="10800000">
          <a:off x="11544300" y="114970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630</xdr:row>
      <xdr:rowOff>0</xdr:rowOff>
    </xdr:from>
    <xdr:to>
      <xdr:col>60</xdr:col>
      <xdr:colOff>83820</xdr:colOff>
      <xdr:row>630</xdr:row>
      <xdr:rowOff>114300</xdr:rowOff>
    </xdr:to>
    <xdr:sp macro="" textlink="">
      <xdr:nvSpPr>
        <xdr:cNvPr id="4766" name="Arrow: Down 4765">
          <a:extLst>
            <a:ext uri="{FF2B5EF4-FFF2-40B4-BE49-F238E27FC236}">
              <a16:creationId xmlns:a16="http://schemas.microsoft.com/office/drawing/2014/main" id="{137AADA4-8AFE-40A0-B39C-8C169CAE5792}"/>
            </a:ext>
          </a:extLst>
        </xdr:cNvPr>
        <xdr:cNvSpPr/>
      </xdr:nvSpPr>
      <xdr:spPr>
        <a:xfrm>
          <a:off x="19080480" y="11531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631</xdr:row>
      <xdr:rowOff>0</xdr:rowOff>
    </xdr:from>
    <xdr:to>
      <xdr:col>71</xdr:col>
      <xdr:colOff>83820</xdr:colOff>
      <xdr:row>631</xdr:row>
      <xdr:rowOff>114300</xdr:rowOff>
    </xdr:to>
    <xdr:sp macro="" textlink="">
      <xdr:nvSpPr>
        <xdr:cNvPr id="4768" name="Arrow: Down 4767">
          <a:extLst>
            <a:ext uri="{FF2B5EF4-FFF2-40B4-BE49-F238E27FC236}">
              <a16:creationId xmlns:a16="http://schemas.microsoft.com/office/drawing/2014/main" id="{15872DA3-A3D2-4B28-8C3F-12513B403FDD}"/>
            </a:ext>
          </a:extLst>
        </xdr:cNvPr>
        <xdr:cNvSpPr/>
      </xdr:nvSpPr>
      <xdr:spPr>
        <a:xfrm rot="10800000">
          <a:off x="2180082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631</xdr:row>
      <xdr:rowOff>0</xdr:rowOff>
    </xdr:from>
    <xdr:to>
      <xdr:col>24</xdr:col>
      <xdr:colOff>83820</xdr:colOff>
      <xdr:row>631</xdr:row>
      <xdr:rowOff>114300</xdr:rowOff>
    </xdr:to>
    <xdr:sp macro="" textlink="">
      <xdr:nvSpPr>
        <xdr:cNvPr id="4769" name="Arrow: Down 4768">
          <a:extLst>
            <a:ext uri="{FF2B5EF4-FFF2-40B4-BE49-F238E27FC236}">
              <a16:creationId xmlns:a16="http://schemas.microsoft.com/office/drawing/2014/main" id="{745E2994-6EB7-4B93-9704-DA2653D973B6}"/>
            </a:ext>
          </a:extLst>
        </xdr:cNvPr>
        <xdr:cNvSpPr/>
      </xdr:nvSpPr>
      <xdr:spPr>
        <a:xfrm rot="10800000">
          <a:off x="833628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631</xdr:row>
      <xdr:rowOff>0</xdr:rowOff>
    </xdr:from>
    <xdr:to>
      <xdr:col>11</xdr:col>
      <xdr:colOff>83820</xdr:colOff>
      <xdr:row>631</xdr:row>
      <xdr:rowOff>114300</xdr:rowOff>
    </xdr:to>
    <xdr:sp macro="" textlink="">
      <xdr:nvSpPr>
        <xdr:cNvPr id="4770" name="Arrow: Down 4769">
          <a:extLst>
            <a:ext uri="{FF2B5EF4-FFF2-40B4-BE49-F238E27FC236}">
              <a16:creationId xmlns:a16="http://schemas.microsoft.com/office/drawing/2014/main" id="{2D287D43-E6AF-410E-BA29-864E28FF99CE}"/>
            </a:ext>
          </a:extLst>
        </xdr:cNvPr>
        <xdr:cNvSpPr/>
      </xdr:nvSpPr>
      <xdr:spPr>
        <a:xfrm rot="10800000">
          <a:off x="369570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631</xdr:row>
      <xdr:rowOff>0</xdr:rowOff>
    </xdr:from>
    <xdr:to>
      <xdr:col>5</xdr:col>
      <xdr:colOff>83820</xdr:colOff>
      <xdr:row>631</xdr:row>
      <xdr:rowOff>114300</xdr:rowOff>
    </xdr:to>
    <xdr:sp macro="" textlink="">
      <xdr:nvSpPr>
        <xdr:cNvPr id="4771" name="Arrow: Down 4770">
          <a:extLst>
            <a:ext uri="{FF2B5EF4-FFF2-40B4-BE49-F238E27FC236}">
              <a16:creationId xmlns:a16="http://schemas.microsoft.com/office/drawing/2014/main" id="{AB9C07E9-AC68-43EB-8546-38D5B224537C}"/>
            </a:ext>
          </a:extLst>
        </xdr:cNvPr>
        <xdr:cNvSpPr/>
      </xdr:nvSpPr>
      <xdr:spPr>
        <a:xfrm rot="10800000">
          <a:off x="192786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631</xdr:row>
      <xdr:rowOff>0</xdr:rowOff>
    </xdr:from>
    <xdr:to>
      <xdr:col>60</xdr:col>
      <xdr:colOff>83820</xdr:colOff>
      <xdr:row>631</xdr:row>
      <xdr:rowOff>114300</xdr:rowOff>
    </xdr:to>
    <xdr:sp macro="" textlink="">
      <xdr:nvSpPr>
        <xdr:cNvPr id="4773" name="Arrow: Down 4772">
          <a:extLst>
            <a:ext uri="{FF2B5EF4-FFF2-40B4-BE49-F238E27FC236}">
              <a16:creationId xmlns:a16="http://schemas.microsoft.com/office/drawing/2014/main" id="{BA4BFF33-42C5-4E37-8759-8D8904CE64D8}"/>
            </a:ext>
          </a:extLst>
        </xdr:cNvPr>
        <xdr:cNvSpPr/>
      </xdr:nvSpPr>
      <xdr:spPr>
        <a:xfrm>
          <a:off x="19080480" y="11531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631</xdr:row>
      <xdr:rowOff>0</xdr:rowOff>
    </xdr:from>
    <xdr:to>
      <xdr:col>45</xdr:col>
      <xdr:colOff>83820</xdr:colOff>
      <xdr:row>631</xdr:row>
      <xdr:rowOff>114300</xdr:rowOff>
    </xdr:to>
    <xdr:sp macro="" textlink="">
      <xdr:nvSpPr>
        <xdr:cNvPr id="4775" name="Arrow: Down 4774">
          <a:extLst>
            <a:ext uri="{FF2B5EF4-FFF2-40B4-BE49-F238E27FC236}">
              <a16:creationId xmlns:a16="http://schemas.microsoft.com/office/drawing/2014/main" id="{278856AA-56C1-40F0-B9FD-5F25C19DAACB}"/>
            </a:ext>
          </a:extLst>
        </xdr:cNvPr>
        <xdr:cNvSpPr/>
      </xdr:nvSpPr>
      <xdr:spPr>
        <a:xfrm>
          <a:off x="1340358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631</xdr:row>
      <xdr:rowOff>0</xdr:rowOff>
    </xdr:from>
    <xdr:to>
      <xdr:col>39</xdr:col>
      <xdr:colOff>83820</xdr:colOff>
      <xdr:row>631</xdr:row>
      <xdr:rowOff>114300</xdr:rowOff>
    </xdr:to>
    <xdr:sp macro="" textlink="">
      <xdr:nvSpPr>
        <xdr:cNvPr id="4776" name="Arrow: Down 4775">
          <a:extLst>
            <a:ext uri="{FF2B5EF4-FFF2-40B4-BE49-F238E27FC236}">
              <a16:creationId xmlns:a16="http://schemas.microsoft.com/office/drawing/2014/main" id="{5E1F98CF-EA81-4702-B632-0458E9F182D9}"/>
            </a:ext>
          </a:extLst>
        </xdr:cNvPr>
        <xdr:cNvSpPr/>
      </xdr:nvSpPr>
      <xdr:spPr>
        <a:xfrm>
          <a:off x="1154430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632</xdr:row>
      <xdr:rowOff>0</xdr:rowOff>
    </xdr:from>
    <xdr:to>
      <xdr:col>71</xdr:col>
      <xdr:colOff>83820</xdr:colOff>
      <xdr:row>632</xdr:row>
      <xdr:rowOff>114300</xdr:rowOff>
    </xdr:to>
    <xdr:sp macro="" textlink="">
      <xdr:nvSpPr>
        <xdr:cNvPr id="4777" name="Arrow: Down 4776">
          <a:extLst>
            <a:ext uri="{FF2B5EF4-FFF2-40B4-BE49-F238E27FC236}">
              <a16:creationId xmlns:a16="http://schemas.microsoft.com/office/drawing/2014/main" id="{5B051944-084A-4011-B186-1955400AF3CB}"/>
            </a:ext>
          </a:extLst>
        </xdr:cNvPr>
        <xdr:cNvSpPr/>
      </xdr:nvSpPr>
      <xdr:spPr>
        <a:xfrm rot="10800000">
          <a:off x="2180082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632</xdr:row>
      <xdr:rowOff>0</xdr:rowOff>
    </xdr:from>
    <xdr:to>
      <xdr:col>11</xdr:col>
      <xdr:colOff>83820</xdr:colOff>
      <xdr:row>632</xdr:row>
      <xdr:rowOff>114300</xdr:rowOff>
    </xdr:to>
    <xdr:sp macro="" textlink="">
      <xdr:nvSpPr>
        <xdr:cNvPr id="4779" name="Arrow: Down 4778">
          <a:extLst>
            <a:ext uri="{FF2B5EF4-FFF2-40B4-BE49-F238E27FC236}">
              <a16:creationId xmlns:a16="http://schemas.microsoft.com/office/drawing/2014/main" id="{05B250A2-0BD6-46F2-8626-093C83DB28B1}"/>
            </a:ext>
          </a:extLst>
        </xdr:cNvPr>
        <xdr:cNvSpPr/>
      </xdr:nvSpPr>
      <xdr:spPr>
        <a:xfrm rot="10800000">
          <a:off x="369570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632</xdr:row>
      <xdr:rowOff>0</xdr:rowOff>
    </xdr:from>
    <xdr:to>
      <xdr:col>5</xdr:col>
      <xdr:colOff>83820</xdr:colOff>
      <xdr:row>632</xdr:row>
      <xdr:rowOff>114300</xdr:rowOff>
    </xdr:to>
    <xdr:sp macro="" textlink="">
      <xdr:nvSpPr>
        <xdr:cNvPr id="4780" name="Arrow: Down 4779">
          <a:extLst>
            <a:ext uri="{FF2B5EF4-FFF2-40B4-BE49-F238E27FC236}">
              <a16:creationId xmlns:a16="http://schemas.microsoft.com/office/drawing/2014/main" id="{6C0C900F-1104-465E-A8DD-26060419AB87}"/>
            </a:ext>
          </a:extLst>
        </xdr:cNvPr>
        <xdr:cNvSpPr/>
      </xdr:nvSpPr>
      <xdr:spPr>
        <a:xfrm rot="10800000">
          <a:off x="192786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632</xdr:row>
      <xdr:rowOff>0</xdr:rowOff>
    </xdr:from>
    <xdr:to>
      <xdr:col>60</xdr:col>
      <xdr:colOff>83820</xdr:colOff>
      <xdr:row>632</xdr:row>
      <xdr:rowOff>114300</xdr:rowOff>
    </xdr:to>
    <xdr:sp macro="" textlink="">
      <xdr:nvSpPr>
        <xdr:cNvPr id="4781" name="Arrow: Down 4780">
          <a:extLst>
            <a:ext uri="{FF2B5EF4-FFF2-40B4-BE49-F238E27FC236}">
              <a16:creationId xmlns:a16="http://schemas.microsoft.com/office/drawing/2014/main" id="{B6A6527E-9475-461F-BF2F-62A25988DC3B}"/>
            </a:ext>
          </a:extLst>
        </xdr:cNvPr>
        <xdr:cNvSpPr/>
      </xdr:nvSpPr>
      <xdr:spPr>
        <a:xfrm>
          <a:off x="19080480" y="11549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632</xdr:row>
      <xdr:rowOff>0</xdr:rowOff>
    </xdr:from>
    <xdr:to>
      <xdr:col>45</xdr:col>
      <xdr:colOff>83820</xdr:colOff>
      <xdr:row>632</xdr:row>
      <xdr:rowOff>114300</xdr:rowOff>
    </xdr:to>
    <xdr:sp macro="" textlink="">
      <xdr:nvSpPr>
        <xdr:cNvPr id="4782" name="Arrow: Down 4781">
          <a:extLst>
            <a:ext uri="{FF2B5EF4-FFF2-40B4-BE49-F238E27FC236}">
              <a16:creationId xmlns:a16="http://schemas.microsoft.com/office/drawing/2014/main" id="{C1E1B500-87E1-4D85-BCC9-4705A2BD265F}"/>
            </a:ext>
          </a:extLst>
        </xdr:cNvPr>
        <xdr:cNvSpPr/>
      </xdr:nvSpPr>
      <xdr:spPr>
        <a:xfrm>
          <a:off x="1340358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632</xdr:row>
      <xdr:rowOff>0</xdr:rowOff>
    </xdr:from>
    <xdr:to>
      <xdr:col>24</xdr:col>
      <xdr:colOff>83820</xdr:colOff>
      <xdr:row>632</xdr:row>
      <xdr:rowOff>114300</xdr:rowOff>
    </xdr:to>
    <xdr:sp macro="" textlink="">
      <xdr:nvSpPr>
        <xdr:cNvPr id="4784" name="Arrow: Down 4783">
          <a:extLst>
            <a:ext uri="{FF2B5EF4-FFF2-40B4-BE49-F238E27FC236}">
              <a16:creationId xmlns:a16="http://schemas.microsoft.com/office/drawing/2014/main" id="{542D765B-914D-4DF8-990A-600276F4D0A2}"/>
            </a:ext>
          </a:extLst>
        </xdr:cNvPr>
        <xdr:cNvSpPr/>
      </xdr:nvSpPr>
      <xdr:spPr>
        <a:xfrm>
          <a:off x="8336280" y="11567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632</xdr:row>
      <xdr:rowOff>0</xdr:rowOff>
    </xdr:from>
    <xdr:to>
      <xdr:col>39</xdr:col>
      <xdr:colOff>83820</xdr:colOff>
      <xdr:row>632</xdr:row>
      <xdr:rowOff>114300</xdr:rowOff>
    </xdr:to>
    <xdr:sp macro="" textlink="">
      <xdr:nvSpPr>
        <xdr:cNvPr id="4785" name="Arrow: Down 4784">
          <a:extLst>
            <a:ext uri="{FF2B5EF4-FFF2-40B4-BE49-F238E27FC236}">
              <a16:creationId xmlns:a16="http://schemas.microsoft.com/office/drawing/2014/main" id="{FD5CC9E8-B156-4BF8-A859-50B03CFE8751}"/>
            </a:ext>
          </a:extLst>
        </xdr:cNvPr>
        <xdr:cNvSpPr/>
      </xdr:nvSpPr>
      <xdr:spPr>
        <a:xfrm rot="10800000">
          <a:off x="11544300" y="11567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633</xdr:row>
      <xdr:rowOff>0</xdr:rowOff>
    </xdr:from>
    <xdr:to>
      <xdr:col>71</xdr:col>
      <xdr:colOff>83820</xdr:colOff>
      <xdr:row>633</xdr:row>
      <xdr:rowOff>114300</xdr:rowOff>
    </xdr:to>
    <xdr:sp macro="" textlink="">
      <xdr:nvSpPr>
        <xdr:cNvPr id="4786" name="Arrow: Down 4785">
          <a:extLst>
            <a:ext uri="{FF2B5EF4-FFF2-40B4-BE49-F238E27FC236}">
              <a16:creationId xmlns:a16="http://schemas.microsoft.com/office/drawing/2014/main" id="{554446E2-E56F-4EC5-A6D3-F4B73AFCFE55}"/>
            </a:ext>
          </a:extLst>
        </xdr:cNvPr>
        <xdr:cNvSpPr/>
      </xdr:nvSpPr>
      <xdr:spPr>
        <a:xfrm rot="10800000">
          <a:off x="21800820" y="11567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633</xdr:row>
      <xdr:rowOff>0</xdr:rowOff>
    </xdr:from>
    <xdr:to>
      <xdr:col>45</xdr:col>
      <xdr:colOff>83820</xdr:colOff>
      <xdr:row>633</xdr:row>
      <xdr:rowOff>114300</xdr:rowOff>
    </xdr:to>
    <xdr:sp macro="" textlink="">
      <xdr:nvSpPr>
        <xdr:cNvPr id="4790" name="Arrow: Down 4789">
          <a:extLst>
            <a:ext uri="{FF2B5EF4-FFF2-40B4-BE49-F238E27FC236}">
              <a16:creationId xmlns:a16="http://schemas.microsoft.com/office/drawing/2014/main" id="{4FE93A37-204F-4BDD-AA1B-770426BD3EA4}"/>
            </a:ext>
          </a:extLst>
        </xdr:cNvPr>
        <xdr:cNvSpPr/>
      </xdr:nvSpPr>
      <xdr:spPr>
        <a:xfrm>
          <a:off x="13403580" y="11567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633</xdr:row>
      <xdr:rowOff>0</xdr:rowOff>
    </xdr:from>
    <xdr:to>
      <xdr:col>24</xdr:col>
      <xdr:colOff>83820</xdr:colOff>
      <xdr:row>633</xdr:row>
      <xdr:rowOff>114300</xdr:rowOff>
    </xdr:to>
    <xdr:sp macro="" textlink="">
      <xdr:nvSpPr>
        <xdr:cNvPr id="4791" name="Arrow: Down 4790">
          <a:extLst>
            <a:ext uri="{FF2B5EF4-FFF2-40B4-BE49-F238E27FC236}">
              <a16:creationId xmlns:a16="http://schemas.microsoft.com/office/drawing/2014/main" id="{D314AC83-F1BF-4EE4-ABFA-6EC0134BFC00}"/>
            </a:ext>
          </a:extLst>
        </xdr:cNvPr>
        <xdr:cNvSpPr/>
      </xdr:nvSpPr>
      <xdr:spPr>
        <a:xfrm>
          <a:off x="8336280" y="11567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633</xdr:row>
      <xdr:rowOff>0</xdr:rowOff>
    </xdr:from>
    <xdr:to>
      <xdr:col>60</xdr:col>
      <xdr:colOff>83820</xdr:colOff>
      <xdr:row>633</xdr:row>
      <xdr:rowOff>114300</xdr:rowOff>
    </xdr:to>
    <xdr:sp macro="" textlink="">
      <xdr:nvSpPr>
        <xdr:cNvPr id="4793" name="Arrow: Down 4792">
          <a:extLst>
            <a:ext uri="{FF2B5EF4-FFF2-40B4-BE49-F238E27FC236}">
              <a16:creationId xmlns:a16="http://schemas.microsoft.com/office/drawing/2014/main" id="{49CE71BE-5319-424D-AD49-9D2CB8EA5DD8}"/>
            </a:ext>
          </a:extLst>
        </xdr:cNvPr>
        <xdr:cNvSpPr/>
      </xdr:nvSpPr>
      <xdr:spPr>
        <a:xfrm rot="10800000">
          <a:off x="1908048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633</xdr:row>
      <xdr:rowOff>0</xdr:rowOff>
    </xdr:from>
    <xdr:to>
      <xdr:col>5</xdr:col>
      <xdr:colOff>83820</xdr:colOff>
      <xdr:row>633</xdr:row>
      <xdr:rowOff>114300</xdr:rowOff>
    </xdr:to>
    <xdr:sp macro="" textlink="">
      <xdr:nvSpPr>
        <xdr:cNvPr id="4794" name="Arrow: Down 4793">
          <a:extLst>
            <a:ext uri="{FF2B5EF4-FFF2-40B4-BE49-F238E27FC236}">
              <a16:creationId xmlns:a16="http://schemas.microsoft.com/office/drawing/2014/main" id="{83E002AB-DBC5-4CD9-92ED-010E5F309B8B}"/>
            </a:ext>
          </a:extLst>
        </xdr:cNvPr>
        <xdr:cNvSpPr/>
      </xdr:nvSpPr>
      <xdr:spPr>
        <a:xfrm>
          <a:off x="192786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633</xdr:row>
      <xdr:rowOff>0</xdr:rowOff>
    </xdr:from>
    <xdr:to>
      <xdr:col>11</xdr:col>
      <xdr:colOff>83820</xdr:colOff>
      <xdr:row>633</xdr:row>
      <xdr:rowOff>114300</xdr:rowOff>
    </xdr:to>
    <xdr:sp macro="" textlink="">
      <xdr:nvSpPr>
        <xdr:cNvPr id="4795" name="Arrow: Down 4794">
          <a:extLst>
            <a:ext uri="{FF2B5EF4-FFF2-40B4-BE49-F238E27FC236}">
              <a16:creationId xmlns:a16="http://schemas.microsoft.com/office/drawing/2014/main" id="{475F5E95-6F32-45B3-82E8-DF6C9F8202D2}"/>
            </a:ext>
          </a:extLst>
        </xdr:cNvPr>
        <xdr:cNvSpPr/>
      </xdr:nvSpPr>
      <xdr:spPr>
        <a:xfrm>
          <a:off x="369570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633</xdr:row>
      <xdr:rowOff>0</xdr:rowOff>
    </xdr:from>
    <xdr:to>
      <xdr:col>39</xdr:col>
      <xdr:colOff>83820</xdr:colOff>
      <xdr:row>633</xdr:row>
      <xdr:rowOff>114300</xdr:rowOff>
    </xdr:to>
    <xdr:sp macro="" textlink="">
      <xdr:nvSpPr>
        <xdr:cNvPr id="4797" name="Arrow: Down 4796">
          <a:extLst>
            <a:ext uri="{FF2B5EF4-FFF2-40B4-BE49-F238E27FC236}">
              <a16:creationId xmlns:a16="http://schemas.microsoft.com/office/drawing/2014/main" id="{28B92741-64CE-4AA6-9B3D-29B8BFC06671}"/>
            </a:ext>
          </a:extLst>
        </xdr:cNvPr>
        <xdr:cNvSpPr/>
      </xdr:nvSpPr>
      <xdr:spPr>
        <a:xfrm>
          <a:off x="1154430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634</xdr:row>
      <xdr:rowOff>0</xdr:rowOff>
    </xdr:from>
    <xdr:to>
      <xdr:col>71</xdr:col>
      <xdr:colOff>83820</xdr:colOff>
      <xdr:row>634</xdr:row>
      <xdr:rowOff>114300</xdr:rowOff>
    </xdr:to>
    <xdr:sp macro="" textlink="">
      <xdr:nvSpPr>
        <xdr:cNvPr id="4805" name="Arrow: Down 4804">
          <a:extLst>
            <a:ext uri="{FF2B5EF4-FFF2-40B4-BE49-F238E27FC236}">
              <a16:creationId xmlns:a16="http://schemas.microsoft.com/office/drawing/2014/main" id="{BDF10161-0359-4BB2-B547-FD7A6894DD3E}"/>
            </a:ext>
          </a:extLst>
        </xdr:cNvPr>
        <xdr:cNvSpPr/>
      </xdr:nvSpPr>
      <xdr:spPr>
        <a:xfrm rot="10800000">
          <a:off x="2180082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634</xdr:row>
      <xdr:rowOff>0</xdr:rowOff>
    </xdr:from>
    <xdr:to>
      <xdr:col>45</xdr:col>
      <xdr:colOff>83820</xdr:colOff>
      <xdr:row>634</xdr:row>
      <xdr:rowOff>114300</xdr:rowOff>
    </xdr:to>
    <xdr:sp macro="" textlink="">
      <xdr:nvSpPr>
        <xdr:cNvPr id="4806" name="Arrow: Down 4805">
          <a:extLst>
            <a:ext uri="{FF2B5EF4-FFF2-40B4-BE49-F238E27FC236}">
              <a16:creationId xmlns:a16="http://schemas.microsoft.com/office/drawing/2014/main" id="{83806FDB-2CE2-483A-93C3-518DDAB917E7}"/>
            </a:ext>
          </a:extLst>
        </xdr:cNvPr>
        <xdr:cNvSpPr/>
      </xdr:nvSpPr>
      <xdr:spPr>
        <a:xfrm>
          <a:off x="1340358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634</xdr:row>
      <xdr:rowOff>0</xdr:rowOff>
    </xdr:from>
    <xdr:to>
      <xdr:col>24</xdr:col>
      <xdr:colOff>83820</xdr:colOff>
      <xdr:row>634</xdr:row>
      <xdr:rowOff>114300</xdr:rowOff>
    </xdr:to>
    <xdr:sp macro="" textlink="">
      <xdr:nvSpPr>
        <xdr:cNvPr id="4807" name="Arrow: Down 4806">
          <a:extLst>
            <a:ext uri="{FF2B5EF4-FFF2-40B4-BE49-F238E27FC236}">
              <a16:creationId xmlns:a16="http://schemas.microsoft.com/office/drawing/2014/main" id="{041719F6-B97B-40D7-9128-25D93677F704}"/>
            </a:ext>
          </a:extLst>
        </xdr:cNvPr>
        <xdr:cNvSpPr/>
      </xdr:nvSpPr>
      <xdr:spPr>
        <a:xfrm>
          <a:off x="833628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634</xdr:row>
      <xdr:rowOff>0</xdr:rowOff>
    </xdr:from>
    <xdr:to>
      <xdr:col>5</xdr:col>
      <xdr:colOff>83820</xdr:colOff>
      <xdr:row>634</xdr:row>
      <xdr:rowOff>114300</xdr:rowOff>
    </xdr:to>
    <xdr:sp macro="" textlink="">
      <xdr:nvSpPr>
        <xdr:cNvPr id="4809" name="Arrow: Down 4808">
          <a:extLst>
            <a:ext uri="{FF2B5EF4-FFF2-40B4-BE49-F238E27FC236}">
              <a16:creationId xmlns:a16="http://schemas.microsoft.com/office/drawing/2014/main" id="{9291CE29-4FB2-4A66-B145-B20386FE3CC7}"/>
            </a:ext>
          </a:extLst>
        </xdr:cNvPr>
        <xdr:cNvSpPr/>
      </xdr:nvSpPr>
      <xdr:spPr>
        <a:xfrm>
          <a:off x="192786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634</xdr:row>
      <xdr:rowOff>0</xdr:rowOff>
    </xdr:from>
    <xdr:to>
      <xdr:col>11</xdr:col>
      <xdr:colOff>83820</xdr:colOff>
      <xdr:row>634</xdr:row>
      <xdr:rowOff>114300</xdr:rowOff>
    </xdr:to>
    <xdr:sp macro="" textlink="">
      <xdr:nvSpPr>
        <xdr:cNvPr id="4810" name="Arrow: Down 4809">
          <a:extLst>
            <a:ext uri="{FF2B5EF4-FFF2-40B4-BE49-F238E27FC236}">
              <a16:creationId xmlns:a16="http://schemas.microsoft.com/office/drawing/2014/main" id="{F566CD47-87E0-4870-B65C-FB1D7A53D144}"/>
            </a:ext>
          </a:extLst>
        </xdr:cNvPr>
        <xdr:cNvSpPr/>
      </xdr:nvSpPr>
      <xdr:spPr>
        <a:xfrm>
          <a:off x="369570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634</xdr:row>
      <xdr:rowOff>0</xdr:rowOff>
    </xdr:from>
    <xdr:to>
      <xdr:col>39</xdr:col>
      <xdr:colOff>83820</xdr:colOff>
      <xdr:row>634</xdr:row>
      <xdr:rowOff>114300</xdr:rowOff>
    </xdr:to>
    <xdr:sp macro="" textlink="">
      <xdr:nvSpPr>
        <xdr:cNvPr id="4811" name="Arrow: Down 4810">
          <a:extLst>
            <a:ext uri="{FF2B5EF4-FFF2-40B4-BE49-F238E27FC236}">
              <a16:creationId xmlns:a16="http://schemas.microsoft.com/office/drawing/2014/main" id="{6C77606C-B010-4E4B-BBEF-23D9FE646E80}"/>
            </a:ext>
          </a:extLst>
        </xdr:cNvPr>
        <xdr:cNvSpPr/>
      </xdr:nvSpPr>
      <xdr:spPr>
        <a:xfrm>
          <a:off x="1154430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634</xdr:row>
      <xdr:rowOff>0</xdr:rowOff>
    </xdr:from>
    <xdr:to>
      <xdr:col>60</xdr:col>
      <xdr:colOff>83820</xdr:colOff>
      <xdr:row>634</xdr:row>
      <xdr:rowOff>114300</xdr:rowOff>
    </xdr:to>
    <xdr:sp macro="" textlink="">
      <xdr:nvSpPr>
        <xdr:cNvPr id="4812" name="Arrow: Down 4811">
          <a:extLst>
            <a:ext uri="{FF2B5EF4-FFF2-40B4-BE49-F238E27FC236}">
              <a16:creationId xmlns:a16="http://schemas.microsoft.com/office/drawing/2014/main" id="{F97216A6-02EA-47C7-8C0D-F958CB3AE347}"/>
            </a:ext>
          </a:extLst>
        </xdr:cNvPr>
        <xdr:cNvSpPr/>
      </xdr:nvSpPr>
      <xdr:spPr>
        <a:xfrm>
          <a:off x="19080480" y="11604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635</xdr:row>
      <xdr:rowOff>0</xdr:rowOff>
    </xdr:from>
    <xdr:to>
      <xdr:col>60</xdr:col>
      <xdr:colOff>83820</xdr:colOff>
      <xdr:row>635</xdr:row>
      <xdr:rowOff>114300</xdr:rowOff>
    </xdr:to>
    <xdr:sp macro="" textlink="">
      <xdr:nvSpPr>
        <xdr:cNvPr id="4674" name="Arrow: Down 4673">
          <a:extLst>
            <a:ext uri="{FF2B5EF4-FFF2-40B4-BE49-F238E27FC236}">
              <a16:creationId xmlns:a16="http://schemas.microsoft.com/office/drawing/2014/main" id="{0073DBB3-569A-4881-936A-74D5570E1A9C}"/>
            </a:ext>
          </a:extLst>
        </xdr:cNvPr>
        <xdr:cNvSpPr/>
      </xdr:nvSpPr>
      <xdr:spPr>
        <a:xfrm>
          <a:off x="19080480" y="11604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635</xdr:row>
      <xdr:rowOff>0</xdr:rowOff>
    </xdr:from>
    <xdr:to>
      <xdr:col>71</xdr:col>
      <xdr:colOff>83820</xdr:colOff>
      <xdr:row>635</xdr:row>
      <xdr:rowOff>114300</xdr:rowOff>
    </xdr:to>
    <xdr:sp macro="" textlink="">
      <xdr:nvSpPr>
        <xdr:cNvPr id="4680" name="Arrow: Down 4679">
          <a:extLst>
            <a:ext uri="{FF2B5EF4-FFF2-40B4-BE49-F238E27FC236}">
              <a16:creationId xmlns:a16="http://schemas.microsoft.com/office/drawing/2014/main" id="{2E0AB8A0-41E3-4B80-ADAA-7A5FF33F1EC1}"/>
            </a:ext>
          </a:extLst>
        </xdr:cNvPr>
        <xdr:cNvSpPr/>
      </xdr:nvSpPr>
      <xdr:spPr>
        <a:xfrm>
          <a:off x="21800820" y="11622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635</xdr:row>
      <xdr:rowOff>0</xdr:rowOff>
    </xdr:from>
    <xdr:to>
      <xdr:col>5</xdr:col>
      <xdr:colOff>83820</xdr:colOff>
      <xdr:row>635</xdr:row>
      <xdr:rowOff>114300</xdr:rowOff>
    </xdr:to>
    <xdr:sp macro="" textlink="">
      <xdr:nvSpPr>
        <xdr:cNvPr id="4686" name="Arrow: Down 4685">
          <a:extLst>
            <a:ext uri="{FF2B5EF4-FFF2-40B4-BE49-F238E27FC236}">
              <a16:creationId xmlns:a16="http://schemas.microsoft.com/office/drawing/2014/main" id="{2B1CAE20-915E-4224-BFAE-2FB9465CE013}"/>
            </a:ext>
          </a:extLst>
        </xdr:cNvPr>
        <xdr:cNvSpPr/>
      </xdr:nvSpPr>
      <xdr:spPr>
        <a:xfrm rot="10800000">
          <a:off x="192786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635</xdr:row>
      <xdr:rowOff>0</xdr:rowOff>
    </xdr:from>
    <xdr:to>
      <xdr:col>11</xdr:col>
      <xdr:colOff>83820</xdr:colOff>
      <xdr:row>635</xdr:row>
      <xdr:rowOff>114300</xdr:rowOff>
    </xdr:to>
    <xdr:sp macro="" textlink="">
      <xdr:nvSpPr>
        <xdr:cNvPr id="4691" name="Arrow: Down 4690">
          <a:extLst>
            <a:ext uri="{FF2B5EF4-FFF2-40B4-BE49-F238E27FC236}">
              <a16:creationId xmlns:a16="http://schemas.microsoft.com/office/drawing/2014/main" id="{DE328954-ABD7-401C-B0D0-971A81515330}"/>
            </a:ext>
          </a:extLst>
        </xdr:cNvPr>
        <xdr:cNvSpPr/>
      </xdr:nvSpPr>
      <xdr:spPr>
        <a:xfrm rot="10800000">
          <a:off x="369570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635</xdr:row>
      <xdr:rowOff>0</xdr:rowOff>
    </xdr:from>
    <xdr:to>
      <xdr:col>24</xdr:col>
      <xdr:colOff>83820</xdr:colOff>
      <xdr:row>635</xdr:row>
      <xdr:rowOff>114300</xdr:rowOff>
    </xdr:to>
    <xdr:sp macro="" textlink="">
      <xdr:nvSpPr>
        <xdr:cNvPr id="4696" name="Arrow: Down 4695">
          <a:extLst>
            <a:ext uri="{FF2B5EF4-FFF2-40B4-BE49-F238E27FC236}">
              <a16:creationId xmlns:a16="http://schemas.microsoft.com/office/drawing/2014/main" id="{283E2B07-C5E4-47B3-8F83-CAE115C5C954}"/>
            </a:ext>
          </a:extLst>
        </xdr:cNvPr>
        <xdr:cNvSpPr/>
      </xdr:nvSpPr>
      <xdr:spPr>
        <a:xfrm rot="10800000">
          <a:off x="833628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635</xdr:row>
      <xdr:rowOff>0</xdr:rowOff>
    </xdr:from>
    <xdr:to>
      <xdr:col>39</xdr:col>
      <xdr:colOff>83820</xdr:colOff>
      <xdr:row>635</xdr:row>
      <xdr:rowOff>114300</xdr:rowOff>
    </xdr:to>
    <xdr:sp macro="" textlink="">
      <xdr:nvSpPr>
        <xdr:cNvPr id="4702" name="Arrow: Down 4701">
          <a:extLst>
            <a:ext uri="{FF2B5EF4-FFF2-40B4-BE49-F238E27FC236}">
              <a16:creationId xmlns:a16="http://schemas.microsoft.com/office/drawing/2014/main" id="{78BAD801-AB36-4B62-A2AE-EF9B8BC01238}"/>
            </a:ext>
          </a:extLst>
        </xdr:cNvPr>
        <xdr:cNvSpPr/>
      </xdr:nvSpPr>
      <xdr:spPr>
        <a:xfrm rot="10800000">
          <a:off x="11544300" y="11622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635</xdr:row>
      <xdr:rowOff>0</xdr:rowOff>
    </xdr:from>
    <xdr:to>
      <xdr:col>45</xdr:col>
      <xdr:colOff>83820</xdr:colOff>
      <xdr:row>635</xdr:row>
      <xdr:rowOff>114300</xdr:rowOff>
    </xdr:to>
    <xdr:sp macro="" textlink="">
      <xdr:nvSpPr>
        <xdr:cNvPr id="4712" name="Arrow: Down 4711">
          <a:extLst>
            <a:ext uri="{FF2B5EF4-FFF2-40B4-BE49-F238E27FC236}">
              <a16:creationId xmlns:a16="http://schemas.microsoft.com/office/drawing/2014/main" id="{3F6F3D97-2B44-4CEA-89CC-6DEC418D06EB}"/>
            </a:ext>
          </a:extLst>
        </xdr:cNvPr>
        <xdr:cNvSpPr/>
      </xdr:nvSpPr>
      <xdr:spPr>
        <a:xfrm rot="10800000">
          <a:off x="13403580" y="11622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636</xdr:row>
      <xdr:rowOff>0</xdr:rowOff>
    </xdr:from>
    <xdr:to>
      <xdr:col>5</xdr:col>
      <xdr:colOff>83820</xdr:colOff>
      <xdr:row>636</xdr:row>
      <xdr:rowOff>114300</xdr:rowOff>
    </xdr:to>
    <xdr:sp macro="" textlink="">
      <xdr:nvSpPr>
        <xdr:cNvPr id="4664" name="Arrow: Down 4663">
          <a:extLst>
            <a:ext uri="{FF2B5EF4-FFF2-40B4-BE49-F238E27FC236}">
              <a16:creationId xmlns:a16="http://schemas.microsoft.com/office/drawing/2014/main" id="{AB195960-08EF-4ABE-B849-A1C507B77BE7}"/>
            </a:ext>
          </a:extLst>
        </xdr:cNvPr>
        <xdr:cNvSpPr/>
      </xdr:nvSpPr>
      <xdr:spPr>
        <a:xfrm rot="10800000">
          <a:off x="192786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636</xdr:row>
      <xdr:rowOff>0</xdr:rowOff>
    </xdr:from>
    <xdr:to>
      <xdr:col>11</xdr:col>
      <xdr:colOff>83820</xdr:colOff>
      <xdr:row>636</xdr:row>
      <xdr:rowOff>114300</xdr:rowOff>
    </xdr:to>
    <xdr:sp macro="" textlink="">
      <xdr:nvSpPr>
        <xdr:cNvPr id="4667" name="Arrow: Down 4666">
          <a:extLst>
            <a:ext uri="{FF2B5EF4-FFF2-40B4-BE49-F238E27FC236}">
              <a16:creationId xmlns:a16="http://schemas.microsoft.com/office/drawing/2014/main" id="{E36DB133-F7C1-4911-B0E5-5E9B9C9EAA3B}"/>
            </a:ext>
          </a:extLst>
        </xdr:cNvPr>
        <xdr:cNvSpPr/>
      </xdr:nvSpPr>
      <xdr:spPr>
        <a:xfrm rot="10800000">
          <a:off x="369570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636</xdr:row>
      <xdr:rowOff>0</xdr:rowOff>
    </xdr:from>
    <xdr:to>
      <xdr:col>24</xdr:col>
      <xdr:colOff>83820</xdr:colOff>
      <xdr:row>636</xdr:row>
      <xdr:rowOff>114300</xdr:rowOff>
    </xdr:to>
    <xdr:sp macro="" textlink="">
      <xdr:nvSpPr>
        <xdr:cNvPr id="4668" name="Arrow: Down 4667">
          <a:extLst>
            <a:ext uri="{FF2B5EF4-FFF2-40B4-BE49-F238E27FC236}">
              <a16:creationId xmlns:a16="http://schemas.microsoft.com/office/drawing/2014/main" id="{0E144FD4-52C7-42E9-9B27-A7ED10B89C3E}"/>
            </a:ext>
          </a:extLst>
        </xdr:cNvPr>
        <xdr:cNvSpPr/>
      </xdr:nvSpPr>
      <xdr:spPr>
        <a:xfrm rot="10800000">
          <a:off x="833628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636</xdr:row>
      <xdr:rowOff>0</xdr:rowOff>
    </xdr:from>
    <xdr:to>
      <xdr:col>60</xdr:col>
      <xdr:colOff>83820</xdr:colOff>
      <xdr:row>636</xdr:row>
      <xdr:rowOff>114300</xdr:rowOff>
    </xdr:to>
    <xdr:sp macro="" textlink="">
      <xdr:nvSpPr>
        <xdr:cNvPr id="4693" name="Arrow: Down 4692">
          <a:extLst>
            <a:ext uri="{FF2B5EF4-FFF2-40B4-BE49-F238E27FC236}">
              <a16:creationId xmlns:a16="http://schemas.microsoft.com/office/drawing/2014/main" id="{B5830B20-A163-42A5-BFD4-3DD5B945CB07}"/>
            </a:ext>
          </a:extLst>
        </xdr:cNvPr>
        <xdr:cNvSpPr/>
      </xdr:nvSpPr>
      <xdr:spPr>
        <a:xfrm rot="10800000">
          <a:off x="1908048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636</xdr:row>
      <xdr:rowOff>0</xdr:rowOff>
    </xdr:from>
    <xdr:to>
      <xdr:col>71</xdr:col>
      <xdr:colOff>83820</xdr:colOff>
      <xdr:row>636</xdr:row>
      <xdr:rowOff>114300</xdr:rowOff>
    </xdr:to>
    <xdr:sp macro="" textlink="">
      <xdr:nvSpPr>
        <xdr:cNvPr id="4700" name="Arrow: Down 4699">
          <a:extLst>
            <a:ext uri="{FF2B5EF4-FFF2-40B4-BE49-F238E27FC236}">
              <a16:creationId xmlns:a16="http://schemas.microsoft.com/office/drawing/2014/main" id="{37403386-9BA0-474A-9BD4-7FB091DACC2F}"/>
            </a:ext>
          </a:extLst>
        </xdr:cNvPr>
        <xdr:cNvSpPr/>
      </xdr:nvSpPr>
      <xdr:spPr>
        <a:xfrm rot="10800000">
          <a:off x="2180082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636</xdr:row>
      <xdr:rowOff>0</xdr:rowOff>
    </xdr:from>
    <xdr:to>
      <xdr:col>39</xdr:col>
      <xdr:colOff>83820</xdr:colOff>
      <xdr:row>636</xdr:row>
      <xdr:rowOff>114300</xdr:rowOff>
    </xdr:to>
    <xdr:sp macro="" textlink="">
      <xdr:nvSpPr>
        <xdr:cNvPr id="4713" name="Arrow: Down 4712">
          <a:extLst>
            <a:ext uri="{FF2B5EF4-FFF2-40B4-BE49-F238E27FC236}">
              <a16:creationId xmlns:a16="http://schemas.microsoft.com/office/drawing/2014/main" id="{1DBCF6B9-C36F-4CD4-ADAA-C26D41A9FA22}"/>
            </a:ext>
          </a:extLst>
        </xdr:cNvPr>
        <xdr:cNvSpPr/>
      </xdr:nvSpPr>
      <xdr:spPr>
        <a:xfrm>
          <a:off x="1154430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636</xdr:row>
      <xdr:rowOff>0</xdr:rowOff>
    </xdr:from>
    <xdr:to>
      <xdr:col>45</xdr:col>
      <xdr:colOff>83820</xdr:colOff>
      <xdr:row>636</xdr:row>
      <xdr:rowOff>114300</xdr:rowOff>
    </xdr:to>
    <xdr:sp macro="" textlink="">
      <xdr:nvSpPr>
        <xdr:cNvPr id="4714" name="Arrow: Down 4713">
          <a:extLst>
            <a:ext uri="{FF2B5EF4-FFF2-40B4-BE49-F238E27FC236}">
              <a16:creationId xmlns:a16="http://schemas.microsoft.com/office/drawing/2014/main" id="{F554CE52-88D7-403C-AA8A-11E337BE2CC6}"/>
            </a:ext>
          </a:extLst>
        </xdr:cNvPr>
        <xdr:cNvSpPr/>
      </xdr:nvSpPr>
      <xdr:spPr>
        <a:xfrm>
          <a:off x="1340358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637</xdr:row>
      <xdr:rowOff>0</xdr:rowOff>
    </xdr:from>
    <xdr:to>
      <xdr:col>5</xdr:col>
      <xdr:colOff>83820</xdr:colOff>
      <xdr:row>637</xdr:row>
      <xdr:rowOff>114300</xdr:rowOff>
    </xdr:to>
    <xdr:sp macro="" textlink="">
      <xdr:nvSpPr>
        <xdr:cNvPr id="4715" name="Arrow: Down 4714">
          <a:extLst>
            <a:ext uri="{FF2B5EF4-FFF2-40B4-BE49-F238E27FC236}">
              <a16:creationId xmlns:a16="http://schemas.microsoft.com/office/drawing/2014/main" id="{2D6D4CEA-56E0-4227-9F10-26C1AC622719}"/>
            </a:ext>
          </a:extLst>
        </xdr:cNvPr>
        <xdr:cNvSpPr/>
      </xdr:nvSpPr>
      <xdr:spPr>
        <a:xfrm rot="10800000">
          <a:off x="192786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637</xdr:row>
      <xdr:rowOff>0</xdr:rowOff>
    </xdr:from>
    <xdr:to>
      <xdr:col>11</xdr:col>
      <xdr:colOff>83820</xdr:colOff>
      <xdr:row>637</xdr:row>
      <xdr:rowOff>114300</xdr:rowOff>
    </xdr:to>
    <xdr:sp macro="" textlink="">
      <xdr:nvSpPr>
        <xdr:cNvPr id="4716" name="Arrow: Down 4715">
          <a:extLst>
            <a:ext uri="{FF2B5EF4-FFF2-40B4-BE49-F238E27FC236}">
              <a16:creationId xmlns:a16="http://schemas.microsoft.com/office/drawing/2014/main" id="{05CD5F39-82D3-4135-99EE-DAFD29A10E93}"/>
            </a:ext>
          </a:extLst>
        </xdr:cNvPr>
        <xdr:cNvSpPr/>
      </xdr:nvSpPr>
      <xdr:spPr>
        <a:xfrm rot="10800000">
          <a:off x="369570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637</xdr:row>
      <xdr:rowOff>0</xdr:rowOff>
    </xdr:from>
    <xdr:to>
      <xdr:col>71</xdr:col>
      <xdr:colOff>83820</xdr:colOff>
      <xdr:row>637</xdr:row>
      <xdr:rowOff>114300</xdr:rowOff>
    </xdr:to>
    <xdr:sp macro="" textlink="">
      <xdr:nvSpPr>
        <xdr:cNvPr id="4720" name="Arrow: Down 4719">
          <a:extLst>
            <a:ext uri="{FF2B5EF4-FFF2-40B4-BE49-F238E27FC236}">
              <a16:creationId xmlns:a16="http://schemas.microsoft.com/office/drawing/2014/main" id="{EB5C862C-4E91-429B-A670-4F5ACADD6B0E}"/>
            </a:ext>
          </a:extLst>
        </xdr:cNvPr>
        <xdr:cNvSpPr/>
      </xdr:nvSpPr>
      <xdr:spPr>
        <a:xfrm rot="10800000">
          <a:off x="2180082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637</xdr:row>
      <xdr:rowOff>0</xdr:rowOff>
    </xdr:from>
    <xdr:to>
      <xdr:col>45</xdr:col>
      <xdr:colOff>83820</xdr:colOff>
      <xdr:row>637</xdr:row>
      <xdr:rowOff>114300</xdr:rowOff>
    </xdr:to>
    <xdr:sp macro="" textlink="">
      <xdr:nvSpPr>
        <xdr:cNvPr id="4722" name="Arrow: Down 4721">
          <a:extLst>
            <a:ext uri="{FF2B5EF4-FFF2-40B4-BE49-F238E27FC236}">
              <a16:creationId xmlns:a16="http://schemas.microsoft.com/office/drawing/2014/main" id="{903529C3-A2C2-4890-9562-D9CD42BB571D}"/>
            </a:ext>
          </a:extLst>
        </xdr:cNvPr>
        <xdr:cNvSpPr/>
      </xdr:nvSpPr>
      <xdr:spPr>
        <a:xfrm>
          <a:off x="1340358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637</xdr:row>
      <xdr:rowOff>0</xdr:rowOff>
    </xdr:from>
    <xdr:to>
      <xdr:col>39</xdr:col>
      <xdr:colOff>83820</xdr:colOff>
      <xdr:row>637</xdr:row>
      <xdr:rowOff>114300</xdr:rowOff>
    </xdr:to>
    <xdr:sp macro="" textlink="">
      <xdr:nvSpPr>
        <xdr:cNvPr id="4724" name="Arrow: Down 4723">
          <a:extLst>
            <a:ext uri="{FF2B5EF4-FFF2-40B4-BE49-F238E27FC236}">
              <a16:creationId xmlns:a16="http://schemas.microsoft.com/office/drawing/2014/main" id="{4BBA8E7C-8A1C-48D1-A153-4D1A785F1C5E}"/>
            </a:ext>
          </a:extLst>
        </xdr:cNvPr>
        <xdr:cNvSpPr/>
      </xdr:nvSpPr>
      <xdr:spPr>
        <a:xfrm rot="10800000">
          <a:off x="1154430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637</xdr:row>
      <xdr:rowOff>0</xdr:rowOff>
    </xdr:from>
    <xdr:to>
      <xdr:col>24</xdr:col>
      <xdr:colOff>83820</xdr:colOff>
      <xdr:row>637</xdr:row>
      <xdr:rowOff>114300</xdr:rowOff>
    </xdr:to>
    <xdr:sp macro="" textlink="">
      <xdr:nvSpPr>
        <xdr:cNvPr id="4726" name="Arrow: Down 4725">
          <a:extLst>
            <a:ext uri="{FF2B5EF4-FFF2-40B4-BE49-F238E27FC236}">
              <a16:creationId xmlns:a16="http://schemas.microsoft.com/office/drawing/2014/main" id="{C07E6D0C-6E29-4241-8D51-9773522BA943}"/>
            </a:ext>
          </a:extLst>
        </xdr:cNvPr>
        <xdr:cNvSpPr/>
      </xdr:nvSpPr>
      <xdr:spPr>
        <a:xfrm>
          <a:off x="833628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637</xdr:row>
      <xdr:rowOff>0</xdr:rowOff>
    </xdr:from>
    <xdr:to>
      <xdr:col>60</xdr:col>
      <xdr:colOff>83820</xdr:colOff>
      <xdr:row>637</xdr:row>
      <xdr:rowOff>114300</xdr:rowOff>
    </xdr:to>
    <xdr:sp macro="" textlink="">
      <xdr:nvSpPr>
        <xdr:cNvPr id="4727" name="Arrow: Down 4726">
          <a:extLst>
            <a:ext uri="{FF2B5EF4-FFF2-40B4-BE49-F238E27FC236}">
              <a16:creationId xmlns:a16="http://schemas.microsoft.com/office/drawing/2014/main" id="{D6CEF0DB-2077-4B16-B769-C2B9C3889189}"/>
            </a:ext>
          </a:extLst>
        </xdr:cNvPr>
        <xdr:cNvSpPr/>
      </xdr:nvSpPr>
      <xdr:spPr>
        <a:xfrm>
          <a:off x="1908048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638</xdr:row>
      <xdr:rowOff>0</xdr:rowOff>
    </xdr:from>
    <xdr:to>
      <xdr:col>71</xdr:col>
      <xdr:colOff>83820</xdr:colOff>
      <xdr:row>638</xdr:row>
      <xdr:rowOff>114300</xdr:rowOff>
    </xdr:to>
    <xdr:sp macro="" textlink="">
      <xdr:nvSpPr>
        <xdr:cNvPr id="4744" name="Arrow: Down 4743">
          <a:extLst>
            <a:ext uri="{FF2B5EF4-FFF2-40B4-BE49-F238E27FC236}">
              <a16:creationId xmlns:a16="http://schemas.microsoft.com/office/drawing/2014/main" id="{0E288411-AB24-47E7-BB9D-F792AF607B69}"/>
            </a:ext>
          </a:extLst>
        </xdr:cNvPr>
        <xdr:cNvSpPr/>
      </xdr:nvSpPr>
      <xdr:spPr>
        <a:xfrm rot="10800000">
          <a:off x="21800820" y="11659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638</xdr:row>
      <xdr:rowOff>0</xdr:rowOff>
    </xdr:from>
    <xdr:to>
      <xdr:col>45</xdr:col>
      <xdr:colOff>83820</xdr:colOff>
      <xdr:row>638</xdr:row>
      <xdr:rowOff>114300</xdr:rowOff>
    </xdr:to>
    <xdr:sp macro="" textlink="">
      <xdr:nvSpPr>
        <xdr:cNvPr id="4750" name="Arrow: Down 4749">
          <a:extLst>
            <a:ext uri="{FF2B5EF4-FFF2-40B4-BE49-F238E27FC236}">
              <a16:creationId xmlns:a16="http://schemas.microsoft.com/office/drawing/2014/main" id="{302D7B6F-1957-400B-8CAB-F7DE4BA33BE8}"/>
            </a:ext>
          </a:extLst>
        </xdr:cNvPr>
        <xdr:cNvSpPr/>
      </xdr:nvSpPr>
      <xdr:spPr>
        <a:xfrm>
          <a:off x="13403580" y="11659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638</xdr:row>
      <xdr:rowOff>0</xdr:rowOff>
    </xdr:from>
    <xdr:to>
      <xdr:col>24</xdr:col>
      <xdr:colOff>83820</xdr:colOff>
      <xdr:row>638</xdr:row>
      <xdr:rowOff>114300</xdr:rowOff>
    </xdr:to>
    <xdr:sp macro="" textlink="">
      <xdr:nvSpPr>
        <xdr:cNvPr id="4752" name="Arrow: Down 4751">
          <a:extLst>
            <a:ext uri="{FF2B5EF4-FFF2-40B4-BE49-F238E27FC236}">
              <a16:creationId xmlns:a16="http://schemas.microsoft.com/office/drawing/2014/main" id="{ABBD33AE-56D8-4CCF-904F-0479788DED26}"/>
            </a:ext>
          </a:extLst>
        </xdr:cNvPr>
        <xdr:cNvSpPr/>
      </xdr:nvSpPr>
      <xdr:spPr>
        <a:xfrm>
          <a:off x="833628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638</xdr:row>
      <xdr:rowOff>0</xdr:rowOff>
    </xdr:from>
    <xdr:to>
      <xdr:col>60</xdr:col>
      <xdr:colOff>83820</xdr:colOff>
      <xdr:row>638</xdr:row>
      <xdr:rowOff>114300</xdr:rowOff>
    </xdr:to>
    <xdr:sp macro="" textlink="">
      <xdr:nvSpPr>
        <xdr:cNvPr id="4754" name="Arrow: Down 4753">
          <a:extLst>
            <a:ext uri="{FF2B5EF4-FFF2-40B4-BE49-F238E27FC236}">
              <a16:creationId xmlns:a16="http://schemas.microsoft.com/office/drawing/2014/main" id="{65B86B65-DE7B-4B1B-B80F-1BE994ECE0AC}"/>
            </a:ext>
          </a:extLst>
        </xdr:cNvPr>
        <xdr:cNvSpPr/>
      </xdr:nvSpPr>
      <xdr:spPr>
        <a:xfrm rot="10800000">
          <a:off x="19080480" y="11677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638</xdr:row>
      <xdr:rowOff>0</xdr:rowOff>
    </xdr:from>
    <xdr:to>
      <xdr:col>5</xdr:col>
      <xdr:colOff>83820</xdr:colOff>
      <xdr:row>638</xdr:row>
      <xdr:rowOff>114300</xdr:rowOff>
    </xdr:to>
    <xdr:sp macro="" textlink="">
      <xdr:nvSpPr>
        <xdr:cNvPr id="4756" name="Arrow: Down 4755">
          <a:extLst>
            <a:ext uri="{FF2B5EF4-FFF2-40B4-BE49-F238E27FC236}">
              <a16:creationId xmlns:a16="http://schemas.microsoft.com/office/drawing/2014/main" id="{3AD9291B-089B-45A0-B55A-271CB58A7E23}"/>
            </a:ext>
          </a:extLst>
        </xdr:cNvPr>
        <xdr:cNvSpPr/>
      </xdr:nvSpPr>
      <xdr:spPr>
        <a:xfrm>
          <a:off x="192786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638</xdr:row>
      <xdr:rowOff>0</xdr:rowOff>
    </xdr:from>
    <xdr:to>
      <xdr:col>11</xdr:col>
      <xdr:colOff>83820</xdr:colOff>
      <xdr:row>638</xdr:row>
      <xdr:rowOff>114300</xdr:rowOff>
    </xdr:to>
    <xdr:sp macro="" textlink="">
      <xdr:nvSpPr>
        <xdr:cNvPr id="4759" name="Arrow: Down 4758">
          <a:extLst>
            <a:ext uri="{FF2B5EF4-FFF2-40B4-BE49-F238E27FC236}">
              <a16:creationId xmlns:a16="http://schemas.microsoft.com/office/drawing/2014/main" id="{7E08DCFD-24F6-4E8B-BA59-FFD2F43767D6}"/>
            </a:ext>
          </a:extLst>
        </xdr:cNvPr>
        <xdr:cNvSpPr/>
      </xdr:nvSpPr>
      <xdr:spPr>
        <a:xfrm>
          <a:off x="369570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639</xdr:row>
      <xdr:rowOff>0</xdr:rowOff>
    </xdr:from>
    <xdr:to>
      <xdr:col>45</xdr:col>
      <xdr:colOff>83820</xdr:colOff>
      <xdr:row>639</xdr:row>
      <xdr:rowOff>114300</xdr:rowOff>
    </xdr:to>
    <xdr:sp macro="" textlink="">
      <xdr:nvSpPr>
        <xdr:cNvPr id="4772" name="Arrow: Down 4771">
          <a:extLst>
            <a:ext uri="{FF2B5EF4-FFF2-40B4-BE49-F238E27FC236}">
              <a16:creationId xmlns:a16="http://schemas.microsoft.com/office/drawing/2014/main" id="{02E2F6E4-7752-4BEF-9D7B-E0315D7AE03B}"/>
            </a:ext>
          </a:extLst>
        </xdr:cNvPr>
        <xdr:cNvSpPr/>
      </xdr:nvSpPr>
      <xdr:spPr>
        <a:xfrm>
          <a:off x="13403580" y="11677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639</xdr:row>
      <xdr:rowOff>0</xdr:rowOff>
    </xdr:from>
    <xdr:to>
      <xdr:col>5</xdr:col>
      <xdr:colOff>83820</xdr:colOff>
      <xdr:row>639</xdr:row>
      <xdr:rowOff>114300</xdr:rowOff>
    </xdr:to>
    <xdr:sp macro="" textlink="">
      <xdr:nvSpPr>
        <xdr:cNvPr id="4783" name="Arrow: Down 4782">
          <a:extLst>
            <a:ext uri="{FF2B5EF4-FFF2-40B4-BE49-F238E27FC236}">
              <a16:creationId xmlns:a16="http://schemas.microsoft.com/office/drawing/2014/main" id="{679E23BA-095C-4E5E-99BA-63D82A57A753}"/>
            </a:ext>
          </a:extLst>
        </xdr:cNvPr>
        <xdr:cNvSpPr/>
      </xdr:nvSpPr>
      <xdr:spPr>
        <a:xfrm>
          <a:off x="192786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639</xdr:row>
      <xdr:rowOff>0</xdr:rowOff>
    </xdr:from>
    <xdr:to>
      <xdr:col>11</xdr:col>
      <xdr:colOff>83820</xdr:colOff>
      <xdr:row>639</xdr:row>
      <xdr:rowOff>114300</xdr:rowOff>
    </xdr:to>
    <xdr:sp macro="" textlink="">
      <xdr:nvSpPr>
        <xdr:cNvPr id="4787" name="Arrow: Down 4786">
          <a:extLst>
            <a:ext uri="{FF2B5EF4-FFF2-40B4-BE49-F238E27FC236}">
              <a16:creationId xmlns:a16="http://schemas.microsoft.com/office/drawing/2014/main" id="{EB102129-CE86-425A-98D3-C0B17ED23EDF}"/>
            </a:ext>
          </a:extLst>
        </xdr:cNvPr>
        <xdr:cNvSpPr/>
      </xdr:nvSpPr>
      <xdr:spPr>
        <a:xfrm>
          <a:off x="369570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639</xdr:row>
      <xdr:rowOff>0</xdr:rowOff>
    </xdr:from>
    <xdr:to>
      <xdr:col>39</xdr:col>
      <xdr:colOff>83820</xdr:colOff>
      <xdr:row>639</xdr:row>
      <xdr:rowOff>114300</xdr:rowOff>
    </xdr:to>
    <xdr:sp macro="" textlink="">
      <xdr:nvSpPr>
        <xdr:cNvPr id="4788" name="Arrow: Down 4787">
          <a:extLst>
            <a:ext uri="{FF2B5EF4-FFF2-40B4-BE49-F238E27FC236}">
              <a16:creationId xmlns:a16="http://schemas.microsoft.com/office/drawing/2014/main" id="{5B1AD0ED-CB56-4682-95AE-BA4B7D8BC6B6}"/>
            </a:ext>
          </a:extLst>
        </xdr:cNvPr>
        <xdr:cNvSpPr/>
      </xdr:nvSpPr>
      <xdr:spPr>
        <a:xfrm rot="10800000">
          <a:off x="11544300" y="116959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638</xdr:row>
      <xdr:rowOff>0</xdr:rowOff>
    </xdr:from>
    <xdr:to>
      <xdr:col>39</xdr:col>
      <xdr:colOff>83820</xdr:colOff>
      <xdr:row>638</xdr:row>
      <xdr:rowOff>114300</xdr:rowOff>
    </xdr:to>
    <xdr:sp macro="" textlink="">
      <xdr:nvSpPr>
        <xdr:cNvPr id="4789" name="Arrow: Down 4788">
          <a:extLst>
            <a:ext uri="{FF2B5EF4-FFF2-40B4-BE49-F238E27FC236}">
              <a16:creationId xmlns:a16="http://schemas.microsoft.com/office/drawing/2014/main" id="{D28926C1-467A-462F-AAEC-4FA2D646B512}"/>
            </a:ext>
          </a:extLst>
        </xdr:cNvPr>
        <xdr:cNvSpPr/>
      </xdr:nvSpPr>
      <xdr:spPr>
        <a:xfrm>
          <a:off x="11544300" y="11677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639</xdr:row>
      <xdr:rowOff>0</xdr:rowOff>
    </xdr:from>
    <xdr:to>
      <xdr:col>60</xdr:col>
      <xdr:colOff>83820</xdr:colOff>
      <xdr:row>639</xdr:row>
      <xdr:rowOff>114300</xdr:rowOff>
    </xdr:to>
    <xdr:sp macro="" textlink="">
      <xdr:nvSpPr>
        <xdr:cNvPr id="4796" name="Arrow: Down 4795">
          <a:extLst>
            <a:ext uri="{FF2B5EF4-FFF2-40B4-BE49-F238E27FC236}">
              <a16:creationId xmlns:a16="http://schemas.microsoft.com/office/drawing/2014/main" id="{3B189873-0E82-4698-BB95-8520D9FC05A6}"/>
            </a:ext>
          </a:extLst>
        </xdr:cNvPr>
        <xdr:cNvSpPr/>
      </xdr:nvSpPr>
      <xdr:spPr>
        <a:xfrm>
          <a:off x="1908048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639</xdr:row>
      <xdr:rowOff>0</xdr:rowOff>
    </xdr:from>
    <xdr:to>
      <xdr:col>71</xdr:col>
      <xdr:colOff>83820</xdr:colOff>
      <xdr:row>639</xdr:row>
      <xdr:rowOff>114300</xdr:rowOff>
    </xdr:to>
    <xdr:sp macro="" textlink="">
      <xdr:nvSpPr>
        <xdr:cNvPr id="4798" name="Arrow: Down 4797">
          <a:extLst>
            <a:ext uri="{FF2B5EF4-FFF2-40B4-BE49-F238E27FC236}">
              <a16:creationId xmlns:a16="http://schemas.microsoft.com/office/drawing/2014/main" id="{17F71315-D419-4529-942B-7878F4B30537}"/>
            </a:ext>
          </a:extLst>
        </xdr:cNvPr>
        <xdr:cNvSpPr/>
      </xdr:nvSpPr>
      <xdr:spPr>
        <a:xfrm>
          <a:off x="2180082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640</xdr:row>
      <xdr:rowOff>0</xdr:rowOff>
    </xdr:from>
    <xdr:to>
      <xdr:col>45</xdr:col>
      <xdr:colOff>83820</xdr:colOff>
      <xdr:row>640</xdr:row>
      <xdr:rowOff>114300</xdr:rowOff>
    </xdr:to>
    <xdr:sp macro="" textlink="">
      <xdr:nvSpPr>
        <xdr:cNvPr id="4799" name="Arrow: Down 4798">
          <a:extLst>
            <a:ext uri="{FF2B5EF4-FFF2-40B4-BE49-F238E27FC236}">
              <a16:creationId xmlns:a16="http://schemas.microsoft.com/office/drawing/2014/main" id="{2F746367-540D-471E-8DB6-69E15333666E}"/>
            </a:ext>
          </a:extLst>
        </xdr:cNvPr>
        <xdr:cNvSpPr/>
      </xdr:nvSpPr>
      <xdr:spPr>
        <a:xfrm>
          <a:off x="13403580" y="11695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640</xdr:row>
      <xdr:rowOff>0</xdr:rowOff>
    </xdr:from>
    <xdr:to>
      <xdr:col>24</xdr:col>
      <xdr:colOff>83820</xdr:colOff>
      <xdr:row>640</xdr:row>
      <xdr:rowOff>114300</xdr:rowOff>
    </xdr:to>
    <xdr:sp macro="" textlink="">
      <xdr:nvSpPr>
        <xdr:cNvPr id="4800" name="Arrow: Down 4799">
          <a:extLst>
            <a:ext uri="{FF2B5EF4-FFF2-40B4-BE49-F238E27FC236}">
              <a16:creationId xmlns:a16="http://schemas.microsoft.com/office/drawing/2014/main" id="{D5C1004B-F311-4F21-A036-002C93100505}"/>
            </a:ext>
          </a:extLst>
        </xdr:cNvPr>
        <xdr:cNvSpPr/>
      </xdr:nvSpPr>
      <xdr:spPr>
        <a:xfrm>
          <a:off x="833628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640</xdr:row>
      <xdr:rowOff>0</xdr:rowOff>
    </xdr:from>
    <xdr:to>
      <xdr:col>5</xdr:col>
      <xdr:colOff>83820</xdr:colOff>
      <xdr:row>640</xdr:row>
      <xdr:rowOff>114300</xdr:rowOff>
    </xdr:to>
    <xdr:sp macro="" textlink="">
      <xdr:nvSpPr>
        <xdr:cNvPr id="4801" name="Arrow: Down 4800">
          <a:extLst>
            <a:ext uri="{FF2B5EF4-FFF2-40B4-BE49-F238E27FC236}">
              <a16:creationId xmlns:a16="http://schemas.microsoft.com/office/drawing/2014/main" id="{23DE261F-E241-425A-BAAB-E539B1DFDEE9}"/>
            </a:ext>
          </a:extLst>
        </xdr:cNvPr>
        <xdr:cNvSpPr/>
      </xdr:nvSpPr>
      <xdr:spPr>
        <a:xfrm>
          <a:off x="192786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640</xdr:row>
      <xdr:rowOff>0</xdr:rowOff>
    </xdr:from>
    <xdr:to>
      <xdr:col>11</xdr:col>
      <xdr:colOff>83820</xdr:colOff>
      <xdr:row>640</xdr:row>
      <xdr:rowOff>114300</xdr:rowOff>
    </xdr:to>
    <xdr:sp macro="" textlink="">
      <xdr:nvSpPr>
        <xdr:cNvPr id="4802" name="Arrow: Down 4801">
          <a:extLst>
            <a:ext uri="{FF2B5EF4-FFF2-40B4-BE49-F238E27FC236}">
              <a16:creationId xmlns:a16="http://schemas.microsoft.com/office/drawing/2014/main" id="{AFE7AE42-6E21-440D-B6F7-8299DE8E000E}"/>
            </a:ext>
          </a:extLst>
        </xdr:cNvPr>
        <xdr:cNvSpPr/>
      </xdr:nvSpPr>
      <xdr:spPr>
        <a:xfrm>
          <a:off x="369570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640</xdr:row>
      <xdr:rowOff>0</xdr:rowOff>
    </xdr:from>
    <xdr:to>
      <xdr:col>60</xdr:col>
      <xdr:colOff>83820</xdr:colOff>
      <xdr:row>640</xdr:row>
      <xdr:rowOff>114300</xdr:rowOff>
    </xdr:to>
    <xdr:sp macro="" textlink="">
      <xdr:nvSpPr>
        <xdr:cNvPr id="4804" name="Arrow: Down 4803">
          <a:extLst>
            <a:ext uri="{FF2B5EF4-FFF2-40B4-BE49-F238E27FC236}">
              <a16:creationId xmlns:a16="http://schemas.microsoft.com/office/drawing/2014/main" id="{A5B34203-8D76-4675-AF9A-DC8ACB748B21}"/>
            </a:ext>
          </a:extLst>
        </xdr:cNvPr>
        <xdr:cNvSpPr/>
      </xdr:nvSpPr>
      <xdr:spPr>
        <a:xfrm>
          <a:off x="1908048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639</xdr:row>
      <xdr:rowOff>0</xdr:rowOff>
    </xdr:from>
    <xdr:to>
      <xdr:col>24</xdr:col>
      <xdr:colOff>83820</xdr:colOff>
      <xdr:row>639</xdr:row>
      <xdr:rowOff>114300</xdr:rowOff>
    </xdr:to>
    <xdr:sp macro="" textlink="">
      <xdr:nvSpPr>
        <xdr:cNvPr id="4813" name="Arrow: Down 4812">
          <a:extLst>
            <a:ext uri="{FF2B5EF4-FFF2-40B4-BE49-F238E27FC236}">
              <a16:creationId xmlns:a16="http://schemas.microsoft.com/office/drawing/2014/main" id="{14748CBF-BE6B-4138-84F5-9D12C8FC7AC7}"/>
            </a:ext>
          </a:extLst>
        </xdr:cNvPr>
        <xdr:cNvSpPr/>
      </xdr:nvSpPr>
      <xdr:spPr>
        <a:xfrm rot="10800000">
          <a:off x="8336280" y="11695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640</xdr:row>
      <xdr:rowOff>0</xdr:rowOff>
    </xdr:from>
    <xdr:to>
      <xdr:col>39</xdr:col>
      <xdr:colOff>83820</xdr:colOff>
      <xdr:row>640</xdr:row>
      <xdr:rowOff>114300</xdr:rowOff>
    </xdr:to>
    <xdr:sp macro="" textlink="">
      <xdr:nvSpPr>
        <xdr:cNvPr id="4815" name="Arrow: Down 4814">
          <a:extLst>
            <a:ext uri="{FF2B5EF4-FFF2-40B4-BE49-F238E27FC236}">
              <a16:creationId xmlns:a16="http://schemas.microsoft.com/office/drawing/2014/main" id="{C2173079-885F-4F65-A1AD-193AC600F674}"/>
            </a:ext>
          </a:extLst>
        </xdr:cNvPr>
        <xdr:cNvSpPr/>
      </xdr:nvSpPr>
      <xdr:spPr>
        <a:xfrm>
          <a:off x="1154430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640</xdr:row>
      <xdr:rowOff>0</xdr:rowOff>
    </xdr:from>
    <xdr:to>
      <xdr:col>71</xdr:col>
      <xdr:colOff>83820</xdr:colOff>
      <xdr:row>640</xdr:row>
      <xdr:rowOff>114300</xdr:rowOff>
    </xdr:to>
    <xdr:sp macro="" textlink="">
      <xdr:nvSpPr>
        <xdr:cNvPr id="4816" name="Arrow: Down 4815">
          <a:extLst>
            <a:ext uri="{FF2B5EF4-FFF2-40B4-BE49-F238E27FC236}">
              <a16:creationId xmlns:a16="http://schemas.microsoft.com/office/drawing/2014/main" id="{8BA49162-2B1F-4FCC-B195-E88076FEF250}"/>
            </a:ext>
          </a:extLst>
        </xdr:cNvPr>
        <xdr:cNvSpPr/>
      </xdr:nvSpPr>
      <xdr:spPr>
        <a:xfrm rot="10800000">
          <a:off x="2180082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641</xdr:row>
      <xdr:rowOff>0</xdr:rowOff>
    </xdr:from>
    <xdr:to>
      <xdr:col>45</xdr:col>
      <xdr:colOff>83820</xdr:colOff>
      <xdr:row>641</xdr:row>
      <xdr:rowOff>114300</xdr:rowOff>
    </xdr:to>
    <xdr:sp macro="" textlink="">
      <xdr:nvSpPr>
        <xdr:cNvPr id="4824" name="Arrow: Down 4823">
          <a:extLst>
            <a:ext uri="{FF2B5EF4-FFF2-40B4-BE49-F238E27FC236}">
              <a16:creationId xmlns:a16="http://schemas.microsoft.com/office/drawing/2014/main" id="{D05C7EA9-096C-488C-B49D-A341CB7DDBCD}"/>
            </a:ext>
          </a:extLst>
        </xdr:cNvPr>
        <xdr:cNvSpPr/>
      </xdr:nvSpPr>
      <xdr:spPr>
        <a:xfrm>
          <a:off x="1340358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641</xdr:row>
      <xdr:rowOff>0</xdr:rowOff>
    </xdr:from>
    <xdr:to>
      <xdr:col>24</xdr:col>
      <xdr:colOff>83820</xdr:colOff>
      <xdr:row>641</xdr:row>
      <xdr:rowOff>114300</xdr:rowOff>
    </xdr:to>
    <xdr:sp macro="" textlink="">
      <xdr:nvSpPr>
        <xdr:cNvPr id="4825" name="Arrow: Down 4824">
          <a:extLst>
            <a:ext uri="{FF2B5EF4-FFF2-40B4-BE49-F238E27FC236}">
              <a16:creationId xmlns:a16="http://schemas.microsoft.com/office/drawing/2014/main" id="{F188ED9B-88F6-4368-9D76-C1A1EFC764D1}"/>
            </a:ext>
          </a:extLst>
        </xdr:cNvPr>
        <xdr:cNvSpPr/>
      </xdr:nvSpPr>
      <xdr:spPr>
        <a:xfrm>
          <a:off x="8336280" y="11732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641</xdr:row>
      <xdr:rowOff>0</xdr:rowOff>
    </xdr:from>
    <xdr:to>
      <xdr:col>5</xdr:col>
      <xdr:colOff>83820</xdr:colOff>
      <xdr:row>641</xdr:row>
      <xdr:rowOff>114300</xdr:rowOff>
    </xdr:to>
    <xdr:sp macro="" textlink="">
      <xdr:nvSpPr>
        <xdr:cNvPr id="4826" name="Arrow: Down 4825">
          <a:extLst>
            <a:ext uri="{FF2B5EF4-FFF2-40B4-BE49-F238E27FC236}">
              <a16:creationId xmlns:a16="http://schemas.microsoft.com/office/drawing/2014/main" id="{2DC955B7-4CBA-4174-BE61-89314A36A056}"/>
            </a:ext>
          </a:extLst>
        </xdr:cNvPr>
        <xdr:cNvSpPr/>
      </xdr:nvSpPr>
      <xdr:spPr>
        <a:xfrm>
          <a:off x="1927860" y="11714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641</xdr:row>
      <xdr:rowOff>0</xdr:rowOff>
    </xdr:from>
    <xdr:to>
      <xdr:col>11</xdr:col>
      <xdr:colOff>83820</xdr:colOff>
      <xdr:row>641</xdr:row>
      <xdr:rowOff>114300</xdr:rowOff>
    </xdr:to>
    <xdr:sp macro="" textlink="">
      <xdr:nvSpPr>
        <xdr:cNvPr id="4827" name="Arrow: Down 4826">
          <a:extLst>
            <a:ext uri="{FF2B5EF4-FFF2-40B4-BE49-F238E27FC236}">
              <a16:creationId xmlns:a16="http://schemas.microsoft.com/office/drawing/2014/main" id="{9EA571D8-9D4F-49FC-8888-FAC3B1DDC4B5}"/>
            </a:ext>
          </a:extLst>
        </xdr:cNvPr>
        <xdr:cNvSpPr/>
      </xdr:nvSpPr>
      <xdr:spPr>
        <a:xfrm>
          <a:off x="3695700" y="11714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641</xdr:row>
      <xdr:rowOff>0</xdr:rowOff>
    </xdr:from>
    <xdr:to>
      <xdr:col>39</xdr:col>
      <xdr:colOff>83820</xdr:colOff>
      <xdr:row>641</xdr:row>
      <xdr:rowOff>114300</xdr:rowOff>
    </xdr:to>
    <xdr:sp macro="" textlink="">
      <xdr:nvSpPr>
        <xdr:cNvPr id="4829" name="Arrow: Down 4828">
          <a:extLst>
            <a:ext uri="{FF2B5EF4-FFF2-40B4-BE49-F238E27FC236}">
              <a16:creationId xmlns:a16="http://schemas.microsoft.com/office/drawing/2014/main" id="{E375645D-1B0D-4C9D-A64B-C0E242984898}"/>
            </a:ext>
          </a:extLst>
        </xdr:cNvPr>
        <xdr:cNvSpPr/>
      </xdr:nvSpPr>
      <xdr:spPr>
        <a:xfrm>
          <a:off x="1154430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641</xdr:row>
      <xdr:rowOff>0</xdr:rowOff>
    </xdr:from>
    <xdr:to>
      <xdr:col>71</xdr:col>
      <xdr:colOff>83820</xdr:colOff>
      <xdr:row>641</xdr:row>
      <xdr:rowOff>114300</xdr:rowOff>
    </xdr:to>
    <xdr:sp macro="" textlink="">
      <xdr:nvSpPr>
        <xdr:cNvPr id="4830" name="Arrow: Down 4829">
          <a:extLst>
            <a:ext uri="{FF2B5EF4-FFF2-40B4-BE49-F238E27FC236}">
              <a16:creationId xmlns:a16="http://schemas.microsoft.com/office/drawing/2014/main" id="{81D23788-E168-4038-9135-22F6524C4244}"/>
            </a:ext>
          </a:extLst>
        </xdr:cNvPr>
        <xdr:cNvSpPr/>
      </xdr:nvSpPr>
      <xdr:spPr>
        <a:xfrm rot="10800000">
          <a:off x="2180082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641</xdr:row>
      <xdr:rowOff>0</xdr:rowOff>
    </xdr:from>
    <xdr:to>
      <xdr:col>60</xdr:col>
      <xdr:colOff>83820</xdr:colOff>
      <xdr:row>641</xdr:row>
      <xdr:rowOff>114300</xdr:rowOff>
    </xdr:to>
    <xdr:sp macro="" textlink="">
      <xdr:nvSpPr>
        <xdr:cNvPr id="4831" name="Arrow: Down 4830">
          <a:extLst>
            <a:ext uri="{FF2B5EF4-FFF2-40B4-BE49-F238E27FC236}">
              <a16:creationId xmlns:a16="http://schemas.microsoft.com/office/drawing/2014/main" id="{3350301E-93D4-4420-A073-590DFD3D3BCE}"/>
            </a:ext>
          </a:extLst>
        </xdr:cNvPr>
        <xdr:cNvSpPr/>
      </xdr:nvSpPr>
      <xdr:spPr>
        <a:xfrm rot="10800000">
          <a:off x="19080480" y="11732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642</xdr:row>
      <xdr:rowOff>0</xdr:rowOff>
    </xdr:from>
    <xdr:to>
      <xdr:col>71</xdr:col>
      <xdr:colOff>83820</xdr:colOff>
      <xdr:row>642</xdr:row>
      <xdr:rowOff>114300</xdr:rowOff>
    </xdr:to>
    <xdr:sp macro="" textlink="">
      <xdr:nvSpPr>
        <xdr:cNvPr id="4728" name="Arrow: Down 4727">
          <a:extLst>
            <a:ext uri="{FF2B5EF4-FFF2-40B4-BE49-F238E27FC236}">
              <a16:creationId xmlns:a16="http://schemas.microsoft.com/office/drawing/2014/main" id="{BB95DDB9-34AD-4B0F-B165-3F91F9ABA305}"/>
            </a:ext>
          </a:extLst>
        </xdr:cNvPr>
        <xdr:cNvSpPr/>
      </xdr:nvSpPr>
      <xdr:spPr>
        <a:xfrm>
          <a:off x="21800820" y="11750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642</xdr:row>
      <xdr:rowOff>0</xdr:rowOff>
    </xdr:from>
    <xdr:to>
      <xdr:col>60</xdr:col>
      <xdr:colOff>83820</xdr:colOff>
      <xdr:row>642</xdr:row>
      <xdr:rowOff>114300</xdr:rowOff>
    </xdr:to>
    <xdr:sp macro="" textlink="">
      <xdr:nvSpPr>
        <xdr:cNvPr id="4729" name="Arrow: Down 4728">
          <a:extLst>
            <a:ext uri="{FF2B5EF4-FFF2-40B4-BE49-F238E27FC236}">
              <a16:creationId xmlns:a16="http://schemas.microsoft.com/office/drawing/2014/main" id="{30D3AD91-C955-4898-A565-4F6AB11F4DFD}"/>
            </a:ext>
          </a:extLst>
        </xdr:cNvPr>
        <xdr:cNvSpPr/>
      </xdr:nvSpPr>
      <xdr:spPr>
        <a:xfrm>
          <a:off x="19080480" y="11750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642</xdr:row>
      <xdr:rowOff>0</xdr:rowOff>
    </xdr:from>
    <xdr:to>
      <xdr:col>5</xdr:col>
      <xdr:colOff>83820</xdr:colOff>
      <xdr:row>642</xdr:row>
      <xdr:rowOff>114300</xdr:rowOff>
    </xdr:to>
    <xdr:sp macro="" textlink="">
      <xdr:nvSpPr>
        <xdr:cNvPr id="4731" name="Arrow: Down 4730">
          <a:extLst>
            <a:ext uri="{FF2B5EF4-FFF2-40B4-BE49-F238E27FC236}">
              <a16:creationId xmlns:a16="http://schemas.microsoft.com/office/drawing/2014/main" id="{0CE613D5-B587-4905-96DD-71414A240E3F}"/>
            </a:ext>
          </a:extLst>
        </xdr:cNvPr>
        <xdr:cNvSpPr/>
      </xdr:nvSpPr>
      <xdr:spPr>
        <a:xfrm rot="10800000">
          <a:off x="192786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642</xdr:row>
      <xdr:rowOff>0</xdr:rowOff>
    </xdr:from>
    <xdr:to>
      <xdr:col>11</xdr:col>
      <xdr:colOff>83820</xdr:colOff>
      <xdr:row>642</xdr:row>
      <xdr:rowOff>114300</xdr:rowOff>
    </xdr:to>
    <xdr:sp macro="" textlink="">
      <xdr:nvSpPr>
        <xdr:cNvPr id="4734" name="Arrow: Down 4733">
          <a:extLst>
            <a:ext uri="{FF2B5EF4-FFF2-40B4-BE49-F238E27FC236}">
              <a16:creationId xmlns:a16="http://schemas.microsoft.com/office/drawing/2014/main" id="{094717E4-FE1D-4DC7-880D-81191E73447C}"/>
            </a:ext>
          </a:extLst>
        </xdr:cNvPr>
        <xdr:cNvSpPr/>
      </xdr:nvSpPr>
      <xdr:spPr>
        <a:xfrm rot="10800000">
          <a:off x="369570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642</xdr:row>
      <xdr:rowOff>0</xdr:rowOff>
    </xdr:from>
    <xdr:to>
      <xdr:col>24</xdr:col>
      <xdr:colOff>83820</xdr:colOff>
      <xdr:row>642</xdr:row>
      <xdr:rowOff>114300</xdr:rowOff>
    </xdr:to>
    <xdr:sp macro="" textlink="">
      <xdr:nvSpPr>
        <xdr:cNvPr id="4736" name="Arrow: Down 4735">
          <a:extLst>
            <a:ext uri="{FF2B5EF4-FFF2-40B4-BE49-F238E27FC236}">
              <a16:creationId xmlns:a16="http://schemas.microsoft.com/office/drawing/2014/main" id="{A2A31243-F798-49E7-B773-6D875C54FEA1}"/>
            </a:ext>
          </a:extLst>
        </xdr:cNvPr>
        <xdr:cNvSpPr/>
      </xdr:nvSpPr>
      <xdr:spPr>
        <a:xfrm rot="10800000">
          <a:off x="833628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642</xdr:row>
      <xdr:rowOff>0</xdr:rowOff>
    </xdr:from>
    <xdr:to>
      <xdr:col>39</xdr:col>
      <xdr:colOff>83820</xdr:colOff>
      <xdr:row>642</xdr:row>
      <xdr:rowOff>114300</xdr:rowOff>
    </xdr:to>
    <xdr:sp macro="" textlink="">
      <xdr:nvSpPr>
        <xdr:cNvPr id="4740" name="Arrow: Down 4739">
          <a:extLst>
            <a:ext uri="{FF2B5EF4-FFF2-40B4-BE49-F238E27FC236}">
              <a16:creationId xmlns:a16="http://schemas.microsoft.com/office/drawing/2014/main" id="{6887C847-FD33-4E13-A433-194AFCF1F689}"/>
            </a:ext>
          </a:extLst>
        </xdr:cNvPr>
        <xdr:cNvSpPr/>
      </xdr:nvSpPr>
      <xdr:spPr>
        <a:xfrm rot="10800000">
          <a:off x="11544300" y="117508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642</xdr:row>
      <xdr:rowOff>0</xdr:rowOff>
    </xdr:from>
    <xdr:to>
      <xdr:col>45</xdr:col>
      <xdr:colOff>83820</xdr:colOff>
      <xdr:row>642</xdr:row>
      <xdr:rowOff>114300</xdr:rowOff>
    </xdr:to>
    <xdr:sp macro="" textlink="">
      <xdr:nvSpPr>
        <xdr:cNvPr id="4753" name="Arrow: Down 4752">
          <a:extLst>
            <a:ext uri="{FF2B5EF4-FFF2-40B4-BE49-F238E27FC236}">
              <a16:creationId xmlns:a16="http://schemas.microsoft.com/office/drawing/2014/main" id="{9D824EEB-86B7-478C-86DC-6B2922DB4737}"/>
            </a:ext>
          </a:extLst>
        </xdr:cNvPr>
        <xdr:cNvSpPr/>
      </xdr:nvSpPr>
      <xdr:spPr>
        <a:xfrm rot="10800000">
          <a:off x="13403580" y="117508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643</xdr:row>
      <xdr:rowOff>0</xdr:rowOff>
    </xdr:from>
    <xdr:to>
      <xdr:col>5</xdr:col>
      <xdr:colOff>83820</xdr:colOff>
      <xdr:row>643</xdr:row>
      <xdr:rowOff>114300</xdr:rowOff>
    </xdr:to>
    <xdr:sp macro="" textlink="">
      <xdr:nvSpPr>
        <xdr:cNvPr id="4767" name="Arrow: Down 4766">
          <a:extLst>
            <a:ext uri="{FF2B5EF4-FFF2-40B4-BE49-F238E27FC236}">
              <a16:creationId xmlns:a16="http://schemas.microsoft.com/office/drawing/2014/main" id="{B31C3ED1-3FDB-42AB-8D50-E3A4A2DB8535}"/>
            </a:ext>
          </a:extLst>
        </xdr:cNvPr>
        <xdr:cNvSpPr/>
      </xdr:nvSpPr>
      <xdr:spPr>
        <a:xfrm rot="10800000">
          <a:off x="192786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643</xdr:row>
      <xdr:rowOff>0</xdr:rowOff>
    </xdr:from>
    <xdr:to>
      <xdr:col>11</xdr:col>
      <xdr:colOff>83820</xdr:colOff>
      <xdr:row>643</xdr:row>
      <xdr:rowOff>114300</xdr:rowOff>
    </xdr:to>
    <xdr:sp macro="" textlink="">
      <xdr:nvSpPr>
        <xdr:cNvPr id="4774" name="Arrow: Down 4773">
          <a:extLst>
            <a:ext uri="{FF2B5EF4-FFF2-40B4-BE49-F238E27FC236}">
              <a16:creationId xmlns:a16="http://schemas.microsoft.com/office/drawing/2014/main" id="{19CF55C7-68AE-43C3-895F-7C66163BE7B9}"/>
            </a:ext>
          </a:extLst>
        </xdr:cNvPr>
        <xdr:cNvSpPr/>
      </xdr:nvSpPr>
      <xdr:spPr>
        <a:xfrm rot="10800000">
          <a:off x="369570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643</xdr:row>
      <xdr:rowOff>0</xdr:rowOff>
    </xdr:from>
    <xdr:to>
      <xdr:col>24</xdr:col>
      <xdr:colOff>83820</xdr:colOff>
      <xdr:row>643</xdr:row>
      <xdr:rowOff>114300</xdr:rowOff>
    </xdr:to>
    <xdr:sp macro="" textlink="">
      <xdr:nvSpPr>
        <xdr:cNvPr id="4778" name="Arrow: Down 4777">
          <a:extLst>
            <a:ext uri="{FF2B5EF4-FFF2-40B4-BE49-F238E27FC236}">
              <a16:creationId xmlns:a16="http://schemas.microsoft.com/office/drawing/2014/main" id="{5A16F488-98BE-4147-899D-18F01431AE94}"/>
            </a:ext>
          </a:extLst>
        </xdr:cNvPr>
        <xdr:cNvSpPr/>
      </xdr:nvSpPr>
      <xdr:spPr>
        <a:xfrm rot="10800000">
          <a:off x="833628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643</xdr:row>
      <xdr:rowOff>0</xdr:rowOff>
    </xdr:from>
    <xdr:to>
      <xdr:col>45</xdr:col>
      <xdr:colOff>83820</xdr:colOff>
      <xdr:row>643</xdr:row>
      <xdr:rowOff>114300</xdr:rowOff>
    </xdr:to>
    <xdr:sp macro="" textlink="">
      <xdr:nvSpPr>
        <xdr:cNvPr id="4803" name="Arrow: Down 4802">
          <a:extLst>
            <a:ext uri="{FF2B5EF4-FFF2-40B4-BE49-F238E27FC236}">
              <a16:creationId xmlns:a16="http://schemas.microsoft.com/office/drawing/2014/main" id="{A80E84D3-444A-44C8-BA4B-AA1DC93A57A4}"/>
            </a:ext>
          </a:extLst>
        </xdr:cNvPr>
        <xdr:cNvSpPr/>
      </xdr:nvSpPr>
      <xdr:spPr>
        <a:xfrm rot="10800000">
          <a:off x="13403580" y="117508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643</xdr:row>
      <xdr:rowOff>0</xdr:rowOff>
    </xdr:from>
    <xdr:to>
      <xdr:col>60</xdr:col>
      <xdr:colOff>83820</xdr:colOff>
      <xdr:row>643</xdr:row>
      <xdr:rowOff>114300</xdr:rowOff>
    </xdr:to>
    <xdr:sp macro="" textlink="">
      <xdr:nvSpPr>
        <xdr:cNvPr id="4814" name="Arrow: Down 4813">
          <a:extLst>
            <a:ext uri="{FF2B5EF4-FFF2-40B4-BE49-F238E27FC236}">
              <a16:creationId xmlns:a16="http://schemas.microsoft.com/office/drawing/2014/main" id="{EA2333DE-4F0B-4633-ADCF-8FD14194092D}"/>
            </a:ext>
          </a:extLst>
        </xdr:cNvPr>
        <xdr:cNvSpPr/>
      </xdr:nvSpPr>
      <xdr:spPr>
        <a:xfrm rot="10800000">
          <a:off x="1908048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644</xdr:row>
      <xdr:rowOff>0</xdr:rowOff>
    </xdr:from>
    <xdr:to>
      <xdr:col>5</xdr:col>
      <xdr:colOff>83820</xdr:colOff>
      <xdr:row>644</xdr:row>
      <xdr:rowOff>114300</xdr:rowOff>
    </xdr:to>
    <xdr:sp macro="" textlink="">
      <xdr:nvSpPr>
        <xdr:cNvPr id="4832" name="Arrow: Down 4831">
          <a:extLst>
            <a:ext uri="{FF2B5EF4-FFF2-40B4-BE49-F238E27FC236}">
              <a16:creationId xmlns:a16="http://schemas.microsoft.com/office/drawing/2014/main" id="{7233834D-2F11-4494-92AB-67816D0FDC1F}"/>
            </a:ext>
          </a:extLst>
        </xdr:cNvPr>
        <xdr:cNvSpPr/>
      </xdr:nvSpPr>
      <xdr:spPr>
        <a:xfrm rot="10800000">
          <a:off x="192786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644</xdr:row>
      <xdr:rowOff>0</xdr:rowOff>
    </xdr:from>
    <xdr:to>
      <xdr:col>11</xdr:col>
      <xdr:colOff>83820</xdr:colOff>
      <xdr:row>644</xdr:row>
      <xdr:rowOff>114300</xdr:rowOff>
    </xdr:to>
    <xdr:sp macro="" textlink="">
      <xdr:nvSpPr>
        <xdr:cNvPr id="4833" name="Arrow: Down 4832">
          <a:extLst>
            <a:ext uri="{FF2B5EF4-FFF2-40B4-BE49-F238E27FC236}">
              <a16:creationId xmlns:a16="http://schemas.microsoft.com/office/drawing/2014/main" id="{FEB9A3C8-BE78-4D87-886C-201D70FE1B6B}"/>
            </a:ext>
          </a:extLst>
        </xdr:cNvPr>
        <xdr:cNvSpPr/>
      </xdr:nvSpPr>
      <xdr:spPr>
        <a:xfrm rot="10800000">
          <a:off x="369570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644</xdr:row>
      <xdr:rowOff>0</xdr:rowOff>
    </xdr:from>
    <xdr:to>
      <xdr:col>24</xdr:col>
      <xdr:colOff>83820</xdr:colOff>
      <xdr:row>644</xdr:row>
      <xdr:rowOff>114300</xdr:rowOff>
    </xdr:to>
    <xdr:sp macro="" textlink="">
      <xdr:nvSpPr>
        <xdr:cNvPr id="4834" name="Arrow: Down 4833">
          <a:extLst>
            <a:ext uri="{FF2B5EF4-FFF2-40B4-BE49-F238E27FC236}">
              <a16:creationId xmlns:a16="http://schemas.microsoft.com/office/drawing/2014/main" id="{2C4D57FC-1FCA-4E4B-B003-92D96FA1E4D3}"/>
            </a:ext>
          </a:extLst>
        </xdr:cNvPr>
        <xdr:cNvSpPr/>
      </xdr:nvSpPr>
      <xdr:spPr>
        <a:xfrm rot="10800000">
          <a:off x="833628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644</xdr:row>
      <xdr:rowOff>0</xdr:rowOff>
    </xdr:from>
    <xdr:to>
      <xdr:col>39</xdr:col>
      <xdr:colOff>83820</xdr:colOff>
      <xdr:row>644</xdr:row>
      <xdr:rowOff>114300</xdr:rowOff>
    </xdr:to>
    <xdr:sp macro="" textlink="">
      <xdr:nvSpPr>
        <xdr:cNvPr id="4835" name="Arrow: Down 4834">
          <a:extLst>
            <a:ext uri="{FF2B5EF4-FFF2-40B4-BE49-F238E27FC236}">
              <a16:creationId xmlns:a16="http://schemas.microsoft.com/office/drawing/2014/main" id="{7172138E-554D-47F9-91F8-1699D94DD50C}"/>
            </a:ext>
          </a:extLst>
        </xdr:cNvPr>
        <xdr:cNvSpPr/>
      </xdr:nvSpPr>
      <xdr:spPr>
        <a:xfrm rot="10800000">
          <a:off x="11544300" y="117873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644</xdr:row>
      <xdr:rowOff>0</xdr:rowOff>
    </xdr:from>
    <xdr:to>
      <xdr:col>45</xdr:col>
      <xdr:colOff>83820</xdr:colOff>
      <xdr:row>644</xdr:row>
      <xdr:rowOff>114300</xdr:rowOff>
    </xdr:to>
    <xdr:sp macro="" textlink="">
      <xdr:nvSpPr>
        <xdr:cNvPr id="4836" name="Arrow: Down 4835">
          <a:extLst>
            <a:ext uri="{FF2B5EF4-FFF2-40B4-BE49-F238E27FC236}">
              <a16:creationId xmlns:a16="http://schemas.microsoft.com/office/drawing/2014/main" id="{165A5ABC-9211-4069-98A3-6CE3D8E8F690}"/>
            </a:ext>
          </a:extLst>
        </xdr:cNvPr>
        <xdr:cNvSpPr/>
      </xdr:nvSpPr>
      <xdr:spPr>
        <a:xfrm rot="10800000">
          <a:off x="13403580" y="117690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644</xdr:row>
      <xdr:rowOff>0</xdr:rowOff>
    </xdr:from>
    <xdr:to>
      <xdr:col>60</xdr:col>
      <xdr:colOff>83820</xdr:colOff>
      <xdr:row>644</xdr:row>
      <xdr:rowOff>114300</xdr:rowOff>
    </xdr:to>
    <xdr:sp macro="" textlink="">
      <xdr:nvSpPr>
        <xdr:cNvPr id="4837" name="Arrow: Down 4836">
          <a:extLst>
            <a:ext uri="{FF2B5EF4-FFF2-40B4-BE49-F238E27FC236}">
              <a16:creationId xmlns:a16="http://schemas.microsoft.com/office/drawing/2014/main" id="{FC7870F0-78E0-496A-8CA4-853DA74DA061}"/>
            </a:ext>
          </a:extLst>
        </xdr:cNvPr>
        <xdr:cNvSpPr/>
      </xdr:nvSpPr>
      <xdr:spPr>
        <a:xfrm rot="10800000">
          <a:off x="1908048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643</xdr:row>
      <xdr:rowOff>0</xdr:rowOff>
    </xdr:from>
    <xdr:to>
      <xdr:col>71</xdr:col>
      <xdr:colOff>83820</xdr:colOff>
      <xdr:row>643</xdr:row>
      <xdr:rowOff>114300</xdr:rowOff>
    </xdr:to>
    <xdr:sp macro="" textlink="">
      <xdr:nvSpPr>
        <xdr:cNvPr id="4839" name="Arrow: Down 4838">
          <a:extLst>
            <a:ext uri="{FF2B5EF4-FFF2-40B4-BE49-F238E27FC236}">
              <a16:creationId xmlns:a16="http://schemas.microsoft.com/office/drawing/2014/main" id="{C1C98E61-CA3B-4321-888D-8968640EE0C1}"/>
            </a:ext>
          </a:extLst>
        </xdr:cNvPr>
        <xdr:cNvSpPr/>
      </xdr:nvSpPr>
      <xdr:spPr>
        <a:xfrm rot="10800000">
          <a:off x="2180082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644</xdr:row>
      <xdr:rowOff>0</xdr:rowOff>
    </xdr:from>
    <xdr:to>
      <xdr:col>71</xdr:col>
      <xdr:colOff>83820</xdr:colOff>
      <xdr:row>644</xdr:row>
      <xdr:rowOff>114300</xdr:rowOff>
    </xdr:to>
    <xdr:sp macro="" textlink="">
      <xdr:nvSpPr>
        <xdr:cNvPr id="4840" name="Arrow: Down 4839">
          <a:extLst>
            <a:ext uri="{FF2B5EF4-FFF2-40B4-BE49-F238E27FC236}">
              <a16:creationId xmlns:a16="http://schemas.microsoft.com/office/drawing/2014/main" id="{4A06E3A1-CAE7-44CC-94AB-F66943B9C68A}"/>
            </a:ext>
          </a:extLst>
        </xdr:cNvPr>
        <xdr:cNvSpPr/>
      </xdr:nvSpPr>
      <xdr:spPr>
        <a:xfrm rot="10800000">
          <a:off x="2180082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643</xdr:row>
      <xdr:rowOff>0</xdr:rowOff>
    </xdr:from>
    <xdr:to>
      <xdr:col>39</xdr:col>
      <xdr:colOff>83820</xdr:colOff>
      <xdr:row>643</xdr:row>
      <xdr:rowOff>114300</xdr:rowOff>
    </xdr:to>
    <xdr:sp macro="" textlink="">
      <xdr:nvSpPr>
        <xdr:cNvPr id="4841" name="Arrow: Down 4840">
          <a:extLst>
            <a:ext uri="{FF2B5EF4-FFF2-40B4-BE49-F238E27FC236}">
              <a16:creationId xmlns:a16="http://schemas.microsoft.com/office/drawing/2014/main" id="{FAFEE59D-BADA-49B6-8970-70CE604EF85D}"/>
            </a:ext>
          </a:extLst>
        </xdr:cNvPr>
        <xdr:cNvSpPr/>
      </xdr:nvSpPr>
      <xdr:spPr>
        <a:xfrm>
          <a:off x="1154430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645</xdr:row>
      <xdr:rowOff>0</xdr:rowOff>
    </xdr:from>
    <xdr:to>
      <xdr:col>5</xdr:col>
      <xdr:colOff>83820</xdr:colOff>
      <xdr:row>645</xdr:row>
      <xdr:rowOff>114300</xdr:rowOff>
    </xdr:to>
    <xdr:sp macro="" textlink="">
      <xdr:nvSpPr>
        <xdr:cNvPr id="4849" name="Arrow: Down 4848">
          <a:extLst>
            <a:ext uri="{FF2B5EF4-FFF2-40B4-BE49-F238E27FC236}">
              <a16:creationId xmlns:a16="http://schemas.microsoft.com/office/drawing/2014/main" id="{3A6933DC-7F1D-49DD-B27B-31CD5B293B34}"/>
            </a:ext>
          </a:extLst>
        </xdr:cNvPr>
        <xdr:cNvSpPr/>
      </xdr:nvSpPr>
      <xdr:spPr>
        <a:xfrm rot="10800000">
          <a:off x="192786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645</xdr:row>
      <xdr:rowOff>0</xdr:rowOff>
    </xdr:from>
    <xdr:to>
      <xdr:col>11</xdr:col>
      <xdr:colOff>83820</xdr:colOff>
      <xdr:row>645</xdr:row>
      <xdr:rowOff>114300</xdr:rowOff>
    </xdr:to>
    <xdr:sp macro="" textlink="">
      <xdr:nvSpPr>
        <xdr:cNvPr id="4850" name="Arrow: Down 4849">
          <a:extLst>
            <a:ext uri="{FF2B5EF4-FFF2-40B4-BE49-F238E27FC236}">
              <a16:creationId xmlns:a16="http://schemas.microsoft.com/office/drawing/2014/main" id="{F275CA75-539E-40C8-A83F-287A700F5A3E}"/>
            </a:ext>
          </a:extLst>
        </xdr:cNvPr>
        <xdr:cNvSpPr/>
      </xdr:nvSpPr>
      <xdr:spPr>
        <a:xfrm rot="10800000">
          <a:off x="369570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645</xdr:row>
      <xdr:rowOff>0</xdr:rowOff>
    </xdr:from>
    <xdr:to>
      <xdr:col>60</xdr:col>
      <xdr:colOff>83820</xdr:colOff>
      <xdr:row>645</xdr:row>
      <xdr:rowOff>114300</xdr:rowOff>
    </xdr:to>
    <xdr:sp macro="" textlink="">
      <xdr:nvSpPr>
        <xdr:cNvPr id="4854" name="Arrow: Down 4853">
          <a:extLst>
            <a:ext uri="{FF2B5EF4-FFF2-40B4-BE49-F238E27FC236}">
              <a16:creationId xmlns:a16="http://schemas.microsoft.com/office/drawing/2014/main" id="{2F6E9726-F994-4975-8420-30A4A665AD65}"/>
            </a:ext>
          </a:extLst>
        </xdr:cNvPr>
        <xdr:cNvSpPr/>
      </xdr:nvSpPr>
      <xdr:spPr>
        <a:xfrm rot="10800000">
          <a:off x="1908048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645</xdr:row>
      <xdr:rowOff>0</xdr:rowOff>
    </xdr:from>
    <xdr:to>
      <xdr:col>71</xdr:col>
      <xdr:colOff>83820</xdr:colOff>
      <xdr:row>645</xdr:row>
      <xdr:rowOff>114300</xdr:rowOff>
    </xdr:to>
    <xdr:sp macro="" textlink="">
      <xdr:nvSpPr>
        <xdr:cNvPr id="4855" name="Arrow: Down 4854">
          <a:extLst>
            <a:ext uri="{FF2B5EF4-FFF2-40B4-BE49-F238E27FC236}">
              <a16:creationId xmlns:a16="http://schemas.microsoft.com/office/drawing/2014/main" id="{A719CB6C-8E59-4D48-99C4-9A91AE980F7D}"/>
            </a:ext>
          </a:extLst>
        </xdr:cNvPr>
        <xdr:cNvSpPr/>
      </xdr:nvSpPr>
      <xdr:spPr>
        <a:xfrm rot="10800000">
          <a:off x="2180082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645</xdr:row>
      <xdr:rowOff>0</xdr:rowOff>
    </xdr:from>
    <xdr:to>
      <xdr:col>24</xdr:col>
      <xdr:colOff>83820</xdr:colOff>
      <xdr:row>645</xdr:row>
      <xdr:rowOff>114300</xdr:rowOff>
    </xdr:to>
    <xdr:sp macro="" textlink="">
      <xdr:nvSpPr>
        <xdr:cNvPr id="4857" name="Arrow: Down 4856">
          <a:extLst>
            <a:ext uri="{FF2B5EF4-FFF2-40B4-BE49-F238E27FC236}">
              <a16:creationId xmlns:a16="http://schemas.microsoft.com/office/drawing/2014/main" id="{8CFF7590-B4F5-4107-9D68-6ED78266E2A9}"/>
            </a:ext>
          </a:extLst>
        </xdr:cNvPr>
        <xdr:cNvSpPr/>
      </xdr:nvSpPr>
      <xdr:spPr>
        <a:xfrm>
          <a:off x="8336280" y="11805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645</xdr:row>
      <xdr:rowOff>0</xdr:rowOff>
    </xdr:from>
    <xdr:to>
      <xdr:col>39</xdr:col>
      <xdr:colOff>83820</xdr:colOff>
      <xdr:row>645</xdr:row>
      <xdr:rowOff>114300</xdr:rowOff>
    </xdr:to>
    <xdr:sp macro="" textlink="">
      <xdr:nvSpPr>
        <xdr:cNvPr id="4859" name="Arrow: Down 4858">
          <a:extLst>
            <a:ext uri="{FF2B5EF4-FFF2-40B4-BE49-F238E27FC236}">
              <a16:creationId xmlns:a16="http://schemas.microsoft.com/office/drawing/2014/main" id="{E81A2491-59CE-4758-B271-DD92B87383BD}"/>
            </a:ext>
          </a:extLst>
        </xdr:cNvPr>
        <xdr:cNvSpPr/>
      </xdr:nvSpPr>
      <xdr:spPr>
        <a:xfrm>
          <a:off x="1154430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646</xdr:row>
      <xdr:rowOff>0</xdr:rowOff>
    </xdr:from>
    <xdr:to>
      <xdr:col>5</xdr:col>
      <xdr:colOff>83820</xdr:colOff>
      <xdr:row>646</xdr:row>
      <xdr:rowOff>114300</xdr:rowOff>
    </xdr:to>
    <xdr:sp macro="" textlink="">
      <xdr:nvSpPr>
        <xdr:cNvPr id="4867" name="Arrow: Down 4866">
          <a:extLst>
            <a:ext uri="{FF2B5EF4-FFF2-40B4-BE49-F238E27FC236}">
              <a16:creationId xmlns:a16="http://schemas.microsoft.com/office/drawing/2014/main" id="{D2BA0F46-3043-44C0-A800-236AA66FF5AB}"/>
            </a:ext>
          </a:extLst>
        </xdr:cNvPr>
        <xdr:cNvSpPr/>
      </xdr:nvSpPr>
      <xdr:spPr>
        <a:xfrm rot="10800000">
          <a:off x="192786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646</xdr:row>
      <xdr:rowOff>0</xdr:rowOff>
    </xdr:from>
    <xdr:to>
      <xdr:col>11</xdr:col>
      <xdr:colOff>83820</xdr:colOff>
      <xdr:row>646</xdr:row>
      <xdr:rowOff>114300</xdr:rowOff>
    </xdr:to>
    <xdr:sp macro="" textlink="">
      <xdr:nvSpPr>
        <xdr:cNvPr id="4868" name="Arrow: Down 4867">
          <a:extLst>
            <a:ext uri="{FF2B5EF4-FFF2-40B4-BE49-F238E27FC236}">
              <a16:creationId xmlns:a16="http://schemas.microsoft.com/office/drawing/2014/main" id="{8C4F1CD5-E3B6-4B22-A343-4B522D660DC8}"/>
            </a:ext>
          </a:extLst>
        </xdr:cNvPr>
        <xdr:cNvSpPr/>
      </xdr:nvSpPr>
      <xdr:spPr>
        <a:xfrm rot="10800000">
          <a:off x="369570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646</xdr:row>
      <xdr:rowOff>0</xdr:rowOff>
    </xdr:from>
    <xdr:to>
      <xdr:col>71</xdr:col>
      <xdr:colOff>83820</xdr:colOff>
      <xdr:row>646</xdr:row>
      <xdr:rowOff>114300</xdr:rowOff>
    </xdr:to>
    <xdr:sp macro="" textlink="">
      <xdr:nvSpPr>
        <xdr:cNvPr id="4871" name="Arrow: Down 4870">
          <a:extLst>
            <a:ext uri="{FF2B5EF4-FFF2-40B4-BE49-F238E27FC236}">
              <a16:creationId xmlns:a16="http://schemas.microsoft.com/office/drawing/2014/main" id="{9FBCC51E-62F5-4474-88AB-334CE74B7076}"/>
            </a:ext>
          </a:extLst>
        </xdr:cNvPr>
        <xdr:cNvSpPr/>
      </xdr:nvSpPr>
      <xdr:spPr>
        <a:xfrm rot="10800000">
          <a:off x="2180082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646</xdr:row>
      <xdr:rowOff>0</xdr:rowOff>
    </xdr:from>
    <xdr:to>
      <xdr:col>39</xdr:col>
      <xdr:colOff>83820</xdr:colOff>
      <xdr:row>646</xdr:row>
      <xdr:rowOff>114300</xdr:rowOff>
    </xdr:to>
    <xdr:sp macro="" textlink="">
      <xdr:nvSpPr>
        <xdr:cNvPr id="4877" name="Arrow: Down 4876">
          <a:extLst>
            <a:ext uri="{FF2B5EF4-FFF2-40B4-BE49-F238E27FC236}">
              <a16:creationId xmlns:a16="http://schemas.microsoft.com/office/drawing/2014/main" id="{30A4E92E-9391-486F-8ADA-0F6E778CD4C5}"/>
            </a:ext>
          </a:extLst>
        </xdr:cNvPr>
        <xdr:cNvSpPr/>
      </xdr:nvSpPr>
      <xdr:spPr>
        <a:xfrm rot="10800000">
          <a:off x="11544300" y="118239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646</xdr:row>
      <xdr:rowOff>0</xdr:rowOff>
    </xdr:from>
    <xdr:to>
      <xdr:col>24</xdr:col>
      <xdr:colOff>83820</xdr:colOff>
      <xdr:row>646</xdr:row>
      <xdr:rowOff>114300</xdr:rowOff>
    </xdr:to>
    <xdr:sp macro="" textlink="">
      <xdr:nvSpPr>
        <xdr:cNvPr id="4879" name="Arrow: Down 4878">
          <a:extLst>
            <a:ext uri="{FF2B5EF4-FFF2-40B4-BE49-F238E27FC236}">
              <a16:creationId xmlns:a16="http://schemas.microsoft.com/office/drawing/2014/main" id="{EB0D4601-DED4-475D-9EB6-FA6640E196D9}"/>
            </a:ext>
          </a:extLst>
        </xdr:cNvPr>
        <xdr:cNvSpPr/>
      </xdr:nvSpPr>
      <xdr:spPr>
        <a:xfrm rot="10800000">
          <a:off x="8336280" y="11823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647</xdr:row>
      <xdr:rowOff>0</xdr:rowOff>
    </xdr:from>
    <xdr:to>
      <xdr:col>71</xdr:col>
      <xdr:colOff>83820</xdr:colOff>
      <xdr:row>647</xdr:row>
      <xdr:rowOff>114300</xdr:rowOff>
    </xdr:to>
    <xdr:sp macro="" textlink="">
      <xdr:nvSpPr>
        <xdr:cNvPr id="4883" name="Arrow: Down 4882">
          <a:extLst>
            <a:ext uri="{FF2B5EF4-FFF2-40B4-BE49-F238E27FC236}">
              <a16:creationId xmlns:a16="http://schemas.microsoft.com/office/drawing/2014/main" id="{FBFD0587-BF8D-40D4-B9B9-8EC2A4F770BA}"/>
            </a:ext>
          </a:extLst>
        </xdr:cNvPr>
        <xdr:cNvSpPr/>
      </xdr:nvSpPr>
      <xdr:spPr>
        <a:xfrm rot="10800000">
          <a:off x="21800820" y="11823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647</xdr:row>
      <xdr:rowOff>0</xdr:rowOff>
    </xdr:from>
    <xdr:to>
      <xdr:col>60</xdr:col>
      <xdr:colOff>83820</xdr:colOff>
      <xdr:row>647</xdr:row>
      <xdr:rowOff>114300</xdr:rowOff>
    </xdr:to>
    <xdr:sp macro="" textlink="">
      <xdr:nvSpPr>
        <xdr:cNvPr id="4888" name="Arrow: Down 4887">
          <a:extLst>
            <a:ext uri="{FF2B5EF4-FFF2-40B4-BE49-F238E27FC236}">
              <a16:creationId xmlns:a16="http://schemas.microsoft.com/office/drawing/2014/main" id="{9822D772-55D6-4D99-A6ED-6EC66C7E3E94}"/>
            </a:ext>
          </a:extLst>
        </xdr:cNvPr>
        <xdr:cNvSpPr/>
      </xdr:nvSpPr>
      <xdr:spPr>
        <a:xfrm rot="10800000">
          <a:off x="1908048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646</xdr:row>
      <xdr:rowOff>0</xdr:rowOff>
    </xdr:from>
    <xdr:to>
      <xdr:col>60</xdr:col>
      <xdr:colOff>83820</xdr:colOff>
      <xdr:row>646</xdr:row>
      <xdr:rowOff>114300</xdr:rowOff>
    </xdr:to>
    <xdr:sp macro="" textlink="">
      <xdr:nvSpPr>
        <xdr:cNvPr id="4890" name="Arrow: Down 4889">
          <a:extLst>
            <a:ext uri="{FF2B5EF4-FFF2-40B4-BE49-F238E27FC236}">
              <a16:creationId xmlns:a16="http://schemas.microsoft.com/office/drawing/2014/main" id="{ADD2CAD9-4CD4-4779-984B-480A52968A6F}"/>
            </a:ext>
          </a:extLst>
        </xdr:cNvPr>
        <xdr:cNvSpPr/>
      </xdr:nvSpPr>
      <xdr:spPr>
        <a:xfrm>
          <a:off x="19080480" y="11823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647</xdr:row>
      <xdr:rowOff>0</xdr:rowOff>
    </xdr:from>
    <xdr:to>
      <xdr:col>5</xdr:col>
      <xdr:colOff>83820</xdr:colOff>
      <xdr:row>647</xdr:row>
      <xdr:rowOff>114300</xdr:rowOff>
    </xdr:to>
    <xdr:sp macro="" textlink="">
      <xdr:nvSpPr>
        <xdr:cNvPr id="4892" name="Arrow: Down 4891">
          <a:extLst>
            <a:ext uri="{FF2B5EF4-FFF2-40B4-BE49-F238E27FC236}">
              <a16:creationId xmlns:a16="http://schemas.microsoft.com/office/drawing/2014/main" id="{33210A91-31B5-4F6A-B409-A589147AE346}"/>
            </a:ext>
          </a:extLst>
        </xdr:cNvPr>
        <xdr:cNvSpPr/>
      </xdr:nvSpPr>
      <xdr:spPr>
        <a:xfrm>
          <a:off x="192786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647</xdr:row>
      <xdr:rowOff>0</xdr:rowOff>
    </xdr:from>
    <xdr:to>
      <xdr:col>11</xdr:col>
      <xdr:colOff>83820</xdr:colOff>
      <xdr:row>647</xdr:row>
      <xdr:rowOff>114300</xdr:rowOff>
    </xdr:to>
    <xdr:sp macro="" textlink="">
      <xdr:nvSpPr>
        <xdr:cNvPr id="4894" name="Arrow: Down 4893">
          <a:extLst>
            <a:ext uri="{FF2B5EF4-FFF2-40B4-BE49-F238E27FC236}">
              <a16:creationId xmlns:a16="http://schemas.microsoft.com/office/drawing/2014/main" id="{C9CC708D-ECD6-4D23-A3D1-EE525E3F3B4C}"/>
            </a:ext>
          </a:extLst>
        </xdr:cNvPr>
        <xdr:cNvSpPr/>
      </xdr:nvSpPr>
      <xdr:spPr>
        <a:xfrm>
          <a:off x="369570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647</xdr:row>
      <xdr:rowOff>0</xdr:rowOff>
    </xdr:from>
    <xdr:to>
      <xdr:col>24</xdr:col>
      <xdr:colOff>83820</xdr:colOff>
      <xdr:row>647</xdr:row>
      <xdr:rowOff>114300</xdr:rowOff>
    </xdr:to>
    <xdr:sp macro="" textlink="">
      <xdr:nvSpPr>
        <xdr:cNvPr id="4895" name="Arrow: Down 4894">
          <a:extLst>
            <a:ext uri="{FF2B5EF4-FFF2-40B4-BE49-F238E27FC236}">
              <a16:creationId xmlns:a16="http://schemas.microsoft.com/office/drawing/2014/main" id="{25B6F94F-D4BC-4645-A6B0-BEEA86BA9286}"/>
            </a:ext>
          </a:extLst>
        </xdr:cNvPr>
        <xdr:cNvSpPr/>
      </xdr:nvSpPr>
      <xdr:spPr>
        <a:xfrm>
          <a:off x="833628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647</xdr:row>
      <xdr:rowOff>0</xdr:rowOff>
    </xdr:from>
    <xdr:to>
      <xdr:col>39</xdr:col>
      <xdr:colOff>83820</xdr:colOff>
      <xdr:row>647</xdr:row>
      <xdr:rowOff>114300</xdr:rowOff>
    </xdr:to>
    <xdr:sp macro="" textlink="">
      <xdr:nvSpPr>
        <xdr:cNvPr id="4896" name="Arrow: Down 4895">
          <a:extLst>
            <a:ext uri="{FF2B5EF4-FFF2-40B4-BE49-F238E27FC236}">
              <a16:creationId xmlns:a16="http://schemas.microsoft.com/office/drawing/2014/main" id="{E1FF631D-EF37-425F-A46B-DEF53C765AAC}"/>
            </a:ext>
          </a:extLst>
        </xdr:cNvPr>
        <xdr:cNvSpPr/>
      </xdr:nvSpPr>
      <xdr:spPr>
        <a:xfrm>
          <a:off x="1154430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648</xdr:row>
      <xdr:rowOff>0</xdr:rowOff>
    </xdr:from>
    <xdr:to>
      <xdr:col>71</xdr:col>
      <xdr:colOff>83820</xdr:colOff>
      <xdr:row>648</xdr:row>
      <xdr:rowOff>114300</xdr:rowOff>
    </xdr:to>
    <xdr:sp macro="" textlink="">
      <xdr:nvSpPr>
        <xdr:cNvPr id="4898" name="Arrow: Down 4897">
          <a:extLst>
            <a:ext uri="{FF2B5EF4-FFF2-40B4-BE49-F238E27FC236}">
              <a16:creationId xmlns:a16="http://schemas.microsoft.com/office/drawing/2014/main" id="{FE1BA149-8502-4FF6-A351-F0FFEE566CAF}"/>
            </a:ext>
          </a:extLst>
        </xdr:cNvPr>
        <xdr:cNvSpPr/>
      </xdr:nvSpPr>
      <xdr:spPr>
        <a:xfrm rot="10800000">
          <a:off x="2180082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648</xdr:row>
      <xdr:rowOff>0</xdr:rowOff>
    </xdr:from>
    <xdr:to>
      <xdr:col>5</xdr:col>
      <xdr:colOff>83820</xdr:colOff>
      <xdr:row>648</xdr:row>
      <xdr:rowOff>114300</xdr:rowOff>
    </xdr:to>
    <xdr:sp macro="" textlink="">
      <xdr:nvSpPr>
        <xdr:cNvPr id="4900" name="Arrow: Down 4899">
          <a:extLst>
            <a:ext uri="{FF2B5EF4-FFF2-40B4-BE49-F238E27FC236}">
              <a16:creationId xmlns:a16="http://schemas.microsoft.com/office/drawing/2014/main" id="{081F84DB-FD32-40F4-B3E3-5408F3621D9C}"/>
            </a:ext>
          </a:extLst>
        </xdr:cNvPr>
        <xdr:cNvSpPr/>
      </xdr:nvSpPr>
      <xdr:spPr>
        <a:xfrm>
          <a:off x="192786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648</xdr:row>
      <xdr:rowOff>0</xdr:rowOff>
    </xdr:from>
    <xdr:to>
      <xdr:col>11</xdr:col>
      <xdr:colOff>83820</xdr:colOff>
      <xdr:row>648</xdr:row>
      <xdr:rowOff>114300</xdr:rowOff>
    </xdr:to>
    <xdr:sp macro="" textlink="">
      <xdr:nvSpPr>
        <xdr:cNvPr id="4901" name="Arrow: Down 4900">
          <a:extLst>
            <a:ext uri="{FF2B5EF4-FFF2-40B4-BE49-F238E27FC236}">
              <a16:creationId xmlns:a16="http://schemas.microsoft.com/office/drawing/2014/main" id="{12EB2EC3-B6AF-4274-80DE-A25D6A3B3031}"/>
            </a:ext>
          </a:extLst>
        </xdr:cNvPr>
        <xdr:cNvSpPr/>
      </xdr:nvSpPr>
      <xdr:spPr>
        <a:xfrm>
          <a:off x="369570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648</xdr:row>
      <xdr:rowOff>0</xdr:rowOff>
    </xdr:from>
    <xdr:to>
      <xdr:col>24</xdr:col>
      <xdr:colOff>83820</xdr:colOff>
      <xdr:row>648</xdr:row>
      <xdr:rowOff>114300</xdr:rowOff>
    </xdr:to>
    <xdr:sp macro="" textlink="">
      <xdr:nvSpPr>
        <xdr:cNvPr id="4902" name="Arrow: Down 4901">
          <a:extLst>
            <a:ext uri="{FF2B5EF4-FFF2-40B4-BE49-F238E27FC236}">
              <a16:creationId xmlns:a16="http://schemas.microsoft.com/office/drawing/2014/main" id="{338AE814-E9AC-4EC3-819A-808E6C53D23A}"/>
            </a:ext>
          </a:extLst>
        </xdr:cNvPr>
        <xdr:cNvSpPr/>
      </xdr:nvSpPr>
      <xdr:spPr>
        <a:xfrm>
          <a:off x="833628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648</xdr:row>
      <xdr:rowOff>0</xdr:rowOff>
    </xdr:from>
    <xdr:to>
      <xdr:col>39</xdr:col>
      <xdr:colOff>83820</xdr:colOff>
      <xdr:row>648</xdr:row>
      <xdr:rowOff>114300</xdr:rowOff>
    </xdr:to>
    <xdr:sp macro="" textlink="">
      <xdr:nvSpPr>
        <xdr:cNvPr id="4903" name="Arrow: Down 4902">
          <a:extLst>
            <a:ext uri="{FF2B5EF4-FFF2-40B4-BE49-F238E27FC236}">
              <a16:creationId xmlns:a16="http://schemas.microsoft.com/office/drawing/2014/main" id="{18CAE497-A9DE-4D15-9C4A-A07BD7FC5810}"/>
            </a:ext>
          </a:extLst>
        </xdr:cNvPr>
        <xdr:cNvSpPr/>
      </xdr:nvSpPr>
      <xdr:spPr>
        <a:xfrm>
          <a:off x="1154430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648</xdr:row>
      <xdr:rowOff>0</xdr:rowOff>
    </xdr:from>
    <xdr:to>
      <xdr:col>60</xdr:col>
      <xdr:colOff>83820</xdr:colOff>
      <xdr:row>648</xdr:row>
      <xdr:rowOff>114300</xdr:rowOff>
    </xdr:to>
    <xdr:sp macro="" textlink="">
      <xdr:nvSpPr>
        <xdr:cNvPr id="4905" name="Arrow: Down 4904">
          <a:extLst>
            <a:ext uri="{FF2B5EF4-FFF2-40B4-BE49-F238E27FC236}">
              <a16:creationId xmlns:a16="http://schemas.microsoft.com/office/drawing/2014/main" id="{589882B2-0380-4A2D-B140-9B14C83D80F0}"/>
            </a:ext>
          </a:extLst>
        </xdr:cNvPr>
        <xdr:cNvSpPr/>
      </xdr:nvSpPr>
      <xdr:spPr>
        <a:xfrm>
          <a:off x="19080480" y="11860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645</xdr:row>
      <xdr:rowOff>0</xdr:rowOff>
    </xdr:from>
    <xdr:to>
      <xdr:col>45</xdr:col>
      <xdr:colOff>83820</xdr:colOff>
      <xdr:row>645</xdr:row>
      <xdr:rowOff>114300</xdr:rowOff>
    </xdr:to>
    <xdr:sp macro="" textlink="">
      <xdr:nvSpPr>
        <xdr:cNvPr id="4906" name="Arrow: Down 4905">
          <a:extLst>
            <a:ext uri="{FF2B5EF4-FFF2-40B4-BE49-F238E27FC236}">
              <a16:creationId xmlns:a16="http://schemas.microsoft.com/office/drawing/2014/main" id="{09652922-8875-47E1-B844-0314F9C812FF}"/>
            </a:ext>
          </a:extLst>
        </xdr:cNvPr>
        <xdr:cNvSpPr/>
      </xdr:nvSpPr>
      <xdr:spPr>
        <a:xfrm>
          <a:off x="1340358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646</xdr:row>
      <xdr:rowOff>0</xdr:rowOff>
    </xdr:from>
    <xdr:to>
      <xdr:col>45</xdr:col>
      <xdr:colOff>83820</xdr:colOff>
      <xdr:row>646</xdr:row>
      <xdr:rowOff>114300</xdr:rowOff>
    </xdr:to>
    <xdr:sp macro="" textlink="">
      <xdr:nvSpPr>
        <xdr:cNvPr id="4908" name="Arrow: Down 4907">
          <a:extLst>
            <a:ext uri="{FF2B5EF4-FFF2-40B4-BE49-F238E27FC236}">
              <a16:creationId xmlns:a16="http://schemas.microsoft.com/office/drawing/2014/main" id="{841BB086-CDBC-4AD3-BA20-F00328E3AD32}"/>
            </a:ext>
          </a:extLst>
        </xdr:cNvPr>
        <xdr:cNvSpPr/>
      </xdr:nvSpPr>
      <xdr:spPr>
        <a:xfrm>
          <a:off x="13403580" y="11823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647</xdr:row>
      <xdr:rowOff>0</xdr:rowOff>
    </xdr:from>
    <xdr:to>
      <xdr:col>45</xdr:col>
      <xdr:colOff>83820</xdr:colOff>
      <xdr:row>647</xdr:row>
      <xdr:rowOff>114300</xdr:rowOff>
    </xdr:to>
    <xdr:sp macro="" textlink="">
      <xdr:nvSpPr>
        <xdr:cNvPr id="4911" name="Arrow: Down 4910">
          <a:extLst>
            <a:ext uri="{FF2B5EF4-FFF2-40B4-BE49-F238E27FC236}">
              <a16:creationId xmlns:a16="http://schemas.microsoft.com/office/drawing/2014/main" id="{0451BEFE-5707-467A-9545-C0EC4156B77B}"/>
            </a:ext>
          </a:extLst>
        </xdr:cNvPr>
        <xdr:cNvSpPr/>
      </xdr:nvSpPr>
      <xdr:spPr>
        <a:xfrm>
          <a:off x="1340358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648</xdr:row>
      <xdr:rowOff>0</xdr:rowOff>
    </xdr:from>
    <xdr:to>
      <xdr:col>45</xdr:col>
      <xdr:colOff>83820</xdr:colOff>
      <xdr:row>648</xdr:row>
      <xdr:rowOff>114300</xdr:rowOff>
    </xdr:to>
    <xdr:sp macro="" textlink="">
      <xdr:nvSpPr>
        <xdr:cNvPr id="4914" name="Arrow: Down 4913">
          <a:extLst>
            <a:ext uri="{FF2B5EF4-FFF2-40B4-BE49-F238E27FC236}">
              <a16:creationId xmlns:a16="http://schemas.microsoft.com/office/drawing/2014/main" id="{EAC26794-A243-4238-92CE-CE88C9EEA193}"/>
            </a:ext>
          </a:extLst>
        </xdr:cNvPr>
        <xdr:cNvSpPr/>
      </xdr:nvSpPr>
      <xdr:spPr>
        <a:xfrm>
          <a:off x="13403580" y="11860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649</xdr:row>
      <xdr:rowOff>0</xdr:rowOff>
    </xdr:from>
    <xdr:to>
      <xdr:col>60</xdr:col>
      <xdr:colOff>83820</xdr:colOff>
      <xdr:row>649</xdr:row>
      <xdr:rowOff>114300</xdr:rowOff>
    </xdr:to>
    <xdr:sp macro="" textlink="">
      <xdr:nvSpPr>
        <xdr:cNvPr id="4920" name="Arrow: Down 4919">
          <a:extLst>
            <a:ext uri="{FF2B5EF4-FFF2-40B4-BE49-F238E27FC236}">
              <a16:creationId xmlns:a16="http://schemas.microsoft.com/office/drawing/2014/main" id="{C7937D0F-9A09-475C-80B2-1E5F022B8527}"/>
            </a:ext>
          </a:extLst>
        </xdr:cNvPr>
        <xdr:cNvSpPr/>
      </xdr:nvSpPr>
      <xdr:spPr>
        <a:xfrm>
          <a:off x="19080480" y="11860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649</xdr:row>
      <xdr:rowOff>0</xdr:rowOff>
    </xdr:from>
    <xdr:to>
      <xdr:col>71</xdr:col>
      <xdr:colOff>83820</xdr:colOff>
      <xdr:row>649</xdr:row>
      <xdr:rowOff>114300</xdr:rowOff>
    </xdr:to>
    <xdr:sp macro="" textlink="">
      <xdr:nvSpPr>
        <xdr:cNvPr id="4922" name="Arrow: Down 4921">
          <a:extLst>
            <a:ext uri="{FF2B5EF4-FFF2-40B4-BE49-F238E27FC236}">
              <a16:creationId xmlns:a16="http://schemas.microsoft.com/office/drawing/2014/main" id="{0F9D2EF1-4C37-4369-8519-9748DE97C1B7}"/>
            </a:ext>
          </a:extLst>
        </xdr:cNvPr>
        <xdr:cNvSpPr/>
      </xdr:nvSpPr>
      <xdr:spPr>
        <a:xfrm>
          <a:off x="21960840" y="11878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649</xdr:row>
      <xdr:rowOff>0</xdr:rowOff>
    </xdr:from>
    <xdr:to>
      <xdr:col>5</xdr:col>
      <xdr:colOff>83820</xdr:colOff>
      <xdr:row>649</xdr:row>
      <xdr:rowOff>114300</xdr:rowOff>
    </xdr:to>
    <xdr:sp macro="" textlink="">
      <xdr:nvSpPr>
        <xdr:cNvPr id="4924" name="Arrow: Down 4923">
          <a:extLst>
            <a:ext uri="{FF2B5EF4-FFF2-40B4-BE49-F238E27FC236}">
              <a16:creationId xmlns:a16="http://schemas.microsoft.com/office/drawing/2014/main" id="{F285DF23-65AD-481E-9AEE-155594C503A6}"/>
            </a:ext>
          </a:extLst>
        </xdr:cNvPr>
        <xdr:cNvSpPr/>
      </xdr:nvSpPr>
      <xdr:spPr>
        <a:xfrm rot="10800000">
          <a:off x="192786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649</xdr:row>
      <xdr:rowOff>0</xdr:rowOff>
    </xdr:from>
    <xdr:to>
      <xdr:col>11</xdr:col>
      <xdr:colOff>83820</xdr:colOff>
      <xdr:row>649</xdr:row>
      <xdr:rowOff>114300</xdr:rowOff>
    </xdr:to>
    <xdr:sp macro="" textlink="">
      <xdr:nvSpPr>
        <xdr:cNvPr id="4927" name="Arrow: Down 4926">
          <a:extLst>
            <a:ext uri="{FF2B5EF4-FFF2-40B4-BE49-F238E27FC236}">
              <a16:creationId xmlns:a16="http://schemas.microsoft.com/office/drawing/2014/main" id="{C011B785-9609-4579-8D79-44263DACB123}"/>
            </a:ext>
          </a:extLst>
        </xdr:cNvPr>
        <xdr:cNvSpPr/>
      </xdr:nvSpPr>
      <xdr:spPr>
        <a:xfrm rot="10800000">
          <a:off x="369570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649</xdr:row>
      <xdr:rowOff>0</xdr:rowOff>
    </xdr:from>
    <xdr:to>
      <xdr:col>24</xdr:col>
      <xdr:colOff>83820</xdr:colOff>
      <xdr:row>649</xdr:row>
      <xdr:rowOff>114300</xdr:rowOff>
    </xdr:to>
    <xdr:sp macro="" textlink="">
      <xdr:nvSpPr>
        <xdr:cNvPr id="4929" name="Arrow: Down 4928">
          <a:extLst>
            <a:ext uri="{FF2B5EF4-FFF2-40B4-BE49-F238E27FC236}">
              <a16:creationId xmlns:a16="http://schemas.microsoft.com/office/drawing/2014/main" id="{793AB05E-109C-406E-9D65-7F0DCD20DFE2}"/>
            </a:ext>
          </a:extLst>
        </xdr:cNvPr>
        <xdr:cNvSpPr/>
      </xdr:nvSpPr>
      <xdr:spPr>
        <a:xfrm rot="10800000">
          <a:off x="833628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649</xdr:row>
      <xdr:rowOff>0</xdr:rowOff>
    </xdr:from>
    <xdr:to>
      <xdr:col>39</xdr:col>
      <xdr:colOff>83820</xdr:colOff>
      <xdr:row>649</xdr:row>
      <xdr:rowOff>114300</xdr:rowOff>
    </xdr:to>
    <xdr:sp macro="" textlink="">
      <xdr:nvSpPr>
        <xdr:cNvPr id="4930" name="Arrow: Down 4929">
          <a:extLst>
            <a:ext uri="{FF2B5EF4-FFF2-40B4-BE49-F238E27FC236}">
              <a16:creationId xmlns:a16="http://schemas.microsoft.com/office/drawing/2014/main" id="{0AD6275B-A45E-469F-BA0F-879DC6252A2E}"/>
            </a:ext>
          </a:extLst>
        </xdr:cNvPr>
        <xdr:cNvSpPr/>
      </xdr:nvSpPr>
      <xdr:spPr>
        <a:xfrm rot="10800000">
          <a:off x="11544300" y="118788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649</xdr:row>
      <xdr:rowOff>0</xdr:rowOff>
    </xdr:from>
    <xdr:to>
      <xdr:col>45</xdr:col>
      <xdr:colOff>83820</xdr:colOff>
      <xdr:row>649</xdr:row>
      <xdr:rowOff>114300</xdr:rowOff>
    </xdr:to>
    <xdr:sp macro="" textlink="">
      <xdr:nvSpPr>
        <xdr:cNvPr id="4931" name="Arrow: Down 4930">
          <a:extLst>
            <a:ext uri="{FF2B5EF4-FFF2-40B4-BE49-F238E27FC236}">
              <a16:creationId xmlns:a16="http://schemas.microsoft.com/office/drawing/2014/main" id="{2736D5D8-83A1-4415-965C-049A1E6E460B}"/>
            </a:ext>
          </a:extLst>
        </xdr:cNvPr>
        <xdr:cNvSpPr/>
      </xdr:nvSpPr>
      <xdr:spPr>
        <a:xfrm rot="10800000">
          <a:off x="13403580" y="118788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650</xdr:row>
      <xdr:rowOff>0</xdr:rowOff>
    </xdr:from>
    <xdr:to>
      <xdr:col>5</xdr:col>
      <xdr:colOff>83820</xdr:colOff>
      <xdr:row>650</xdr:row>
      <xdr:rowOff>114300</xdr:rowOff>
    </xdr:to>
    <xdr:sp macro="" textlink="">
      <xdr:nvSpPr>
        <xdr:cNvPr id="4941" name="Arrow: Down 4940">
          <a:extLst>
            <a:ext uri="{FF2B5EF4-FFF2-40B4-BE49-F238E27FC236}">
              <a16:creationId xmlns:a16="http://schemas.microsoft.com/office/drawing/2014/main" id="{37756B2A-9075-46BF-9BF2-FCA851A99E20}"/>
            </a:ext>
          </a:extLst>
        </xdr:cNvPr>
        <xdr:cNvSpPr/>
      </xdr:nvSpPr>
      <xdr:spPr>
        <a:xfrm rot="10800000">
          <a:off x="192786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650</xdr:row>
      <xdr:rowOff>0</xdr:rowOff>
    </xdr:from>
    <xdr:to>
      <xdr:col>11</xdr:col>
      <xdr:colOff>83820</xdr:colOff>
      <xdr:row>650</xdr:row>
      <xdr:rowOff>114300</xdr:rowOff>
    </xdr:to>
    <xdr:sp macro="" textlink="">
      <xdr:nvSpPr>
        <xdr:cNvPr id="4942" name="Arrow: Down 4941">
          <a:extLst>
            <a:ext uri="{FF2B5EF4-FFF2-40B4-BE49-F238E27FC236}">
              <a16:creationId xmlns:a16="http://schemas.microsoft.com/office/drawing/2014/main" id="{212BEFD0-F0F3-495E-9BAB-18962E04A188}"/>
            </a:ext>
          </a:extLst>
        </xdr:cNvPr>
        <xdr:cNvSpPr/>
      </xdr:nvSpPr>
      <xdr:spPr>
        <a:xfrm rot="10800000">
          <a:off x="369570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650</xdr:row>
      <xdr:rowOff>0</xdr:rowOff>
    </xdr:from>
    <xdr:to>
      <xdr:col>24</xdr:col>
      <xdr:colOff>83820</xdr:colOff>
      <xdr:row>650</xdr:row>
      <xdr:rowOff>114300</xdr:rowOff>
    </xdr:to>
    <xdr:sp macro="" textlink="">
      <xdr:nvSpPr>
        <xdr:cNvPr id="4943" name="Arrow: Down 4942">
          <a:extLst>
            <a:ext uri="{FF2B5EF4-FFF2-40B4-BE49-F238E27FC236}">
              <a16:creationId xmlns:a16="http://schemas.microsoft.com/office/drawing/2014/main" id="{C5642904-BC58-4A41-A728-D4216D7186CE}"/>
            </a:ext>
          </a:extLst>
        </xdr:cNvPr>
        <xdr:cNvSpPr/>
      </xdr:nvSpPr>
      <xdr:spPr>
        <a:xfrm rot="10800000">
          <a:off x="833628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650</xdr:row>
      <xdr:rowOff>0</xdr:rowOff>
    </xdr:from>
    <xdr:to>
      <xdr:col>71</xdr:col>
      <xdr:colOff>83820</xdr:colOff>
      <xdr:row>650</xdr:row>
      <xdr:rowOff>114300</xdr:rowOff>
    </xdr:to>
    <xdr:sp macro="" textlink="">
      <xdr:nvSpPr>
        <xdr:cNvPr id="4947" name="Arrow: Down 4946">
          <a:extLst>
            <a:ext uri="{FF2B5EF4-FFF2-40B4-BE49-F238E27FC236}">
              <a16:creationId xmlns:a16="http://schemas.microsoft.com/office/drawing/2014/main" id="{2FC7BDA1-9C2E-4EDE-877F-BF878C0D8B67}"/>
            </a:ext>
          </a:extLst>
        </xdr:cNvPr>
        <xdr:cNvSpPr/>
      </xdr:nvSpPr>
      <xdr:spPr>
        <a:xfrm rot="10800000">
          <a:off x="2196084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650</xdr:row>
      <xdr:rowOff>0</xdr:rowOff>
    </xdr:from>
    <xdr:to>
      <xdr:col>60</xdr:col>
      <xdr:colOff>83820</xdr:colOff>
      <xdr:row>650</xdr:row>
      <xdr:rowOff>114300</xdr:rowOff>
    </xdr:to>
    <xdr:sp macro="" textlink="">
      <xdr:nvSpPr>
        <xdr:cNvPr id="4949" name="Arrow: Down 4948">
          <a:extLst>
            <a:ext uri="{FF2B5EF4-FFF2-40B4-BE49-F238E27FC236}">
              <a16:creationId xmlns:a16="http://schemas.microsoft.com/office/drawing/2014/main" id="{4444881B-20CB-4B47-B61A-7E111F60AEF3}"/>
            </a:ext>
          </a:extLst>
        </xdr:cNvPr>
        <xdr:cNvSpPr/>
      </xdr:nvSpPr>
      <xdr:spPr>
        <a:xfrm rot="10800000">
          <a:off x="190804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650</xdr:row>
      <xdr:rowOff>0</xdr:rowOff>
    </xdr:from>
    <xdr:to>
      <xdr:col>45</xdr:col>
      <xdr:colOff>83820</xdr:colOff>
      <xdr:row>650</xdr:row>
      <xdr:rowOff>114300</xdr:rowOff>
    </xdr:to>
    <xdr:sp macro="" textlink="">
      <xdr:nvSpPr>
        <xdr:cNvPr id="4951" name="Arrow: Down 4950">
          <a:extLst>
            <a:ext uri="{FF2B5EF4-FFF2-40B4-BE49-F238E27FC236}">
              <a16:creationId xmlns:a16="http://schemas.microsoft.com/office/drawing/2014/main" id="{3056E400-80B6-4250-A476-A7A28A7765FB}"/>
            </a:ext>
          </a:extLst>
        </xdr:cNvPr>
        <xdr:cNvSpPr/>
      </xdr:nvSpPr>
      <xdr:spPr>
        <a:xfrm>
          <a:off x="134035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650</xdr:row>
      <xdr:rowOff>0</xdr:rowOff>
    </xdr:from>
    <xdr:to>
      <xdr:col>39</xdr:col>
      <xdr:colOff>83820</xdr:colOff>
      <xdr:row>650</xdr:row>
      <xdr:rowOff>114300</xdr:rowOff>
    </xdr:to>
    <xdr:sp macro="" textlink="">
      <xdr:nvSpPr>
        <xdr:cNvPr id="4953" name="Arrow: Down 4952">
          <a:extLst>
            <a:ext uri="{FF2B5EF4-FFF2-40B4-BE49-F238E27FC236}">
              <a16:creationId xmlns:a16="http://schemas.microsoft.com/office/drawing/2014/main" id="{1DAD3F16-F634-438D-8486-F05818D50497}"/>
            </a:ext>
          </a:extLst>
        </xdr:cNvPr>
        <xdr:cNvSpPr/>
      </xdr:nvSpPr>
      <xdr:spPr>
        <a:xfrm>
          <a:off x="1154430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651</xdr:row>
      <xdr:rowOff>0</xdr:rowOff>
    </xdr:from>
    <xdr:to>
      <xdr:col>5</xdr:col>
      <xdr:colOff>83820</xdr:colOff>
      <xdr:row>651</xdr:row>
      <xdr:rowOff>114300</xdr:rowOff>
    </xdr:to>
    <xdr:sp macro="" textlink="">
      <xdr:nvSpPr>
        <xdr:cNvPr id="4954" name="Arrow: Down 4953">
          <a:extLst>
            <a:ext uri="{FF2B5EF4-FFF2-40B4-BE49-F238E27FC236}">
              <a16:creationId xmlns:a16="http://schemas.microsoft.com/office/drawing/2014/main" id="{C8CC07E0-761B-46EE-83E4-FF9DF2CEBE2E}"/>
            </a:ext>
          </a:extLst>
        </xdr:cNvPr>
        <xdr:cNvSpPr/>
      </xdr:nvSpPr>
      <xdr:spPr>
        <a:xfrm rot="10800000">
          <a:off x="192786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651</xdr:row>
      <xdr:rowOff>0</xdr:rowOff>
    </xdr:from>
    <xdr:to>
      <xdr:col>11</xdr:col>
      <xdr:colOff>83820</xdr:colOff>
      <xdr:row>651</xdr:row>
      <xdr:rowOff>114300</xdr:rowOff>
    </xdr:to>
    <xdr:sp macro="" textlink="">
      <xdr:nvSpPr>
        <xdr:cNvPr id="4955" name="Arrow: Down 4954">
          <a:extLst>
            <a:ext uri="{FF2B5EF4-FFF2-40B4-BE49-F238E27FC236}">
              <a16:creationId xmlns:a16="http://schemas.microsoft.com/office/drawing/2014/main" id="{490A1E17-E747-484B-A2F9-B536B1BFD505}"/>
            </a:ext>
          </a:extLst>
        </xdr:cNvPr>
        <xdr:cNvSpPr/>
      </xdr:nvSpPr>
      <xdr:spPr>
        <a:xfrm rot="10800000">
          <a:off x="369570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651</xdr:row>
      <xdr:rowOff>0</xdr:rowOff>
    </xdr:from>
    <xdr:to>
      <xdr:col>71</xdr:col>
      <xdr:colOff>83820</xdr:colOff>
      <xdr:row>651</xdr:row>
      <xdr:rowOff>114300</xdr:rowOff>
    </xdr:to>
    <xdr:sp macro="" textlink="">
      <xdr:nvSpPr>
        <xdr:cNvPr id="4957" name="Arrow: Down 4956">
          <a:extLst>
            <a:ext uri="{FF2B5EF4-FFF2-40B4-BE49-F238E27FC236}">
              <a16:creationId xmlns:a16="http://schemas.microsoft.com/office/drawing/2014/main" id="{D7559444-69EC-4914-B3FB-12A66842E076}"/>
            </a:ext>
          </a:extLst>
        </xdr:cNvPr>
        <xdr:cNvSpPr/>
      </xdr:nvSpPr>
      <xdr:spPr>
        <a:xfrm rot="10800000">
          <a:off x="2196084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651</xdr:row>
      <xdr:rowOff>0</xdr:rowOff>
    </xdr:from>
    <xdr:to>
      <xdr:col>60</xdr:col>
      <xdr:colOff>83820</xdr:colOff>
      <xdr:row>651</xdr:row>
      <xdr:rowOff>114300</xdr:rowOff>
    </xdr:to>
    <xdr:sp macro="" textlink="">
      <xdr:nvSpPr>
        <xdr:cNvPr id="4958" name="Arrow: Down 4957">
          <a:extLst>
            <a:ext uri="{FF2B5EF4-FFF2-40B4-BE49-F238E27FC236}">
              <a16:creationId xmlns:a16="http://schemas.microsoft.com/office/drawing/2014/main" id="{9147C535-0F7B-47FB-8693-A9807115AB27}"/>
            </a:ext>
          </a:extLst>
        </xdr:cNvPr>
        <xdr:cNvSpPr/>
      </xdr:nvSpPr>
      <xdr:spPr>
        <a:xfrm rot="10800000">
          <a:off x="190804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651</xdr:row>
      <xdr:rowOff>0</xdr:rowOff>
    </xdr:from>
    <xdr:to>
      <xdr:col>45</xdr:col>
      <xdr:colOff>83820</xdr:colOff>
      <xdr:row>651</xdr:row>
      <xdr:rowOff>114300</xdr:rowOff>
    </xdr:to>
    <xdr:sp macro="" textlink="">
      <xdr:nvSpPr>
        <xdr:cNvPr id="4959" name="Arrow: Down 4958">
          <a:extLst>
            <a:ext uri="{FF2B5EF4-FFF2-40B4-BE49-F238E27FC236}">
              <a16:creationId xmlns:a16="http://schemas.microsoft.com/office/drawing/2014/main" id="{90DF2CA3-A38A-4583-AA2F-AC4CC390F3CC}"/>
            </a:ext>
          </a:extLst>
        </xdr:cNvPr>
        <xdr:cNvSpPr/>
      </xdr:nvSpPr>
      <xdr:spPr>
        <a:xfrm>
          <a:off x="134035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651</xdr:row>
      <xdr:rowOff>0</xdr:rowOff>
    </xdr:from>
    <xdr:to>
      <xdr:col>39</xdr:col>
      <xdr:colOff>83820</xdr:colOff>
      <xdr:row>651</xdr:row>
      <xdr:rowOff>114300</xdr:rowOff>
    </xdr:to>
    <xdr:sp macro="" textlink="">
      <xdr:nvSpPr>
        <xdr:cNvPr id="4961" name="Arrow: Down 4960">
          <a:extLst>
            <a:ext uri="{FF2B5EF4-FFF2-40B4-BE49-F238E27FC236}">
              <a16:creationId xmlns:a16="http://schemas.microsoft.com/office/drawing/2014/main" id="{778BB48F-FCD1-4287-A0A2-85E1293AE15B}"/>
            </a:ext>
          </a:extLst>
        </xdr:cNvPr>
        <xdr:cNvSpPr/>
      </xdr:nvSpPr>
      <xdr:spPr>
        <a:xfrm rot="10800000">
          <a:off x="11544300" y="119153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651</xdr:row>
      <xdr:rowOff>0</xdr:rowOff>
    </xdr:from>
    <xdr:to>
      <xdr:col>24</xdr:col>
      <xdr:colOff>83820</xdr:colOff>
      <xdr:row>651</xdr:row>
      <xdr:rowOff>114300</xdr:rowOff>
    </xdr:to>
    <xdr:sp macro="" textlink="">
      <xdr:nvSpPr>
        <xdr:cNvPr id="4962" name="Arrow: Down 4961">
          <a:extLst>
            <a:ext uri="{FF2B5EF4-FFF2-40B4-BE49-F238E27FC236}">
              <a16:creationId xmlns:a16="http://schemas.microsoft.com/office/drawing/2014/main" id="{D7B2F286-3F32-423A-8713-4143B114B87A}"/>
            </a:ext>
          </a:extLst>
        </xdr:cNvPr>
        <xdr:cNvSpPr/>
      </xdr:nvSpPr>
      <xdr:spPr>
        <a:xfrm>
          <a:off x="8336280" y="11915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652</xdr:row>
      <xdr:rowOff>0</xdr:rowOff>
    </xdr:from>
    <xdr:to>
      <xdr:col>5</xdr:col>
      <xdr:colOff>83820</xdr:colOff>
      <xdr:row>652</xdr:row>
      <xdr:rowOff>114300</xdr:rowOff>
    </xdr:to>
    <xdr:sp macro="" textlink="">
      <xdr:nvSpPr>
        <xdr:cNvPr id="4970" name="Arrow: Down 4969">
          <a:extLst>
            <a:ext uri="{FF2B5EF4-FFF2-40B4-BE49-F238E27FC236}">
              <a16:creationId xmlns:a16="http://schemas.microsoft.com/office/drawing/2014/main" id="{877C08CC-DC41-4652-95A1-BB1C44270549}"/>
            </a:ext>
          </a:extLst>
        </xdr:cNvPr>
        <xdr:cNvSpPr/>
      </xdr:nvSpPr>
      <xdr:spPr>
        <a:xfrm rot="10800000">
          <a:off x="192786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652</xdr:row>
      <xdr:rowOff>0</xdr:rowOff>
    </xdr:from>
    <xdr:to>
      <xdr:col>11</xdr:col>
      <xdr:colOff>83820</xdr:colOff>
      <xdr:row>652</xdr:row>
      <xdr:rowOff>114300</xdr:rowOff>
    </xdr:to>
    <xdr:sp macro="" textlink="">
      <xdr:nvSpPr>
        <xdr:cNvPr id="4971" name="Arrow: Down 4970">
          <a:extLst>
            <a:ext uri="{FF2B5EF4-FFF2-40B4-BE49-F238E27FC236}">
              <a16:creationId xmlns:a16="http://schemas.microsoft.com/office/drawing/2014/main" id="{7E1F4DFB-AE17-4242-A870-08C455FA5D54}"/>
            </a:ext>
          </a:extLst>
        </xdr:cNvPr>
        <xdr:cNvSpPr/>
      </xdr:nvSpPr>
      <xdr:spPr>
        <a:xfrm rot="10800000">
          <a:off x="369570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652</xdr:row>
      <xdr:rowOff>0</xdr:rowOff>
    </xdr:from>
    <xdr:to>
      <xdr:col>71</xdr:col>
      <xdr:colOff>83820</xdr:colOff>
      <xdr:row>652</xdr:row>
      <xdr:rowOff>114300</xdr:rowOff>
    </xdr:to>
    <xdr:sp macro="" textlink="">
      <xdr:nvSpPr>
        <xdr:cNvPr id="4972" name="Arrow: Down 4971">
          <a:extLst>
            <a:ext uri="{FF2B5EF4-FFF2-40B4-BE49-F238E27FC236}">
              <a16:creationId xmlns:a16="http://schemas.microsoft.com/office/drawing/2014/main" id="{E3D92734-B521-4CEE-B183-7DF37B977FF8}"/>
            </a:ext>
          </a:extLst>
        </xdr:cNvPr>
        <xdr:cNvSpPr/>
      </xdr:nvSpPr>
      <xdr:spPr>
        <a:xfrm rot="10800000">
          <a:off x="2196084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652</xdr:row>
      <xdr:rowOff>0</xdr:rowOff>
    </xdr:from>
    <xdr:to>
      <xdr:col>60</xdr:col>
      <xdr:colOff>83820</xdr:colOff>
      <xdr:row>652</xdr:row>
      <xdr:rowOff>114300</xdr:rowOff>
    </xdr:to>
    <xdr:sp macro="" textlink="">
      <xdr:nvSpPr>
        <xdr:cNvPr id="4973" name="Arrow: Down 4972">
          <a:extLst>
            <a:ext uri="{FF2B5EF4-FFF2-40B4-BE49-F238E27FC236}">
              <a16:creationId xmlns:a16="http://schemas.microsoft.com/office/drawing/2014/main" id="{34928979-149C-44DA-AF9A-4E0C9F269905}"/>
            </a:ext>
          </a:extLst>
        </xdr:cNvPr>
        <xdr:cNvSpPr/>
      </xdr:nvSpPr>
      <xdr:spPr>
        <a:xfrm rot="10800000">
          <a:off x="1908048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652</xdr:row>
      <xdr:rowOff>0</xdr:rowOff>
    </xdr:from>
    <xdr:to>
      <xdr:col>45</xdr:col>
      <xdr:colOff>83820</xdr:colOff>
      <xdr:row>652</xdr:row>
      <xdr:rowOff>114300</xdr:rowOff>
    </xdr:to>
    <xdr:sp macro="" textlink="">
      <xdr:nvSpPr>
        <xdr:cNvPr id="4974" name="Arrow: Down 4973">
          <a:extLst>
            <a:ext uri="{FF2B5EF4-FFF2-40B4-BE49-F238E27FC236}">
              <a16:creationId xmlns:a16="http://schemas.microsoft.com/office/drawing/2014/main" id="{08BA4741-7689-4864-B1A4-D30D43F7D9A2}"/>
            </a:ext>
          </a:extLst>
        </xdr:cNvPr>
        <xdr:cNvSpPr/>
      </xdr:nvSpPr>
      <xdr:spPr>
        <a:xfrm>
          <a:off x="1340358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652</xdr:row>
      <xdr:rowOff>0</xdr:rowOff>
    </xdr:from>
    <xdr:to>
      <xdr:col>24</xdr:col>
      <xdr:colOff>83820</xdr:colOff>
      <xdr:row>652</xdr:row>
      <xdr:rowOff>114300</xdr:rowOff>
    </xdr:to>
    <xdr:sp macro="" textlink="">
      <xdr:nvSpPr>
        <xdr:cNvPr id="4976" name="Arrow: Down 4975">
          <a:extLst>
            <a:ext uri="{FF2B5EF4-FFF2-40B4-BE49-F238E27FC236}">
              <a16:creationId xmlns:a16="http://schemas.microsoft.com/office/drawing/2014/main" id="{3C34289B-022C-40BE-ACDC-E88C10B4F298}"/>
            </a:ext>
          </a:extLst>
        </xdr:cNvPr>
        <xdr:cNvSpPr/>
      </xdr:nvSpPr>
      <xdr:spPr>
        <a:xfrm>
          <a:off x="8336280" y="11915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652</xdr:row>
      <xdr:rowOff>0</xdr:rowOff>
    </xdr:from>
    <xdr:to>
      <xdr:col>39</xdr:col>
      <xdr:colOff>83820</xdr:colOff>
      <xdr:row>652</xdr:row>
      <xdr:rowOff>114300</xdr:rowOff>
    </xdr:to>
    <xdr:sp macro="" textlink="">
      <xdr:nvSpPr>
        <xdr:cNvPr id="4978" name="Arrow: Down 4977">
          <a:extLst>
            <a:ext uri="{FF2B5EF4-FFF2-40B4-BE49-F238E27FC236}">
              <a16:creationId xmlns:a16="http://schemas.microsoft.com/office/drawing/2014/main" id="{4C969CFF-8F72-4E78-92B5-75A11DDE647E}"/>
            </a:ext>
          </a:extLst>
        </xdr:cNvPr>
        <xdr:cNvSpPr/>
      </xdr:nvSpPr>
      <xdr:spPr>
        <a:xfrm>
          <a:off x="1154430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653</xdr:row>
      <xdr:rowOff>0</xdr:rowOff>
    </xdr:from>
    <xdr:to>
      <xdr:col>71</xdr:col>
      <xdr:colOff>83820</xdr:colOff>
      <xdr:row>653</xdr:row>
      <xdr:rowOff>114300</xdr:rowOff>
    </xdr:to>
    <xdr:sp macro="" textlink="">
      <xdr:nvSpPr>
        <xdr:cNvPr id="4981" name="Arrow: Down 4980">
          <a:extLst>
            <a:ext uri="{FF2B5EF4-FFF2-40B4-BE49-F238E27FC236}">
              <a16:creationId xmlns:a16="http://schemas.microsoft.com/office/drawing/2014/main" id="{80D609DD-0464-4331-B453-5A4F6AE815D0}"/>
            </a:ext>
          </a:extLst>
        </xdr:cNvPr>
        <xdr:cNvSpPr/>
      </xdr:nvSpPr>
      <xdr:spPr>
        <a:xfrm rot="10800000">
          <a:off x="2196084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653</xdr:row>
      <xdr:rowOff>0</xdr:rowOff>
    </xdr:from>
    <xdr:to>
      <xdr:col>60</xdr:col>
      <xdr:colOff>83820</xdr:colOff>
      <xdr:row>653</xdr:row>
      <xdr:rowOff>114300</xdr:rowOff>
    </xdr:to>
    <xdr:sp macro="" textlink="">
      <xdr:nvSpPr>
        <xdr:cNvPr id="4982" name="Arrow: Down 4981">
          <a:extLst>
            <a:ext uri="{FF2B5EF4-FFF2-40B4-BE49-F238E27FC236}">
              <a16:creationId xmlns:a16="http://schemas.microsoft.com/office/drawing/2014/main" id="{6FA20907-CEC9-4CA9-9FF7-66AB2EE846F5}"/>
            </a:ext>
          </a:extLst>
        </xdr:cNvPr>
        <xdr:cNvSpPr/>
      </xdr:nvSpPr>
      <xdr:spPr>
        <a:xfrm rot="10800000">
          <a:off x="1908048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653</xdr:row>
      <xdr:rowOff>0</xdr:rowOff>
    </xdr:from>
    <xdr:to>
      <xdr:col>45</xdr:col>
      <xdr:colOff>83820</xdr:colOff>
      <xdr:row>653</xdr:row>
      <xdr:rowOff>114300</xdr:rowOff>
    </xdr:to>
    <xdr:sp macro="" textlink="">
      <xdr:nvSpPr>
        <xdr:cNvPr id="4983" name="Arrow: Down 4982">
          <a:extLst>
            <a:ext uri="{FF2B5EF4-FFF2-40B4-BE49-F238E27FC236}">
              <a16:creationId xmlns:a16="http://schemas.microsoft.com/office/drawing/2014/main" id="{678AB08F-7434-4548-B3C4-10A5795CBBDF}"/>
            </a:ext>
          </a:extLst>
        </xdr:cNvPr>
        <xdr:cNvSpPr/>
      </xdr:nvSpPr>
      <xdr:spPr>
        <a:xfrm>
          <a:off x="1340358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653</xdr:row>
      <xdr:rowOff>0</xdr:rowOff>
    </xdr:from>
    <xdr:to>
      <xdr:col>24</xdr:col>
      <xdr:colOff>83820</xdr:colOff>
      <xdr:row>653</xdr:row>
      <xdr:rowOff>114300</xdr:rowOff>
    </xdr:to>
    <xdr:sp macro="" textlink="">
      <xdr:nvSpPr>
        <xdr:cNvPr id="4984" name="Arrow: Down 4983">
          <a:extLst>
            <a:ext uri="{FF2B5EF4-FFF2-40B4-BE49-F238E27FC236}">
              <a16:creationId xmlns:a16="http://schemas.microsoft.com/office/drawing/2014/main" id="{F7F7CE14-1C0E-4AAF-B1B0-3E586188E482}"/>
            </a:ext>
          </a:extLst>
        </xdr:cNvPr>
        <xdr:cNvSpPr/>
      </xdr:nvSpPr>
      <xdr:spPr>
        <a:xfrm>
          <a:off x="8336280" y="11933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653</xdr:row>
      <xdr:rowOff>0</xdr:rowOff>
    </xdr:from>
    <xdr:to>
      <xdr:col>39</xdr:col>
      <xdr:colOff>83820</xdr:colOff>
      <xdr:row>653</xdr:row>
      <xdr:rowOff>114300</xdr:rowOff>
    </xdr:to>
    <xdr:sp macro="" textlink="">
      <xdr:nvSpPr>
        <xdr:cNvPr id="4985" name="Arrow: Down 4984">
          <a:extLst>
            <a:ext uri="{FF2B5EF4-FFF2-40B4-BE49-F238E27FC236}">
              <a16:creationId xmlns:a16="http://schemas.microsoft.com/office/drawing/2014/main" id="{BD8BA873-E5C0-49B3-B8EB-0B03DF0D0F30}"/>
            </a:ext>
          </a:extLst>
        </xdr:cNvPr>
        <xdr:cNvSpPr/>
      </xdr:nvSpPr>
      <xdr:spPr>
        <a:xfrm>
          <a:off x="1154430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653</xdr:row>
      <xdr:rowOff>0</xdr:rowOff>
    </xdr:from>
    <xdr:to>
      <xdr:col>5</xdr:col>
      <xdr:colOff>83820</xdr:colOff>
      <xdr:row>653</xdr:row>
      <xdr:rowOff>114300</xdr:rowOff>
    </xdr:to>
    <xdr:sp macro="" textlink="">
      <xdr:nvSpPr>
        <xdr:cNvPr id="4986" name="Arrow: Down 4985">
          <a:extLst>
            <a:ext uri="{FF2B5EF4-FFF2-40B4-BE49-F238E27FC236}">
              <a16:creationId xmlns:a16="http://schemas.microsoft.com/office/drawing/2014/main" id="{E3FFC31D-CE47-46BA-9259-CBA565204918}"/>
            </a:ext>
          </a:extLst>
        </xdr:cNvPr>
        <xdr:cNvSpPr/>
      </xdr:nvSpPr>
      <xdr:spPr>
        <a:xfrm>
          <a:off x="192786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653</xdr:row>
      <xdr:rowOff>0</xdr:rowOff>
    </xdr:from>
    <xdr:to>
      <xdr:col>11</xdr:col>
      <xdr:colOff>83820</xdr:colOff>
      <xdr:row>653</xdr:row>
      <xdr:rowOff>114300</xdr:rowOff>
    </xdr:to>
    <xdr:sp macro="" textlink="">
      <xdr:nvSpPr>
        <xdr:cNvPr id="4988" name="Arrow: Down 4987">
          <a:extLst>
            <a:ext uri="{FF2B5EF4-FFF2-40B4-BE49-F238E27FC236}">
              <a16:creationId xmlns:a16="http://schemas.microsoft.com/office/drawing/2014/main" id="{4350C1C1-3A1D-44EA-AD64-5D70506AA4AE}"/>
            </a:ext>
          </a:extLst>
        </xdr:cNvPr>
        <xdr:cNvSpPr/>
      </xdr:nvSpPr>
      <xdr:spPr>
        <a:xfrm>
          <a:off x="369570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654</xdr:row>
      <xdr:rowOff>0</xdr:rowOff>
    </xdr:from>
    <xdr:to>
      <xdr:col>71</xdr:col>
      <xdr:colOff>83820</xdr:colOff>
      <xdr:row>654</xdr:row>
      <xdr:rowOff>114300</xdr:rowOff>
    </xdr:to>
    <xdr:sp macro="" textlink="">
      <xdr:nvSpPr>
        <xdr:cNvPr id="4996" name="Arrow: Down 4995">
          <a:extLst>
            <a:ext uri="{FF2B5EF4-FFF2-40B4-BE49-F238E27FC236}">
              <a16:creationId xmlns:a16="http://schemas.microsoft.com/office/drawing/2014/main" id="{19F536BA-2238-406D-BCC2-9207C7145239}"/>
            </a:ext>
          </a:extLst>
        </xdr:cNvPr>
        <xdr:cNvSpPr/>
      </xdr:nvSpPr>
      <xdr:spPr>
        <a:xfrm rot="10800000">
          <a:off x="2196084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654</xdr:row>
      <xdr:rowOff>0</xdr:rowOff>
    </xdr:from>
    <xdr:to>
      <xdr:col>60</xdr:col>
      <xdr:colOff>83820</xdr:colOff>
      <xdr:row>654</xdr:row>
      <xdr:rowOff>114300</xdr:rowOff>
    </xdr:to>
    <xdr:sp macro="" textlink="">
      <xdr:nvSpPr>
        <xdr:cNvPr id="4997" name="Arrow: Down 4996">
          <a:extLst>
            <a:ext uri="{FF2B5EF4-FFF2-40B4-BE49-F238E27FC236}">
              <a16:creationId xmlns:a16="http://schemas.microsoft.com/office/drawing/2014/main" id="{18E9A654-86A2-4A1C-932B-1917CEBBCDBB}"/>
            </a:ext>
          </a:extLst>
        </xdr:cNvPr>
        <xdr:cNvSpPr/>
      </xdr:nvSpPr>
      <xdr:spPr>
        <a:xfrm rot="10800000">
          <a:off x="1908048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654</xdr:row>
      <xdr:rowOff>0</xdr:rowOff>
    </xdr:from>
    <xdr:to>
      <xdr:col>45</xdr:col>
      <xdr:colOff>83820</xdr:colOff>
      <xdr:row>654</xdr:row>
      <xdr:rowOff>114300</xdr:rowOff>
    </xdr:to>
    <xdr:sp macro="" textlink="">
      <xdr:nvSpPr>
        <xdr:cNvPr id="4998" name="Arrow: Down 4997">
          <a:extLst>
            <a:ext uri="{FF2B5EF4-FFF2-40B4-BE49-F238E27FC236}">
              <a16:creationId xmlns:a16="http://schemas.microsoft.com/office/drawing/2014/main" id="{EBBE126A-1352-4E9E-801C-BCC0F7405328}"/>
            </a:ext>
          </a:extLst>
        </xdr:cNvPr>
        <xdr:cNvSpPr/>
      </xdr:nvSpPr>
      <xdr:spPr>
        <a:xfrm>
          <a:off x="1340358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654</xdr:row>
      <xdr:rowOff>0</xdr:rowOff>
    </xdr:from>
    <xdr:to>
      <xdr:col>24</xdr:col>
      <xdr:colOff>83820</xdr:colOff>
      <xdr:row>654</xdr:row>
      <xdr:rowOff>114300</xdr:rowOff>
    </xdr:to>
    <xdr:sp macro="" textlink="">
      <xdr:nvSpPr>
        <xdr:cNvPr id="4999" name="Arrow: Down 4998">
          <a:extLst>
            <a:ext uri="{FF2B5EF4-FFF2-40B4-BE49-F238E27FC236}">
              <a16:creationId xmlns:a16="http://schemas.microsoft.com/office/drawing/2014/main" id="{BE037654-4524-4295-A387-D744821D18DE}"/>
            </a:ext>
          </a:extLst>
        </xdr:cNvPr>
        <xdr:cNvSpPr/>
      </xdr:nvSpPr>
      <xdr:spPr>
        <a:xfrm>
          <a:off x="833628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654</xdr:row>
      <xdr:rowOff>0</xdr:rowOff>
    </xdr:from>
    <xdr:to>
      <xdr:col>39</xdr:col>
      <xdr:colOff>83820</xdr:colOff>
      <xdr:row>654</xdr:row>
      <xdr:rowOff>114300</xdr:rowOff>
    </xdr:to>
    <xdr:sp macro="" textlink="">
      <xdr:nvSpPr>
        <xdr:cNvPr id="5000" name="Arrow: Down 4999">
          <a:extLst>
            <a:ext uri="{FF2B5EF4-FFF2-40B4-BE49-F238E27FC236}">
              <a16:creationId xmlns:a16="http://schemas.microsoft.com/office/drawing/2014/main" id="{A2C16BDE-AF9D-47BC-A597-46184030D3E4}"/>
            </a:ext>
          </a:extLst>
        </xdr:cNvPr>
        <xdr:cNvSpPr/>
      </xdr:nvSpPr>
      <xdr:spPr>
        <a:xfrm>
          <a:off x="1154430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654</xdr:row>
      <xdr:rowOff>0</xdr:rowOff>
    </xdr:from>
    <xdr:to>
      <xdr:col>5</xdr:col>
      <xdr:colOff>83820</xdr:colOff>
      <xdr:row>654</xdr:row>
      <xdr:rowOff>114300</xdr:rowOff>
    </xdr:to>
    <xdr:sp macro="" textlink="">
      <xdr:nvSpPr>
        <xdr:cNvPr id="5001" name="Arrow: Down 5000">
          <a:extLst>
            <a:ext uri="{FF2B5EF4-FFF2-40B4-BE49-F238E27FC236}">
              <a16:creationId xmlns:a16="http://schemas.microsoft.com/office/drawing/2014/main" id="{AAA4D6B9-A8A1-4751-ACC3-EF65FE19A5B2}"/>
            </a:ext>
          </a:extLst>
        </xdr:cNvPr>
        <xdr:cNvSpPr/>
      </xdr:nvSpPr>
      <xdr:spPr>
        <a:xfrm>
          <a:off x="192786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654</xdr:row>
      <xdr:rowOff>0</xdr:rowOff>
    </xdr:from>
    <xdr:to>
      <xdr:col>11</xdr:col>
      <xdr:colOff>83820</xdr:colOff>
      <xdr:row>654</xdr:row>
      <xdr:rowOff>114300</xdr:rowOff>
    </xdr:to>
    <xdr:sp macro="" textlink="">
      <xdr:nvSpPr>
        <xdr:cNvPr id="5002" name="Arrow: Down 5001">
          <a:extLst>
            <a:ext uri="{FF2B5EF4-FFF2-40B4-BE49-F238E27FC236}">
              <a16:creationId xmlns:a16="http://schemas.microsoft.com/office/drawing/2014/main" id="{B6CFF753-DCAE-4A57-B0D3-697C88AB3FE5}"/>
            </a:ext>
          </a:extLst>
        </xdr:cNvPr>
        <xdr:cNvSpPr/>
      </xdr:nvSpPr>
      <xdr:spPr>
        <a:xfrm>
          <a:off x="369570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655</xdr:row>
      <xdr:rowOff>0</xdr:rowOff>
    </xdr:from>
    <xdr:to>
      <xdr:col>71</xdr:col>
      <xdr:colOff>83820</xdr:colOff>
      <xdr:row>655</xdr:row>
      <xdr:rowOff>114300</xdr:rowOff>
    </xdr:to>
    <xdr:sp macro="" textlink="">
      <xdr:nvSpPr>
        <xdr:cNvPr id="5010" name="Arrow: Down 5009">
          <a:extLst>
            <a:ext uri="{FF2B5EF4-FFF2-40B4-BE49-F238E27FC236}">
              <a16:creationId xmlns:a16="http://schemas.microsoft.com/office/drawing/2014/main" id="{E8E5F1F7-2625-435B-A04F-304FBDD19824}"/>
            </a:ext>
          </a:extLst>
        </xdr:cNvPr>
        <xdr:cNvSpPr/>
      </xdr:nvSpPr>
      <xdr:spPr>
        <a:xfrm rot="10800000">
          <a:off x="21960840" y="11970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655</xdr:row>
      <xdr:rowOff>0</xdr:rowOff>
    </xdr:from>
    <xdr:to>
      <xdr:col>45</xdr:col>
      <xdr:colOff>83820</xdr:colOff>
      <xdr:row>655</xdr:row>
      <xdr:rowOff>114300</xdr:rowOff>
    </xdr:to>
    <xdr:sp macro="" textlink="">
      <xdr:nvSpPr>
        <xdr:cNvPr id="5012" name="Arrow: Down 5011">
          <a:extLst>
            <a:ext uri="{FF2B5EF4-FFF2-40B4-BE49-F238E27FC236}">
              <a16:creationId xmlns:a16="http://schemas.microsoft.com/office/drawing/2014/main" id="{7527B2FC-6DA5-485B-A71E-CD164F5DBBB4}"/>
            </a:ext>
          </a:extLst>
        </xdr:cNvPr>
        <xdr:cNvSpPr/>
      </xdr:nvSpPr>
      <xdr:spPr>
        <a:xfrm>
          <a:off x="13403580" y="11970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655</xdr:row>
      <xdr:rowOff>0</xdr:rowOff>
    </xdr:from>
    <xdr:to>
      <xdr:col>24</xdr:col>
      <xdr:colOff>83820</xdr:colOff>
      <xdr:row>655</xdr:row>
      <xdr:rowOff>114300</xdr:rowOff>
    </xdr:to>
    <xdr:sp macro="" textlink="">
      <xdr:nvSpPr>
        <xdr:cNvPr id="5013" name="Arrow: Down 5012">
          <a:extLst>
            <a:ext uri="{FF2B5EF4-FFF2-40B4-BE49-F238E27FC236}">
              <a16:creationId xmlns:a16="http://schemas.microsoft.com/office/drawing/2014/main" id="{1E3CDCDB-5649-481F-BFFE-3D52CE71D160}"/>
            </a:ext>
          </a:extLst>
        </xdr:cNvPr>
        <xdr:cNvSpPr/>
      </xdr:nvSpPr>
      <xdr:spPr>
        <a:xfrm>
          <a:off x="8336280" y="11970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655</xdr:row>
      <xdr:rowOff>0</xdr:rowOff>
    </xdr:from>
    <xdr:to>
      <xdr:col>5</xdr:col>
      <xdr:colOff>83820</xdr:colOff>
      <xdr:row>655</xdr:row>
      <xdr:rowOff>114300</xdr:rowOff>
    </xdr:to>
    <xdr:sp macro="" textlink="">
      <xdr:nvSpPr>
        <xdr:cNvPr id="5015" name="Arrow: Down 5014">
          <a:extLst>
            <a:ext uri="{FF2B5EF4-FFF2-40B4-BE49-F238E27FC236}">
              <a16:creationId xmlns:a16="http://schemas.microsoft.com/office/drawing/2014/main" id="{75D04D59-27A3-47DD-920D-EECC465532AE}"/>
            </a:ext>
          </a:extLst>
        </xdr:cNvPr>
        <xdr:cNvSpPr/>
      </xdr:nvSpPr>
      <xdr:spPr>
        <a:xfrm>
          <a:off x="1927860" y="11970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655</xdr:row>
      <xdr:rowOff>0</xdr:rowOff>
    </xdr:from>
    <xdr:to>
      <xdr:col>11</xdr:col>
      <xdr:colOff>83820</xdr:colOff>
      <xdr:row>655</xdr:row>
      <xdr:rowOff>114300</xdr:rowOff>
    </xdr:to>
    <xdr:sp macro="" textlink="">
      <xdr:nvSpPr>
        <xdr:cNvPr id="5016" name="Arrow: Down 5015">
          <a:extLst>
            <a:ext uri="{FF2B5EF4-FFF2-40B4-BE49-F238E27FC236}">
              <a16:creationId xmlns:a16="http://schemas.microsoft.com/office/drawing/2014/main" id="{9F26F817-3B93-4D24-83FD-65693E0320D2}"/>
            </a:ext>
          </a:extLst>
        </xdr:cNvPr>
        <xdr:cNvSpPr/>
      </xdr:nvSpPr>
      <xdr:spPr>
        <a:xfrm>
          <a:off x="3695700" y="11970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655</xdr:row>
      <xdr:rowOff>0</xdr:rowOff>
    </xdr:from>
    <xdr:to>
      <xdr:col>60</xdr:col>
      <xdr:colOff>83820</xdr:colOff>
      <xdr:row>655</xdr:row>
      <xdr:rowOff>114300</xdr:rowOff>
    </xdr:to>
    <xdr:sp macro="" textlink="">
      <xdr:nvSpPr>
        <xdr:cNvPr id="5017" name="Arrow: Down 5016">
          <a:extLst>
            <a:ext uri="{FF2B5EF4-FFF2-40B4-BE49-F238E27FC236}">
              <a16:creationId xmlns:a16="http://schemas.microsoft.com/office/drawing/2014/main" id="{50E87676-3AC7-4D85-B531-FBC640A7BFAE}"/>
            </a:ext>
          </a:extLst>
        </xdr:cNvPr>
        <xdr:cNvSpPr/>
      </xdr:nvSpPr>
      <xdr:spPr>
        <a:xfrm>
          <a:off x="19080480" y="11988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655</xdr:row>
      <xdr:rowOff>0</xdr:rowOff>
    </xdr:from>
    <xdr:to>
      <xdr:col>39</xdr:col>
      <xdr:colOff>83820</xdr:colOff>
      <xdr:row>655</xdr:row>
      <xdr:rowOff>114300</xdr:rowOff>
    </xdr:to>
    <xdr:sp macro="" textlink="">
      <xdr:nvSpPr>
        <xdr:cNvPr id="5019" name="Arrow: Down 5018">
          <a:extLst>
            <a:ext uri="{FF2B5EF4-FFF2-40B4-BE49-F238E27FC236}">
              <a16:creationId xmlns:a16="http://schemas.microsoft.com/office/drawing/2014/main" id="{0F4C71DD-1468-4835-9008-FB72646EF7CF}"/>
            </a:ext>
          </a:extLst>
        </xdr:cNvPr>
        <xdr:cNvSpPr/>
      </xdr:nvSpPr>
      <xdr:spPr>
        <a:xfrm rot="10800000">
          <a:off x="11544300" y="119885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656</xdr:row>
      <xdr:rowOff>0</xdr:rowOff>
    </xdr:from>
    <xdr:to>
      <xdr:col>45</xdr:col>
      <xdr:colOff>83820</xdr:colOff>
      <xdr:row>656</xdr:row>
      <xdr:rowOff>114300</xdr:rowOff>
    </xdr:to>
    <xdr:sp macro="" textlink="">
      <xdr:nvSpPr>
        <xdr:cNvPr id="4725" name="Arrow: Down 4724">
          <a:extLst>
            <a:ext uri="{FF2B5EF4-FFF2-40B4-BE49-F238E27FC236}">
              <a16:creationId xmlns:a16="http://schemas.microsoft.com/office/drawing/2014/main" id="{9510F82F-9D3F-48C5-838D-E77E76018F84}"/>
            </a:ext>
          </a:extLst>
        </xdr:cNvPr>
        <xdr:cNvSpPr/>
      </xdr:nvSpPr>
      <xdr:spPr>
        <a:xfrm>
          <a:off x="13403580" y="11988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656</xdr:row>
      <xdr:rowOff>0</xdr:rowOff>
    </xdr:from>
    <xdr:to>
      <xdr:col>60</xdr:col>
      <xdr:colOff>83820</xdr:colOff>
      <xdr:row>656</xdr:row>
      <xdr:rowOff>114300</xdr:rowOff>
    </xdr:to>
    <xdr:sp macro="" textlink="">
      <xdr:nvSpPr>
        <xdr:cNvPr id="4751" name="Arrow: Down 4750">
          <a:extLst>
            <a:ext uri="{FF2B5EF4-FFF2-40B4-BE49-F238E27FC236}">
              <a16:creationId xmlns:a16="http://schemas.microsoft.com/office/drawing/2014/main" id="{19314B05-AD00-4C84-986B-F8E8240E043A}"/>
            </a:ext>
          </a:extLst>
        </xdr:cNvPr>
        <xdr:cNvSpPr/>
      </xdr:nvSpPr>
      <xdr:spPr>
        <a:xfrm>
          <a:off x="19080480" y="11988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656</xdr:row>
      <xdr:rowOff>0</xdr:rowOff>
    </xdr:from>
    <xdr:to>
      <xdr:col>39</xdr:col>
      <xdr:colOff>83820</xdr:colOff>
      <xdr:row>656</xdr:row>
      <xdr:rowOff>114300</xdr:rowOff>
    </xdr:to>
    <xdr:sp macro="" textlink="">
      <xdr:nvSpPr>
        <xdr:cNvPr id="4755" name="Arrow: Down 4754">
          <a:extLst>
            <a:ext uri="{FF2B5EF4-FFF2-40B4-BE49-F238E27FC236}">
              <a16:creationId xmlns:a16="http://schemas.microsoft.com/office/drawing/2014/main" id="{72BA34FE-4705-46E5-9C42-81E232A7450E}"/>
            </a:ext>
          </a:extLst>
        </xdr:cNvPr>
        <xdr:cNvSpPr/>
      </xdr:nvSpPr>
      <xdr:spPr>
        <a:xfrm rot="10800000">
          <a:off x="11544300" y="119885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656</xdr:row>
      <xdr:rowOff>0</xdr:rowOff>
    </xdr:from>
    <xdr:to>
      <xdr:col>71</xdr:col>
      <xdr:colOff>83820</xdr:colOff>
      <xdr:row>656</xdr:row>
      <xdr:rowOff>114300</xdr:rowOff>
    </xdr:to>
    <xdr:sp macro="" textlink="">
      <xdr:nvSpPr>
        <xdr:cNvPr id="4792" name="Arrow: Down 4791">
          <a:extLst>
            <a:ext uri="{FF2B5EF4-FFF2-40B4-BE49-F238E27FC236}">
              <a16:creationId xmlns:a16="http://schemas.microsoft.com/office/drawing/2014/main" id="{0F5C2B65-A4CE-4B00-94B7-9C3E1FFA7C51}"/>
            </a:ext>
          </a:extLst>
        </xdr:cNvPr>
        <xdr:cNvSpPr/>
      </xdr:nvSpPr>
      <xdr:spPr>
        <a:xfrm>
          <a:off x="21960840" y="12006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656</xdr:row>
      <xdr:rowOff>0</xdr:rowOff>
    </xdr:from>
    <xdr:to>
      <xdr:col>5</xdr:col>
      <xdr:colOff>83820</xdr:colOff>
      <xdr:row>656</xdr:row>
      <xdr:rowOff>114300</xdr:rowOff>
    </xdr:to>
    <xdr:sp macro="" textlink="">
      <xdr:nvSpPr>
        <xdr:cNvPr id="4818" name="Arrow: Down 4817">
          <a:extLst>
            <a:ext uri="{FF2B5EF4-FFF2-40B4-BE49-F238E27FC236}">
              <a16:creationId xmlns:a16="http://schemas.microsoft.com/office/drawing/2014/main" id="{E4A8F476-8503-4107-A407-F04A6CB05554}"/>
            </a:ext>
          </a:extLst>
        </xdr:cNvPr>
        <xdr:cNvSpPr/>
      </xdr:nvSpPr>
      <xdr:spPr>
        <a:xfrm rot="10800000">
          <a:off x="192786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656</xdr:row>
      <xdr:rowOff>0</xdr:rowOff>
    </xdr:from>
    <xdr:to>
      <xdr:col>11</xdr:col>
      <xdr:colOff>83820</xdr:colOff>
      <xdr:row>656</xdr:row>
      <xdr:rowOff>114300</xdr:rowOff>
    </xdr:to>
    <xdr:sp macro="" textlink="">
      <xdr:nvSpPr>
        <xdr:cNvPr id="4820" name="Arrow: Down 4819">
          <a:extLst>
            <a:ext uri="{FF2B5EF4-FFF2-40B4-BE49-F238E27FC236}">
              <a16:creationId xmlns:a16="http://schemas.microsoft.com/office/drawing/2014/main" id="{CDECBA08-EA8F-4C89-AA61-135C91221806}"/>
            </a:ext>
          </a:extLst>
        </xdr:cNvPr>
        <xdr:cNvSpPr/>
      </xdr:nvSpPr>
      <xdr:spPr>
        <a:xfrm rot="10800000">
          <a:off x="369570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656</xdr:row>
      <xdr:rowOff>0</xdr:rowOff>
    </xdr:from>
    <xdr:to>
      <xdr:col>24</xdr:col>
      <xdr:colOff>83820</xdr:colOff>
      <xdr:row>656</xdr:row>
      <xdr:rowOff>114300</xdr:rowOff>
    </xdr:to>
    <xdr:sp macro="" textlink="">
      <xdr:nvSpPr>
        <xdr:cNvPr id="4822" name="Arrow: Down 4821">
          <a:extLst>
            <a:ext uri="{FF2B5EF4-FFF2-40B4-BE49-F238E27FC236}">
              <a16:creationId xmlns:a16="http://schemas.microsoft.com/office/drawing/2014/main" id="{6B095ADD-8F6A-41CB-9241-244415D32E4D}"/>
            </a:ext>
          </a:extLst>
        </xdr:cNvPr>
        <xdr:cNvSpPr/>
      </xdr:nvSpPr>
      <xdr:spPr>
        <a:xfrm rot="10800000">
          <a:off x="833628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657</xdr:row>
      <xdr:rowOff>0</xdr:rowOff>
    </xdr:from>
    <xdr:to>
      <xdr:col>45</xdr:col>
      <xdr:colOff>83820</xdr:colOff>
      <xdr:row>657</xdr:row>
      <xdr:rowOff>114300</xdr:rowOff>
    </xdr:to>
    <xdr:sp macro="" textlink="">
      <xdr:nvSpPr>
        <xdr:cNvPr id="4846" name="Arrow: Down 4845">
          <a:extLst>
            <a:ext uri="{FF2B5EF4-FFF2-40B4-BE49-F238E27FC236}">
              <a16:creationId xmlns:a16="http://schemas.microsoft.com/office/drawing/2014/main" id="{95E684E4-DFF8-49C2-8498-873A49CD0A6D}"/>
            </a:ext>
          </a:extLst>
        </xdr:cNvPr>
        <xdr:cNvSpPr/>
      </xdr:nvSpPr>
      <xdr:spPr>
        <a:xfrm>
          <a:off x="1340358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657</xdr:row>
      <xdr:rowOff>0</xdr:rowOff>
    </xdr:from>
    <xdr:to>
      <xdr:col>5</xdr:col>
      <xdr:colOff>83820</xdr:colOff>
      <xdr:row>657</xdr:row>
      <xdr:rowOff>114300</xdr:rowOff>
    </xdr:to>
    <xdr:sp macro="" textlink="">
      <xdr:nvSpPr>
        <xdr:cNvPr id="4852" name="Arrow: Down 4851">
          <a:extLst>
            <a:ext uri="{FF2B5EF4-FFF2-40B4-BE49-F238E27FC236}">
              <a16:creationId xmlns:a16="http://schemas.microsoft.com/office/drawing/2014/main" id="{E5EC5BEE-D9F5-4A1E-B949-03071771FF53}"/>
            </a:ext>
          </a:extLst>
        </xdr:cNvPr>
        <xdr:cNvSpPr/>
      </xdr:nvSpPr>
      <xdr:spPr>
        <a:xfrm rot="10800000">
          <a:off x="192786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657</xdr:row>
      <xdr:rowOff>0</xdr:rowOff>
    </xdr:from>
    <xdr:to>
      <xdr:col>11</xdr:col>
      <xdr:colOff>83820</xdr:colOff>
      <xdr:row>657</xdr:row>
      <xdr:rowOff>114300</xdr:rowOff>
    </xdr:to>
    <xdr:sp macro="" textlink="">
      <xdr:nvSpPr>
        <xdr:cNvPr id="4853" name="Arrow: Down 4852">
          <a:extLst>
            <a:ext uri="{FF2B5EF4-FFF2-40B4-BE49-F238E27FC236}">
              <a16:creationId xmlns:a16="http://schemas.microsoft.com/office/drawing/2014/main" id="{7C7C6F1E-B0C4-4586-9629-83D40D5CE1B7}"/>
            </a:ext>
          </a:extLst>
        </xdr:cNvPr>
        <xdr:cNvSpPr/>
      </xdr:nvSpPr>
      <xdr:spPr>
        <a:xfrm rot="10800000">
          <a:off x="369570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657</xdr:row>
      <xdr:rowOff>0</xdr:rowOff>
    </xdr:from>
    <xdr:to>
      <xdr:col>24</xdr:col>
      <xdr:colOff>83820</xdr:colOff>
      <xdr:row>657</xdr:row>
      <xdr:rowOff>114300</xdr:rowOff>
    </xdr:to>
    <xdr:sp macro="" textlink="">
      <xdr:nvSpPr>
        <xdr:cNvPr id="4856" name="Arrow: Down 4855">
          <a:extLst>
            <a:ext uri="{FF2B5EF4-FFF2-40B4-BE49-F238E27FC236}">
              <a16:creationId xmlns:a16="http://schemas.microsoft.com/office/drawing/2014/main" id="{2731B99D-471A-45C9-9829-FC6B496002B8}"/>
            </a:ext>
          </a:extLst>
        </xdr:cNvPr>
        <xdr:cNvSpPr/>
      </xdr:nvSpPr>
      <xdr:spPr>
        <a:xfrm rot="10800000">
          <a:off x="833628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657</xdr:row>
      <xdr:rowOff>0</xdr:rowOff>
    </xdr:from>
    <xdr:to>
      <xdr:col>60</xdr:col>
      <xdr:colOff>83820</xdr:colOff>
      <xdr:row>657</xdr:row>
      <xdr:rowOff>114300</xdr:rowOff>
    </xdr:to>
    <xdr:sp macro="" textlink="">
      <xdr:nvSpPr>
        <xdr:cNvPr id="4860" name="Arrow: Down 4859">
          <a:extLst>
            <a:ext uri="{FF2B5EF4-FFF2-40B4-BE49-F238E27FC236}">
              <a16:creationId xmlns:a16="http://schemas.microsoft.com/office/drawing/2014/main" id="{C15FD6E4-662A-4B9A-B488-2647D950DEDD}"/>
            </a:ext>
          </a:extLst>
        </xdr:cNvPr>
        <xdr:cNvSpPr/>
      </xdr:nvSpPr>
      <xdr:spPr>
        <a:xfrm rot="10800000">
          <a:off x="1908048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657</xdr:row>
      <xdr:rowOff>0</xdr:rowOff>
    </xdr:from>
    <xdr:to>
      <xdr:col>71</xdr:col>
      <xdr:colOff>83820</xdr:colOff>
      <xdr:row>657</xdr:row>
      <xdr:rowOff>114300</xdr:rowOff>
    </xdr:to>
    <xdr:sp macro="" textlink="">
      <xdr:nvSpPr>
        <xdr:cNvPr id="4862" name="Arrow: Down 4861">
          <a:extLst>
            <a:ext uri="{FF2B5EF4-FFF2-40B4-BE49-F238E27FC236}">
              <a16:creationId xmlns:a16="http://schemas.microsoft.com/office/drawing/2014/main" id="{A8986D5A-D825-46FF-8C82-B2B93AA93E31}"/>
            </a:ext>
          </a:extLst>
        </xdr:cNvPr>
        <xdr:cNvSpPr/>
      </xdr:nvSpPr>
      <xdr:spPr>
        <a:xfrm rot="10800000">
          <a:off x="2196084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657</xdr:row>
      <xdr:rowOff>0</xdr:rowOff>
    </xdr:from>
    <xdr:to>
      <xdr:col>39</xdr:col>
      <xdr:colOff>83820</xdr:colOff>
      <xdr:row>657</xdr:row>
      <xdr:rowOff>114300</xdr:rowOff>
    </xdr:to>
    <xdr:sp macro="" textlink="">
      <xdr:nvSpPr>
        <xdr:cNvPr id="4866" name="Arrow: Down 4865">
          <a:extLst>
            <a:ext uri="{FF2B5EF4-FFF2-40B4-BE49-F238E27FC236}">
              <a16:creationId xmlns:a16="http://schemas.microsoft.com/office/drawing/2014/main" id="{3242F192-F636-421E-AE11-08F05F5AAB1C}"/>
            </a:ext>
          </a:extLst>
        </xdr:cNvPr>
        <xdr:cNvSpPr/>
      </xdr:nvSpPr>
      <xdr:spPr>
        <a:xfrm>
          <a:off x="1154430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658</xdr:row>
      <xdr:rowOff>0</xdr:rowOff>
    </xdr:from>
    <xdr:to>
      <xdr:col>45</xdr:col>
      <xdr:colOff>83820</xdr:colOff>
      <xdr:row>658</xdr:row>
      <xdr:rowOff>114300</xdr:rowOff>
    </xdr:to>
    <xdr:sp macro="" textlink="">
      <xdr:nvSpPr>
        <xdr:cNvPr id="4878" name="Arrow: Down 4877">
          <a:extLst>
            <a:ext uri="{FF2B5EF4-FFF2-40B4-BE49-F238E27FC236}">
              <a16:creationId xmlns:a16="http://schemas.microsoft.com/office/drawing/2014/main" id="{90240631-A72C-4589-B4B6-CC9F8BA1CFD5}"/>
            </a:ext>
          </a:extLst>
        </xdr:cNvPr>
        <xdr:cNvSpPr/>
      </xdr:nvSpPr>
      <xdr:spPr>
        <a:xfrm>
          <a:off x="1340358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658</xdr:row>
      <xdr:rowOff>0</xdr:rowOff>
    </xdr:from>
    <xdr:to>
      <xdr:col>5</xdr:col>
      <xdr:colOff>83820</xdr:colOff>
      <xdr:row>658</xdr:row>
      <xdr:rowOff>114300</xdr:rowOff>
    </xdr:to>
    <xdr:sp macro="" textlink="">
      <xdr:nvSpPr>
        <xdr:cNvPr id="4880" name="Arrow: Down 4879">
          <a:extLst>
            <a:ext uri="{FF2B5EF4-FFF2-40B4-BE49-F238E27FC236}">
              <a16:creationId xmlns:a16="http://schemas.microsoft.com/office/drawing/2014/main" id="{3DB54041-D563-4928-8BB2-3EC7471FB885}"/>
            </a:ext>
          </a:extLst>
        </xdr:cNvPr>
        <xdr:cNvSpPr/>
      </xdr:nvSpPr>
      <xdr:spPr>
        <a:xfrm rot="10800000">
          <a:off x="192786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658</xdr:row>
      <xdr:rowOff>0</xdr:rowOff>
    </xdr:from>
    <xdr:to>
      <xdr:col>11</xdr:col>
      <xdr:colOff>83820</xdr:colOff>
      <xdr:row>658</xdr:row>
      <xdr:rowOff>114300</xdr:rowOff>
    </xdr:to>
    <xdr:sp macro="" textlink="">
      <xdr:nvSpPr>
        <xdr:cNvPr id="4881" name="Arrow: Down 4880">
          <a:extLst>
            <a:ext uri="{FF2B5EF4-FFF2-40B4-BE49-F238E27FC236}">
              <a16:creationId xmlns:a16="http://schemas.microsoft.com/office/drawing/2014/main" id="{AACC5C81-DF97-4B37-A4B0-F37B36901339}"/>
            </a:ext>
          </a:extLst>
        </xdr:cNvPr>
        <xdr:cNvSpPr/>
      </xdr:nvSpPr>
      <xdr:spPr>
        <a:xfrm rot="10800000">
          <a:off x="369570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658</xdr:row>
      <xdr:rowOff>0</xdr:rowOff>
    </xdr:from>
    <xdr:to>
      <xdr:col>24</xdr:col>
      <xdr:colOff>83820</xdr:colOff>
      <xdr:row>658</xdr:row>
      <xdr:rowOff>114300</xdr:rowOff>
    </xdr:to>
    <xdr:sp macro="" textlink="">
      <xdr:nvSpPr>
        <xdr:cNvPr id="4882" name="Arrow: Down 4881">
          <a:extLst>
            <a:ext uri="{FF2B5EF4-FFF2-40B4-BE49-F238E27FC236}">
              <a16:creationId xmlns:a16="http://schemas.microsoft.com/office/drawing/2014/main" id="{5FCAE31D-237D-4D9A-B95D-7668828480EA}"/>
            </a:ext>
          </a:extLst>
        </xdr:cNvPr>
        <xdr:cNvSpPr/>
      </xdr:nvSpPr>
      <xdr:spPr>
        <a:xfrm rot="10800000">
          <a:off x="833628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658</xdr:row>
      <xdr:rowOff>0</xdr:rowOff>
    </xdr:from>
    <xdr:to>
      <xdr:col>60</xdr:col>
      <xdr:colOff>83820</xdr:colOff>
      <xdr:row>658</xdr:row>
      <xdr:rowOff>114300</xdr:rowOff>
    </xdr:to>
    <xdr:sp macro="" textlink="">
      <xdr:nvSpPr>
        <xdr:cNvPr id="4884" name="Arrow: Down 4883">
          <a:extLst>
            <a:ext uri="{FF2B5EF4-FFF2-40B4-BE49-F238E27FC236}">
              <a16:creationId xmlns:a16="http://schemas.microsoft.com/office/drawing/2014/main" id="{0CD8907C-0674-4A31-95D5-E4734416035C}"/>
            </a:ext>
          </a:extLst>
        </xdr:cNvPr>
        <xdr:cNvSpPr/>
      </xdr:nvSpPr>
      <xdr:spPr>
        <a:xfrm rot="10800000">
          <a:off x="1908048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658</xdr:row>
      <xdr:rowOff>0</xdr:rowOff>
    </xdr:from>
    <xdr:to>
      <xdr:col>71</xdr:col>
      <xdr:colOff>83820</xdr:colOff>
      <xdr:row>658</xdr:row>
      <xdr:rowOff>114300</xdr:rowOff>
    </xdr:to>
    <xdr:sp macro="" textlink="">
      <xdr:nvSpPr>
        <xdr:cNvPr id="4885" name="Arrow: Down 4884">
          <a:extLst>
            <a:ext uri="{FF2B5EF4-FFF2-40B4-BE49-F238E27FC236}">
              <a16:creationId xmlns:a16="http://schemas.microsoft.com/office/drawing/2014/main" id="{60E4FA33-4E40-4EFC-91A4-B80801E5E960}"/>
            </a:ext>
          </a:extLst>
        </xdr:cNvPr>
        <xdr:cNvSpPr/>
      </xdr:nvSpPr>
      <xdr:spPr>
        <a:xfrm rot="10800000">
          <a:off x="2196084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658</xdr:row>
      <xdr:rowOff>0</xdr:rowOff>
    </xdr:from>
    <xdr:to>
      <xdr:col>39</xdr:col>
      <xdr:colOff>83820</xdr:colOff>
      <xdr:row>658</xdr:row>
      <xdr:rowOff>114300</xdr:rowOff>
    </xdr:to>
    <xdr:sp macro="" textlink="">
      <xdr:nvSpPr>
        <xdr:cNvPr id="4886" name="Arrow: Down 4885">
          <a:extLst>
            <a:ext uri="{FF2B5EF4-FFF2-40B4-BE49-F238E27FC236}">
              <a16:creationId xmlns:a16="http://schemas.microsoft.com/office/drawing/2014/main" id="{8E68D462-9365-4037-853F-90B4B23F3129}"/>
            </a:ext>
          </a:extLst>
        </xdr:cNvPr>
        <xdr:cNvSpPr/>
      </xdr:nvSpPr>
      <xdr:spPr>
        <a:xfrm>
          <a:off x="1154430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659</xdr:row>
      <xdr:rowOff>0</xdr:rowOff>
    </xdr:from>
    <xdr:to>
      <xdr:col>45</xdr:col>
      <xdr:colOff>83820</xdr:colOff>
      <xdr:row>659</xdr:row>
      <xdr:rowOff>114300</xdr:rowOff>
    </xdr:to>
    <xdr:sp macro="" textlink="">
      <xdr:nvSpPr>
        <xdr:cNvPr id="4907" name="Arrow: Down 4906">
          <a:extLst>
            <a:ext uri="{FF2B5EF4-FFF2-40B4-BE49-F238E27FC236}">
              <a16:creationId xmlns:a16="http://schemas.microsoft.com/office/drawing/2014/main" id="{AAAF0A29-8AD8-4456-9086-8D0EEE40E273}"/>
            </a:ext>
          </a:extLst>
        </xdr:cNvPr>
        <xdr:cNvSpPr/>
      </xdr:nvSpPr>
      <xdr:spPr>
        <a:xfrm>
          <a:off x="1340358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659</xdr:row>
      <xdr:rowOff>0</xdr:rowOff>
    </xdr:from>
    <xdr:to>
      <xdr:col>5</xdr:col>
      <xdr:colOff>83820</xdr:colOff>
      <xdr:row>659</xdr:row>
      <xdr:rowOff>114300</xdr:rowOff>
    </xdr:to>
    <xdr:sp macro="" textlink="">
      <xdr:nvSpPr>
        <xdr:cNvPr id="4909" name="Arrow: Down 4908">
          <a:extLst>
            <a:ext uri="{FF2B5EF4-FFF2-40B4-BE49-F238E27FC236}">
              <a16:creationId xmlns:a16="http://schemas.microsoft.com/office/drawing/2014/main" id="{1F777AFB-2B78-45BD-BC44-5C93CB2327B1}"/>
            </a:ext>
          </a:extLst>
        </xdr:cNvPr>
        <xdr:cNvSpPr/>
      </xdr:nvSpPr>
      <xdr:spPr>
        <a:xfrm rot="10800000">
          <a:off x="192786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659</xdr:row>
      <xdr:rowOff>0</xdr:rowOff>
    </xdr:from>
    <xdr:to>
      <xdr:col>11</xdr:col>
      <xdr:colOff>83820</xdr:colOff>
      <xdr:row>659</xdr:row>
      <xdr:rowOff>114300</xdr:rowOff>
    </xdr:to>
    <xdr:sp macro="" textlink="">
      <xdr:nvSpPr>
        <xdr:cNvPr id="4910" name="Arrow: Down 4909">
          <a:extLst>
            <a:ext uri="{FF2B5EF4-FFF2-40B4-BE49-F238E27FC236}">
              <a16:creationId xmlns:a16="http://schemas.microsoft.com/office/drawing/2014/main" id="{BD064882-1C7E-41E3-891D-F213807C128B}"/>
            </a:ext>
          </a:extLst>
        </xdr:cNvPr>
        <xdr:cNvSpPr/>
      </xdr:nvSpPr>
      <xdr:spPr>
        <a:xfrm rot="10800000">
          <a:off x="369570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659</xdr:row>
      <xdr:rowOff>0</xdr:rowOff>
    </xdr:from>
    <xdr:to>
      <xdr:col>24</xdr:col>
      <xdr:colOff>83820</xdr:colOff>
      <xdr:row>659</xdr:row>
      <xdr:rowOff>114300</xdr:rowOff>
    </xdr:to>
    <xdr:sp macro="" textlink="">
      <xdr:nvSpPr>
        <xdr:cNvPr id="4912" name="Arrow: Down 4911">
          <a:extLst>
            <a:ext uri="{FF2B5EF4-FFF2-40B4-BE49-F238E27FC236}">
              <a16:creationId xmlns:a16="http://schemas.microsoft.com/office/drawing/2014/main" id="{0DCF31E1-0CF1-4F19-89C8-B195A1AE6A59}"/>
            </a:ext>
          </a:extLst>
        </xdr:cNvPr>
        <xdr:cNvSpPr/>
      </xdr:nvSpPr>
      <xdr:spPr>
        <a:xfrm rot="10800000">
          <a:off x="833628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659</xdr:row>
      <xdr:rowOff>0</xdr:rowOff>
    </xdr:from>
    <xdr:to>
      <xdr:col>60</xdr:col>
      <xdr:colOff>83820</xdr:colOff>
      <xdr:row>659</xdr:row>
      <xdr:rowOff>114300</xdr:rowOff>
    </xdr:to>
    <xdr:sp macro="" textlink="">
      <xdr:nvSpPr>
        <xdr:cNvPr id="4913" name="Arrow: Down 4912">
          <a:extLst>
            <a:ext uri="{FF2B5EF4-FFF2-40B4-BE49-F238E27FC236}">
              <a16:creationId xmlns:a16="http://schemas.microsoft.com/office/drawing/2014/main" id="{43C794D6-7236-451E-8192-7B6D3CD4F623}"/>
            </a:ext>
          </a:extLst>
        </xdr:cNvPr>
        <xdr:cNvSpPr/>
      </xdr:nvSpPr>
      <xdr:spPr>
        <a:xfrm rot="10800000">
          <a:off x="1908048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659</xdr:row>
      <xdr:rowOff>0</xdr:rowOff>
    </xdr:from>
    <xdr:to>
      <xdr:col>71</xdr:col>
      <xdr:colOff>83820</xdr:colOff>
      <xdr:row>659</xdr:row>
      <xdr:rowOff>114300</xdr:rowOff>
    </xdr:to>
    <xdr:sp macro="" textlink="">
      <xdr:nvSpPr>
        <xdr:cNvPr id="4915" name="Arrow: Down 4914">
          <a:extLst>
            <a:ext uri="{FF2B5EF4-FFF2-40B4-BE49-F238E27FC236}">
              <a16:creationId xmlns:a16="http://schemas.microsoft.com/office/drawing/2014/main" id="{AB3A4C62-20A3-47E4-BDB7-2E96C43524F0}"/>
            </a:ext>
          </a:extLst>
        </xdr:cNvPr>
        <xdr:cNvSpPr/>
      </xdr:nvSpPr>
      <xdr:spPr>
        <a:xfrm rot="10800000">
          <a:off x="2196084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659</xdr:row>
      <xdr:rowOff>0</xdr:rowOff>
    </xdr:from>
    <xdr:to>
      <xdr:col>39</xdr:col>
      <xdr:colOff>83820</xdr:colOff>
      <xdr:row>659</xdr:row>
      <xdr:rowOff>114300</xdr:rowOff>
    </xdr:to>
    <xdr:sp macro="" textlink="">
      <xdr:nvSpPr>
        <xdr:cNvPr id="4916" name="Arrow: Down 4915">
          <a:extLst>
            <a:ext uri="{FF2B5EF4-FFF2-40B4-BE49-F238E27FC236}">
              <a16:creationId xmlns:a16="http://schemas.microsoft.com/office/drawing/2014/main" id="{13005F9B-F1B8-4BDA-8E0E-95C5DDA03E93}"/>
            </a:ext>
          </a:extLst>
        </xdr:cNvPr>
        <xdr:cNvSpPr/>
      </xdr:nvSpPr>
      <xdr:spPr>
        <a:xfrm>
          <a:off x="1154430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660</xdr:row>
      <xdr:rowOff>0</xdr:rowOff>
    </xdr:from>
    <xdr:to>
      <xdr:col>45</xdr:col>
      <xdr:colOff>83820</xdr:colOff>
      <xdr:row>660</xdr:row>
      <xdr:rowOff>114300</xdr:rowOff>
    </xdr:to>
    <xdr:sp macro="" textlink="">
      <xdr:nvSpPr>
        <xdr:cNvPr id="4917" name="Arrow: Down 4916">
          <a:extLst>
            <a:ext uri="{FF2B5EF4-FFF2-40B4-BE49-F238E27FC236}">
              <a16:creationId xmlns:a16="http://schemas.microsoft.com/office/drawing/2014/main" id="{7B45E0E9-4944-42EA-8BD6-EB12B478B589}"/>
            </a:ext>
          </a:extLst>
        </xdr:cNvPr>
        <xdr:cNvSpPr/>
      </xdr:nvSpPr>
      <xdr:spPr>
        <a:xfrm>
          <a:off x="13403580" y="12061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660</xdr:row>
      <xdr:rowOff>0</xdr:rowOff>
    </xdr:from>
    <xdr:to>
      <xdr:col>60</xdr:col>
      <xdr:colOff>83820</xdr:colOff>
      <xdr:row>660</xdr:row>
      <xdr:rowOff>114300</xdr:rowOff>
    </xdr:to>
    <xdr:sp macro="" textlink="">
      <xdr:nvSpPr>
        <xdr:cNvPr id="4923" name="Arrow: Down 4922">
          <a:extLst>
            <a:ext uri="{FF2B5EF4-FFF2-40B4-BE49-F238E27FC236}">
              <a16:creationId xmlns:a16="http://schemas.microsoft.com/office/drawing/2014/main" id="{0FFBDA70-6FBB-4C10-B7B1-E75C516A971C}"/>
            </a:ext>
          </a:extLst>
        </xdr:cNvPr>
        <xdr:cNvSpPr/>
      </xdr:nvSpPr>
      <xdr:spPr>
        <a:xfrm rot="10800000">
          <a:off x="19080480" y="12061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660</xdr:row>
      <xdr:rowOff>0</xdr:rowOff>
    </xdr:from>
    <xdr:to>
      <xdr:col>71</xdr:col>
      <xdr:colOff>83820</xdr:colOff>
      <xdr:row>660</xdr:row>
      <xdr:rowOff>114300</xdr:rowOff>
    </xdr:to>
    <xdr:sp macro="" textlink="">
      <xdr:nvSpPr>
        <xdr:cNvPr id="4925" name="Arrow: Down 4924">
          <a:extLst>
            <a:ext uri="{FF2B5EF4-FFF2-40B4-BE49-F238E27FC236}">
              <a16:creationId xmlns:a16="http://schemas.microsoft.com/office/drawing/2014/main" id="{A2C1056D-B107-4A7D-BF20-A4C0A02563A3}"/>
            </a:ext>
          </a:extLst>
        </xdr:cNvPr>
        <xdr:cNvSpPr/>
      </xdr:nvSpPr>
      <xdr:spPr>
        <a:xfrm rot="10800000">
          <a:off x="21960840" y="12061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660</xdr:row>
      <xdr:rowOff>0</xdr:rowOff>
    </xdr:from>
    <xdr:to>
      <xdr:col>39</xdr:col>
      <xdr:colOff>83820</xdr:colOff>
      <xdr:row>660</xdr:row>
      <xdr:rowOff>114300</xdr:rowOff>
    </xdr:to>
    <xdr:sp macro="" textlink="">
      <xdr:nvSpPr>
        <xdr:cNvPr id="4926" name="Arrow: Down 4925">
          <a:extLst>
            <a:ext uri="{FF2B5EF4-FFF2-40B4-BE49-F238E27FC236}">
              <a16:creationId xmlns:a16="http://schemas.microsoft.com/office/drawing/2014/main" id="{449439B9-8249-4C22-847D-3F09AD1650CD}"/>
            </a:ext>
          </a:extLst>
        </xdr:cNvPr>
        <xdr:cNvSpPr/>
      </xdr:nvSpPr>
      <xdr:spPr>
        <a:xfrm>
          <a:off x="11544300" y="12061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660</xdr:row>
      <xdr:rowOff>0</xdr:rowOff>
    </xdr:from>
    <xdr:to>
      <xdr:col>5</xdr:col>
      <xdr:colOff>83820</xdr:colOff>
      <xdr:row>660</xdr:row>
      <xdr:rowOff>114300</xdr:rowOff>
    </xdr:to>
    <xdr:sp macro="" textlink="">
      <xdr:nvSpPr>
        <xdr:cNvPr id="4932" name="Arrow: Down 4931">
          <a:extLst>
            <a:ext uri="{FF2B5EF4-FFF2-40B4-BE49-F238E27FC236}">
              <a16:creationId xmlns:a16="http://schemas.microsoft.com/office/drawing/2014/main" id="{4CB663D5-8A76-4CCD-B8B3-56E0BE44BDE0}"/>
            </a:ext>
          </a:extLst>
        </xdr:cNvPr>
        <xdr:cNvSpPr/>
      </xdr:nvSpPr>
      <xdr:spPr>
        <a:xfrm>
          <a:off x="192786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660</xdr:row>
      <xdr:rowOff>0</xdr:rowOff>
    </xdr:from>
    <xdr:to>
      <xdr:col>11</xdr:col>
      <xdr:colOff>83820</xdr:colOff>
      <xdr:row>660</xdr:row>
      <xdr:rowOff>114300</xdr:rowOff>
    </xdr:to>
    <xdr:sp macro="" textlink="">
      <xdr:nvSpPr>
        <xdr:cNvPr id="4934" name="Arrow: Down 4933">
          <a:extLst>
            <a:ext uri="{FF2B5EF4-FFF2-40B4-BE49-F238E27FC236}">
              <a16:creationId xmlns:a16="http://schemas.microsoft.com/office/drawing/2014/main" id="{9963BF54-7C53-4F53-88AA-A4805A1D983C}"/>
            </a:ext>
          </a:extLst>
        </xdr:cNvPr>
        <xdr:cNvSpPr/>
      </xdr:nvSpPr>
      <xdr:spPr>
        <a:xfrm>
          <a:off x="369570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660</xdr:row>
      <xdr:rowOff>0</xdr:rowOff>
    </xdr:from>
    <xdr:to>
      <xdr:col>24</xdr:col>
      <xdr:colOff>83820</xdr:colOff>
      <xdr:row>660</xdr:row>
      <xdr:rowOff>114300</xdr:rowOff>
    </xdr:to>
    <xdr:sp macro="" textlink="">
      <xdr:nvSpPr>
        <xdr:cNvPr id="4936" name="Arrow: Down 4935">
          <a:extLst>
            <a:ext uri="{FF2B5EF4-FFF2-40B4-BE49-F238E27FC236}">
              <a16:creationId xmlns:a16="http://schemas.microsoft.com/office/drawing/2014/main" id="{7368DDBB-B434-48AB-97A9-7DCF0DFA83D5}"/>
            </a:ext>
          </a:extLst>
        </xdr:cNvPr>
        <xdr:cNvSpPr/>
      </xdr:nvSpPr>
      <xdr:spPr>
        <a:xfrm>
          <a:off x="833628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661</xdr:row>
      <xdr:rowOff>0</xdr:rowOff>
    </xdr:from>
    <xdr:to>
      <xdr:col>45</xdr:col>
      <xdr:colOff>83820</xdr:colOff>
      <xdr:row>661</xdr:row>
      <xdr:rowOff>114300</xdr:rowOff>
    </xdr:to>
    <xdr:sp macro="" textlink="">
      <xdr:nvSpPr>
        <xdr:cNvPr id="4758" name="Arrow: Down 4757">
          <a:extLst>
            <a:ext uri="{FF2B5EF4-FFF2-40B4-BE49-F238E27FC236}">
              <a16:creationId xmlns:a16="http://schemas.microsoft.com/office/drawing/2014/main" id="{6EB1A473-F8DC-428C-965D-F1EF2B28041E}"/>
            </a:ext>
          </a:extLst>
        </xdr:cNvPr>
        <xdr:cNvSpPr/>
      </xdr:nvSpPr>
      <xdr:spPr>
        <a:xfrm>
          <a:off x="13403580" y="12079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661</xdr:row>
      <xdr:rowOff>0</xdr:rowOff>
    </xdr:from>
    <xdr:to>
      <xdr:col>60</xdr:col>
      <xdr:colOff>83820</xdr:colOff>
      <xdr:row>661</xdr:row>
      <xdr:rowOff>114300</xdr:rowOff>
    </xdr:to>
    <xdr:sp macro="" textlink="">
      <xdr:nvSpPr>
        <xdr:cNvPr id="4808" name="Arrow: Down 4807">
          <a:extLst>
            <a:ext uri="{FF2B5EF4-FFF2-40B4-BE49-F238E27FC236}">
              <a16:creationId xmlns:a16="http://schemas.microsoft.com/office/drawing/2014/main" id="{ADC9D65F-4AE5-4493-B3D6-C3EAEF48FB45}"/>
            </a:ext>
          </a:extLst>
        </xdr:cNvPr>
        <xdr:cNvSpPr/>
      </xdr:nvSpPr>
      <xdr:spPr>
        <a:xfrm rot="10800000">
          <a:off x="19080480" y="12079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661</xdr:row>
      <xdr:rowOff>0</xdr:rowOff>
    </xdr:from>
    <xdr:to>
      <xdr:col>71</xdr:col>
      <xdr:colOff>83820</xdr:colOff>
      <xdr:row>661</xdr:row>
      <xdr:rowOff>114300</xdr:rowOff>
    </xdr:to>
    <xdr:sp macro="" textlink="">
      <xdr:nvSpPr>
        <xdr:cNvPr id="4817" name="Arrow: Down 4816">
          <a:extLst>
            <a:ext uri="{FF2B5EF4-FFF2-40B4-BE49-F238E27FC236}">
              <a16:creationId xmlns:a16="http://schemas.microsoft.com/office/drawing/2014/main" id="{23BD390D-F1F2-43C2-A7B9-1185864FC050}"/>
            </a:ext>
          </a:extLst>
        </xdr:cNvPr>
        <xdr:cNvSpPr/>
      </xdr:nvSpPr>
      <xdr:spPr>
        <a:xfrm rot="10800000">
          <a:off x="21960840" y="12079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661</xdr:row>
      <xdr:rowOff>0</xdr:rowOff>
    </xdr:from>
    <xdr:to>
      <xdr:col>39</xdr:col>
      <xdr:colOff>83820</xdr:colOff>
      <xdr:row>661</xdr:row>
      <xdr:rowOff>114300</xdr:rowOff>
    </xdr:to>
    <xdr:sp macro="" textlink="">
      <xdr:nvSpPr>
        <xdr:cNvPr id="4819" name="Arrow: Down 4818">
          <a:extLst>
            <a:ext uri="{FF2B5EF4-FFF2-40B4-BE49-F238E27FC236}">
              <a16:creationId xmlns:a16="http://schemas.microsoft.com/office/drawing/2014/main" id="{001A6C88-2A4E-4FA9-B0B0-4F17E4887380}"/>
            </a:ext>
          </a:extLst>
        </xdr:cNvPr>
        <xdr:cNvSpPr/>
      </xdr:nvSpPr>
      <xdr:spPr>
        <a:xfrm>
          <a:off x="11544300" y="12079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661</xdr:row>
      <xdr:rowOff>0</xdr:rowOff>
    </xdr:from>
    <xdr:to>
      <xdr:col>5</xdr:col>
      <xdr:colOff>83820</xdr:colOff>
      <xdr:row>661</xdr:row>
      <xdr:rowOff>114300</xdr:rowOff>
    </xdr:to>
    <xdr:sp macro="" textlink="">
      <xdr:nvSpPr>
        <xdr:cNvPr id="4821" name="Arrow: Down 4820">
          <a:extLst>
            <a:ext uri="{FF2B5EF4-FFF2-40B4-BE49-F238E27FC236}">
              <a16:creationId xmlns:a16="http://schemas.microsoft.com/office/drawing/2014/main" id="{D179A18C-76A4-47C3-B5D6-21BE96D7273D}"/>
            </a:ext>
          </a:extLst>
        </xdr:cNvPr>
        <xdr:cNvSpPr/>
      </xdr:nvSpPr>
      <xdr:spPr>
        <a:xfrm>
          <a:off x="192786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661</xdr:row>
      <xdr:rowOff>0</xdr:rowOff>
    </xdr:from>
    <xdr:to>
      <xdr:col>11</xdr:col>
      <xdr:colOff>83820</xdr:colOff>
      <xdr:row>661</xdr:row>
      <xdr:rowOff>114300</xdr:rowOff>
    </xdr:to>
    <xdr:sp macro="" textlink="">
      <xdr:nvSpPr>
        <xdr:cNvPr id="4823" name="Arrow: Down 4822">
          <a:extLst>
            <a:ext uri="{FF2B5EF4-FFF2-40B4-BE49-F238E27FC236}">
              <a16:creationId xmlns:a16="http://schemas.microsoft.com/office/drawing/2014/main" id="{5B3775C1-8EFC-47E2-A584-E36D489AE5F8}"/>
            </a:ext>
          </a:extLst>
        </xdr:cNvPr>
        <xdr:cNvSpPr/>
      </xdr:nvSpPr>
      <xdr:spPr>
        <a:xfrm>
          <a:off x="369570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661</xdr:row>
      <xdr:rowOff>0</xdr:rowOff>
    </xdr:from>
    <xdr:to>
      <xdr:col>24</xdr:col>
      <xdr:colOff>83820</xdr:colOff>
      <xdr:row>661</xdr:row>
      <xdr:rowOff>114300</xdr:rowOff>
    </xdr:to>
    <xdr:sp macro="" textlink="">
      <xdr:nvSpPr>
        <xdr:cNvPr id="4828" name="Arrow: Down 4827">
          <a:extLst>
            <a:ext uri="{FF2B5EF4-FFF2-40B4-BE49-F238E27FC236}">
              <a16:creationId xmlns:a16="http://schemas.microsoft.com/office/drawing/2014/main" id="{E1800099-59F0-4352-8B22-178BF0545E02}"/>
            </a:ext>
          </a:extLst>
        </xdr:cNvPr>
        <xdr:cNvSpPr/>
      </xdr:nvSpPr>
      <xdr:spPr>
        <a:xfrm>
          <a:off x="833628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662</xdr:row>
      <xdr:rowOff>0</xdr:rowOff>
    </xdr:from>
    <xdr:to>
      <xdr:col>45</xdr:col>
      <xdr:colOff>83820</xdr:colOff>
      <xdr:row>662</xdr:row>
      <xdr:rowOff>114300</xdr:rowOff>
    </xdr:to>
    <xdr:sp macro="" textlink="">
      <xdr:nvSpPr>
        <xdr:cNvPr id="4851" name="Arrow: Down 4850">
          <a:extLst>
            <a:ext uri="{FF2B5EF4-FFF2-40B4-BE49-F238E27FC236}">
              <a16:creationId xmlns:a16="http://schemas.microsoft.com/office/drawing/2014/main" id="{79728E62-42CE-4D03-BB50-8F99B2DAC83F}"/>
            </a:ext>
          </a:extLst>
        </xdr:cNvPr>
        <xdr:cNvSpPr/>
      </xdr:nvSpPr>
      <xdr:spPr>
        <a:xfrm>
          <a:off x="13403580" y="12098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662</xdr:row>
      <xdr:rowOff>0</xdr:rowOff>
    </xdr:from>
    <xdr:to>
      <xdr:col>71</xdr:col>
      <xdr:colOff>83820</xdr:colOff>
      <xdr:row>662</xdr:row>
      <xdr:rowOff>114300</xdr:rowOff>
    </xdr:to>
    <xdr:sp macro="" textlink="">
      <xdr:nvSpPr>
        <xdr:cNvPr id="4861" name="Arrow: Down 4860">
          <a:extLst>
            <a:ext uri="{FF2B5EF4-FFF2-40B4-BE49-F238E27FC236}">
              <a16:creationId xmlns:a16="http://schemas.microsoft.com/office/drawing/2014/main" id="{6C3AAF0B-352D-443E-9834-3A7A038D6CB7}"/>
            </a:ext>
          </a:extLst>
        </xdr:cNvPr>
        <xdr:cNvSpPr/>
      </xdr:nvSpPr>
      <xdr:spPr>
        <a:xfrm rot="10800000">
          <a:off x="21960840" y="12098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662</xdr:row>
      <xdr:rowOff>0</xdr:rowOff>
    </xdr:from>
    <xdr:to>
      <xdr:col>39</xdr:col>
      <xdr:colOff>83820</xdr:colOff>
      <xdr:row>662</xdr:row>
      <xdr:rowOff>114300</xdr:rowOff>
    </xdr:to>
    <xdr:sp macro="" textlink="">
      <xdr:nvSpPr>
        <xdr:cNvPr id="4863" name="Arrow: Down 4862">
          <a:extLst>
            <a:ext uri="{FF2B5EF4-FFF2-40B4-BE49-F238E27FC236}">
              <a16:creationId xmlns:a16="http://schemas.microsoft.com/office/drawing/2014/main" id="{67698F22-57FD-4D65-8B5E-B682E85E6127}"/>
            </a:ext>
          </a:extLst>
        </xdr:cNvPr>
        <xdr:cNvSpPr/>
      </xdr:nvSpPr>
      <xdr:spPr>
        <a:xfrm>
          <a:off x="11544300" y="12098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662</xdr:row>
      <xdr:rowOff>0</xdr:rowOff>
    </xdr:from>
    <xdr:to>
      <xdr:col>24</xdr:col>
      <xdr:colOff>83820</xdr:colOff>
      <xdr:row>662</xdr:row>
      <xdr:rowOff>114300</xdr:rowOff>
    </xdr:to>
    <xdr:sp macro="" textlink="">
      <xdr:nvSpPr>
        <xdr:cNvPr id="4869" name="Arrow: Down 4868">
          <a:extLst>
            <a:ext uri="{FF2B5EF4-FFF2-40B4-BE49-F238E27FC236}">
              <a16:creationId xmlns:a16="http://schemas.microsoft.com/office/drawing/2014/main" id="{EA118993-3A26-4463-943F-C9B82CB988B7}"/>
            </a:ext>
          </a:extLst>
        </xdr:cNvPr>
        <xdr:cNvSpPr/>
      </xdr:nvSpPr>
      <xdr:spPr>
        <a:xfrm>
          <a:off x="8336280" y="12098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662</xdr:row>
      <xdr:rowOff>0</xdr:rowOff>
    </xdr:from>
    <xdr:to>
      <xdr:col>60</xdr:col>
      <xdr:colOff>83820</xdr:colOff>
      <xdr:row>662</xdr:row>
      <xdr:rowOff>114300</xdr:rowOff>
    </xdr:to>
    <xdr:sp macro="" textlink="">
      <xdr:nvSpPr>
        <xdr:cNvPr id="4872" name="Arrow: Down 4871">
          <a:extLst>
            <a:ext uri="{FF2B5EF4-FFF2-40B4-BE49-F238E27FC236}">
              <a16:creationId xmlns:a16="http://schemas.microsoft.com/office/drawing/2014/main" id="{DD5F5837-BCEF-4153-8B74-8FEF522E3CDC}"/>
            </a:ext>
          </a:extLst>
        </xdr:cNvPr>
        <xdr:cNvSpPr/>
      </xdr:nvSpPr>
      <xdr:spPr>
        <a:xfrm>
          <a:off x="19080480" y="12116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662</xdr:row>
      <xdr:rowOff>0</xdr:rowOff>
    </xdr:from>
    <xdr:to>
      <xdr:col>5</xdr:col>
      <xdr:colOff>83820</xdr:colOff>
      <xdr:row>662</xdr:row>
      <xdr:rowOff>114300</xdr:rowOff>
    </xdr:to>
    <xdr:sp macro="" textlink="">
      <xdr:nvSpPr>
        <xdr:cNvPr id="4874" name="Arrow: Down 4873">
          <a:extLst>
            <a:ext uri="{FF2B5EF4-FFF2-40B4-BE49-F238E27FC236}">
              <a16:creationId xmlns:a16="http://schemas.microsoft.com/office/drawing/2014/main" id="{758C7499-8F00-437A-BFD0-3EAB7DD0A9ED}"/>
            </a:ext>
          </a:extLst>
        </xdr:cNvPr>
        <xdr:cNvSpPr/>
      </xdr:nvSpPr>
      <xdr:spPr>
        <a:xfrm rot="10800000">
          <a:off x="192786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663</xdr:row>
      <xdr:rowOff>0</xdr:rowOff>
    </xdr:from>
    <xdr:to>
      <xdr:col>45</xdr:col>
      <xdr:colOff>83820</xdr:colOff>
      <xdr:row>663</xdr:row>
      <xdr:rowOff>114300</xdr:rowOff>
    </xdr:to>
    <xdr:sp macro="" textlink="">
      <xdr:nvSpPr>
        <xdr:cNvPr id="4899" name="Arrow: Down 4898">
          <a:extLst>
            <a:ext uri="{FF2B5EF4-FFF2-40B4-BE49-F238E27FC236}">
              <a16:creationId xmlns:a16="http://schemas.microsoft.com/office/drawing/2014/main" id="{594BED6C-6530-4478-8AF0-382955546770}"/>
            </a:ext>
          </a:extLst>
        </xdr:cNvPr>
        <xdr:cNvSpPr/>
      </xdr:nvSpPr>
      <xdr:spPr>
        <a:xfrm>
          <a:off x="1340358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663</xdr:row>
      <xdr:rowOff>0</xdr:rowOff>
    </xdr:from>
    <xdr:to>
      <xdr:col>71</xdr:col>
      <xdr:colOff>83820</xdr:colOff>
      <xdr:row>663</xdr:row>
      <xdr:rowOff>114300</xdr:rowOff>
    </xdr:to>
    <xdr:sp macro="" textlink="">
      <xdr:nvSpPr>
        <xdr:cNvPr id="4904" name="Arrow: Down 4903">
          <a:extLst>
            <a:ext uri="{FF2B5EF4-FFF2-40B4-BE49-F238E27FC236}">
              <a16:creationId xmlns:a16="http://schemas.microsoft.com/office/drawing/2014/main" id="{45C9DCDB-9012-43BF-8F86-B8E5F69988E2}"/>
            </a:ext>
          </a:extLst>
        </xdr:cNvPr>
        <xdr:cNvSpPr/>
      </xdr:nvSpPr>
      <xdr:spPr>
        <a:xfrm rot="10800000">
          <a:off x="2196084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663</xdr:row>
      <xdr:rowOff>0</xdr:rowOff>
    </xdr:from>
    <xdr:to>
      <xdr:col>60</xdr:col>
      <xdr:colOff>83820</xdr:colOff>
      <xdr:row>663</xdr:row>
      <xdr:rowOff>114300</xdr:rowOff>
    </xdr:to>
    <xdr:sp macro="" textlink="">
      <xdr:nvSpPr>
        <xdr:cNvPr id="4928" name="Arrow: Down 4927">
          <a:extLst>
            <a:ext uri="{FF2B5EF4-FFF2-40B4-BE49-F238E27FC236}">
              <a16:creationId xmlns:a16="http://schemas.microsoft.com/office/drawing/2014/main" id="{0F5F1192-8CA0-45AA-9680-92B9CA52E845}"/>
            </a:ext>
          </a:extLst>
        </xdr:cNvPr>
        <xdr:cNvSpPr/>
      </xdr:nvSpPr>
      <xdr:spPr>
        <a:xfrm>
          <a:off x="19080480" y="12116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663</xdr:row>
      <xdr:rowOff>0</xdr:rowOff>
    </xdr:from>
    <xdr:to>
      <xdr:col>5</xdr:col>
      <xdr:colOff>83820</xdr:colOff>
      <xdr:row>663</xdr:row>
      <xdr:rowOff>114300</xdr:rowOff>
    </xdr:to>
    <xdr:sp macro="" textlink="">
      <xdr:nvSpPr>
        <xdr:cNvPr id="4933" name="Arrow: Down 4932">
          <a:extLst>
            <a:ext uri="{FF2B5EF4-FFF2-40B4-BE49-F238E27FC236}">
              <a16:creationId xmlns:a16="http://schemas.microsoft.com/office/drawing/2014/main" id="{F9E2A5DB-D15F-4989-A516-8A47A471E946}"/>
            </a:ext>
          </a:extLst>
        </xdr:cNvPr>
        <xdr:cNvSpPr/>
      </xdr:nvSpPr>
      <xdr:spPr>
        <a:xfrm rot="10800000">
          <a:off x="192786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662</xdr:row>
      <xdr:rowOff>0</xdr:rowOff>
    </xdr:from>
    <xdr:to>
      <xdr:col>11</xdr:col>
      <xdr:colOff>83820</xdr:colOff>
      <xdr:row>662</xdr:row>
      <xdr:rowOff>114300</xdr:rowOff>
    </xdr:to>
    <xdr:sp macro="" textlink="">
      <xdr:nvSpPr>
        <xdr:cNvPr id="4937" name="Arrow: Down 4936">
          <a:extLst>
            <a:ext uri="{FF2B5EF4-FFF2-40B4-BE49-F238E27FC236}">
              <a16:creationId xmlns:a16="http://schemas.microsoft.com/office/drawing/2014/main" id="{6B608E2F-6625-488B-B3C1-7B6D682C8D72}"/>
            </a:ext>
          </a:extLst>
        </xdr:cNvPr>
        <xdr:cNvSpPr/>
      </xdr:nvSpPr>
      <xdr:spPr>
        <a:xfrm rot="10800000">
          <a:off x="369570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663</xdr:row>
      <xdr:rowOff>0</xdr:rowOff>
    </xdr:from>
    <xdr:to>
      <xdr:col>11</xdr:col>
      <xdr:colOff>83820</xdr:colOff>
      <xdr:row>663</xdr:row>
      <xdr:rowOff>114300</xdr:rowOff>
    </xdr:to>
    <xdr:sp macro="" textlink="">
      <xdr:nvSpPr>
        <xdr:cNvPr id="4938" name="Arrow: Down 4937">
          <a:extLst>
            <a:ext uri="{FF2B5EF4-FFF2-40B4-BE49-F238E27FC236}">
              <a16:creationId xmlns:a16="http://schemas.microsoft.com/office/drawing/2014/main" id="{32EEFC8D-D1EC-4809-81A5-07A1FA34572F}"/>
            </a:ext>
          </a:extLst>
        </xdr:cNvPr>
        <xdr:cNvSpPr/>
      </xdr:nvSpPr>
      <xdr:spPr>
        <a:xfrm rot="10800000">
          <a:off x="369570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663</xdr:row>
      <xdr:rowOff>0</xdr:rowOff>
    </xdr:from>
    <xdr:to>
      <xdr:col>24</xdr:col>
      <xdr:colOff>83820</xdr:colOff>
      <xdr:row>663</xdr:row>
      <xdr:rowOff>114300</xdr:rowOff>
    </xdr:to>
    <xdr:sp macro="" textlink="">
      <xdr:nvSpPr>
        <xdr:cNvPr id="4940" name="Arrow: Down 4939">
          <a:extLst>
            <a:ext uri="{FF2B5EF4-FFF2-40B4-BE49-F238E27FC236}">
              <a16:creationId xmlns:a16="http://schemas.microsoft.com/office/drawing/2014/main" id="{92A16810-5812-4330-B020-41113B17D9E4}"/>
            </a:ext>
          </a:extLst>
        </xdr:cNvPr>
        <xdr:cNvSpPr/>
      </xdr:nvSpPr>
      <xdr:spPr>
        <a:xfrm rot="10800000">
          <a:off x="833628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663</xdr:row>
      <xdr:rowOff>0</xdr:rowOff>
    </xdr:from>
    <xdr:to>
      <xdr:col>39</xdr:col>
      <xdr:colOff>83820</xdr:colOff>
      <xdr:row>663</xdr:row>
      <xdr:rowOff>114300</xdr:rowOff>
    </xdr:to>
    <xdr:sp macro="" textlink="">
      <xdr:nvSpPr>
        <xdr:cNvPr id="4945" name="Arrow: Down 4944">
          <a:extLst>
            <a:ext uri="{FF2B5EF4-FFF2-40B4-BE49-F238E27FC236}">
              <a16:creationId xmlns:a16="http://schemas.microsoft.com/office/drawing/2014/main" id="{83B1E1DA-D576-4ED4-AC4F-FC3016EA3446}"/>
            </a:ext>
          </a:extLst>
        </xdr:cNvPr>
        <xdr:cNvSpPr/>
      </xdr:nvSpPr>
      <xdr:spPr>
        <a:xfrm rot="10800000">
          <a:off x="11544300" y="121348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664</xdr:row>
      <xdr:rowOff>0</xdr:rowOff>
    </xdr:from>
    <xdr:to>
      <xdr:col>45</xdr:col>
      <xdr:colOff>83820</xdr:colOff>
      <xdr:row>664</xdr:row>
      <xdr:rowOff>114300</xdr:rowOff>
    </xdr:to>
    <xdr:sp macro="" textlink="">
      <xdr:nvSpPr>
        <xdr:cNvPr id="4964" name="Arrow: Down 4963">
          <a:extLst>
            <a:ext uri="{FF2B5EF4-FFF2-40B4-BE49-F238E27FC236}">
              <a16:creationId xmlns:a16="http://schemas.microsoft.com/office/drawing/2014/main" id="{06817BCB-9338-420E-9042-03E3D19890AA}"/>
            </a:ext>
          </a:extLst>
        </xdr:cNvPr>
        <xdr:cNvSpPr/>
      </xdr:nvSpPr>
      <xdr:spPr>
        <a:xfrm>
          <a:off x="1340358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664</xdr:row>
      <xdr:rowOff>0</xdr:rowOff>
    </xdr:from>
    <xdr:to>
      <xdr:col>71</xdr:col>
      <xdr:colOff>83820</xdr:colOff>
      <xdr:row>664</xdr:row>
      <xdr:rowOff>114300</xdr:rowOff>
    </xdr:to>
    <xdr:sp macro="" textlink="">
      <xdr:nvSpPr>
        <xdr:cNvPr id="4965" name="Arrow: Down 4964">
          <a:extLst>
            <a:ext uri="{FF2B5EF4-FFF2-40B4-BE49-F238E27FC236}">
              <a16:creationId xmlns:a16="http://schemas.microsoft.com/office/drawing/2014/main" id="{54155BB6-C20E-4E4F-A179-FD605D39496B}"/>
            </a:ext>
          </a:extLst>
        </xdr:cNvPr>
        <xdr:cNvSpPr/>
      </xdr:nvSpPr>
      <xdr:spPr>
        <a:xfrm rot="10800000">
          <a:off x="2196084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664</xdr:row>
      <xdr:rowOff>0</xdr:rowOff>
    </xdr:from>
    <xdr:to>
      <xdr:col>5</xdr:col>
      <xdr:colOff>83820</xdr:colOff>
      <xdr:row>664</xdr:row>
      <xdr:rowOff>114300</xdr:rowOff>
    </xdr:to>
    <xdr:sp macro="" textlink="">
      <xdr:nvSpPr>
        <xdr:cNvPr id="4967" name="Arrow: Down 4966">
          <a:extLst>
            <a:ext uri="{FF2B5EF4-FFF2-40B4-BE49-F238E27FC236}">
              <a16:creationId xmlns:a16="http://schemas.microsoft.com/office/drawing/2014/main" id="{C3450928-9EE8-4E4C-8509-151C2E3173C1}"/>
            </a:ext>
          </a:extLst>
        </xdr:cNvPr>
        <xdr:cNvSpPr/>
      </xdr:nvSpPr>
      <xdr:spPr>
        <a:xfrm rot="10800000">
          <a:off x="192786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664</xdr:row>
      <xdr:rowOff>0</xdr:rowOff>
    </xdr:from>
    <xdr:to>
      <xdr:col>11</xdr:col>
      <xdr:colOff>83820</xdr:colOff>
      <xdr:row>664</xdr:row>
      <xdr:rowOff>114300</xdr:rowOff>
    </xdr:to>
    <xdr:sp macro="" textlink="">
      <xdr:nvSpPr>
        <xdr:cNvPr id="4968" name="Arrow: Down 4967">
          <a:extLst>
            <a:ext uri="{FF2B5EF4-FFF2-40B4-BE49-F238E27FC236}">
              <a16:creationId xmlns:a16="http://schemas.microsoft.com/office/drawing/2014/main" id="{36A51B80-C0CD-4C23-87DF-AE02FD9DE09E}"/>
            </a:ext>
          </a:extLst>
        </xdr:cNvPr>
        <xdr:cNvSpPr/>
      </xdr:nvSpPr>
      <xdr:spPr>
        <a:xfrm rot="10800000">
          <a:off x="369570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664</xdr:row>
      <xdr:rowOff>0</xdr:rowOff>
    </xdr:from>
    <xdr:to>
      <xdr:col>24</xdr:col>
      <xdr:colOff>83820</xdr:colOff>
      <xdr:row>664</xdr:row>
      <xdr:rowOff>114300</xdr:rowOff>
    </xdr:to>
    <xdr:sp macro="" textlink="">
      <xdr:nvSpPr>
        <xdr:cNvPr id="4969" name="Arrow: Down 4968">
          <a:extLst>
            <a:ext uri="{FF2B5EF4-FFF2-40B4-BE49-F238E27FC236}">
              <a16:creationId xmlns:a16="http://schemas.microsoft.com/office/drawing/2014/main" id="{EE1F456F-3DBF-4BF1-96A3-1584BC80FD09}"/>
            </a:ext>
          </a:extLst>
        </xdr:cNvPr>
        <xdr:cNvSpPr/>
      </xdr:nvSpPr>
      <xdr:spPr>
        <a:xfrm rot="10800000">
          <a:off x="833628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664</xdr:row>
      <xdr:rowOff>0</xdr:rowOff>
    </xdr:from>
    <xdr:to>
      <xdr:col>39</xdr:col>
      <xdr:colOff>83820</xdr:colOff>
      <xdr:row>664</xdr:row>
      <xdr:rowOff>114300</xdr:rowOff>
    </xdr:to>
    <xdr:sp macro="" textlink="">
      <xdr:nvSpPr>
        <xdr:cNvPr id="4979" name="Arrow: Down 4978">
          <a:extLst>
            <a:ext uri="{FF2B5EF4-FFF2-40B4-BE49-F238E27FC236}">
              <a16:creationId xmlns:a16="http://schemas.microsoft.com/office/drawing/2014/main" id="{BACF8E52-F00C-44BA-812B-67990C11214C}"/>
            </a:ext>
          </a:extLst>
        </xdr:cNvPr>
        <xdr:cNvSpPr/>
      </xdr:nvSpPr>
      <xdr:spPr>
        <a:xfrm>
          <a:off x="1154430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664</xdr:row>
      <xdr:rowOff>0</xdr:rowOff>
    </xdr:from>
    <xdr:to>
      <xdr:col>60</xdr:col>
      <xdr:colOff>83820</xdr:colOff>
      <xdr:row>664</xdr:row>
      <xdr:rowOff>114300</xdr:rowOff>
    </xdr:to>
    <xdr:sp macro="" textlink="">
      <xdr:nvSpPr>
        <xdr:cNvPr id="4987" name="Arrow: Down 4986">
          <a:extLst>
            <a:ext uri="{FF2B5EF4-FFF2-40B4-BE49-F238E27FC236}">
              <a16:creationId xmlns:a16="http://schemas.microsoft.com/office/drawing/2014/main" id="{8DFCE9E4-BDAF-40ED-972E-7D745D473A2C}"/>
            </a:ext>
          </a:extLst>
        </xdr:cNvPr>
        <xdr:cNvSpPr/>
      </xdr:nvSpPr>
      <xdr:spPr>
        <a:xfrm rot="10800000">
          <a:off x="1908048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665</xdr:row>
      <xdr:rowOff>0</xdr:rowOff>
    </xdr:from>
    <xdr:to>
      <xdr:col>45</xdr:col>
      <xdr:colOff>83820</xdr:colOff>
      <xdr:row>665</xdr:row>
      <xdr:rowOff>114300</xdr:rowOff>
    </xdr:to>
    <xdr:sp macro="" textlink="">
      <xdr:nvSpPr>
        <xdr:cNvPr id="5011" name="Arrow: Down 5010">
          <a:extLst>
            <a:ext uri="{FF2B5EF4-FFF2-40B4-BE49-F238E27FC236}">
              <a16:creationId xmlns:a16="http://schemas.microsoft.com/office/drawing/2014/main" id="{1CB291B4-76E0-4D87-B3A1-A0B5E1C01FCA}"/>
            </a:ext>
          </a:extLst>
        </xdr:cNvPr>
        <xdr:cNvSpPr/>
      </xdr:nvSpPr>
      <xdr:spPr>
        <a:xfrm>
          <a:off x="1340358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665</xdr:row>
      <xdr:rowOff>0</xdr:rowOff>
    </xdr:from>
    <xdr:to>
      <xdr:col>71</xdr:col>
      <xdr:colOff>83820</xdr:colOff>
      <xdr:row>665</xdr:row>
      <xdr:rowOff>114300</xdr:rowOff>
    </xdr:to>
    <xdr:sp macro="" textlink="">
      <xdr:nvSpPr>
        <xdr:cNvPr id="5014" name="Arrow: Down 5013">
          <a:extLst>
            <a:ext uri="{FF2B5EF4-FFF2-40B4-BE49-F238E27FC236}">
              <a16:creationId xmlns:a16="http://schemas.microsoft.com/office/drawing/2014/main" id="{DA88FC60-1433-4E1D-883F-5E912DF04610}"/>
            </a:ext>
          </a:extLst>
        </xdr:cNvPr>
        <xdr:cNvSpPr/>
      </xdr:nvSpPr>
      <xdr:spPr>
        <a:xfrm rot="10800000">
          <a:off x="2196084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665</xdr:row>
      <xdr:rowOff>0</xdr:rowOff>
    </xdr:from>
    <xdr:to>
      <xdr:col>5</xdr:col>
      <xdr:colOff>83820</xdr:colOff>
      <xdr:row>665</xdr:row>
      <xdr:rowOff>114300</xdr:rowOff>
    </xdr:to>
    <xdr:sp macro="" textlink="">
      <xdr:nvSpPr>
        <xdr:cNvPr id="5018" name="Arrow: Down 5017">
          <a:extLst>
            <a:ext uri="{FF2B5EF4-FFF2-40B4-BE49-F238E27FC236}">
              <a16:creationId xmlns:a16="http://schemas.microsoft.com/office/drawing/2014/main" id="{6700BF5B-AF4B-4512-A643-D1539B2166AA}"/>
            </a:ext>
          </a:extLst>
        </xdr:cNvPr>
        <xdr:cNvSpPr/>
      </xdr:nvSpPr>
      <xdr:spPr>
        <a:xfrm rot="10800000">
          <a:off x="192786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665</xdr:row>
      <xdr:rowOff>0</xdr:rowOff>
    </xdr:from>
    <xdr:to>
      <xdr:col>11</xdr:col>
      <xdr:colOff>83820</xdr:colOff>
      <xdr:row>665</xdr:row>
      <xdr:rowOff>114300</xdr:rowOff>
    </xdr:to>
    <xdr:sp macro="" textlink="">
      <xdr:nvSpPr>
        <xdr:cNvPr id="5020" name="Arrow: Down 5019">
          <a:extLst>
            <a:ext uri="{FF2B5EF4-FFF2-40B4-BE49-F238E27FC236}">
              <a16:creationId xmlns:a16="http://schemas.microsoft.com/office/drawing/2014/main" id="{DBC595A5-07E4-49FC-B0AF-D966687A1309}"/>
            </a:ext>
          </a:extLst>
        </xdr:cNvPr>
        <xdr:cNvSpPr/>
      </xdr:nvSpPr>
      <xdr:spPr>
        <a:xfrm rot="10800000">
          <a:off x="369570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665</xdr:row>
      <xdr:rowOff>0</xdr:rowOff>
    </xdr:from>
    <xdr:to>
      <xdr:col>39</xdr:col>
      <xdr:colOff>83820</xdr:colOff>
      <xdr:row>665</xdr:row>
      <xdr:rowOff>114300</xdr:rowOff>
    </xdr:to>
    <xdr:sp macro="" textlink="">
      <xdr:nvSpPr>
        <xdr:cNvPr id="5022" name="Arrow: Down 5021">
          <a:extLst>
            <a:ext uri="{FF2B5EF4-FFF2-40B4-BE49-F238E27FC236}">
              <a16:creationId xmlns:a16="http://schemas.microsoft.com/office/drawing/2014/main" id="{BBC8B75B-EEFF-420A-B92C-F17FDB8B2AE3}"/>
            </a:ext>
          </a:extLst>
        </xdr:cNvPr>
        <xdr:cNvSpPr/>
      </xdr:nvSpPr>
      <xdr:spPr>
        <a:xfrm>
          <a:off x="1154430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665</xdr:row>
      <xdr:rowOff>0</xdr:rowOff>
    </xdr:from>
    <xdr:to>
      <xdr:col>60</xdr:col>
      <xdr:colOff>83820</xdr:colOff>
      <xdr:row>665</xdr:row>
      <xdr:rowOff>114300</xdr:rowOff>
    </xdr:to>
    <xdr:sp macro="" textlink="">
      <xdr:nvSpPr>
        <xdr:cNvPr id="5023" name="Arrow: Down 5022">
          <a:extLst>
            <a:ext uri="{FF2B5EF4-FFF2-40B4-BE49-F238E27FC236}">
              <a16:creationId xmlns:a16="http://schemas.microsoft.com/office/drawing/2014/main" id="{413F29B7-961C-4D7E-952C-C06F91D188BA}"/>
            </a:ext>
          </a:extLst>
        </xdr:cNvPr>
        <xdr:cNvSpPr/>
      </xdr:nvSpPr>
      <xdr:spPr>
        <a:xfrm rot="10800000">
          <a:off x="1908048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665</xdr:row>
      <xdr:rowOff>0</xdr:rowOff>
    </xdr:from>
    <xdr:to>
      <xdr:col>24</xdr:col>
      <xdr:colOff>83820</xdr:colOff>
      <xdr:row>665</xdr:row>
      <xdr:rowOff>114300</xdr:rowOff>
    </xdr:to>
    <xdr:sp macro="" textlink="">
      <xdr:nvSpPr>
        <xdr:cNvPr id="5025" name="Arrow: Down 5024">
          <a:extLst>
            <a:ext uri="{FF2B5EF4-FFF2-40B4-BE49-F238E27FC236}">
              <a16:creationId xmlns:a16="http://schemas.microsoft.com/office/drawing/2014/main" id="{C19853B5-C70A-4F37-BE3A-35CB738FC082}"/>
            </a:ext>
          </a:extLst>
        </xdr:cNvPr>
        <xdr:cNvSpPr/>
      </xdr:nvSpPr>
      <xdr:spPr>
        <a:xfrm>
          <a:off x="8336280" y="12171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666</xdr:row>
      <xdr:rowOff>0</xdr:rowOff>
    </xdr:from>
    <xdr:to>
      <xdr:col>45</xdr:col>
      <xdr:colOff>83820</xdr:colOff>
      <xdr:row>666</xdr:row>
      <xdr:rowOff>114300</xdr:rowOff>
    </xdr:to>
    <xdr:sp macro="" textlink="">
      <xdr:nvSpPr>
        <xdr:cNvPr id="5033" name="Arrow: Down 5032">
          <a:extLst>
            <a:ext uri="{FF2B5EF4-FFF2-40B4-BE49-F238E27FC236}">
              <a16:creationId xmlns:a16="http://schemas.microsoft.com/office/drawing/2014/main" id="{59BB167F-06A6-4524-8247-4EAA6ED75548}"/>
            </a:ext>
          </a:extLst>
        </xdr:cNvPr>
        <xdr:cNvSpPr/>
      </xdr:nvSpPr>
      <xdr:spPr>
        <a:xfrm>
          <a:off x="1340358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666</xdr:row>
      <xdr:rowOff>0</xdr:rowOff>
    </xdr:from>
    <xdr:to>
      <xdr:col>71</xdr:col>
      <xdr:colOff>83820</xdr:colOff>
      <xdr:row>666</xdr:row>
      <xdr:rowOff>114300</xdr:rowOff>
    </xdr:to>
    <xdr:sp macro="" textlink="">
      <xdr:nvSpPr>
        <xdr:cNvPr id="5034" name="Arrow: Down 5033">
          <a:extLst>
            <a:ext uri="{FF2B5EF4-FFF2-40B4-BE49-F238E27FC236}">
              <a16:creationId xmlns:a16="http://schemas.microsoft.com/office/drawing/2014/main" id="{7CFC1ABF-2904-41AA-8314-F9AFC662DDF7}"/>
            </a:ext>
          </a:extLst>
        </xdr:cNvPr>
        <xdr:cNvSpPr/>
      </xdr:nvSpPr>
      <xdr:spPr>
        <a:xfrm rot="10800000">
          <a:off x="2196084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666</xdr:row>
      <xdr:rowOff>0</xdr:rowOff>
    </xdr:from>
    <xdr:to>
      <xdr:col>5</xdr:col>
      <xdr:colOff>83820</xdr:colOff>
      <xdr:row>666</xdr:row>
      <xdr:rowOff>114300</xdr:rowOff>
    </xdr:to>
    <xdr:sp macro="" textlink="">
      <xdr:nvSpPr>
        <xdr:cNvPr id="5035" name="Arrow: Down 5034">
          <a:extLst>
            <a:ext uri="{FF2B5EF4-FFF2-40B4-BE49-F238E27FC236}">
              <a16:creationId xmlns:a16="http://schemas.microsoft.com/office/drawing/2014/main" id="{10AD2C27-AB62-459E-A5D9-8CC956867F5C}"/>
            </a:ext>
          </a:extLst>
        </xdr:cNvPr>
        <xdr:cNvSpPr/>
      </xdr:nvSpPr>
      <xdr:spPr>
        <a:xfrm rot="10800000">
          <a:off x="192786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666</xdr:row>
      <xdr:rowOff>0</xdr:rowOff>
    </xdr:from>
    <xdr:to>
      <xdr:col>11</xdr:col>
      <xdr:colOff>83820</xdr:colOff>
      <xdr:row>666</xdr:row>
      <xdr:rowOff>114300</xdr:rowOff>
    </xdr:to>
    <xdr:sp macro="" textlink="">
      <xdr:nvSpPr>
        <xdr:cNvPr id="5036" name="Arrow: Down 5035">
          <a:extLst>
            <a:ext uri="{FF2B5EF4-FFF2-40B4-BE49-F238E27FC236}">
              <a16:creationId xmlns:a16="http://schemas.microsoft.com/office/drawing/2014/main" id="{B49303BD-7D0D-40F3-A3C3-657CC2A64047}"/>
            </a:ext>
          </a:extLst>
        </xdr:cNvPr>
        <xdr:cNvSpPr/>
      </xdr:nvSpPr>
      <xdr:spPr>
        <a:xfrm rot="10800000">
          <a:off x="369570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666</xdr:row>
      <xdr:rowOff>0</xdr:rowOff>
    </xdr:from>
    <xdr:to>
      <xdr:col>39</xdr:col>
      <xdr:colOff>83820</xdr:colOff>
      <xdr:row>666</xdr:row>
      <xdr:rowOff>114300</xdr:rowOff>
    </xdr:to>
    <xdr:sp macro="" textlink="">
      <xdr:nvSpPr>
        <xdr:cNvPr id="5037" name="Arrow: Down 5036">
          <a:extLst>
            <a:ext uri="{FF2B5EF4-FFF2-40B4-BE49-F238E27FC236}">
              <a16:creationId xmlns:a16="http://schemas.microsoft.com/office/drawing/2014/main" id="{FF7BD7F3-7A8E-4426-9632-65131E953C00}"/>
            </a:ext>
          </a:extLst>
        </xdr:cNvPr>
        <xdr:cNvSpPr/>
      </xdr:nvSpPr>
      <xdr:spPr>
        <a:xfrm>
          <a:off x="1154430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666</xdr:row>
      <xdr:rowOff>0</xdr:rowOff>
    </xdr:from>
    <xdr:to>
      <xdr:col>60</xdr:col>
      <xdr:colOff>83820</xdr:colOff>
      <xdr:row>666</xdr:row>
      <xdr:rowOff>114300</xdr:rowOff>
    </xdr:to>
    <xdr:sp macro="" textlink="">
      <xdr:nvSpPr>
        <xdr:cNvPr id="5038" name="Arrow: Down 5037">
          <a:extLst>
            <a:ext uri="{FF2B5EF4-FFF2-40B4-BE49-F238E27FC236}">
              <a16:creationId xmlns:a16="http://schemas.microsoft.com/office/drawing/2014/main" id="{0056BFC2-608B-4E26-8F01-061B0250C090}"/>
            </a:ext>
          </a:extLst>
        </xdr:cNvPr>
        <xdr:cNvSpPr/>
      </xdr:nvSpPr>
      <xdr:spPr>
        <a:xfrm rot="10800000">
          <a:off x="1908048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666</xdr:row>
      <xdr:rowOff>0</xdr:rowOff>
    </xdr:from>
    <xdr:to>
      <xdr:col>24</xdr:col>
      <xdr:colOff>83820</xdr:colOff>
      <xdr:row>666</xdr:row>
      <xdr:rowOff>114300</xdr:rowOff>
    </xdr:to>
    <xdr:sp macro="" textlink="">
      <xdr:nvSpPr>
        <xdr:cNvPr id="5041" name="Arrow: Down 5040">
          <a:extLst>
            <a:ext uri="{FF2B5EF4-FFF2-40B4-BE49-F238E27FC236}">
              <a16:creationId xmlns:a16="http://schemas.microsoft.com/office/drawing/2014/main" id="{57B13784-D32F-46B0-AACD-F35FF675E23E}"/>
            </a:ext>
          </a:extLst>
        </xdr:cNvPr>
        <xdr:cNvSpPr/>
      </xdr:nvSpPr>
      <xdr:spPr>
        <a:xfrm rot="10800000">
          <a:off x="833628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667</xdr:row>
      <xdr:rowOff>0</xdr:rowOff>
    </xdr:from>
    <xdr:to>
      <xdr:col>45</xdr:col>
      <xdr:colOff>83820</xdr:colOff>
      <xdr:row>667</xdr:row>
      <xdr:rowOff>114300</xdr:rowOff>
    </xdr:to>
    <xdr:sp macro="" textlink="">
      <xdr:nvSpPr>
        <xdr:cNvPr id="5049" name="Arrow: Down 5048">
          <a:extLst>
            <a:ext uri="{FF2B5EF4-FFF2-40B4-BE49-F238E27FC236}">
              <a16:creationId xmlns:a16="http://schemas.microsoft.com/office/drawing/2014/main" id="{3E13F1A1-7884-41A7-A701-B228B853ABEB}"/>
            </a:ext>
          </a:extLst>
        </xdr:cNvPr>
        <xdr:cNvSpPr/>
      </xdr:nvSpPr>
      <xdr:spPr>
        <a:xfrm>
          <a:off x="1340358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667</xdr:row>
      <xdr:rowOff>0</xdr:rowOff>
    </xdr:from>
    <xdr:to>
      <xdr:col>71</xdr:col>
      <xdr:colOff>83820</xdr:colOff>
      <xdr:row>667</xdr:row>
      <xdr:rowOff>114300</xdr:rowOff>
    </xdr:to>
    <xdr:sp macro="" textlink="">
      <xdr:nvSpPr>
        <xdr:cNvPr id="5050" name="Arrow: Down 5049">
          <a:extLst>
            <a:ext uri="{FF2B5EF4-FFF2-40B4-BE49-F238E27FC236}">
              <a16:creationId xmlns:a16="http://schemas.microsoft.com/office/drawing/2014/main" id="{0F36847E-BD3D-4303-9F42-521EB3F67B2C}"/>
            </a:ext>
          </a:extLst>
        </xdr:cNvPr>
        <xdr:cNvSpPr/>
      </xdr:nvSpPr>
      <xdr:spPr>
        <a:xfrm rot="10800000">
          <a:off x="2196084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667</xdr:row>
      <xdr:rowOff>0</xdr:rowOff>
    </xdr:from>
    <xdr:to>
      <xdr:col>5</xdr:col>
      <xdr:colOff>83820</xdr:colOff>
      <xdr:row>667</xdr:row>
      <xdr:rowOff>114300</xdr:rowOff>
    </xdr:to>
    <xdr:sp macro="" textlink="">
      <xdr:nvSpPr>
        <xdr:cNvPr id="5051" name="Arrow: Down 5050">
          <a:extLst>
            <a:ext uri="{FF2B5EF4-FFF2-40B4-BE49-F238E27FC236}">
              <a16:creationId xmlns:a16="http://schemas.microsoft.com/office/drawing/2014/main" id="{CC7B4451-A6BE-4BD6-87CD-7662293FAEA8}"/>
            </a:ext>
          </a:extLst>
        </xdr:cNvPr>
        <xdr:cNvSpPr/>
      </xdr:nvSpPr>
      <xdr:spPr>
        <a:xfrm rot="10800000">
          <a:off x="192786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667</xdr:row>
      <xdr:rowOff>0</xdr:rowOff>
    </xdr:from>
    <xdr:to>
      <xdr:col>11</xdr:col>
      <xdr:colOff>83820</xdr:colOff>
      <xdr:row>667</xdr:row>
      <xdr:rowOff>114300</xdr:rowOff>
    </xdr:to>
    <xdr:sp macro="" textlink="">
      <xdr:nvSpPr>
        <xdr:cNvPr id="5052" name="Arrow: Down 5051">
          <a:extLst>
            <a:ext uri="{FF2B5EF4-FFF2-40B4-BE49-F238E27FC236}">
              <a16:creationId xmlns:a16="http://schemas.microsoft.com/office/drawing/2014/main" id="{3A75470F-CE4B-49E8-A70C-F1AEFC4BB35B}"/>
            </a:ext>
          </a:extLst>
        </xdr:cNvPr>
        <xdr:cNvSpPr/>
      </xdr:nvSpPr>
      <xdr:spPr>
        <a:xfrm rot="10800000">
          <a:off x="369570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667</xdr:row>
      <xdr:rowOff>0</xdr:rowOff>
    </xdr:from>
    <xdr:to>
      <xdr:col>39</xdr:col>
      <xdr:colOff>83820</xdr:colOff>
      <xdr:row>667</xdr:row>
      <xdr:rowOff>114300</xdr:rowOff>
    </xdr:to>
    <xdr:sp macro="" textlink="">
      <xdr:nvSpPr>
        <xdr:cNvPr id="5053" name="Arrow: Down 5052">
          <a:extLst>
            <a:ext uri="{FF2B5EF4-FFF2-40B4-BE49-F238E27FC236}">
              <a16:creationId xmlns:a16="http://schemas.microsoft.com/office/drawing/2014/main" id="{B78D64AB-5CC4-4CD8-B08A-E80A6B8B1740}"/>
            </a:ext>
          </a:extLst>
        </xdr:cNvPr>
        <xdr:cNvSpPr/>
      </xdr:nvSpPr>
      <xdr:spPr>
        <a:xfrm>
          <a:off x="1154430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667</xdr:row>
      <xdr:rowOff>0</xdr:rowOff>
    </xdr:from>
    <xdr:to>
      <xdr:col>60</xdr:col>
      <xdr:colOff>83820</xdr:colOff>
      <xdr:row>667</xdr:row>
      <xdr:rowOff>114300</xdr:rowOff>
    </xdr:to>
    <xdr:sp macro="" textlink="">
      <xdr:nvSpPr>
        <xdr:cNvPr id="5054" name="Arrow: Down 5053">
          <a:extLst>
            <a:ext uri="{FF2B5EF4-FFF2-40B4-BE49-F238E27FC236}">
              <a16:creationId xmlns:a16="http://schemas.microsoft.com/office/drawing/2014/main" id="{8F43A860-EF25-4729-B79E-50A0408A7E07}"/>
            </a:ext>
          </a:extLst>
        </xdr:cNvPr>
        <xdr:cNvSpPr/>
      </xdr:nvSpPr>
      <xdr:spPr>
        <a:xfrm rot="10800000">
          <a:off x="1908048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667</xdr:row>
      <xdr:rowOff>0</xdr:rowOff>
    </xdr:from>
    <xdr:to>
      <xdr:col>24</xdr:col>
      <xdr:colOff>83820</xdr:colOff>
      <xdr:row>667</xdr:row>
      <xdr:rowOff>114300</xdr:rowOff>
    </xdr:to>
    <xdr:sp macro="" textlink="">
      <xdr:nvSpPr>
        <xdr:cNvPr id="5057" name="Arrow: Down 5056">
          <a:extLst>
            <a:ext uri="{FF2B5EF4-FFF2-40B4-BE49-F238E27FC236}">
              <a16:creationId xmlns:a16="http://schemas.microsoft.com/office/drawing/2014/main" id="{90D45727-7ABC-40CF-A44D-430B2183787C}"/>
            </a:ext>
          </a:extLst>
        </xdr:cNvPr>
        <xdr:cNvSpPr/>
      </xdr:nvSpPr>
      <xdr:spPr>
        <a:xfrm>
          <a:off x="8336280" y="12208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668</xdr:row>
      <xdr:rowOff>0</xdr:rowOff>
    </xdr:from>
    <xdr:to>
      <xdr:col>45</xdr:col>
      <xdr:colOff>83820</xdr:colOff>
      <xdr:row>668</xdr:row>
      <xdr:rowOff>114300</xdr:rowOff>
    </xdr:to>
    <xdr:sp macro="" textlink="">
      <xdr:nvSpPr>
        <xdr:cNvPr id="5065" name="Arrow: Down 5064">
          <a:extLst>
            <a:ext uri="{FF2B5EF4-FFF2-40B4-BE49-F238E27FC236}">
              <a16:creationId xmlns:a16="http://schemas.microsoft.com/office/drawing/2014/main" id="{B556EE88-8B8B-4B6F-AD44-24740D911B9C}"/>
            </a:ext>
          </a:extLst>
        </xdr:cNvPr>
        <xdr:cNvSpPr/>
      </xdr:nvSpPr>
      <xdr:spPr>
        <a:xfrm>
          <a:off x="13403580" y="12208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668</xdr:row>
      <xdr:rowOff>0</xdr:rowOff>
    </xdr:from>
    <xdr:to>
      <xdr:col>71</xdr:col>
      <xdr:colOff>83820</xdr:colOff>
      <xdr:row>668</xdr:row>
      <xdr:rowOff>114300</xdr:rowOff>
    </xdr:to>
    <xdr:sp macro="" textlink="">
      <xdr:nvSpPr>
        <xdr:cNvPr id="5066" name="Arrow: Down 5065">
          <a:extLst>
            <a:ext uri="{FF2B5EF4-FFF2-40B4-BE49-F238E27FC236}">
              <a16:creationId xmlns:a16="http://schemas.microsoft.com/office/drawing/2014/main" id="{FC642C41-0D01-46B0-81D5-C60B73396485}"/>
            </a:ext>
          </a:extLst>
        </xdr:cNvPr>
        <xdr:cNvSpPr/>
      </xdr:nvSpPr>
      <xdr:spPr>
        <a:xfrm rot="10800000">
          <a:off x="21960840" y="12208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668</xdr:row>
      <xdr:rowOff>0</xdr:rowOff>
    </xdr:from>
    <xdr:to>
      <xdr:col>39</xdr:col>
      <xdr:colOff>83820</xdr:colOff>
      <xdr:row>668</xdr:row>
      <xdr:rowOff>114300</xdr:rowOff>
    </xdr:to>
    <xdr:sp macro="" textlink="">
      <xdr:nvSpPr>
        <xdr:cNvPr id="5069" name="Arrow: Down 5068">
          <a:extLst>
            <a:ext uri="{FF2B5EF4-FFF2-40B4-BE49-F238E27FC236}">
              <a16:creationId xmlns:a16="http://schemas.microsoft.com/office/drawing/2014/main" id="{F5695CD4-2E8E-454D-8D2C-42BB88D21857}"/>
            </a:ext>
          </a:extLst>
        </xdr:cNvPr>
        <xdr:cNvSpPr/>
      </xdr:nvSpPr>
      <xdr:spPr>
        <a:xfrm>
          <a:off x="11544300" y="12208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668</xdr:row>
      <xdr:rowOff>0</xdr:rowOff>
    </xdr:from>
    <xdr:to>
      <xdr:col>60</xdr:col>
      <xdr:colOff>83820</xdr:colOff>
      <xdr:row>668</xdr:row>
      <xdr:rowOff>114300</xdr:rowOff>
    </xdr:to>
    <xdr:sp macro="" textlink="">
      <xdr:nvSpPr>
        <xdr:cNvPr id="5070" name="Arrow: Down 5069">
          <a:extLst>
            <a:ext uri="{FF2B5EF4-FFF2-40B4-BE49-F238E27FC236}">
              <a16:creationId xmlns:a16="http://schemas.microsoft.com/office/drawing/2014/main" id="{C34D9DBD-DB1E-4EBB-A127-CEA5255A953F}"/>
            </a:ext>
          </a:extLst>
        </xdr:cNvPr>
        <xdr:cNvSpPr/>
      </xdr:nvSpPr>
      <xdr:spPr>
        <a:xfrm rot="10800000">
          <a:off x="19080480" y="12208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668</xdr:row>
      <xdr:rowOff>0</xdr:rowOff>
    </xdr:from>
    <xdr:to>
      <xdr:col>24</xdr:col>
      <xdr:colOff>83820</xdr:colOff>
      <xdr:row>668</xdr:row>
      <xdr:rowOff>114300</xdr:rowOff>
    </xdr:to>
    <xdr:sp macro="" textlink="">
      <xdr:nvSpPr>
        <xdr:cNvPr id="5071" name="Arrow: Down 5070">
          <a:extLst>
            <a:ext uri="{FF2B5EF4-FFF2-40B4-BE49-F238E27FC236}">
              <a16:creationId xmlns:a16="http://schemas.microsoft.com/office/drawing/2014/main" id="{934364E0-EA93-4D24-A128-DFEFFC40311D}"/>
            </a:ext>
          </a:extLst>
        </xdr:cNvPr>
        <xdr:cNvSpPr/>
      </xdr:nvSpPr>
      <xdr:spPr>
        <a:xfrm>
          <a:off x="8336280" y="12208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668</xdr:row>
      <xdr:rowOff>0</xdr:rowOff>
    </xdr:from>
    <xdr:to>
      <xdr:col>11</xdr:col>
      <xdr:colOff>83820</xdr:colOff>
      <xdr:row>668</xdr:row>
      <xdr:rowOff>114300</xdr:rowOff>
    </xdr:to>
    <xdr:sp macro="" textlink="">
      <xdr:nvSpPr>
        <xdr:cNvPr id="5073" name="Arrow: Down 5072">
          <a:extLst>
            <a:ext uri="{FF2B5EF4-FFF2-40B4-BE49-F238E27FC236}">
              <a16:creationId xmlns:a16="http://schemas.microsoft.com/office/drawing/2014/main" id="{989A6474-3CEB-4DA0-997D-04D774883B26}"/>
            </a:ext>
          </a:extLst>
        </xdr:cNvPr>
        <xdr:cNvSpPr/>
      </xdr:nvSpPr>
      <xdr:spPr>
        <a:xfrm>
          <a:off x="3695700" y="12226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669</xdr:row>
      <xdr:rowOff>0</xdr:rowOff>
    </xdr:from>
    <xdr:to>
      <xdr:col>45</xdr:col>
      <xdr:colOff>83820</xdr:colOff>
      <xdr:row>669</xdr:row>
      <xdr:rowOff>114300</xdr:rowOff>
    </xdr:to>
    <xdr:sp macro="" textlink="">
      <xdr:nvSpPr>
        <xdr:cNvPr id="5081" name="Arrow: Down 5080">
          <a:extLst>
            <a:ext uri="{FF2B5EF4-FFF2-40B4-BE49-F238E27FC236}">
              <a16:creationId xmlns:a16="http://schemas.microsoft.com/office/drawing/2014/main" id="{2AE4CF06-D881-48B3-A103-C90E5C349434}"/>
            </a:ext>
          </a:extLst>
        </xdr:cNvPr>
        <xdr:cNvSpPr/>
      </xdr:nvSpPr>
      <xdr:spPr>
        <a:xfrm>
          <a:off x="13403580" y="12226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669</xdr:row>
      <xdr:rowOff>0</xdr:rowOff>
    </xdr:from>
    <xdr:to>
      <xdr:col>71</xdr:col>
      <xdr:colOff>83820</xdr:colOff>
      <xdr:row>669</xdr:row>
      <xdr:rowOff>114300</xdr:rowOff>
    </xdr:to>
    <xdr:sp macro="" textlink="">
      <xdr:nvSpPr>
        <xdr:cNvPr id="5082" name="Arrow: Down 5081">
          <a:extLst>
            <a:ext uri="{FF2B5EF4-FFF2-40B4-BE49-F238E27FC236}">
              <a16:creationId xmlns:a16="http://schemas.microsoft.com/office/drawing/2014/main" id="{A8591335-85A0-44EF-AF7A-76119782133E}"/>
            </a:ext>
          </a:extLst>
        </xdr:cNvPr>
        <xdr:cNvSpPr/>
      </xdr:nvSpPr>
      <xdr:spPr>
        <a:xfrm rot="10800000">
          <a:off x="21960840" y="12226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669</xdr:row>
      <xdr:rowOff>0</xdr:rowOff>
    </xdr:from>
    <xdr:to>
      <xdr:col>5</xdr:col>
      <xdr:colOff>83820</xdr:colOff>
      <xdr:row>669</xdr:row>
      <xdr:rowOff>114300</xdr:rowOff>
    </xdr:to>
    <xdr:sp macro="" textlink="">
      <xdr:nvSpPr>
        <xdr:cNvPr id="5083" name="Arrow: Down 5082">
          <a:extLst>
            <a:ext uri="{FF2B5EF4-FFF2-40B4-BE49-F238E27FC236}">
              <a16:creationId xmlns:a16="http://schemas.microsoft.com/office/drawing/2014/main" id="{CF3BACC6-0600-452D-9B07-FCE4E7E48B91}"/>
            </a:ext>
          </a:extLst>
        </xdr:cNvPr>
        <xdr:cNvSpPr/>
      </xdr:nvSpPr>
      <xdr:spPr>
        <a:xfrm rot="10800000">
          <a:off x="1927860" y="12226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669</xdr:row>
      <xdr:rowOff>0</xdr:rowOff>
    </xdr:from>
    <xdr:to>
      <xdr:col>39</xdr:col>
      <xdr:colOff>83820</xdr:colOff>
      <xdr:row>669</xdr:row>
      <xdr:rowOff>114300</xdr:rowOff>
    </xdr:to>
    <xdr:sp macro="" textlink="">
      <xdr:nvSpPr>
        <xdr:cNvPr id="5084" name="Arrow: Down 5083">
          <a:extLst>
            <a:ext uri="{FF2B5EF4-FFF2-40B4-BE49-F238E27FC236}">
              <a16:creationId xmlns:a16="http://schemas.microsoft.com/office/drawing/2014/main" id="{13113144-67ED-48E7-BB34-6B79521398CF}"/>
            </a:ext>
          </a:extLst>
        </xdr:cNvPr>
        <xdr:cNvSpPr/>
      </xdr:nvSpPr>
      <xdr:spPr>
        <a:xfrm>
          <a:off x="11544300" y="12226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669</xdr:row>
      <xdr:rowOff>0</xdr:rowOff>
    </xdr:from>
    <xdr:to>
      <xdr:col>24</xdr:col>
      <xdr:colOff>83820</xdr:colOff>
      <xdr:row>669</xdr:row>
      <xdr:rowOff>114300</xdr:rowOff>
    </xdr:to>
    <xdr:sp macro="" textlink="">
      <xdr:nvSpPr>
        <xdr:cNvPr id="5086" name="Arrow: Down 5085">
          <a:extLst>
            <a:ext uri="{FF2B5EF4-FFF2-40B4-BE49-F238E27FC236}">
              <a16:creationId xmlns:a16="http://schemas.microsoft.com/office/drawing/2014/main" id="{4C15B339-F7DF-48BC-96FE-649C42124894}"/>
            </a:ext>
          </a:extLst>
        </xdr:cNvPr>
        <xdr:cNvSpPr/>
      </xdr:nvSpPr>
      <xdr:spPr>
        <a:xfrm>
          <a:off x="8336280" y="12226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668</xdr:row>
      <xdr:rowOff>0</xdr:rowOff>
    </xdr:from>
    <xdr:to>
      <xdr:col>5</xdr:col>
      <xdr:colOff>83820</xdr:colOff>
      <xdr:row>668</xdr:row>
      <xdr:rowOff>114300</xdr:rowOff>
    </xdr:to>
    <xdr:sp macro="" textlink="">
      <xdr:nvSpPr>
        <xdr:cNvPr id="5089" name="Arrow: Down 5088">
          <a:extLst>
            <a:ext uri="{FF2B5EF4-FFF2-40B4-BE49-F238E27FC236}">
              <a16:creationId xmlns:a16="http://schemas.microsoft.com/office/drawing/2014/main" id="{5C0D75F0-E65D-4083-B9AB-FD569BAB301C}"/>
            </a:ext>
          </a:extLst>
        </xdr:cNvPr>
        <xdr:cNvSpPr/>
      </xdr:nvSpPr>
      <xdr:spPr>
        <a:xfrm>
          <a:off x="1927860" y="12226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669</xdr:row>
      <xdr:rowOff>0</xdr:rowOff>
    </xdr:from>
    <xdr:to>
      <xdr:col>11</xdr:col>
      <xdr:colOff>83820</xdr:colOff>
      <xdr:row>669</xdr:row>
      <xdr:rowOff>114300</xdr:rowOff>
    </xdr:to>
    <xdr:sp macro="" textlink="">
      <xdr:nvSpPr>
        <xdr:cNvPr id="5091" name="Arrow: Down 5090">
          <a:extLst>
            <a:ext uri="{FF2B5EF4-FFF2-40B4-BE49-F238E27FC236}">
              <a16:creationId xmlns:a16="http://schemas.microsoft.com/office/drawing/2014/main" id="{56F8EDB3-F1EC-421F-9FF5-D6411C139B7E}"/>
            </a:ext>
          </a:extLst>
        </xdr:cNvPr>
        <xdr:cNvSpPr/>
      </xdr:nvSpPr>
      <xdr:spPr>
        <a:xfrm rot="10800000">
          <a:off x="369570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669</xdr:row>
      <xdr:rowOff>0</xdr:rowOff>
    </xdr:from>
    <xdr:to>
      <xdr:col>60</xdr:col>
      <xdr:colOff>83820</xdr:colOff>
      <xdr:row>669</xdr:row>
      <xdr:rowOff>114300</xdr:rowOff>
    </xdr:to>
    <xdr:sp macro="" textlink="">
      <xdr:nvSpPr>
        <xdr:cNvPr id="5093" name="Arrow: Down 5092">
          <a:extLst>
            <a:ext uri="{FF2B5EF4-FFF2-40B4-BE49-F238E27FC236}">
              <a16:creationId xmlns:a16="http://schemas.microsoft.com/office/drawing/2014/main" id="{10426875-4532-49D4-8D6D-A3396AA201B2}"/>
            </a:ext>
          </a:extLst>
        </xdr:cNvPr>
        <xdr:cNvSpPr/>
      </xdr:nvSpPr>
      <xdr:spPr>
        <a:xfrm>
          <a:off x="19080480" y="12244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670</xdr:row>
      <xdr:rowOff>0</xdr:rowOff>
    </xdr:from>
    <xdr:to>
      <xdr:col>45</xdr:col>
      <xdr:colOff>83820</xdr:colOff>
      <xdr:row>670</xdr:row>
      <xdr:rowOff>114300</xdr:rowOff>
    </xdr:to>
    <xdr:sp macro="" textlink="">
      <xdr:nvSpPr>
        <xdr:cNvPr id="5101" name="Arrow: Down 5100">
          <a:extLst>
            <a:ext uri="{FF2B5EF4-FFF2-40B4-BE49-F238E27FC236}">
              <a16:creationId xmlns:a16="http://schemas.microsoft.com/office/drawing/2014/main" id="{57C1632C-26DB-4C98-8982-2C7B23B94070}"/>
            </a:ext>
          </a:extLst>
        </xdr:cNvPr>
        <xdr:cNvSpPr/>
      </xdr:nvSpPr>
      <xdr:spPr>
        <a:xfrm>
          <a:off x="1340358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670</xdr:row>
      <xdr:rowOff>0</xdr:rowOff>
    </xdr:from>
    <xdr:to>
      <xdr:col>71</xdr:col>
      <xdr:colOff>83820</xdr:colOff>
      <xdr:row>670</xdr:row>
      <xdr:rowOff>114300</xdr:rowOff>
    </xdr:to>
    <xdr:sp macro="" textlink="">
      <xdr:nvSpPr>
        <xdr:cNvPr id="5102" name="Arrow: Down 5101">
          <a:extLst>
            <a:ext uri="{FF2B5EF4-FFF2-40B4-BE49-F238E27FC236}">
              <a16:creationId xmlns:a16="http://schemas.microsoft.com/office/drawing/2014/main" id="{30F6F41D-7185-45A6-A157-256E8ACAE90B}"/>
            </a:ext>
          </a:extLst>
        </xdr:cNvPr>
        <xdr:cNvSpPr/>
      </xdr:nvSpPr>
      <xdr:spPr>
        <a:xfrm rot="10800000">
          <a:off x="2196084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670</xdr:row>
      <xdr:rowOff>0</xdr:rowOff>
    </xdr:from>
    <xdr:to>
      <xdr:col>5</xdr:col>
      <xdr:colOff>83820</xdr:colOff>
      <xdr:row>670</xdr:row>
      <xdr:rowOff>114300</xdr:rowOff>
    </xdr:to>
    <xdr:sp macro="" textlink="">
      <xdr:nvSpPr>
        <xdr:cNvPr id="5103" name="Arrow: Down 5102">
          <a:extLst>
            <a:ext uri="{FF2B5EF4-FFF2-40B4-BE49-F238E27FC236}">
              <a16:creationId xmlns:a16="http://schemas.microsoft.com/office/drawing/2014/main" id="{A428DDAD-495A-4A81-88A7-9E2B03783D1F}"/>
            </a:ext>
          </a:extLst>
        </xdr:cNvPr>
        <xdr:cNvSpPr/>
      </xdr:nvSpPr>
      <xdr:spPr>
        <a:xfrm rot="10800000">
          <a:off x="192786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670</xdr:row>
      <xdr:rowOff>0</xdr:rowOff>
    </xdr:from>
    <xdr:to>
      <xdr:col>11</xdr:col>
      <xdr:colOff>83820</xdr:colOff>
      <xdr:row>670</xdr:row>
      <xdr:rowOff>114300</xdr:rowOff>
    </xdr:to>
    <xdr:sp macro="" textlink="">
      <xdr:nvSpPr>
        <xdr:cNvPr id="5106" name="Arrow: Down 5105">
          <a:extLst>
            <a:ext uri="{FF2B5EF4-FFF2-40B4-BE49-F238E27FC236}">
              <a16:creationId xmlns:a16="http://schemas.microsoft.com/office/drawing/2014/main" id="{FEC3089E-5A4C-4945-8BDF-4BE2BB1203FC}"/>
            </a:ext>
          </a:extLst>
        </xdr:cNvPr>
        <xdr:cNvSpPr/>
      </xdr:nvSpPr>
      <xdr:spPr>
        <a:xfrm rot="10800000">
          <a:off x="369570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670</xdr:row>
      <xdr:rowOff>0</xdr:rowOff>
    </xdr:from>
    <xdr:to>
      <xdr:col>60</xdr:col>
      <xdr:colOff>83820</xdr:colOff>
      <xdr:row>670</xdr:row>
      <xdr:rowOff>114300</xdr:rowOff>
    </xdr:to>
    <xdr:sp macro="" textlink="">
      <xdr:nvSpPr>
        <xdr:cNvPr id="5107" name="Arrow: Down 5106">
          <a:extLst>
            <a:ext uri="{FF2B5EF4-FFF2-40B4-BE49-F238E27FC236}">
              <a16:creationId xmlns:a16="http://schemas.microsoft.com/office/drawing/2014/main" id="{5D8DDABE-BB55-4A31-BE44-9FF159E3477C}"/>
            </a:ext>
          </a:extLst>
        </xdr:cNvPr>
        <xdr:cNvSpPr/>
      </xdr:nvSpPr>
      <xdr:spPr>
        <a:xfrm>
          <a:off x="19080480" y="12244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670</xdr:row>
      <xdr:rowOff>0</xdr:rowOff>
    </xdr:from>
    <xdr:to>
      <xdr:col>24</xdr:col>
      <xdr:colOff>83820</xdr:colOff>
      <xdr:row>670</xdr:row>
      <xdr:rowOff>114300</xdr:rowOff>
    </xdr:to>
    <xdr:sp macro="" textlink="">
      <xdr:nvSpPr>
        <xdr:cNvPr id="5108" name="Arrow: Down 5107">
          <a:extLst>
            <a:ext uri="{FF2B5EF4-FFF2-40B4-BE49-F238E27FC236}">
              <a16:creationId xmlns:a16="http://schemas.microsoft.com/office/drawing/2014/main" id="{BC6943F1-8953-44C8-88EC-17A1984F65C4}"/>
            </a:ext>
          </a:extLst>
        </xdr:cNvPr>
        <xdr:cNvSpPr/>
      </xdr:nvSpPr>
      <xdr:spPr>
        <a:xfrm rot="10800000">
          <a:off x="8336280" y="12262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670</xdr:row>
      <xdr:rowOff>0</xdr:rowOff>
    </xdr:from>
    <xdr:to>
      <xdr:col>39</xdr:col>
      <xdr:colOff>83820</xdr:colOff>
      <xdr:row>670</xdr:row>
      <xdr:rowOff>114300</xdr:rowOff>
    </xdr:to>
    <xdr:sp macro="" textlink="">
      <xdr:nvSpPr>
        <xdr:cNvPr id="5110" name="Arrow: Down 5109">
          <a:extLst>
            <a:ext uri="{FF2B5EF4-FFF2-40B4-BE49-F238E27FC236}">
              <a16:creationId xmlns:a16="http://schemas.microsoft.com/office/drawing/2014/main" id="{8BB2DB35-7920-4809-A8F2-CEA6A15DB84D}"/>
            </a:ext>
          </a:extLst>
        </xdr:cNvPr>
        <xdr:cNvSpPr/>
      </xdr:nvSpPr>
      <xdr:spPr>
        <a:xfrm rot="10800000">
          <a:off x="11544300" y="122628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671</xdr:row>
      <xdr:rowOff>0</xdr:rowOff>
    </xdr:from>
    <xdr:to>
      <xdr:col>45</xdr:col>
      <xdr:colOff>83820</xdr:colOff>
      <xdr:row>671</xdr:row>
      <xdr:rowOff>114300</xdr:rowOff>
    </xdr:to>
    <xdr:sp macro="" textlink="">
      <xdr:nvSpPr>
        <xdr:cNvPr id="5118" name="Arrow: Down 5117">
          <a:extLst>
            <a:ext uri="{FF2B5EF4-FFF2-40B4-BE49-F238E27FC236}">
              <a16:creationId xmlns:a16="http://schemas.microsoft.com/office/drawing/2014/main" id="{2EE2E562-B097-4BC6-8796-801BCF6F2CC3}"/>
            </a:ext>
          </a:extLst>
        </xdr:cNvPr>
        <xdr:cNvSpPr/>
      </xdr:nvSpPr>
      <xdr:spPr>
        <a:xfrm>
          <a:off x="13403580" y="12262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671</xdr:row>
      <xdr:rowOff>0</xdr:rowOff>
    </xdr:from>
    <xdr:to>
      <xdr:col>71</xdr:col>
      <xdr:colOff>83820</xdr:colOff>
      <xdr:row>671</xdr:row>
      <xdr:rowOff>114300</xdr:rowOff>
    </xdr:to>
    <xdr:sp macro="" textlink="">
      <xdr:nvSpPr>
        <xdr:cNvPr id="5119" name="Arrow: Down 5118">
          <a:extLst>
            <a:ext uri="{FF2B5EF4-FFF2-40B4-BE49-F238E27FC236}">
              <a16:creationId xmlns:a16="http://schemas.microsoft.com/office/drawing/2014/main" id="{C18E034E-E845-4D29-8538-DA3A6CD36C27}"/>
            </a:ext>
          </a:extLst>
        </xdr:cNvPr>
        <xdr:cNvSpPr/>
      </xdr:nvSpPr>
      <xdr:spPr>
        <a:xfrm rot="10800000">
          <a:off x="21960840" y="12262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671</xdr:row>
      <xdr:rowOff>0</xdr:rowOff>
    </xdr:from>
    <xdr:to>
      <xdr:col>24</xdr:col>
      <xdr:colOff>83820</xdr:colOff>
      <xdr:row>671</xdr:row>
      <xdr:rowOff>114300</xdr:rowOff>
    </xdr:to>
    <xdr:sp macro="" textlink="">
      <xdr:nvSpPr>
        <xdr:cNvPr id="5123" name="Arrow: Down 5122">
          <a:extLst>
            <a:ext uri="{FF2B5EF4-FFF2-40B4-BE49-F238E27FC236}">
              <a16:creationId xmlns:a16="http://schemas.microsoft.com/office/drawing/2014/main" id="{FF40FA53-420F-4EF8-9CEB-443FD45166AB}"/>
            </a:ext>
          </a:extLst>
        </xdr:cNvPr>
        <xdr:cNvSpPr/>
      </xdr:nvSpPr>
      <xdr:spPr>
        <a:xfrm rot="10800000">
          <a:off x="8336280" y="12262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671</xdr:row>
      <xdr:rowOff>0</xdr:rowOff>
    </xdr:from>
    <xdr:to>
      <xdr:col>60</xdr:col>
      <xdr:colOff>83820</xdr:colOff>
      <xdr:row>671</xdr:row>
      <xdr:rowOff>114300</xdr:rowOff>
    </xdr:to>
    <xdr:sp macro="" textlink="">
      <xdr:nvSpPr>
        <xdr:cNvPr id="5126" name="Arrow: Down 5125">
          <a:extLst>
            <a:ext uri="{FF2B5EF4-FFF2-40B4-BE49-F238E27FC236}">
              <a16:creationId xmlns:a16="http://schemas.microsoft.com/office/drawing/2014/main" id="{939DE0B2-F056-49A2-B082-1DC8C70B5C47}"/>
            </a:ext>
          </a:extLst>
        </xdr:cNvPr>
        <xdr:cNvSpPr/>
      </xdr:nvSpPr>
      <xdr:spPr>
        <a:xfrm rot="10800000">
          <a:off x="1908048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671</xdr:row>
      <xdr:rowOff>0</xdr:rowOff>
    </xdr:from>
    <xdr:to>
      <xdr:col>5</xdr:col>
      <xdr:colOff>83820</xdr:colOff>
      <xdr:row>671</xdr:row>
      <xdr:rowOff>114300</xdr:rowOff>
    </xdr:to>
    <xdr:sp macro="" textlink="">
      <xdr:nvSpPr>
        <xdr:cNvPr id="5128" name="Arrow: Down 5127">
          <a:extLst>
            <a:ext uri="{FF2B5EF4-FFF2-40B4-BE49-F238E27FC236}">
              <a16:creationId xmlns:a16="http://schemas.microsoft.com/office/drawing/2014/main" id="{B5D845A5-AFDE-4EED-85DF-F50F6FFB8F2D}"/>
            </a:ext>
          </a:extLst>
        </xdr:cNvPr>
        <xdr:cNvSpPr/>
      </xdr:nvSpPr>
      <xdr:spPr>
        <a:xfrm>
          <a:off x="1927860" y="12281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671</xdr:row>
      <xdr:rowOff>0</xdr:rowOff>
    </xdr:from>
    <xdr:to>
      <xdr:col>11</xdr:col>
      <xdr:colOff>83820</xdr:colOff>
      <xdr:row>671</xdr:row>
      <xdr:rowOff>114300</xdr:rowOff>
    </xdr:to>
    <xdr:sp macro="" textlink="">
      <xdr:nvSpPr>
        <xdr:cNvPr id="5129" name="Arrow: Down 5128">
          <a:extLst>
            <a:ext uri="{FF2B5EF4-FFF2-40B4-BE49-F238E27FC236}">
              <a16:creationId xmlns:a16="http://schemas.microsoft.com/office/drawing/2014/main" id="{2CB50015-EFE9-4D44-BE8E-801E2CD94B8C}"/>
            </a:ext>
          </a:extLst>
        </xdr:cNvPr>
        <xdr:cNvSpPr/>
      </xdr:nvSpPr>
      <xdr:spPr>
        <a:xfrm>
          <a:off x="3695700" y="12281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671</xdr:row>
      <xdr:rowOff>0</xdr:rowOff>
    </xdr:from>
    <xdr:to>
      <xdr:col>39</xdr:col>
      <xdr:colOff>83820</xdr:colOff>
      <xdr:row>671</xdr:row>
      <xdr:rowOff>114300</xdr:rowOff>
    </xdr:to>
    <xdr:sp macro="" textlink="">
      <xdr:nvSpPr>
        <xdr:cNvPr id="5131" name="Arrow: Down 5130">
          <a:extLst>
            <a:ext uri="{FF2B5EF4-FFF2-40B4-BE49-F238E27FC236}">
              <a16:creationId xmlns:a16="http://schemas.microsoft.com/office/drawing/2014/main" id="{79F989FC-82D6-4F19-89B5-C4EC8D5A2BD9}"/>
            </a:ext>
          </a:extLst>
        </xdr:cNvPr>
        <xdr:cNvSpPr/>
      </xdr:nvSpPr>
      <xdr:spPr>
        <a:xfrm>
          <a:off x="1154430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672</xdr:row>
      <xdr:rowOff>0</xdr:rowOff>
    </xdr:from>
    <xdr:to>
      <xdr:col>45</xdr:col>
      <xdr:colOff>83820</xdr:colOff>
      <xdr:row>672</xdr:row>
      <xdr:rowOff>114300</xdr:rowOff>
    </xdr:to>
    <xdr:sp macro="" textlink="">
      <xdr:nvSpPr>
        <xdr:cNvPr id="5139" name="Arrow: Down 5138">
          <a:extLst>
            <a:ext uri="{FF2B5EF4-FFF2-40B4-BE49-F238E27FC236}">
              <a16:creationId xmlns:a16="http://schemas.microsoft.com/office/drawing/2014/main" id="{1D71123F-E55E-47E3-8DC9-13A040F4B295}"/>
            </a:ext>
          </a:extLst>
        </xdr:cNvPr>
        <xdr:cNvSpPr/>
      </xdr:nvSpPr>
      <xdr:spPr>
        <a:xfrm>
          <a:off x="1340358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672</xdr:row>
      <xdr:rowOff>0</xdr:rowOff>
    </xdr:from>
    <xdr:to>
      <xdr:col>71</xdr:col>
      <xdr:colOff>83820</xdr:colOff>
      <xdr:row>672</xdr:row>
      <xdr:rowOff>114300</xdr:rowOff>
    </xdr:to>
    <xdr:sp macro="" textlink="">
      <xdr:nvSpPr>
        <xdr:cNvPr id="5140" name="Arrow: Down 5139">
          <a:extLst>
            <a:ext uri="{FF2B5EF4-FFF2-40B4-BE49-F238E27FC236}">
              <a16:creationId xmlns:a16="http://schemas.microsoft.com/office/drawing/2014/main" id="{80220A5F-20BD-41DA-8FDD-0A63D1B86D68}"/>
            </a:ext>
          </a:extLst>
        </xdr:cNvPr>
        <xdr:cNvSpPr/>
      </xdr:nvSpPr>
      <xdr:spPr>
        <a:xfrm rot="10800000">
          <a:off x="2196084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672</xdr:row>
      <xdr:rowOff>0</xdr:rowOff>
    </xdr:from>
    <xdr:to>
      <xdr:col>24</xdr:col>
      <xdr:colOff>83820</xdr:colOff>
      <xdr:row>672</xdr:row>
      <xdr:rowOff>114300</xdr:rowOff>
    </xdr:to>
    <xdr:sp macro="" textlink="">
      <xdr:nvSpPr>
        <xdr:cNvPr id="5141" name="Arrow: Down 5140">
          <a:extLst>
            <a:ext uri="{FF2B5EF4-FFF2-40B4-BE49-F238E27FC236}">
              <a16:creationId xmlns:a16="http://schemas.microsoft.com/office/drawing/2014/main" id="{FE68C217-99C1-4073-A235-21306FE7DDD3}"/>
            </a:ext>
          </a:extLst>
        </xdr:cNvPr>
        <xdr:cNvSpPr/>
      </xdr:nvSpPr>
      <xdr:spPr>
        <a:xfrm rot="10800000">
          <a:off x="833628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672</xdr:row>
      <xdr:rowOff>0</xdr:rowOff>
    </xdr:from>
    <xdr:to>
      <xdr:col>5</xdr:col>
      <xdr:colOff>83820</xdr:colOff>
      <xdr:row>672</xdr:row>
      <xdr:rowOff>114300</xdr:rowOff>
    </xdr:to>
    <xdr:sp macro="" textlink="">
      <xdr:nvSpPr>
        <xdr:cNvPr id="5147" name="Arrow: Down 5146">
          <a:extLst>
            <a:ext uri="{FF2B5EF4-FFF2-40B4-BE49-F238E27FC236}">
              <a16:creationId xmlns:a16="http://schemas.microsoft.com/office/drawing/2014/main" id="{4BAF504C-DDE1-4C81-9353-66A233A980A4}"/>
            </a:ext>
          </a:extLst>
        </xdr:cNvPr>
        <xdr:cNvSpPr/>
      </xdr:nvSpPr>
      <xdr:spPr>
        <a:xfrm rot="10800000">
          <a:off x="1927860" y="12299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672</xdr:row>
      <xdr:rowOff>0</xdr:rowOff>
    </xdr:from>
    <xdr:to>
      <xdr:col>11</xdr:col>
      <xdr:colOff>83820</xdr:colOff>
      <xdr:row>672</xdr:row>
      <xdr:rowOff>114300</xdr:rowOff>
    </xdr:to>
    <xdr:sp macro="" textlink="">
      <xdr:nvSpPr>
        <xdr:cNvPr id="5149" name="Arrow: Down 5148">
          <a:extLst>
            <a:ext uri="{FF2B5EF4-FFF2-40B4-BE49-F238E27FC236}">
              <a16:creationId xmlns:a16="http://schemas.microsoft.com/office/drawing/2014/main" id="{57E06347-C612-4337-8886-37B1671267CE}"/>
            </a:ext>
          </a:extLst>
        </xdr:cNvPr>
        <xdr:cNvSpPr/>
      </xdr:nvSpPr>
      <xdr:spPr>
        <a:xfrm rot="10800000">
          <a:off x="3695700" y="12299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672</xdr:row>
      <xdr:rowOff>0</xdr:rowOff>
    </xdr:from>
    <xdr:to>
      <xdr:col>39</xdr:col>
      <xdr:colOff>83820</xdr:colOff>
      <xdr:row>672</xdr:row>
      <xdr:rowOff>114300</xdr:rowOff>
    </xdr:to>
    <xdr:sp macro="" textlink="">
      <xdr:nvSpPr>
        <xdr:cNvPr id="5151" name="Arrow: Down 5150">
          <a:extLst>
            <a:ext uri="{FF2B5EF4-FFF2-40B4-BE49-F238E27FC236}">
              <a16:creationId xmlns:a16="http://schemas.microsoft.com/office/drawing/2014/main" id="{872C094D-0019-4036-AB9F-30FC8B0026BE}"/>
            </a:ext>
          </a:extLst>
        </xdr:cNvPr>
        <xdr:cNvSpPr/>
      </xdr:nvSpPr>
      <xdr:spPr>
        <a:xfrm rot="10800000">
          <a:off x="11544300" y="122994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672</xdr:row>
      <xdr:rowOff>0</xdr:rowOff>
    </xdr:from>
    <xdr:to>
      <xdr:col>60</xdr:col>
      <xdr:colOff>83820</xdr:colOff>
      <xdr:row>672</xdr:row>
      <xdr:rowOff>114300</xdr:rowOff>
    </xdr:to>
    <xdr:sp macro="" textlink="">
      <xdr:nvSpPr>
        <xdr:cNvPr id="5153" name="Arrow: Down 5152">
          <a:extLst>
            <a:ext uri="{FF2B5EF4-FFF2-40B4-BE49-F238E27FC236}">
              <a16:creationId xmlns:a16="http://schemas.microsoft.com/office/drawing/2014/main" id="{795DFD18-3D16-484C-BEE6-64EA0D5167E8}"/>
            </a:ext>
          </a:extLst>
        </xdr:cNvPr>
        <xdr:cNvSpPr/>
      </xdr:nvSpPr>
      <xdr:spPr>
        <a:xfrm>
          <a:off x="19080480" y="12299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673</xdr:row>
      <xdr:rowOff>0</xdr:rowOff>
    </xdr:from>
    <xdr:to>
      <xdr:col>45</xdr:col>
      <xdr:colOff>83820</xdr:colOff>
      <xdr:row>673</xdr:row>
      <xdr:rowOff>114300</xdr:rowOff>
    </xdr:to>
    <xdr:sp macro="" textlink="">
      <xdr:nvSpPr>
        <xdr:cNvPr id="5161" name="Arrow: Down 5160">
          <a:extLst>
            <a:ext uri="{FF2B5EF4-FFF2-40B4-BE49-F238E27FC236}">
              <a16:creationId xmlns:a16="http://schemas.microsoft.com/office/drawing/2014/main" id="{4BDA3A5B-CE7C-456A-A1BC-D3BE37A63A1C}"/>
            </a:ext>
          </a:extLst>
        </xdr:cNvPr>
        <xdr:cNvSpPr/>
      </xdr:nvSpPr>
      <xdr:spPr>
        <a:xfrm>
          <a:off x="13403580" y="12299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673</xdr:row>
      <xdr:rowOff>0</xdr:rowOff>
    </xdr:from>
    <xdr:to>
      <xdr:col>71</xdr:col>
      <xdr:colOff>83820</xdr:colOff>
      <xdr:row>673</xdr:row>
      <xdr:rowOff>114300</xdr:rowOff>
    </xdr:to>
    <xdr:sp macro="" textlink="">
      <xdr:nvSpPr>
        <xdr:cNvPr id="5162" name="Arrow: Down 5161">
          <a:extLst>
            <a:ext uri="{FF2B5EF4-FFF2-40B4-BE49-F238E27FC236}">
              <a16:creationId xmlns:a16="http://schemas.microsoft.com/office/drawing/2014/main" id="{DAB87C5E-C753-46CB-B3B4-3CD9C82DC2B7}"/>
            </a:ext>
          </a:extLst>
        </xdr:cNvPr>
        <xdr:cNvSpPr/>
      </xdr:nvSpPr>
      <xdr:spPr>
        <a:xfrm rot="10800000">
          <a:off x="21960840" y="12299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673</xdr:row>
      <xdr:rowOff>0</xdr:rowOff>
    </xdr:from>
    <xdr:to>
      <xdr:col>5</xdr:col>
      <xdr:colOff>83820</xdr:colOff>
      <xdr:row>673</xdr:row>
      <xdr:rowOff>114300</xdr:rowOff>
    </xdr:to>
    <xdr:sp macro="" textlink="">
      <xdr:nvSpPr>
        <xdr:cNvPr id="5169" name="Arrow: Down 5168">
          <a:extLst>
            <a:ext uri="{FF2B5EF4-FFF2-40B4-BE49-F238E27FC236}">
              <a16:creationId xmlns:a16="http://schemas.microsoft.com/office/drawing/2014/main" id="{5A410A90-AEF3-4ECC-9A03-B91CB3B6C8E3}"/>
            </a:ext>
          </a:extLst>
        </xdr:cNvPr>
        <xdr:cNvSpPr/>
      </xdr:nvSpPr>
      <xdr:spPr>
        <a:xfrm>
          <a:off x="1927860" y="1231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673</xdr:row>
      <xdr:rowOff>0</xdr:rowOff>
    </xdr:from>
    <xdr:to>
      <xdr:col>11</xdr:col>
      <xdr:colOff>83820</xdr:colOff>
      <xdr:row>673</xdr:row>
      <xdr:rowOff>114300</xdr:rowOff>
    </xdr:to>
    <xdr:sp macro="" textlink="">
      <xdr:nvSpPr>
        <xdr:cNvPr id="5171" name="Arrow: Down 5170">
          <a:extLst>
            <a:ext uri="{FF2B5EF4-FFF2-40B4-BE49-F238E27FC236}">
              <a16:creationId xmlns:a16="http://schemas.microsoft.com/office/drawing/2014/main" id="{E11AE006-94F2-4F25-9C73-2679EE754F16}"/>
            </a:ext>
          </a:extLst>
        </xdr:cNvPr>
        <xdr:cNvSpPr/>
      </xdr:nvSpPr>
      <xdr:spPr>
        <a:xfrm>
          <a:off x="3695700" y="1231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673</xdr:row>
      <xdr:rowOff>0</xdr:rowOff>
    </xdr:from>
    <xdr:to>
      <xdr:col>24</xdr:col>
      <xdr:colOff>83820</xdr:colOff>
      <xdr:row>673</xdr:row>
      <xdr:rowOff>114300</xdr:rowOff>
    </xdr:to>
    <xdr:sp macro="" textlink="">
      <xdr:nvSpPr>
        <xdr:cNvPr id="5174" name="Arrow: Down 5173">
          <a:extLst>
            <a:ext uri="{FF2B5EF4-FFF2-40B4-BE49-F238E27FC236}">
              <a16:creationId xmlns:a16="http://schemas.microsoft.com/office/drawing/2014/main" id="{613E529E-1090-4608-8DC1-C85499C4020C}"/>
            </a:ext>
          </a:extLst>
        </xdr:cNvPr>
        <xdr:cNvSpPr/>
      </xdr:nvSpPr>
      <xdr:spPr>
        <a:xfrm>
          <a:off x="8336280" y="1231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673</xdr:row>
      <xdr:rowOff>0</xdr:rowOff>
    </xdr:from>
    <xdr:to>
      <xdr:col>39</xdr:col>
      <xdr:colOff>83820</xdr:colOff>
      <xdr:row>673</xdr:row>
      <xdr:rowOff>114300</xdr:rowOff>
    </xdr:to>
    <xdr:sp macro="" textlink="">
      <xdr:nvSpPr>
        <xdr:cNvPr id="5176" name="Arrow: Down 5175">
          <a:extLst>
            <a:ext uri="{FF2B5EF4-FFF2-40B4-BE49-F238E27FC236}">
              <a16:creationId xmlns:a16="http://schemas.microsoft.com/office/drawing/2014/main" id="{73CC143F-0F17-423A-A508-F6DF0FF526AE}"/>
            </a:ext>
          </a:extLst>
        </xdr:cNvPr>
        <xdr:cNvSpPr/>
      </xdr:nvSpPr>
      <xdr:spPr>
        <a:xfrm>
          <a:off x="1154430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673</xdr:row>
      <xdr:rowOff>0</xdr:rowOff>
    </xdr:from>
    <xdr:to>
      <xdr:col>60</xdr:col>
      <xdr:colOff>83820</xdr:colOff>
      <xdr:row>673</xdr:row>
      <xdr:rowOff>114300</xdr:rowOff>
    </xdr:to>
    <xdr:sp macro="" textlink="">
      <xdr:nvSpPr>
        <xdr:cNvPr id="5179" name="Arrow: Down 5178">
          <a:extLst>
            <a:ext uri="{FF2B5EF4-FFF2-40B4-BE49-F238E27FC236}">
              <a16:creationId xmlns:a16="http://schemas.microsoft.com/office/drawing/2014/main" id="{1ED51661-6B6D-489A-8AD5-10EAC328FD05}"/>
            </a:ext>
          </a:extLst>
        </xdr:cNvPr>
        <xdr:cNvSpPr/>
      </xdr:nvSpPr>
      <xdr:spPr>
        <a:xfrm rot="10800000">
          <a:off x="1908048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674</xdr:row>
      <xdr:rowOff>0</xdr:rowOff>
    </xdr:from>
    <xdr:to>
      <xdr:col>45</xdr:col>
      <xdr:colOff>83820</xdr:colOff>
      <xdr:row>674</xdr:row>
      <xdr:rowOff>114300</xdr:rowOff>
    </xdr:to>
    <xdr:sp macro="" textlink="">
      <xdr:nvSpPr>
        <xdr:cNvPr id="5180" name="Arrow: Down 5179">
          <a:extLst>
            <a:ext uri="{FF2B5EF4-FFF2-40B4-BE49-F238E27FC236}">
              <a16:creationId xmlns:a16="http://schemas.microsoft.com/office/drawing/2014/main" id="{DC4E6D95-9EE5-4850-B25E-6D9A520E5C11}"/>
            </a:ext>
          </a:extLst>
        </xdr:cNvPr>
        <xdr:cNvSpPr/>
      </xdr:nvSpPr>
      <xdr:spPr>
        <a:xfrm>
          <a:off x="1340358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674</xdr:row>
      <xdr:rowOff>0</xdr:rowOff>
    </xdr:from>
    <xdr:to>
      <xdr:col>71</xdr:col>
      <xdr:colOff>83820</xdr:colOff>
      <xdr:row>674</xdr:row>
      <xdr:rowOff>114300</xdr:rowOff>
    </xdr:to>
    <xdr:sp macro="" textlink="">
      <xdr:nvSpPr>
        <xdr:cNvPr id="5181" name="Arrow: Down 5180">
          <a:extLst>
            <a:ext uri="{FF2B5EF4-FFF2-40B4-BE49-F238E27FC236}">
              <a16:creationId xmlns:a16="http://schemas.microsoft.com/office/drawing/2014/main" id="{F2E15664-6D7A-4A38-BAC1-659490E0517E}"/>
            </a:ext>
          </a:extLst>
        </xdr:cNvPr>
        <xdr:cNvSpPr/>
      </xdr:nvSpPr>
      <xdr:spPr>
        <a:xfrm rot="10800000">
          <a:off x="2196084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674</xdr:row>
      <xdr:rowOff>0</xdr:rowOff>
    </xdr:from>
    <xdr:to>
      <xdr:col>60</xdr:col>
      <xdr:colOff>83820</xdr:colOff>
      <xdr:row>674</xdr:row>
      <xdr:rowOff>114300</xdr:rowOff>
    </xdr:to>
    <xdr:sp macro="" textlink="">
      <xdr:nvSpPr>
        <xdr:cNvPr id="5186" name="Arrow: Down 5185">
          <a:extLst>
            <a:ext uri="{FF2B5EF4-FFF2-40B4-BE49-F238E27FC236}">
              <a16:creationId xmlns:a16="http://schemas.microsoft.com/office/drawing/2014/main" id="{4622B3A2-03B7-4AE0-A598-07DAC8B58FC3}"/>
            </a:ext>
          </a:extLst>
        </xdr:cNvPr>
        <xdr:cNvSpPr/>
      </xdr:nvSpPr>
      <xdr:spPr>
        <a:xfrm rot="10800000">
          <a:off x="1908048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674</xdr:row>
      <xdr:rowOff>0</xdr:rowOff>
    </xdr:from>
    <xdr:to>
      <xdr:col>5</xdr:col>
      <xdr:colOff>83820</xdr:colOff>
      <xdr:row>674</xdr:row>
      <xdr:rowOff>114300</xdr:rowOff>
    </xdr:to>
    <xdr:sp macro="" textlink="">
      <xdr:nvSpPr>
        <xdr:cNvPr id="5188" name="Arrow: Down 5187">
          <a:extLst>
            <a:ext uri="{FF2B5EF4-FFF2-40B4-BE49-F238E27FC236}">
              <a16:creationId xmlns:a16="http://schemas.microsoft.com/office/drawing/2014/main" id="{D8263916-8EAF-42B3-83B7-EF6438F8CC17}"/>
            </a:ext>
          </a:extLst>
        </xdr:cNvPr>
        <xdr:cNvSpPr/>
      </xdr:nvSpPr>
      <xdr:spPr>
        <a:xfrm rot="10800000">
          <a:off x="192786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674</xdr:row>
      <xdr:rowOff>0</xdr:rowOff>
    </xdr:from>
    <xdr:to>
      <xdr:col>11</xdr:col>
      <xdr:colOff>83820</xdr:colOff>
      <xdr:row>674</xdr:row>
      <xdr:rowOff>114300</xdr:rowOff>
    </xdr:to>
    <xdr:sp macro="" textlink="">
      <xdr:nvSpPr>
        <xdr:cNvPr id="5191" name="Arrow: Down 5190">
          <a:extLst>
            <a:ext uri="{FF2B5EF4-FFF2-40B4-BE49-F238E27FC236}">
              <a16:creationId xmlns:a16="http://schemas.microsoft.com/office/drawing/2014/main" id="{69446478-6CAB-482A-BB49-68FE736F835A}"/>
            </a:ext>
          </a:extLst>
        </xdr:cNvPr>
        <xdr:cNvSpPr/>
      </xdr:nvSpPr>
      <xdr:spPr>
        <a:xfrm rot="10800000">
          <a:off x="369570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674</xdr:row>
      <xdr:rowOff>0</xdr:rowOff>
    </xdr:from>
    <xdr:to>
      <xdr:col>24</xdr:col>
      <xdr:colOff>83820</xdr:colOff>
      <xdr:row>674</xdr:row>
      <xdr:rowOff>114300</xdr:rowOff>
    </xdr:to>
    <xdr:sp macro="" textlink="">
      <xdr:nvSpPr>
        <xdr:cNvPr id="5193" name="Arrow: Down 5192">
          <a:extLst>
            <a:ext uri="{FF2B5EF4-FFF2-40B4-BE49-F238E27FC236}">
              <a16:creationId xmlns:a16="http://schemas.microsoft.com/office/drawing/2014/main" id="{127A786C-10EA-4BF2-8EB4-301AA663DF20}"/>
            </a:ext>
          </a:extLst>
        </xdr:cNvPr>
        <xdr:cNvSpPr/>
      </xdr:nvSpPr>
      <xdr:spPr>
        <a:xfrm rot="10800000">
          <a:off x="833628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674</xdr:row>
      <xdr:rowOff>0</xdr:rowOff>
    </xdr:from>
    <xdr:to>
      <xdr:col>39</xdr:col>
      <xdr:colOff>83820</xdr:colOff>
      <xdr:row>674</xdr:row>
      <xdr:rowOff>114300</xdr:rowOff>
    </xdr:to>
    <xdr:sp macro="" textlink="">
      <xdr:nvSpPr>
        <xdr:cNvPr id="5195" name="Arrow: Down 5194">
          <a:extLst>
            <a:ext uri="{FF2B5EF4-FFF2-40B4-BE49-F238E27FC236}">
              <a16:creationId xmlns:a16="http://schemas.microsoft.com/office/drawing/2014/main" id="{D39589E4-687D-4DCC-98E1-B292479663E7}"/>
            </a:ext>
          </a:extLst>
        </xdr:cNvPr>
        <xdr:cNvSpPr/>
      </xdr:nvSpPr>
      <xdr:spPr>
        <a:xfrm rot="10800000">
          <a:off x="11544300" y="123360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675</xdr:row>
      <xdr:rowOff>0</xdr:rowOff>
    </xdr:from>
    <xdr:to>
      <xdr:col>45</xdr:col>
      <xdr:colOff>83820</xdr:colOff>
      <xdr:row>675</xdr:row>
      <xdr:rowOff>114300</xdr:rowOff>
    </xdr:to>
    <xdr:sp macro="" textlink="">
      <xdr:nvSpPr>
        <xdr:cNvPr id="5203" name="Arrow: Down 5202">
          <a:extLst>
            <a:ext uri="{FF2B5EF4-FFF2-40B4-BE49-F238E27FC236}">
              <a16:creationId xmlns:a16="http://schemas.microsoft.com/office/drawing/2014/main" id="{EE0BEEF9-F180-45BC-BB6E-3BF5D721CAA3}"/>
            </a:ext>
          </a:extLst>
        </xdr:cNvPr>
        <xdr:cNvSpPr/>
      </xdr:nvSpPr>
      <xdr:spPr>
        <a:xfrm>
          <a:off x="1340358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675</xdr:row>
      <xdr:rowOff>0</xdr:rowOff>
    </xdr:from>
    <xdr:to>
      <xdr:col>71</xdr:col>
      <xdr:colOff>83820</xdr:colOff>
      <xdr:row>675</xdr:row>
      <xdr:rowOff>114300</xdr:rowOff>
    </xdr:to>
    <xdr:sp macro="" textlink="">
      <xdr:nvSpPr>
        <xdr:cNvPr id="5204" name="Arrow: Down 5203">
          <a:extLst>
            <a:ext uri="{FF2B5EF4-FFF2-40B4-BE49-F238E27FC236}">
              <a16:creationId xmlns:a16="http://schemas.microsoft.com/office/drawing/2014/main" id="{07749A32-94FE-4988-A095-3ED0E88B8E63}"/>
            </a:ext>
          </a:extLst>
        </xdr:cNvPr>
        <xdr:cNvSpPr/>
      </xdr:nvSpPr>
      <xdr:spPr>
        <a:xfrm rot="10800000">
          <a:off x="2196084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675</xdr:row>
      <xdr:rowOff>0</xdr:rowOff>
    </xdr:from>
    <xdr:to>
      <xdr:col>60</xdr:col>
      <xdr:colOff>83820</xdr:colOff>
      <xdr:row>675</xdr:row>
      <xdr:rowOff>114300</xdr:rowOff>
    </xdr:to>
    <xdr:sp macro="" textlink="">
      <xdr:nvSpPr>
        <xdr:cNvPr id="5205" name="Arrow: Down 5204">
          <a:extLst>
            <a:ext uri="{FF2B5EF4-FFF2-40B4-BE49-F238E27FC236}">
              <a16:creationId xmlns:a16="http://schemas.microsoft.com/office/drawing/2014/main" id="{76A3D5B3-B54E-4EC5-AD9C-12A17B7ABB60}"/>
            </a:ext>
          </a:extLst>
        </xdr:cNvPr>
        <xdr:cNvSpPr/>
      </xdr:nvSpPr>
      <xdr:spPr>
        <a:xfrm rot="10800000">
          <a:off x="1908048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675</xdr:row>
      <xdr:rowOff>0</xdr:rowOff>
    </xdr:from>
    <xdr:to>
      <xdr:col>39</xdr:col>
      <xdr:colOff>83820</xdr:colOff>
      <xdr:row>675</xdr:row>
      <xdr:rowOff>114300</xdr:rowOff>
    </xdr:to>
    <xdr:sp macro="" textlink="">
      <xdr:nvSpPr>
        <xdr:cNvPr id="5211" name="Arrow: Down 5210">
          <a:extLst>
            <a:ext uri="{FF2B5EF4-FFF2-40B4-BE49-F238E27FC236}">
              <a16:creationId xmlns:a16="http://schemas.microsoft.com/office/drawing/2014/main" id="{BDB039E3-3461-4D92-B1CD-A0EF89D62BED}"/>
            </a:ext>
          </a:extLst>
        </xdr:cNvPr>
        <xdr:cNvSpPr/>
      </xdr:nvSpPr>
      <xdr:spPr>
        <a:xfrm>
          <a:off x="11544300" y="1235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675</xdr:row>
      <xdr:rowOff>0</xdr:rowOff>
    </xdr:from>
    <xdr:to>
      <xdr:col>5</xdr:col>
      <xdr:colOff>83820</xdr:colOff>
      <xdr:row>675</xdr:row>
      <xdr:rowOff>114300</xdr:rowOff>
    </xdr:to>
    <xdr:sp macro="" textlink="">
      <xdr:nvSpPr>
        <xdr:cNvPr id="5213" name="Arrow: Down 5212">
          <a:extLst>
            <a:ext uri="{FF2B5EF4-FFF2-40B4-BE49-F238E27FC236}">
              <a16:creationId xmlns:a16="http://schemas.microsoft.com/office/drawing/2014/main" id="{5C621828-E5F0-4470-B024-0D96835AF936}"/>
            </a:ext>
          </a:extLst>
        </xdr:cNvPr>
        <xdr:cNvSpPr/>
      </xdr:nvSpPr>
      <xdr:spPr>
        <a:xfrm>
          <a:off x="192786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675</xdr:row>
      <xdr:rowOff>0</xdr:rowOff>
    </xdr:from>
    <xdr:to>
      <xdr:col>11</xdr:col>
      <xdr:colOff>83820</xdr:colOff>
      <xdr:row>675</xdr:row>
      <xdr:rowOff>114300</xdr:rowOff>
    </xdr:to>
    <xdr:sp macro="" textlink="">
      <xdr:nvSpPr>
        <xdr:cNvPr id="5215" name="Arrow: Down 5214">
          <a:extLst>
            <a:ext uri="{FF2B5EF4-FFF2-40B4-BE49-F238E27FC236}">
              <a16:creationId xmlns:a16="http://schemas.microsoft.com/office/drawing/2014/main" id="{993EBF1C-7B78-46EE-9D3F-3E2F34A6A284}"/>
            </a:ext>
          </a:extLst>
        </xdr:cNvPr>
        <xdr:cNvSpPr/>
      </xdr:nvSpPr>
      <xdr:spPr>
        <a:xfrm>
          <a:off x="369570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675</xdr:row>
      <xdr:rowOff>0</xdr:rowOff>
    </xdr:from>
    <xdr:to>
      <xdr:col>24</xdr:col>
      <xdr:colOff>83820</xdr:colOff>
      <xdr:row>675</xdr:row>
      <xdr:rowOff>114300</xdr:rowOff>
    </xdr:to>
    <xdr:sp macro="" textlink="">
      <xdr:nvSpPr>
        <xdr:cNvPr id="5217" name="Arrow: Down 5216">
          <a:extLst>
            <a:ext uri="{FF2B5EF4-FFF2-40B4-BE49-F238E27FC236}">
              <a16:creationId xmlns:a16="http://schemas.microsoft.com/office/drawing/2014/main" id="{C0E2476E-F26C-412A-8BED-D3381C034E95}"/>
            </a:ext>
          </a:extLst>
        </xdr:cNvPr>
        <xdr:cNvSpPr/>
      </xdr:nvSpPr>
      <xdr:spPr>
        <a:xfrm>
          <a:off x="833628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676</xdr:row>
      <xdr:rowOff>0</xdr:rowOff>
    </xdr:from>
    <xdr:to>
      <xdr:col>45</xdr:col>
      <xdr:colOff>83820</xdr:colOff>
      <xdr:row>676</xdr:row>
      <xdr:rowOff>114300</xdr:rowOff>
    </xdr:to>
    <xdr:sp macro="" textlink="">
      <xdr:nvSpPr>
        <xdr:cNvPr id="5225" name="Arrow: Down 5224">
          <a:extLst>
            <a:ext uri="{FF2B5EF4-FFF2-40B4-BE49-F238E27FC236}">
              <a16:creationId xmlns:a16="http://schemas.microsoft.com/office/drawing/2014/main" id="{A72FBD0A-B871-4AD4-8674-D4F3B8132F99}"/>
            </a:ext>
          </a:extLst>
        </xdr:cNvPr>
        <xdr:cNvSpPr/>
      </xdr:nvSpPr>
      <xdr:spPr>
        <a:xfrm>
          <a:off x="13403580" y="1235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676</xdr:row>
      <xdr:rowOff>0</xdr:rowOff>
    </xdr:from>
    <xdr:to>
      <xdr:col>71</xdr:col>
      <xdr:colOff>83820</xdr:colOff>
      <xdr:row>676</xdr:row>
      <xdr:rowOff>114300</xdr:rowOff>
    </xdr:to>
    <xdr:sp macro="" textlink="">
      <xdr:nvSpPr>
        <xdr:cNvPr id="5226" name="Arrow: Down 5225">
          <a:extLst>
            <a:ext uri="{FF2B5EF4-FFF2-40B4-BE49-F238E27FC236}">
              <a16:creationId xmlns:a16="http://schemas.microsoft.com/office/drawing/2014/main" id="{E0F6E71A-B6FF-472A-9DC3-E3B7C7C1E3CB}"/>
            </a:ext>
          </a:extLst>
        </xdr:cNvPr>
        <xdr:cNvSpPr/>
      </xdr:nvSpPr>
      <xdr:spPr>
        <a:xfrm rot="10800000">
          <a:off x="21960840" y="1235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676</xdr:row>
      <xdr:rowOff>0</xdr:rowOff>
    </xdr:from>
    <xdr:to>
      <xdr:col>39</xdr:col>
      <xdr:colOff>83820</xdr:colOff>
      <xdr:row>676</xdr:row>
      <xdr:rowOff>114300</xdr:rowOff>
    </xdr:to>
    <xdr:sp macro="" textlink="">
      <xdr:nvSpPr>
        <xdr:cNvPr id="5228" name="Arrow: Down 5227">
          <a:extLst>
            <a:ext uri="{FF2B5EF4-FFF2-40B4-BE49-F238E27FC236}">
              <a16:creationId xmlns:a16="http://schemas.microsoft.com/office/drawing/2014/main" id="{57903CE6-C91E-48DA-9362-8C6674F5EEE8}"/>
            </a:ext>
          </a:extLst>
        </xdr:cNvPr>
        <xdr:cNvSpPr/>
      </xdr:nvSpPr>
      <xdr:spPr>
        <a:xfrm>
          <a:off x="11544300" y="1235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676</xdr:row>
      <xdr:rowOff>0</xdr:rowOff>
    </xdr:from>
    <xdr:to>
      <xdr:col>5</xdr:col>
      <xdr:colOff>83820</xdr:colOff>
      <xdr:row>676</xdr:row>
      <xdr:rowOff>114300</xdr:rowOff>
    </xdr:to>
    <xdr:sp macro="" textlink="">
      <xdr:nvSpPr>
        <xdr:cNvPr id="5229" name="Arrow: Down 5228">
          <a:extLst>
            <a:ext uri="{FF2B5EF4-FFF2-40B4-BE49-F238E27FC236}">
              <a16:creationId xmlns:a16="http://schemas.microsoft.com/office/drawing/2014/main" id="{8CA6B1D6-2C92-48AF-BEA6-D615DF4A08F9}"/>
            </a:ext>
          </a:extLst>
        </xdr:cNvPr>
        <xdr:cNvSpPr/>
      </xdr:nvSpPr>
      <xdr:spPr>
        <a:xfrm>
          <a:off x="192786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676</xdr:row>
      <xdr:rowOff>0</xdr:rowOff>
    </xdr:from>
    <xdr:to>
      <xdr:col>11</xdr:col>
      <xdr:colOff>83820</xdr:colOff>
      <xdr:row>676</xdr:row>
      <xdr:rowOff>114300</xdr:rowOff>
    </xdr:to>
    <xdr:sp macro="" textlink="">
      <xdr:nvSpPr>
        <xdr:cNvPr id="5230" name="Arrow: Down 5229">
          <a:extLst>
            <a:ext uri="{FF2B5EF4-FFF2-40B4-BE49-F238E27FC236}">
              <a16:creationId xmlns:a16="http://schemas.microsoft.com/office/drawing/2014/main" id="{C246CD2D-4011-46DD-BC84-B01A6D0E58BD}"/>
            </a:ext>
          </a:extLst>
        </xdr:cNvPr>
        <xdr:cNvSpPr/>
      </xdr:nvSpPr>
      <xdr:spPr>
        <a:xfrm>
          <a:off x="369570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676</xdr:row>
      <xdr:rowOff>0</xdr:rowOff>
    </xdr:from>
    <xdr:to>
      <xdr:col>24</xdr:col>
      <xdr:colOff>83820</xdr:colOff>
      <xdr:row>676</xdr:row>
      <xdr:rowOff>114300</xdr:rowOff>
    </xdr:to>
    <xdr:sp macro="" textlink="">
      <xdr:nvSpPr>
        <xdr:cNvPr id="5231" name="Arrow: Down 5230">
          <a:extLst>
            <a:ext uri="{FF2B5EF4-FFF2-40B4-BE49-F238E27FC236}">
              <a16:creationId xmlns:a16="http://schemas.microsoft.com/office/drawing/2014/main" id="{3A75A97F-EDBA-4FB2-A5E7-B09AA033A8E1}"/>
            </a:ext>
          </a:extLst>
        </xdr:cNvPr>
        <xdr:cNvSpPr/>
      </xdr:nvSpPr>
      <xdr:spPr>
        <a:xfrm>
          <a:off x="833628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676</xdr:row>
      <xdr:rowOff>0</xdr:rowOff>
    </xdr:from>
    <xdr:to>
      <xdr:col>60</xdr:col>
      <xdr:colOff>83820</xdr:colOff>
      <xdr:row>676</xdr:row>
      <xdr:rowOff>114300</xdr:rowOff>
    </xdr:to>
    <xdr:sp macro="" textlink="">
      <xdr:nvSpPr>
        <xdr:cNvPr id="5233" name="Arrow: Down 5232">
          <a:extLst>
            <a:ext uri="{FF2B5EF4-FFF2-40B4-BE49-F238E27FC236}">
              <a16:creationId xmlns:a16="http://schemas.microsoft.com/office/drawing/2014/main" id="{FACDD7BA-DB66-406D-9615-1974F0EC3388}"/>
            </a:ext>
          </a:extLst>
        </xdr:cNvPr>
        <xdr:cNvSpPr/>
      </xdr:nvSpPr>
      <xdr:spPr>
        <a:xfrm>
          <a:off x="19080480" y="1237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677</xdr:row>
      <xdr:rowOff>0</xdr:rowOff>
    </xdr:from>
    <xdr:to>
      <xdr:col>45</xdr:col>
      <xdr:colOff>83820</xdr:colOff>
      <xdr:row>677</xdr:row>
      <xdr:rowOff>114300</xdr:rowOff>
    </xdr:to>
    <xdr:sp macro="" textlink="">
      <xdr:nvSpPr>
        <xdr:cNvPr id="4858" name="Arrow: Down 4857">
          <a:extLst>
            <a:ext uri="{FF2B5EF4-FFF2-40B4-BE49-F238E27FC236}">
              <a16:creationId xmlns:a16="http://schemas.microsoft.com/office/drawing/2014/main" id="{54F66859-B879-418A-9F7E-2BE2DC9CBE41}"/>
            </a:ext>
          </a:extLst>
        </xdr:cNvPr>
        <xdr:cNvSpPr/>
      </xdr:nvSpPr>
      <xdr:spPr>
        <a:xfrm>
          <a:off x="13403580" y="12372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677</xdr:row>
      <xdr:rowOff>0</xdr:rowOff>
    </xdr:from>
    <xdr:to>
      <xdr:col>71</xdr:col>
      <xdr:colOff>83820</xdr:colOff>
      <xdr:row>677</xdr:row>
      <xdr:rowOff>114300</xdr:rowOff>
    </xdr:to>
    <xdr:sp macro="" textlink="">
      <xdr:nvSpPr>
        <xdr:cNvPr id="4864" name="Arrow: Down 4863">
          <a:extLst>
            <a:ext uri="{FF2B5EF4-FFF2-40B4-BE49-F238E27FC236}">
              <a16:creationId xmlns:a16="http://schemas.microsoft.com/office/drawing/2014/main" id="{E285180E-FF6F-482E-AB65-C7CDD2920BD6}"/>
            </a:ext>
          </a:extLst>
        </xdr:cNvPr>
        <xdr:cNvSpPr/>
      </xdr:nvSpPr>
      <xdr:spPr>
        <a:xfrm rot="10800000">
          <a:off x="21960840" y="12372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677</xdr:row>
      <xdr:rowOff>0</xdr:rowOff>
    </xdr:from>
    <xdr:to>
      <xdr:col>60</xdr:col>
      <xdr:colOff>83820</xdr:colOff>
      <xdr:row>677</xdr:row>
      <xdr:rowOff>114300</xdr:rowOff>
    </xdr:to>
    <xdr:sp macro="" textlink="">
      <xdr:nvSpPr>
        <xdr:cNvPr id="4889" name="Arrow: Down 4888">
          <a:extLst>
            <a:ext uri="{FF2B5EF4-FFF2-40B4-BE49-F238E27FC236}">
              <a16:creationId xmlns:a16="http://schemas.microsoft.com/office/drawing/2014/main" id="{529481CD-1C37-4926-A8EE-92A03B8BA67D}"/>
            </a:ext>
          </a:extLst>
        </xdr:cNvPr>
        <xdr:cNvSpPr/>
      </xdr:nvSpPr>
      <xdr:spPr>
        <a:xfrm rot="10800000">
          <a:off x="190804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677</xdr:row>
      <xdr:rowOff>0</xdr:rowOff>
    </xdr:from>
    <xdr:to>
      <xdr:col>39</xdr:col>
      <xdr:colOff>83820</xdr:colOff>
      <xdr:row>677</xdr:row>
      <xdr:rowOff>114300</xdr:rowOff>
    </xdr:to>
    <xdr:sp macro="" textlink="">
      <xdr:nvSpPr>
        <xdr:cNvPr id="4893" name="Arrow: Down 4892">
          <a:extLst>
            <a:ext uri="{FF2B5EF4-FFF2-40B4-BE49-F238E27FC236}">
              <a16:creationId xmlns:a16="http://schemas.microsoft.com/office/drawing/2014/main" id="{900F5D58-0959-469D-8238-3592ACE4D59D}"/>
            </a:ext>
          </a:extLst>
        </xdr:cNvPr>
        <xdr:cNvSpPr/>
      </xdr:nvSpPr>
      <xdr:spPr>
        <a:xfrm rot="10800000">
          <a:off x="11544300" y="123908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677</xdr:row>
      <xdr:rowOff>0</xdr:rowOff>
    </xdr:from>
    <xdr:to>
      <xdr:col>24</xdr:col>
      <xdr:colOff>83820</xdr:colOff>
      <xdr:row>677</xdr:row>
      <xdr:rowOff>114300</xdr:rowOff>
    </xdr:to>
    <xdr:sp macro="" textlink="">
      <xdr:nvSpPr>
        <xdr:cNvPr id="4918" name="Arrow: Down 4917">
          <a:extLst>
            <a:ext uri="{FF2B5EF4-FFF2-40B4-BE49-F238E27FC236}">
              <a16:creationId xmlns:a16="http://schemas.microsoft.com/office/drawing/2014/main" id="{1223CDC2-206A-4DFE-B2C7-8E9C2D3BD054}"/>
            </a:ext>
          </a:extLst>
        </xdr:cNvPr>
        <xdr:cNvSpPr/>
      </xdr:nvSpPr>
      <xdr:spPr>
        <a:xfrm rot="10800000">
          <a:off x="83362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677</xdr:row>
      <xdr:rowOff>0</xdr:rowOff>
    </xdr:from>
    <xdr:to>
      <xdr:col>11</xdr:col>
      <xdr:colOff>83820</xdr:colOff>
      <xdr:row>677</xdr:row>
      <xdr:rowOff>114300</xdr:rowOff>
    </xdr:to>
    <xdr:sp macro="" textlink="">
      <xdr:nvSpPr>
        <xdr:cNvPr id="4921" name="Arrow: Down 4920">
          <a:extLst>
            <a:ext uri="{FF2B5EF4-FFF2-40B4-BE49-F238E27FC236}">
              <a16:creationId xmlns:a16="http://schemas.microsoft.com/office/drawing/2014/main" id="{10405D7E-317F-42BA-B203-9432658C280D}"/>
            </a:ext>
          </a:extLst>
        </xdr:cNvPr>
        <xdr:cNvSpPr/>
      </xdr:nvSpPr>
      <xdr:spPr>
        <a:xfrm rot="10800000">
          <a:off x="369570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677</xdr:row>
      <xdr:rowOff>0</xdr:rowOff>
    </xdr:from>
    <xdr:to>
      <xdr:col>5</xdr:col>
      <xdr:colOff>83820</xdr:colOff>
      <xdr:row>677</xdr:row>
      <xdr:rowOff>114300</xdr:rowOff>
    </xdr:to>
    <xdr:sp macro="" textlink="">
      <xdr:nvSpPr>
        <xdr:cNvPr id="4939" name="Arrow: Down 4938">
          <a:extLst>
            <a:ext uri="{FF2B5EF4-FFF2-40B4-BE49-F238E27FC236}">
              <a16:creationId xmlns:a16="http://schemas.microsoft.com/office/drawing/2014/main" id="{7B225373-C4D2-4D81-A194-2341D2B198BE}"/>
            </a:ext>
          </a:extLst>
        </xdr:cNvPr>
        <xdr:cNvSpPr/>
      </xdr:nvSpPr>
      <xdr:spPr>
        <a:xfrm rot="10800000">
          <a:off x="192786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678</xdr:row>
      <xdr:rowOff>0</xdr:rowOff>
    </xdr:from>
    <xdr:to>
      <xdr:col>45</xdr:col>
      <xdr:colOff>83820</xdr:colOff>
      <xdr:row>678</xdr:row>
      <xdr:rowOff>114300</xdr:rowOff>
    </xdr:to>
    <xdr:sp macro="" textlink="">
      <xdr:nvSpPr>
        <xdr:cNvPr id="4963" name="Arrow: Down 4962">
          <a:extLst>
            <a:ext uri="{FF2B5EF4-FFF2-40B4-BE49-F238E27FC236}">
              <a16:creationId xmlns:a16="http://schemas.microsoft.com/office/drawing/2014/main" id="{18E545DA-2315-44CB-BC32-C8F044C91491}"/>
            </a:ext>
          </a:extLst>
        </xdr:cNvPr>
        <xdr:cNvSpPr/>
      </xdr:nvSpPr>
      <xdr:spPr>
        <a:xfrm>
          <a:off x="134035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678</xdr:row>
      <xdr:rowOff>0</xdr:rowOff>
    </xdr:from>
    <xdr:to>
      <xdr:col>71</xdr:col>
      <xdr:colOff>83820</xdr:colOff>
      <xdr:row>678</xdr:row>
      <xdr:rowOff>114300</xdr:rowOff>
    </xdr:to>
    <xdr:sp macro="" textlink="">
      <xdr:nvSpPr>
        <xdr:cNvPr id="4966" name="Arrow: Down 4965">
          <a:extLst>
            <a:ext uri="{FF2B5EF4-FFF2-40B4-BE49-F238E27FC236}">
              <a16:creationId xmlns:a16="http://schemas.microsoft.com/office/drawing/2014/main" id="{33044C2C-60A0-4DA4-999D-635947AF56CD}"/>
            </a:ext>
          </a:extLst>
        </xdr:cNvPr>
        <xdr:cNvSpPr/>
      </xdr:nvSpPr>
      <xdr:spPr>
        <a:xfrm rot="10800000">
          <a:off x="2196084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678</xdr:row>
      <xdr:rowOff>0</xdr:rowOff>
    </xdr:from>
    <xdr:to>
      <xdr:col>60</xdr:col>
      <xdr:colOff>83820</xdr:colOff>
      <xdr:row>678</xdr:row>
      <xdr:rowOff>114300</xdr:rowOff>
    </xdr:to>
    <xdr:sp macro="" textlink="">
      <xdr:nvSpPr>
        <xdr:cNvPr id="4975" name="Arrow: Down 4974">
          <a:extLst>
            <a:ext uri="{FF2B5EF4-FFF2-40B4-BE49-F238E27FC236}">
              <a16:creationId xmlns:a16="http://schemas.microsoft.com/office/drawing/2014/main" id="{FAD3B2B8-8BE6-4720-AA57-FCEC74DB5E84}"/>
            </a:ext>
          </a:extLst>
        </xdr:cNvPr>
        <xdr:cNvSpPr/>
      </xdr:nvSpPr>
      <xdr:spPr>
        <a:xfrm rot="10800000">
          <a:off x="190804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678</xdr:row>
      <xdr:rowOff>0</xdr:rowOff>
    </xdr:from>
    <xdr:to>
      <xdr:col>39</xdr:col>
      <xdr:colOff>83820</xdr:colOff>
      <xdr:row>678</xdr:row>
      <xdr:rowOff>114300</xdr:rowOff>
    </xdr:to>
    <xdr:sp macro="" textlink="">
      <xdr:nvSpPr>
        <xdr:cNvPr id="4977" name="Arrow: Down 4976">
          <a:extLst>
            <a:ext uri="{FF2B5EF4-FFF2-40B4-BE49-F238E27FC236}">
              <a16:creationId xmlns:a16="http://schemas.microsoft.com/office/drawing/2014/main" id="{064314BC-C3B3-4626-A74E-02996CCF70FF}"/>
            </a:ext>
          </a:extLst>
        </xdr:cNvPr>
        <xdr:cNvSpPr/>
      </xdr:nvSpPr>
      <xdr:spPr>
        <a:xfrm rot="10800000">
          <a:off x="11544300" y="123908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678</xdr:row>
      <xdr:rowOff>0</xdr:rowOff>
    </xdr:from>
    <xdr:to>
      <xdr:col>24</xdr:col>
      <xdr:colOff>83820</xdr:colOff>
      <xdr:row>678</xdr:row>
      <xdr:rowOff>114300</xdr:rowOff>
    </xdr:to>
    <xdr:sp macro="" textlink="">
      <xdr:nvSpPr>
        <xdr:cNvPr id="4980" name="Arrow: Down 4979">
          <a:extLst>
            <a:ext uri="{FF2B5EF4-FFF2-40B4-BE49-F238E27FC236}">
              <a16:creationId xmlns:a16="http://schemas.microsoft.com/office/drawing/2014/main" id="{15FB3436-A9F0-4AF0-9637-7DB81611AE59}"/>
            </a:ext>
          </a:extLst>
        </xdr:cNvPr>
        <xdr:cNvSpPr/>
      </xdr:nvSpPr>
      <xdr:spPr>
        <a:xfrm rot="10800000">
          <a:off x="83362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678</xdr:row>
      <xdr:rowOff>0</xdr:rowOff>
    </xdr:from>
    <xdr:to>
      <xdr:col>11</xdr:col>
      <xdr:colOff>83820</xdr:colOff>
      <xdr:row>678</xdr:row>
      <xdr:rowOff>114300</xdr:rowOff>
    </xdr:to>
    <xdr:sp macro="" textlink="">
      <xdr:nvSpPr>
        <xdr:cNvPr id="4991" name="Arrow: Down 4990">
          <a:extLst>
            <a:ext uri="{FF2B5EF4-FFF2-40B4-BE49-F238E27FC236}">
              <a16:creationId xmlns:a16="http://schemas.microsoft.com/office/drawing/2014/main" id="{EF5017A9-557F-4267-B929-C766D6E405A5}"/>
            </a:ext>
          </a:extLst>
        </xdr:cNvPr>
        <xdr:cNvSpPr/>
      </xdr:nvSpPr>
      <xdr:spPr>
        <a:xfrm>
          <a:off x="3695700" y="1240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678</xdr:row>
      <xdr:rowOff>0</xdr:rowOff>
    </xdr:from>
    <xdr:to>
      <xdr:col>5</xdr:col>
      <xdr:colOff>83820</xdr:colOff>
      <xdr:row>678</xdr:row>
      <xdr:rowOff>114300</xdr:rowOff>
    </xdr:to>
    <xdr:sp macro="" textlink="">
      <xdr:nvSpPr>
        <xdr:cNvPr id="4993" name="Arrow: Down 4992">
          <a:extLst>
            <a:ext uri="{FF2B5EF4-FFF2-40B4-BE49-F238E27FC236}">
              <a16:creationId xmlns:a16="http://schemas.microsoft.com/office/drawing/2014/main" id="{FDD1A044-FCB4-4F1E-AE3E-58DF4AE0CA51}"/>
            </a:ext>
          </a:extLst>
        </xdr:cNvPr>
        <xdr:cNvSpPr/>
      </xdr:nvSpPr>
      <xdr:spPr>
        <a:xfrm>
          <a:off x="1927860" y="1240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679</xdr:row>
      <xdr:rowOff>0</xdr:rowOff>
    </xdr:from>
    <xdr:to>
      <xdr:col>45</xdr:col>
      <xdr:colOff>83820</xdr:colOff>
      <xdr:row>679</xdr:row>
      <xdr:rowOff>114300</xdr:rowOff>
    </xdr:to>
    <xdr:sp macro="" textlink="">
      <xdr:nvSpPr>
        <xdr:cNvPr id="5008" name="Arrow: Down 5007">
          <a:extLst>
            <a:ext uri="{FF2B5EF4-FFF2-40B4-BE49-F238E27FC236}">
              <a16:creationId xmlns:a16="http://schemas.microsoft.com/office/drawing/2014/main" id="{2BA6A6BF-F039-4450-9FA8-651A15FE3063}"/>
            </a:ext>
          </a:extLst>
        </xdr:cNvPr>
        <xdr:cNvSpPr/>
      </xdr:nvSpPr>
      <xdr:spPr>
        <a:xfrm>
          <a:off x="13403580" y="1240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679</xdr:row>
      <xdr:rowOff>0</xdr:rowOff>
    </xdr:from>
    <xdr:to>
      <xdr:col>71</xdr:col>
      <xdr:colOff>83820</xdr:colOff>
      <xdr:row>679</xdr:row>
      <xdr:rowOff>114300</xdr:rowOff>
    </xdr:to>
    <xdr:sp macro="" textlink="">
      <xdr:nvSpPr>
        <xdr:cNvPr id="5009" name="Arrow: Down 5008">
          <a:extLst>
            <a:ext uri="{FF2B5EF4-FFF2-40B4-BE49-F238E27FC236}">
              <a16:creationId xmlns:a16="http://schemas.microsoft.com/office/drawing/2014/main" id="{8475E3DC-A744-4AE0-BB4F-9F68781E792A}"/>
            </a:ext>
          </a:extLst>
        </xdr:cNvPr>
        <xdr:cNvSpPr/>
      </xdr:nvSpPr>
      <xdr:spPr>
        <a:xfrm rot="10800000">
          <a:off x="21960840" y="1240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679</xdr:row>
      <xdr:rowOff>0</xdr:rowOff>
    </xdr:from>
    <xdr:to>
      <xdr:col>60</xdr:col>
      <xdr:colOff>83820</xdr:colOff>
      <xdr:row>679</xdr:row>
      <xdr:rowOff>114300</xdr:rowOff>
    </xdr:to>
    <xdr:sp macro="" textlink="">
      <xdr:nvSpPr>
        <xdr:cNvPr id="5021" name="Arrow: Down 5020">
          <a:extLst>
            <a:ext uri="{FF2B5EF4-FFF2-40B4-BE49-F238E27FC236}">
              <a16:creationId xmlns:a16="http://schemas.microsoft.com/office/drawing/2014/main" id="{34BA4656-ADFC-409F-A8EA-B3FEA068E768}"/>
            </a:ext>
          </a:extLst>
        </xdr:cNvPr>
        <xdr:cNvSpPr/>
      </xdr:nvSpPr>
      <xdr:spPr>
        <a:xfrm rot="10800000">
          <a:off x="19080480" y="1240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679</xdr:row>
      <xdr:rowOff>0</xdr:rowOff>
    </xdr:from>
    <xdr:to>
      <xdr:col>39</xdr:col>
      <xdr:colOff>83820</xdr:colOff>
      <xdr:row>679</xdr:row>
      <xdr:rowOff>114300</xdr:rowOff>
    </xdr:to>
    <xdr:sp macro="" textlink="">
      <xdr:nvSpPr>
        <xdr:cNvPr id="5024" name="Arrow: Down 5023">
          <a:extLst>
            <a:ext uri="{FF2B5EF4-FFF2-40B4-BE49-F238E27FC236}">
              <a16:creationId xmlns:a16="http://schemas.microsoft.com/office/drawing/2014/main" id="{9565E1B4-8A6D-4DB2-81F2-F1F77519A01D}"/>
            </a:ext>
          </a:extLst>
        </xdr:cNvPr>
        <xdr:cNvSpPr/>
      </xdr:nvSpPr>
      <xdr:spPr>
        <a:xfrm rot="10800000">
          <a:off x="11544300" y="124091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679</xdr:row>
      <xdr:rowOff>0</xdr:rowOff>
    </xdr:from>
    <xdr:to>
      <xdr:col>24</xdr:col>
      <xdr:colOff>83820</xdr:colOff>
      <xdr:row>679</xdr:row>
      <xdr:rowOff>114300</xdr:rowOff>
    </xdr:to>
    <xdr:sp macro="" textlink="">
      <xdr:nvSpPr>
        <xdr:cNvPr id="5026" name="Arrow: Down 5025">
          <a:extLst>
            <a:ext uri="{FF2B5EF4-FFF2-40B4-BE49-F238E27FC236}">
              <a16:creationId xmlns:a16="http://schemas.microsoft.com/office/drawing/2014/main" id="{D4C85FE6-F986-4DE9-ABE8-DF36DA0A7618}"/>
            </a:ext>
          </a:extLst>
        </xdr:cNvPr>
        <xdr:cNvSpPr/>
      </xdr:nvSpPr>
      <xdr:spPr>
        <a:xfrm rot="10800000">
          <a:off x="8336280" y="1240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679</xdr:row>
      <xdr:rowOff>0</xdr:rowOff>
    </xdr:from>
    <xdr:to>
      <xdr:col>5</xdr:col>
      <xdr:colOff>83820</xdr:colOff>
      <xdr:row>679</xdr:row>
      <xdr:rowOff>114300</xdr:rowOff>
    </xdr:to>
    <xdr:sp macro="" textlink="">
      <xdr:nvSpPr>
        <xdr:cNvPr id="5030" name="Arrow: Down 5029">
          <a:extLst>
            <a:ext uri="{FF2B5EF4-FFF2-40B4-BE49-F238E27FC236}">
              <a16:creationId xmlns:a16="http://schemas.microsoft.com/office/drawing/2014/main" id="{5BA6F6B2-5F39-439E-AF63-01E346A4A465}"/>
            </a:ext>
          </a:extLst>
        </xdr:cNvPr>
        <xdr:cNvSpPr/>
      </xdr:nvSpPr>
      <xdr:spPr>
        <a:xfrm rot="10800000">
          <a:off x="192786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679</xdr:row>
      <xdr:rowOff>0</xdr:rowOff>
    </xdr:from>
    <xdr:to>
      <xdr:col>11</xdr:col>
      <xdr:colOff>83820</xdr:colOff>
      <xdr:row>679</xdr:row>
      <xdr:rowOff>114300</xdr:rowOff>
    </xdr:to>
    <xdr:sp macro="" textlink="">
      <xdr:nvSpPr>
        <xdr:cNvPr id="5032" name="Arrow: Down 5031">
          <a:extLst>
            <a:ext uri="{FF2B5EF4-FFF2-40B4-BE49-F238E27FC236}">
              <a16:creationId xmlns:a16="http://schemas.microsoft.com/office/drawing/2014/main" id="{F0589379-CD84-4142-BFCD-94290443D16C}"/>
            </a:ext>
          </a:extLst>
        </xdr:cNvPr>
        <xdr:cNvSpPr/>
      </xdr:nvSpPr>
      <xdr:spPr>
        <a:xfrm rot="10800000">
          <a:off x="369570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680</xdr:row>
      <xdr:rowOff>0</xdr:rowOff>
    </xdr:from>
    <xdr:to>
      <xdr:col>45</xdr:col>
      <xdr:colOff>83820</xdr:colOff>
      <xdr:row>680</xdr:row>
      <xdr:rowOff>114300</xdr:rowOff>
    </xdr:to>
    <xdr:sp macro="" textlink="">
      <xdr:nvSpPr>
        <xdr:cNvPr id="5047" name="Arrow: Down 5046">
          <a:extLst>
            <a:ext uri="{FF2B5EF4-FFF2-40B4-BE49-F238E27FC236}">
              <a16:creationId xmlns:a16="http://schemas.microsoft.com/office/drawing/2014/main" id="{8AD6EC6C-E9F0-4E6B-BA1B-9BBBD73DCBE3}"/>
            </a:ext>
          </a:extLst>
        </xdr:cNvPr>
        <xdr:cNvSpPr/>
      </xdr:nvSpPr>
      <xdr:spPr>
        <a:xfrm>
          <a:off x="1340358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680</xdr:row>
      <xdr:rowOff>0</xdr:rowOff>
    </xdr:from>
    <xdr:to>
      <xdr:col>71</xdr:col>
      <xdr:colOff>83820</xdr:colOff>
      <xdr:row>680</xdr:row>
      <xdr:rowOff>114300</xdr:rowOff>
    </xdr:to>
    <xdr:sp macro="" textlink="">
      <xdr:nvSpPr>
        <xdr:cNvPr id="5048" name="Arrow: Down 5047">
          <a:extLst>
            <a:ext uri="{FF2B5EF4-FFF2-40B4-BE49-F238E27FC236}">
              <a16:creationId xmlns:a16="http://schemas.microsoft.com/office/drawing/2014/main" id="{09B3AB18-2E52-45A3-A7EC-565A4F2313A2}"/>
            </a:ext>
          </a:extLst>
        </xdr:cNvPr>
        <xdr:cNvSpPr/>
      </xdr:nvSpPr>
      <xdr:spPr>
        <a:xfrm rot="10800000">
          <a:off x="2196084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680</xdr:row>
      <xdr:rowOff>0</xdr:rowOff>
    </xdr:from>
    <xdr:to>
      <xdr:col>24</xdr:col>
      <xdr:colOff>83820</xdr:colOff>
      <xdr:row>680</xdr:row>
      <xdr:rowOff>114300</xdr:rowOff>
    </xdr:to>
    <xdr:sp macro="" textlink="">
      <xdr:nvSpPr>
        <xdr:cNvPr id="5058" name="Arrow: Down 5057">
          <a:extLst>
            <a:ext uri="{FF2B5EF4-FFF2-40B4-BE49-F238E27FC236}">
              <a16:creationId xmlns:a16="http://schemas.microsoft.com/office/drawing/2014/main" id="{5FD35E3F-13A2-46F0-8276-CC00720BFB07}"/>
            </a:ext>
          </a:extLst>
        </xdr:cNvPr>
        <xdr:cNvSpPr/>
      </xdr:nvSpPr>
      <xdr:spPr>
        <a:xfrm rot="10800000">
          <a:off x="833628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680</xdr:row>
      <xdr:rowOff>0</xdr:rowOff>
    </xdr:from>
    <xdr:to>
      <xdr:col>60</xdr:col>
      <xdr:colOff>83820</xdr:colOff>
      <xdr:row>680</xdr:row>
      <xdr:rowOff>114300</xdr:rowOff>
    </xdr:to>
    <xdr:sp macro="" textlink="">
      <xdr:nvSpPr>
        <xdr:cNvPr id="5062" name="Arrow: Down 5061">
          <a:extLst>
            <a:ext uri="{FF2B5EF4-FFF2-40B4-BE49-F238E27FC236}">
              <a16:creationId xmlns:a16="http://schemas.microsoft.com/office/drawing/2014/main" id="{773B4EB4-7146-487F-8006-A5936BCB92A6}"/>
            </a:ext>
          </a:extLst>
        </xdr:cNvPr>
        <xdr:cNvSpPr/>
      </xdr:nvSpPr>
      <xdr:spPr>
        <a:xfrm>
          <a:off x="19080480" y="1244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680</xdr:row>
      <xdr:rowOff>0</xdr:rowOff>
    </xdr:from>
    <xdr:to>
      <xdr:col>39</xdr:col>
      <xdr:colOff>83820</xdr:colOff>
      <xdr:row>680</xdr:row>
      <xdr:rowOff>114300</xdr:rowOff>
    </xdr:to>
    <xdr:sp macro="" textlink="">
      <xdr:nvSpPr>
        <xdr:cNvPr id="5063" name="Arrow: Down 5062">
          <a:extLst>
            <a:ext uri="{FF2B5EF4-FFF2-40B4-BE49-F238E27FC236}">
              <a16:creationId xmlns:a16="http://schemas.microsoft.com/office/drawing/2014/main" id="{C618F01F-5911-4EFE-91AE-A341ED43B556}"/>
            </a:ext>
          </a:extLst>
        </xdr:cNvPr>
        <xdr:cNvSpPr/>
      </xdr:nvSpPr>
      <xdr:spPr>
        <a:xfrm>
          <a:off x="11544300" y="1244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680</xdr:row>
      <xdr:rowOff>0</xdr:rowOff>
    </xdr:from>
    <xdr:to>
      <xdr:col>11</xdr:col>
      <xdr:colOff>83820</xdr:colOff>
      <xdr:row>680</xdr:row>
      <xdr:rowOff>114300</xdr:rowOff>
    </xdr:to>
    <xdr:sp macro="" textlink="">
      <xdr:nvSpPr>
        <xdr:cNvPr id="5064" name="Arrow: Down 5063">
          <a:extLst>
            <a:ext uri="{FF2B5EF4-FFF2-40B4-BE49-F238E27FC236}">
              <a16:creationId xmlns:a16="http://schemas.microsoft.com/office/drawing/2014/main" id="{31337451-83CD-4C8B-A1E0-44383826E8BD}"/>
            </a:ext>
          </a:extLst>
        </xdr:cNvPr>
        <xdr:cNvSpPr/>
      </xdr:nvSpPr>
      <xdr:spPr>
        <a:xfrm>
          <a:off x="3695700" y="1244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680</xdr:row>
      <xdr:rowOff>0</xdr:rowOff>
    </xdr:from>
    <xdr:to>
      <xdr:col>5</xdr:col>
      <xdr:colOff>83820</xdr:colOff>
      <xdr:row>680</xdr:row>
      <xdr:rowOff>114300</xdr:rowOff>
    </xdr:to>
    <xdr:sp macro="" textlink="">
      <xdr:nvSpPr>
        <xdr:cNvPr id="5068" name="Arrow: Down 5067">
          <a:extLst>
            <a:ext uri="{FF2B5EF4-FFF2-40B4-BE49-F238E27FC236}">
              <a16:creationId xmlns:a16="http://schemas.microsoft.com/office/drawing/2014/main" id="{DA7EF778-1F83-4EBE-A9A3-0F4FFEAAA68E}"/>
            </a:ext>
          </a:extLst>
        </xdr:cNvPr>
        <xdr:cNvSpPr/>
      </xdr:nvSpPr>
      <xdr:spPr>
        <a:xfrm>
          <a:off x="1927860" y="1244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681</xdr:row>
      <xdr:rowOff>0</xdr:rowOff>
    </xdr:from>
    <xdr:to>
      <xdr:col>45</xdr:col>
      <xdr:colOff>83820</xdr:colOff>
      <xdr:row>681</xdr:row>
      <xdr:rowOff>114300</xdr:rowOff>
    </xdr:to>
    <xdr:sp macro="" textlink="">
      <xdr:nvSpPr>
        <xdr:cNvPr id="5080" name="Arrow: Down 5079">
          <a:extLst>
            <a:ext uri="{FF2B5EF4-FFF2-40B4-BE49-F238E27FC236}">
              <a16:creationId xmlns:a16="http://schemas.microsoft.com/office/drawing/2014/main" id="{883ABCBB-8159-4E03-B712-AAA089A16BEB}"/>
            </a:ext>
          </a:extLst>
        </xdr:cNvPr>
        <xdr:cNvSpPr/>
      </xdr:nvSpPr>
      <xdr:spPr>
        <a:xfrm>
          <a:off x="13403580" y="1244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681</xdr:row>
      <xdr:rowOff>0</xdr:rowOff>
    </xdr:from>
    <xdr:to>
      <xdr:col>71</xdr:col>
      <xdr:colOff>83820</xdr:colOff>
      <xdr:row>681</xdr:row>
      <xdr:rowOff>114300</xdr:rowOff>
    </xdr:to>
    <xdr:sp macro="" textlink="">
      <xdr:nvSpPr>
        <xdr:cNvPr id="5085" name="Arrow: Down 5084">
          <a:extLst>
            <a:ext uri="{FF2B5EF4-FFF2-40B4-BE49-F238E27FC236}">
              <a16:creationId xmlns:a16="http://schemas.microsoft.com/office/drawing/2014/main" id="{2046843E-3346-495C-BF63-5A8A960EF6AF}"/>
            </a:ext>
          </a:extLst>
        </xdr:cNvPr>
        <xdr:cNvSpPr/>
      </xdr:nvSpPr>
      <xdr:spPr>
        <a:xfrm rot="10800000">
          <a:off x="21960840" y="1244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681</xdr:row>
      <xdr:rowOff>0</xdr:rowOff>
    </xdr:from>
    <xdr:to>
      <xdr:col>24</xdr:col>
      <xdr:colOff>83820</xdr:colOff>
      <xdr:row>681</xdr:row>
      <xdr:rowOff>114300</xdr:rowOff>
    </xdr:to>
    <xdr:sp macro="" textlink="">
      <xdr:nvSpPr>
        <xdr:cNvPr id="5087" name="Arrow: Down 5086">
          <a:extLst>
            <a:ext uri="{FF2B5EF4-FFF2-40B4-BE49-F238E27FC236}">
              <a16:creationId xmlns:a16="http://schemas.microsoft.com/office/drawing/2014/main" id="{16CD9686-C907-4E8B-9882-035E598AC172}"/>
            </a:ext>
          </a:extLst>
        </xdr:cNvPr>
        <xdr:cNvSpPr/>
      </xdr:nvSpPr>
      <xdr:spPr>
        <a:xfrm rot="10800000">
          <a:off x="8336280" y="1244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682</xdr:row>
      <xdr:rowOff>0</xdr:rowOff>
    </xdr:from>
    <xdr:to>
      <xdr:col>45</xdr:col>
      <xdr:colOff>83820</xdr:colOff>
      <xdr:row>682</xdr:row>
      <xdr:rowOff>114300</xdr:rowOff>
    </xdr:to>
    <xdr:sp macro="" textlink="">
      <xdr:nvSpPr>
        <xdr:cNvPr id="5095" name="Arrow: Down 5094">
          <a:extLst>
            <a:ext uri="{FF2B5EF4-FFF2-40B4-BE49-F238E27FC236}">
              <a16:creationId xmlns:a16="http://schemas.microsoft.com/office/drawing/2014/main" id="{4AE3D50B-D295-4D68-913A-DA59BDF0CA9D}"/>
            </a:ext>
          </a:extLst>
        </xdr:cNvPr>
        <xdr:cNvSpPr/>
      </xdr:nvSpPr>
      <xdr:spPr>
        <a:xfrm>
          <a:off x="1340358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682</xdr:row>
      <xdr:rowOff>0</xdr:rowOff>
    </xdr:from>
    <xdr:to>
      <xdr:col>71</xdr:col>
      <xdr:colOff>83820</xdr:colOff>
      <xdr:row>682</xdr:row>
      <xdr:rowOff>114300</xdr:rowOff>
    </xdr:to>
    <xdr:sp macro="" textlink="">
      <xdr:nvSpPr>
        <xdr:cNvPr id="5096" name="Arrow: Down 5095">
          <a:extLst>
            <a:ext uri="{FF2B5EF4-FFF2-40B4-BE49-F238E27FC236}">
              <a16:creationId xmlns:a16="http://schemas.microsoft.com/office/drawing/2014/main" id="{5E7DBC0F-1577-4AF3-B008-76BCF5FECAC1}"/>
            </a:ext>
          </a:extLst>
        </xdr:cNvPr>
        <xdr:cNvSpPr/>
      </xdr:nvSpPr>
      <xdr:spPr>
        <a:xfrm rot="10800000">
          <a:off x="2196084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682</xdr:row>
      <xdr:rowOff>0</xdr:rowOff>
    </xdr:from>
    <xdr:to>
      <xdr:col>24</xdr:col>
      <xdr:colOff>83820</xdr:colOff>
      <xdr:row>682</xdr:row>
      <xdr:rowOff>114300</xdr:rowOff>
    </xdr:to>
    <xdr:sp macro="" textlink="">
      <xdr:nvSpPr>
        <xdr:cNvPr id="5097" name="Arrow: Down 5096">
          <a:extLst>
            <a:ext uri="{FF2B5EF4-FFF2-40B4-BE49-F238E27FC236}">
              <a16:creationId xmlns:a16="http://schemas.microsoft.com/office/drawing/2014/main" id="{E73F15D1-7A12-45AD-AE9D-8E1A9B8858C9}"/>
            </a:ext>
          </a:extLst>
        </xdr:cNvPr>
        <xdr:cNvSpPr/>
      </xdr:nvSpPr>
      <xdr:spPr>
        <a:xfrm rot="10800000">
          <a:off x="833628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682</xdr:row>
      <xdr:rowOff>0</xdr:rowOff>
    </xdr:from>
    <xdr:to>
      <xdr:col>39</xdr:col>
      <xdr:colOff>83820</xdr:colOff>
      <xdr:row>682</xdr:row>
      <xdr:rowOff>114300</xdr:rowOff>
    </xdr:to>
    <xdr:sp macro="" textlink="">
      <xdr:nvSpPr>
        <xdr:cNvPr id="5099" name="Arrow: Down 5098">
          <a:extLst>
            <a:ext uri="{FF2B5EF4-FFF2-40B4-BE49-F238E27FC236}">
              <a16:creationId xmlns:a16="http://schemas.microsoft.com/office/drawing/2014/main" id="{882B41DE-3173-434D-931D-59AE85C46D23}"/>
            </a:ext>
          </a:extLst>
        </xdr:cNvPr>
        <xdr:cNvSpPr/>
      </xdr:nvSpPr>
      <xdr:spPr>
        <a:xfrm>
          <a:off x="1154430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682</xdr:row>
      <xdr:rowOff>0</xdr:rowOff>
    </xdr:from>
    <xdr:to>
      <xdr:col>11</xdr:col>
      <xdr:colOff>83820</xdr:colOff>
      <xdr:row>682</xdr:row>
      <xdr:rowOff>114300</xdr:rowOff>
    </xdr:to>
    <xdr:sp macro="" textlink="">
      <xdr:nvSpPr>
        <xdr:cNvPr id="5100" name="Arrow: Down 5099">
          <a:extLst>
            <a:ext uri="{FF2B5EF4-FFF2-40B4-BE49-F238E27FC236}">
              <a16:creationId xmlns:a16="http://schemas.microsoft.com/office/drawing/2014/main" id="{42F63244-4CB5-4A6C-B51A-8AE42490B07D}"/>
            </a:ext>
          </a:extLst>
        </xdr:cNvPr>
        <xdr:cNvSpPr/>
      </xdr:nvSpPr>
      <xdr:spPr>
        <a:xfrm>
          <a:off x="3695700" y="12464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682</xdr:row>
      <xdr:rowOff>0</xdr:rowOff>
    </xdr:from>
    <xdr:to>
      <xdr:col>5</xdr:col>
      <xdr:colOff>83820</xdr:colOff>
      <xdr:row>682</xdr:row>
      <xdr:rowOff>114300</xdr:rowOff>
    </xdr:to>
    <xdr:sp macro="" textlink="">
      <xdr:nvSpPr>
        <xdr:cNvPr id="5104" name="Arrow: Down 5103">
          <a:extLst>
            <a:ext uri="{FF2B5EF4-FFF2-40B4-BE49-F238E27FC236}">
              <a16:creationId xmlns:a16="http://schemas.microsoft.com/office/drawing/2014/main" id="{1D71600C-B243-4D47-B914-BB995999F4D6}"/>
            </a:ext>
          </a:extLst>
        </xdr:cNvPr>
        <xdr:cNvSpPr/>
      </xdr:nvSpPr>
      <xdr:spPr>
        <a:xfrm>
          <a:off x="1927860" y="12464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681</xdr:row>
      <xdr:rowOff>0</xdr:rowOff>
    </xdr:from>
    <xdr:to>
      <xdr:col>11</xdr:col>
      <xdr:colOff>83820</xdr:colOff>
      <xdr:row>681</xdr:row>
      <xdr:rowOff>114300</xdr:rowOff>
    </xdr:to>
    <xdr:sp macro="" textlink="">
      <xdr:nvSpPr>
        <xdr:cNvPr id="5109" name="Arrow: Down 5108">
          <a:extLst>
            <a:ext uri="{FF2B5EF4-FFF2-40B4-BE49-F238E27FC236}">
              <a16:creationId xmlns:a16="http://schemas.microsoft.com/office/drawing/2014/main" id="{9D07E721-7943-4C95-9FF8-B2552B601090}"/>
            </a:ext>
          </a:extLst>
        </xdr:cNvPr>
        <xdr:cNvSpPr/>
      </xdr:nvSpPr>
      <xdr:spPr>
        <a:xfrm rot="10800000">
          <a:off x="369570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681</xdr:row>
      <xdr:rowOff>0</xdr:rowOff>
    </xdr:from>
    <xdr:to>
      <xdr:col>5</xdr:col>
      <xdr:colOff>83820</xdr:colOff>
      <xdr:row>681</xdr:row>
      <xdr:rowOff>114300</xdr:rowOff>
    </xdr:to>
    <xdr:sp macro="" textlink="">
      <xdr:nvSpPr>
        <xdr:cNvPr id="5112" name="Arrow: Down 5111">
          <a:extLst>
            <a:ext uri="{FF2B5EF4-FFF2-40B4-BE49-F238E27FC236}">
              <a16:creationId xmlns:a16="http://schemas.microsoft.com/office/drawing/2014/main" id="{376FC46B-288F-40C9-9708-97121B6BC1AC}"/>
            </a:ext>
          </a:extLst>
        </xdr:cNvPr>
        <xdr:cNvSpPr/>
      </xdr:nvSpPr>
      <xdr:spPr>
        <a:xfrm rot="10800000">
          <a:off x="192786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681</xdr:row>
      <xdr:rowOff>0</xdr:rowOff>
    </xdr:from>
    <xdr:to>
      <xdr:col>39</xdr:col>
      <xdr:colOff>83820</xdr:colOff>
      <xdr:row>681</xdr:row>
      <xdr:rowOff>114300</xdr:rowOff>
    </xdr:to>
    <xdr:sp macro="" textlink="">
      <xdr:nvSpPr>
        <xdr:cNvPr id="5113" name="Arrow: Down 5112">
          <a:extLst>
            <a:ext uri="{FF2B5EF4-FFF2-40B4-BE49-F238E27FC236}">
              <a16:creationId xmlns:a16="http://schemas.microsoft.com/office/drawing/2014/main" id="{215C2FA3-6901-410F-A81F-B5C5FB5C57EB}"/>
            </a:ext>
          </a:extLst>
        </xdr:cNvPr>
        <xdr:cNvSpPr/>
      </xdr:nvSpPr>
      <xdr:spPr>
        <a:xfrm rot="10800000">
          <a:off x="11544300" y="124640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683</xdr:row>
      <xdr:rowOff>0</xdr:rowOff>
    </xdr:from>
    <xdr:to>
      <xdr:col>45</xdr:col>
      <xdr:colOff>83820</xdr:colOff>
      <xdr:row>683</xdr:row>
      <xdr:rowOff>114300</xdr:rowOff>
    </xdr:to>
    <xdr:sp macro="" textlink="">
      <xdr:nvSpPr>
        <xdr:cNvPr id="5124" name="Arrow: Down 5123">
          <a:extLst>
            <a:ext uri="{FF2B5EF4-FFF2-40B4-BE49-F238E27FC236}">
              <a16:creationId xmlns:a16="http://schemas.microsoft.com/office/drawing/2014/main" id="{590ECD57-DB2B-4E1B-9563-D6E26567810F}"/>
            </a:ext>
          </a:extLst>
        </xdr:cNvPr>
        <xdr:cNvSpPr/>
      </xdr:nvSpPr>
      <xdr:spPr>
        <a:xfrm>
          <a:off x="13403580" y="1248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683</xdr:row>
      <xdr:rowOff>0</xdr:rowOff>
    </xdr:from>
    <xdr:to>
      <xdr:col>71</xdr:col>
      <xdr:colOff>83820</xdr:colOff>
      <xdr:row>683</xdr:row>
      <xdr:rowOff>114300</xdr:rowOff>
    </xdr:to>
    <xdr:sp macro="" textlink="">
      <xdr:nvSpPr>
        <xdr:cNvPr id="5125" name="Arrow: Down 5124">
          <a:extLst>
            <a:ext uri="{FF2B5EF4-FFF2-40B4-BE49-F238E27FC236}">
              <a16:creationId xmlns:a16="http://schemas.microsoft.com/office/drawing/2014/main" id="{D18BBB81-A8D3-46D0-BC26-0A25AB8B952C}"/>
            </a:ext>
          </a:extLst>
        </xdr:cNvPr>
        <xdr:cNvSpPr/>
      </xdr:nvSpPr>
      <xdr:spPr>
        <a:xfrm rot="10800000">
          <a:off x="21960840" y="1248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683</xdr:row>
      <xdr:rowOff>0</xdr:rowOff>
    </xdr:from>
    <xdr:to>
      <xdr:col>39</xdr:col>
      <xdr:colOff>83820</xdr:colOff>
      <xdr:row>683</xdr:row>
      <xdr:rowOff>114300</xdr:rowOff>
    </xdr:to>
    <xdr:sp macro="" textlink="">
      <xdr:nvSpPr>
        <xdr:cNvPr id="5132" name="Arrow: Down 5131">
          <a:extLst>
            <a:ext uri="{FF2B5EF4-FFF2-40B4-BE49-F238E27FC236}">
              <a16:creationId xmlns:a16="http://schemas.microsoft.com/office/drawing/2014/main" id="{9880596D-38A9-4C40-821E-C773F032CD2C}"/>
            </a:ext>
          </a:extLst>
        </xdr:cNvPr>
        <xdr:cNvSpPr/>
      </xdr:nvSpPr>
      <xdr:spPr>
        <a:xfrm>
          <a:off x="11544300" y="1248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683</xdr:row>
      <xdr:rowOff>0</xdr:rowOff>
    </xdr:from>
    <xdr:to>
      <xdr:col>11</xdr:col>
      <xdr:colOff>83820</xdr:colOff>
      <xdr:row>683</xdr:row>
      <xdr:rowOff>114300</xdr:rowOff>
    </xdr:to>
    <xdr:sp macro="" textlink="">
      <xdr:nvSpPr>
        <xdr:cNvPr id="5133" name="Arrow: Down 5132">
          <a:extLst>
            <a:ext uri="{FF2B5EF4-FFF2-40B4-BE49-F238E27FC236}">
              <a16:creationId xmlns:a16="http://schemas.microsoft.com/office/drawing/2014/main" id="{2BDE93AB-D932-4267-B17E-833008B2C347}"/>
            </a:ext>
          </a:extLst>
        </xdr:cNvPr>
        <xdr:cNvSpPr/>
      </xdr:nvSpPr>
      <xdr:spPr>
        <a:xfrm>
          <a:off x="3695700" y="1248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683</xdr:row>
      <xdr:rowOff>0</xdr:rowOff>
    </xdr:from>
    <xdr:to>
      <xdr:col>5</xdr:col>
      <xdr:colOff>83820</xdr:colOff>
      <xdr:row>683</xdr:row>
      <xdr:rowOff>114300</xdr:rowOff>
    </xdr:to>
    <xdr:sp macro="" textlink="">
      <xdr:nvSpPr>
        <xdr:cNvPr id="5134" name="Arrow: Down 5133">
          <a:extLst>
            <a:ext uri="{FF2B5EF4-FFF2-40B4-BE49-F238E27FC236}">
              <a16:creationId xmlns:a16="http://schemas.microsoft.com/office/drawing/2014/main" id="{A8F80430-0EFE-45A2-8CE0-42A57AE7C119}"/>
            </a:ext>
          </a:extLst>
        </xdr:cNvPr>
        <xdr:cNvSpPr/>
      </xdr:nvSpPr>
      <xdr:spPr>
        <a:xfrm>
          <a:off x="1927860" y="1248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684</xdr:row>
      <xdr:rowOff>0</xdr:rowOff>
    </xdr:from>
    <xdr:to>
      <xdr:col>45</xdr:col>
      <xdr:colOff>83820</xdr:colOff>
      <xdr:row>684</xdr:row>
      <xdr:rowOff>114300</xdr:rowOff>
    </xdr:to>
    <xdr:sp macro="" textlink="">
      <xdr:nvSpPr>
        <xdr:cNvPr id="5148" name="Arrow: Down 5147">
          <a:extLst>
            <a:ext uri="{FF2B5EF4-FFF2-40B4-BE49-F238E27FC236}">
              <a16:creationId xmlns:a16="http://schemas.microsoft.com/office/drawing/2014/main" id="{AF584B81-7F98-467C-9E01-76AA5C9AA248}"/>
            </a:ext>
          </a:extLst>
        </xdr:cNvPr>
        <xdr:cNvSpPr/>
      </xdr:nvSpPr>
      <xdr:spPr>
        <a:xfrm>
          <a:off x="13403580" y="12500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684</xdr:row>
      <xdr:rowOff>0</xdr:rowOff>
    </xdr:from>
    <xdr:to>
      <xdr:col>71</xdr:col>
      <xdr:colOff>83820</xdr:colOff>
      <xdr:row>684</xdr:row>
      <xdr:rowOff>114300</xdr:rowOff>
    </xdr:to>
    <xdr:sp macro="" textlink="">
      <xdr:nvSpPr>
        <xdr:cNvPr id="5150" name="Arrow: Down 5149">
          <a:extLst>
            <a:ext uri="{FF2B5EF4-FFF2-40B4-BE49-F238E27FC236}">
              <a16:creationId xmlns:a16="http://schemas.microsoft.com/office/drawing/2014/main" id="{96E71B74-80EF-4DF4-A287-B67FD70B0B5D}"/>
            </a:ext>
          </a:extLst>
        </xdr:cNvPr>
        <xdr:cNvSpPr/>
      </xdr:nvSpPr>
      <xdr:spPr>
        <a:xfrm rot="10800000">
          <a:off x="21960840" y="12500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684</xdr:row>
      <xdr:rowOff>0</xdr:rowOff>
    </xdr:from>
    <xdr:to>
      <xdr:col>24</xdr:col>
      <xdr:colOff>83820</xdr:colOff>
      <xdr:row>684</xdr:row>
      <xdr:rowOff>114300</xdr:rowOff>
    </xdr:to>
    <xdr:sp macro="" textlink="">
      <xdr:nvSpPr>
        <xdr:cNvPr id="5152" name="Arrow: Down 5151">
          <a:extLst>
            <a:ext uri="{FF2B5EF4-FFF2-40B4-BE49-F238E27FC236}">
              <a16:creationId xmlns:a16="http://schemas.microsoft.com/office/drawing/2014/main" id="{0E98409C-CA68-4D3B-BC3B-43D760127066}"/>
            </a:ext>
          </a:extLst>
        </xdr:cNvPr>
        <xdr:cNvSpPr/>
      </xdr:nvSpPr>
      <xdr:spPr>
        <a:xfrm rot="10800000">
          <a:off x="8336280" y="12500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683</xdr:row>
      <xdr:rowOff>0</xdr:rowOff>
    </xdr:from>
    <xdr:to>
      <xdr:col>24</xdr:col>
      <xdr:colOff>83820</xdr:colOff>
      <xdr:row>683</xdr:row>
      <xdr:rowOff>114300</xdr:rowOff>
    </xdr:to>
    <xdr:sp macro="" textlink="">
      <xdr:nvSpPr>
        <xdr:cNvPr id="5159" name="Arrow: Down 5158">
          <a:extLst>
            <a:ext uri="{FF2B5EF4-FFF2-40B4-BE49-F238E27FC236}">
              <a16:creationId xmlns:a16="http://schemas.microsoft.com/office/drawing/2014/main" id="{307CD2A5-8E8D-477E-B081-241C482A47E5}"/>
            </a:ext>
          </a:extLst>
        </xdr:cNvPr>
        <xdr:cNvSpPr/>
      </xdr:nvSpPr>
      <xdr:spPr>
        <a:xfrm>
          <a:off x="8336280" y="1250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684</xdr:row>
      <xdr:rowOff>0</xdr:rowOff>
    </xdr:from>
    <xdr:to>
      <xdr:col>39</xdr:col>
      <xdr:colOff>83820</xdr:colOff>
      <xdr:row>684</xdr:row>
      <xdr:rowOff>114300</xdr:rowOff>
    </xdr:to>
    <xdr:sp macro="" textlink="">
      <xdr:nvSpPr>
        <xdr:cNvPr id="5163" name="Arrow: Down 5162">
          <a:extLst>
            <a:ext uri="{FF2B5EF4-FFF2-40B4-BE49-F238E27FC236}">
              <a16:creationId xmlns:a16="http://schemas.microsoft.com/office/drawing/2014/main" id="{C795F8D7-9A3C-463D-96B2-8D6E4DE1BA64}"/>
            </a:ext>
          </a:extLst>
        </xdr:cNvPr>
        <xdr:cNvSpPr/>
      </xdr:nvSpPr>
      <xdr:spPr>
        <a:xfrm rot="10800000">
          <a:off x="11544300" y="125188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681</xdr:row>
      <xdr:rowOff>0</xdr:rowOff>
    </xdr:from>
    <xdr:to>
      <xdr:col>60</xdr:col>
      <xdr:colOff>83820</xdr:colOff>
      <xdr:row>681</xdr:row>
      <xdr:rowOff>114300</xdr:rowOff>
    </xdr:to>
    <xdr:sp macro="" textlink="">
      <xdr:nvSpPr>
        <xdr:cNvPr id="5164" name="Arrow: Down 5163">
          <a:extLst>
            <a:ext uri="{FF2B5EF4-FFF2-40B4-BE49-F238E27FC236}">
              <a16:creationId xmlns:a16="http://schemas.microsoft.com/office/drawing/2014/main" id="{5378CDB6-372F-4C0C-A8E8-E8341359A9B5}"/>
            </a:ext>
          </a:extLst>
        </xdr:cNvPr>
        <xdr:cNvSpPr/>
      </xdr:nvSpPr>
      <xdr:spPr>
        <a:xfrm rot="10800000">
          <a:off x="1908048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682</xdr:row>
      <xdr:rowOff>0</xdr:rowOff>
    </xdr:from>
    <xdr:to>
      <xdr:col>60</xdr:col>
      <xdr:colOff>83820</xdr:colOff>
      <xdr:row>682</xdr:row>
      <xdr:rowOff>114300</xdr:rowOff>
    </xdr:to>
    <xdr:sp macro="" textlink="">
      <xdr:nvSpPr>
        <xdr:cNvPr id="5166" name="Arrow: Down 5165">
          <a:extLst>
            <a:ext uri="{FF2B5EF4-FFF2-40B4-BE49-F238E27FC236}">
              <a16:creationId xmlns:a16="http://schemas.microsoft.com/office/drawing/2014/main" id="{8B1EEED4-15FC-467D-8381-3379ACED4AC9}"/>
            </a:ext>
          </a:extLst>
        </xdr:cNvPr>
        <xdr:cNvSpPr/>
      </xdr:nvSpPr>
      <xdr:spPr>
        <a:xfrm rot="10800000">
          <a:off x="19080480" y="1248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683</xdr:row>
      <xdr:rowOff>0</xdr:rowOff>
    </xdr:from>
    <xdr:to>
      <xdr:col>60</xdr:col>
      <xdr:colOff>83820</xdr:colOff>
      <xdr:row>683</xdr:row>
      <xdr:rowOff>114300</xdr:rowOff>
    </xdr:to>
    <xdr:sp macro="" textlink="">
      <xdr:nvSpPr>
        <xdr:cNvPr id="5168" name="Arrow: Down 5167">
          <a:extLst>
            <a:ext uri="{FF2B5EF4-FFF2-40B4-BE49-F238E27FC236}">
              <a16:creationId xmlns:a16="http://schemas.microsoft.com/office/drawing/2014/main" id="{1ECB4B78-6814-4E5B-B87E-B3FB9DD4B6C1}"/>
            </a:ext>
          </a:extLst>
        </xdr:cNvPr>
        <xdr:cNvSpPr/>
      </xdr:nvSpPr>
      <xdr:spPr>
        <a:xfrm>
          <a:off x="19080480" y="1250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684</xdr:row>
      <xdr:rowOff>0</xdr:rowOff>
    </xdr:from>
    <xdr:to>
      <xdr:col>60</xdr:col>
      <xdr:colOff>83820</xdr:colOff>
      <xdr:row>684</xdr:row>
      <xdr:rowOff>114300</xdr:rowOff>
    </xdr:to>
    <xdr:sp macro="" textlink="">
      <xdr:nvSpPr>
        <xdr:cNvPr id="5172" name="Arrow: Down 5171">
          <a:extLst>
            <a:ext uri="{FF2B5EF4-FFF2-40B4-BE49-F238E27FC236}">
              <a16:creationId xmlns:a16="http://schemas.microsoft.com/office/drawing/2014/main" id="{F12D1BEB-52FC-444A-8710-29EB1DB1C4BD}"/>
            </a:ext>
          </a:extLst>
        </xdr:cNvPr>
        <xdr:cNvSpPr/>
      </xdr:nvSpPr>
      <xdr:spPr>
        <a:xfrm>
          <a:off x="19080480" y="1251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685</xdr:row>
      <xdr:rowOff>0</xdr:rowOff>
    </xdr:from>
    <xdr:to>
      <xdr:col>45</xdr:col>
      <xdr:colOff>83820</xdr:colOff>
      <xdr:row>685</xdr:row>
      <xdr:rowOff>114300</xdr:rowOff>
    </xdr:to>
    <xdr:sp macro="" textlink="">
      <xdr:nvSpPr>
        <xdr:cNvPr id="5173" name="Arrow: Down 5172">
          <a:extLst>
            <a:ext uri="{FF2B5EF4-FFF2-40B4-BE49-F238E27FC236}">
              <a16:creationId xmlns:a16="http://schemas.microsoft.com/office/drawing/2014/main" id="{4DA395F0-9529-44EF-A18B-8F562986AB04}"/>
            </a:ext>
          </a:extLst>
        </xdr:cNvPr>
        <xdr:cNvSpPr/>
      </xdr:nvSpPr>
      <xdr:spPr>
        <a:xfrm>
          <a:off x="1340358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685</xdr:row>
      <xdr:rowOff>0</xdr:rowOff>
    </xdr:from>
    <xdr:to>
      <xdr:col>71</xdr:col>
      <xdr:colOff>83820</xdr:colOff>
      <xdr:row>685</xdr:row>
      <xdr:rowOff>114300</xdr:rowOff>
    </xdr:to>
    <xdr:sp macro="" textlink="">
      <xdr:nvSpPr>
        <xdr:cNvPr id="5175" name="Arrow: Down 5174">
          <a:extLst>
            <a:ext uri="{FF2B5EF4-FFF2-40B4-BE49-F238E27FC236}">
              <a16:creationId xmlns:a16="http://schemas.microsoft.com/office/drawing/2014/main" id="{CBE2626B-C1B4-4330-B59C-DB25135DDB1D}"/>
            </a:ext>
          </a:extLst>
        </xdr:cNvPr>
        <xdr:cNvSpPr/>
      </xdr:nvSpPr>
      <xdr:spPr>
        <a:xfrm rot="10800000">
          <a:off x="2196084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685</xdr:row>
      <xdr:rowOff>0</xdr:rowOff>
    </xdr:from>
    <xdr:to>
      <xdr:col>24</xdr:col>
      <xdr:colOff>83820</xdr:colOff>
      <xdr:row>685</xdr:row>
      <xdr:rowOff>114300</xdr:rowOff>
    </xdr:to>
    <xdr:sp macro="" textlink="">
      <xdr:nvSpPr>
        <xdr:cNvPr id="5177" name="Arrow: Down 5176">
          <a:extLst>
            <a:ext uri="{FF2B5EF4-FFF2-40B4-BE49-F238E27FC236}">
              <a16:creationId xmlns:a16="http://schemas.microsoft.com/office/drawing/2014/main" id="{ECDD1B4A-0E93-4C3C-9EC4-C4F249D85974}"/>
            </a:ext>
          </a:extLst>
        </xdr:cNvPr>
        <xdr:cNvSpPr/>
      </xdr:nvSpPr>
      <xdr:spPr>
        <a:xfrm rot="10800000">
          <a:off x="833628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685</xdr:row>
      <xdr:rowOff>0</xdr:rowOff>
    </xdr:from>
    <xdr:to>
      <xdr:col>11</xdr:col>
      <xdr:colOff>83820</xdr:colOff>
      <xdr:row>685</xdr:row>
      <xdr:rowOff>114300</xdr:rowOff>
    </xdr:to>
    <xdr:sp macro="" textlink="">
      <xdr:nvSpPr>
        <xdr:cNvPr id="5178" name="Arrow: Down 5177">
          <a:extLst>
            <a:ext uri="{FF2B5EF4-FFF2-40B4-BE49-F238E27FC236}">
              <a16:creationId xmlns:a16="http://schemas.microsoft.com/office/drawing/2014/main" id="{4322982D-1C75-4B7B-816E-F6F180A8BC7F}"/>
            </a:ext>
          </a:extLst>
        </xdr:cNvPr>
        <xdr:cNvSpPr/>
      </xdr:nvSpPr>
      <xdr:spPr>
        <a:xfrm>
          <a:off x="3695700" y="1251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685</xdr:row>
      <xdr:rowOff>0</xdr:rowOff>
    </xdr:from>
    <xdr:to>
      <xdr:col>5</xdr:col>
      <xdr:colOff>83820</xdr:colOff>
      <xdr:row>685</xdr:row>
      <xdr:rowOff>114300</xdr:rowOff>
    </xdr:to>
    <xdr:sp macro="" textlink="">
      <xdr:nvSpPr>
        <xdr:cNvPr id="5182" name="Arrow: Down 5181">
          <a:extLst>
            <a:ext uri="{FF2B5EF4-FFF2-40B4-BE49-F238E27FC236}">
              <a16:creationId xmlns:a16="http://schemas.microsoft.com/office/drawing/2014/main" id="{5FE84DFA-C9BC-4B28-A660-B2393B4F8805}"/>
            </a:ext>
          </a:extLst>
        </xdr:cNvPr>
        <xdr:cNvSpPr/>
      </xdr:nvSpPr>
      <xdr:spPr>
        <a:xfrm>
          <a:off x="1927860" y="1251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685</xdr:row>
      <xdr:rowOff>0</xdr:rowOff>
    </xdr:from>
    <xdr:to>
      <xdr:col>39</xdr:col>
      <xdr:colOff>83820</xdr:colOff>
      <xdr:row>685</xdr:row>
      <xdr:rowOff>114300</xdr:rowOff>
    </xdr:to>
    <xdr:sp macro="" textlink="">
      <xdr:nvSpPr>
        <xdr:cNvPr id="5187" name="Arrow: Down 5186">
          <a:extLst>
            <a:ext uri="{FF2B5EF4-FFF2-40B4-BE49-F238E27FC236}">
              <a16:creationId xmlns:a16="http://schemas.microsoft.com/office/drawing/2014/main" id="{84EF113F-D417-45DA-9B0D-E0658943B4B8}"/>
            </a:ext>
          </a:extLst>
        </xdr:cNvPr>
        <xdr:cNvSpPr/>
      </xdr:nvSpPr>
      <xdr:spPr>
        <a:xfrm>
          <a:off x="1154430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685</xdr:row>
      <xdr:rowOff>0</xdr:rowOff>
    </xdr:from>
    <xdr:to>
      <xdr:col>60</xdr:col>
      <xdr:colOff>83820</xdr:colOff>
      <xdr:row>685</xdr:row>
      <xdr:rowOff>114300</xdr:rowOff>
    </xdr:to>
    <xdr:sp macro="" textlink="">
      <xdr:nvSpPr>
        <xdr:cNvPr id="5190" name="Arrow: Down 5189">
          <a:extLst>
            <a:ext uri="{FF2B5EF4-FFF2-40B4-BE49-F238E27FC236}">
              <a16:creationId xmlns:a16="http://schemas.microsoft.com/office/drawing/2014/main" id="{941AD832-25A4-4C82-8389-11D0E7F3E211}"/>
            </a:ext>
          </a:extLst>
        </xdr:cNvPr>
        <xdr:cNvSpPr/>
      </xdr:nvSpPr>
      <xdr:spPr>
        <a:xfrm rot="10800000">
          <a:off x="1908048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686</xdr:row>
      <xdr:rowOff>0</xdr:rowOff>
    </xdr:from>
    <xdr:to>
      <xdr:col>45</xdr:col>
      <xdr:colOff>83820</xdr:colOff>
      <xdr:row>686</xdr:row>
      <xdr:rowOff>114300</xdr:rowOff>
    </xdr:to>
    <xdr:sp macro="" textlink="">
      <xdr:nvSpPr>
        <xdr:cNvPr id="5201" name="Arrow: Down 5200">
          <a:extLst>
            <a:ext uri="{FF2B5EF4-FFF2-40B4-BE49-F238E27FC236}">
              <a16:creationId xmlns:a16="http://schemas.microsoft.com/office/drawing/2014/main" id="{5A850922-48AE-4B2A-8B1D-4FE79A28BDA1}"/>
            </a:ext>
          </a:extLst>
        </xdr:cNvPr>
        <xdr:cNvSpPr/>
      </xdr:nvSpPr>
      <xdr:spPr>
        <a:xfrm>
          <a:off x="1340358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686</xdr:row>
      <xdr:rowOff>0</xdr:rowOff>
    </xdr:from>
    <xdr:to>
      <xdr:col>71</xdr:col>
      <xdr:colOff>83820</xdr:colOff>
      <xdr:row>686</xdr:row>
      <xdr:rowOff>114300</xdr:rowOff>
    </xdr:to>
    <xdr:sp macro="" textlink="">
      <xdr:nvSpPr>
        <xdr:cNvPr id="5202" name="Arrow: Down 5201">
          <a:extLst>
            <a:ext uri="{FF2B5EF4-FFF2-40B4-BE49-F238E27FC236}">
              <a16:creationId xmlns:a16="http://schemas.microsoft.com/office/drawing/2014/main" id="{592FF6D9-4062-48E8-8056-58C760006DA0}"/>
            </a:ext>
          </a:extLst>
        </xdr:cNvPr>
        <xdr:cNvSpPr/>
      </xdr:nvSpPr>
      <xdr:spPr>
        <a:xfrm rot="10800000">
          <a:off x="2196084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686</xdr:row>
      <xdr:rowOff>0</xdr:rowOff>
    </xdr:from>
    <xdr:to>
      <xdr:col>24</xdr:col>
      <xdr:colOff>83820</xdr:colOff>
      <xdr:row>686</xdr:row>
      <xdr:rowOff>114300</xdr:rowOff>
    </xdr:to>
    <xdr:sp macro="" textlink="">
      <xdr:nvSpPr>
        <xdr:cNvPr id="5206" name="Arrow: Down 5205">
          <a:extLst>
            <a:ext uri="{FF2B5EF4-FFF2-40B4-BE49-F238E27FC236}">
              <a16:creationId xmlns:a16="http://schemas.microsoft.com/office/drawing/2014/main" id="{B9B4809C-8FE2-454F-A7E8-F731C9CAD363}"/>
            </a:ext>
          </a:extLst>
        </xdr:cNvPr>
        <xdr:cNvSpPr/>
      </xdr:nvSpPr>
      <xdr:spPr>
        <a:xfrm rot="10800000">
          <a:off x="833628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684</xdr:row>
      <xdr:rowOff>0</xdr:rowOff>
    </xdr:from>
    <xdr:to>
      <xdr:col>5</xdr:col>
      <xdr:colOff>83820</xdr:colOff>
      <xdr:row>684</xdr:row>
      <xdr:rowOff>114300</xdr:rowOff>
    </xdr:to>
    <xdr:sp macro="" textlink="">
      <xdr:nvSpPr>
        <xdr:cNvPr id="5214" name="Arrow: Down 5213">
          <a:extLst>
            <a:ext uri="{FF2B5EF4-FFF2-40B4-BE49-F238E27FC236}">
              <a16:creationId xmlns:a16="http://schemas.microsoft.com/office/drawing/2014/main" id="{86477885-30B1-40D3-AD01-CD5365E3D789}"/>
            </a:ext>
          </a:extLst>
        </xdr:cNvPr>
        <xdr:cNvSpPr/>
      </xdr:nvSpPr>
      <xdr:spPr>
        <a:xfrm rot="10800000">
          <a:off x="192786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684</xdr:row>
      <xdr:rowOff>0</xdr:rowOff>
    </xdr:from>
    <xdr:to>
      <xdr:col>11</xdr:col>
      <xdr:colOff>83820</xdr:colOff>
      <xdr:row>684</xdr:row>
      <xdr:rowOff>114300</xdr:rowOff>
    </xdr:to>
    <xdr:sp macro="" textlink="">
      <xdr:nvSpPr>
        <xdr:cNvPr id="5218" name="Arrow: Down 5217">
          <a:extLst>
            <a:ext uri="{FF2B5EF4-FFF2-40B4-BE49-F238E27FC236}">
              <a16:creationId xmlns:a16="http://schemas.microsoft.com/office/drawing/2014/main" id="{855F1FCF-0809-44BA-8ED1-E826669FBFA2}"/>
            </a:ext>
          </a:extLst>
        </xdr:cNvPr>
        <xdr:cNvSpPr/>
      </xdr:nvSpPr>
      <xdr:spPr>
        <a:xfrm rot="10800000">
          <a:off x="369570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686</xdr:row>
      <xdr:rowOff>0</xdr:rowOff>
    </xdr:from>
    <xdr:to>
      <xdr:col>5</xdr:col>
      <xdr:colOff>83820</xdr:colOff>
      <xdr:row>686</xdr:row>
      <xdr:rowOff>114300</xdr:rowOff>
    </xdr:to>
    <xdr:sp macro="" textlink="">
      <xdr:nvSpPr>
        <xdr:cNvPr id="5220" name="Arrow: Down 5219">
          <a:extLst>
            <a:ext uri="{FF2B5EF4-FFF2-40B4-BE49-F238E27FC236}">
              <a16:creationId xmlns:a16="http://schemas.microsoft.com/office/drawing/2014/main" id="{F6F4285E-048E-4FF1-BB77-38D0A174C6AE}"/>
            </a:ext>
          </a:extLst>
        </xdr:cNvPr>
        <xdr:cNvSpPr/>
      </xdr:nvSpPr>
      <xdr:spPr>
        <a:xfrm rot="10800000">
          <a:off x="1927860" y="1255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686</xdr:row>
      <xdr:rowOff>0</xdr:rowOff>
    </xdr:from>
    <xdr:to>
      <xdr:col>11</xdr:col>
      <xdr:colOff>83820</xdr:colOff>
      <xdr:row>686</xdr:row>
      <xdr:rowOff>114300</xdr:rowOff>
    </xdr:to>
    <xdr:sp macro="" textlink="">
      <xdr:nvSpPr>
        <xdr:cNvPr id="5222" name="Arrow: Down 5221">
          <a:extLst>
            <a:ext uri="{FF2B5EF4-FFF2-40B4-BE49-F238E27FC236}">
              <a16:creationId xmlns:a16="http://schemas.microsoft.com/office/drawing/2014/main" id="{1CDB973C-39B9-4001-AB2F-156A3236D558}"/>
            </a:ext>
          </a:extLst>
        </xdr:cNvPr>
        <xdr:cNvSpPr/>
      </xdr:nvSpPr>
      <xdr:spPr>
        <a:xfrm rot="10800000">
          <a:off x="3695700" y="1255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686</xdr:row>
      <xdr:rowOff>0</xdr:rowOff>
    </xdr:from>
    <xdr:to>
      <xdr:col>39</xdr:col>
      <xdr:colOff>83820</xdr:colOff>
      <xdr:row>686</xdr:row>
      <xdr:rowOff>114300</xdr:rowOff>
    </xdr:to>
    <xdr:sp macro="" textlink="">
      <xdr:nvSpPr>
        <xdr:cNvPr id="5223" name="Arrow: Down 5222">
          <a:extLst>
            <a:ext uri="{FF2B5EF4-FFF2-40B4-BE49-F238E27FC236}">
              <a16:creationId xmlns:a16="http://schemas.microsoft.com/office/drawing/2014/main" id="{EC10730A-D7DF-47F7-AC85-290F5D8248A9}"/>
            </a:ext>
          </a:extLst>
        </xdr:cNvPr>
        <xdr:cNvSpPr/>
      </xdr:nvSpPr>
      <xdr:spPr>
        <a:xfrm rot="10800000">
          <a:off x="11544300" y="125554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686</xdr:row>
      <xdr:rowOff>0</xdr:rowOff>
    </xdr:from>
    <xdr:to>
      <xdr:col>60</xdr:col>
      <xdr:colOff>83820</xdr:colOff>
      <xdr:row>686</xdr:row>
      <xdr:rowOff>114300</xdr:rowOff>
    </xdr:to>
    <xdr:sp macro="" textlink="">
      <xdr:nvSpPr>
        <xdr:cNvPr id="5227" name="Arrow: Down 5226">
          <a:extLst>
            <a:ext uri="{FF2B5EF4-FFF2-40B4-BE49-F238E27FC236}">
              <a16:creationId xmlns:a16="http://schemas.microsoft.com/office/drawing/2014/main" id="{BFF396FD-575E-4890-A0EB-E942AAEB4687}"/>
            </a:ext>
          </a:extLst>
        </xdr:cNvPr>
        <xdr:cNvSpPr/>
      </xdr:nvSpPr>
      <xdr:spPr>
        <a:xfrm>
          <a:off x="19080480" y="12555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687</xdr:row>
      <xdr:rowOff>0</xdr:rowOff>
    </xdr:from>
    <xdr:to>
      <xdr:col>45</xdr:col>
      <xdr:colOff>83820</xdr:colOff>
      <xdr:row>687</xdr:row>
      <xdr:rowOff>114300</xdr:rowOff>
    </xdr:to>
    <xdr:sp macro="" textlink="">
      <xdr:nvSpPr>
        <xdr:cNvPr id="5240" name="Arrow: Down 5239">
          <a:extLst>
            <a:ext uri="{FF2B5EF4-FFF2-40B4-BE49-F238E27FC236}">
              <a16:creationId xmlns:a16="http://schemas.microsoft.com/office/drawing/2014/main" id="{4E83BEB2-6AB1-4E47-96B7-1209B335FFD8}"/>
            </a:ext>
          </a:extLst>
        </xdr:cNvPr>
        <xdr:cNvSpPr/>
      </xdr:nvSpPr>
      <xdr:spPr>
        <a:xfrm>
          <a:off x="13403580" y="1255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687</xdr:row>
      <xdr:rowOff>0</xdr:rowOff>
    </xdr:from>
    <xdr:to>
      <xdr:col>71</xdr:col>
      <xdr:colOff>83820</xdr:colOff>
      <xdr:row>687</xdr:row>
      <xdr:rowOff>114300</xdr:rowOff>
    </xdr:to>
    <xdr:sp macro="" textlink="">
      <xdr:nvSpPr>
        <xdr:cNvPr id="5241" name="Arrow: Down 5240">
          <a:extLst>
            <a:ext uri="{FF2B5EF4-FFF2-40B4-BE49-F238E27FC236}">
              <a16:creationId xmlns:a16="http://schemas.microsoft.com/office/drawing/2014/main" id="{8B0B55B7-2FFC-42F3-8354-673A9EF44BA2}"/>
            </a:ext>
          </a:extLst>
        </xdr:cNvPr>
        <xdr:cNvSpPr/>
      </xdr:nvSpPr>
      <xdr:spPr>
        <a:xfrm rot="10800000">
          <a:off x="21960840" y="1255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687</xdr:row>
      <xdr:rowOff>0</xdr:rowOff>
    </xdr:from>
    <xdr:to>
      <xdr:col>60</xdr:col>
      <xdr:colOff>83820</xdr:colOff>
      <xdr:row>687</xdr:row>
      <xdr:rowOff>114300</xdr:rowOff>
    </xdr:to>
    <xdr:sp macro="" textlink="">
      <xdr:nvSpPr>
        <xdr:cNvPr id="5246" name="Arrow: Down 5245">
          <a:extLst>
            <a:ext uri="{FF2B5EF4-FFF2-40B4-BE49-F238E27FC236}">
              <a16:creationId xmlns:a16="http://schemas.microsoft.com/office/drawing/2014/main" id="{285A00DE-2AB6-479B-A690-653424D29A29}"/>
            </a:ext>
          </a:extLst>
        </xdr:cNvPr>
        <xdr:cNvSpPr/>
      </xdr:nvSpPr>
      <xdr:spPr>
        <a:xfrm>
          <a:off x="19080480" y="12555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687</xdr:row>
      <xdr:rowOff>0</xdr:rowOff>
    </xdr:from>
    <xdr:to>
      <xdr:col>24</xdr:col>
      <xdr:colOff>83820</xdr:colOff>
      <xdr:row>687</xdr:row>
      <xdr:rowOff>114300</xdr:rowOff>
    </xdr:to>
    <xdr:sp macro="" textlink="">
      <xdr:nvSpPr>
        <xdr:cNvPr id="5248" name="Arrow: Down 5247">
          <a:extLst>
            <a:ext uri="{FF2B5EF4-FFF2-40B4-BE49-F238E27FC236}">
              <a16:creationId xmlns:a16="http://schemas.microsoft.com/office/drawing/2014/main" id="{BA58B7C4-FE4D-4379-8131-3AAD41BEA251}"/>
            </a:ext>
          </a:extLst>
        </xdr:cNvPr>
        <xdr:cNvSpPr/>
      </xdr:nvSpPr>
      <xdr:spPr>
        <a:xfrm>
          <a:off x="8336280" y="1257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687</xdr:row>
      <xdr:rowOff>0</xdr:rowOff>
    </xdr:from>
    <xdr:to>
      <xdr:col>5</xdr:col>
      <xdr:colOff>83820</xdr:colOff>
      <xdr:row>687</xdr:row>
      <xdr:rowOff>114300</xdr:rowOff>
    </xdr:to>
    <xdr:sp macro="" textlink="">
      <xdr:nvSpPr>
        <xdr:cNvPr id="5250" name="Arrow: Down 5249">
          <a:extLst>
            <a:ext uri="{FF2B5EF4-FFF2-40B4-BE49-F238E27FC236}">
              <a16:creationId xmlns:a16="http://schemas.microsoft.com/office/drawing/2014/main" id="{60750BA3-BCAB-4219-8472-62D8FC400D53}"/>
            </a:ext>
          </a:extLst>
        </xdr:cNvPr>
        <xdr:cNvSpPr/>
      </xdr:nvSpPr>
      <xdr:spPr>
        <a:xfrm>
          <a:off x="1927860" y="1257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687</xdr:row>
      <xdr:rowOff>0</xdr:rowOff>
    </xdr:from>
    <xdr:to>
      <xdr:col>11</xdr:col>
      <xdr:colOff>83820</xdr:colOff>
      <xdr:row>687</xdr:row>
      <xdr:rowOff>114300</xdr:rowOff>
    </xdr:to>
    <xdr:sp macro="" textlink="">
      <xdr:nvSpPr>
        <xdr:cNvPr id="5252" name="Arrow: Down 5251">
          <a:extLst>
            <a:ext uri="{FF2B5EF4-FFF2-40B4-BE49-F238E27FC236}">
              <a16:creationId xmlns:a16="http://schemas.microsoft.com/office/drawing/2014/main" id="{F93E2DCD-6B7D-4A74-A99C-A748437237AE}"/>
            </a:ext>
          </a:extLst>
        </xdr:cNvPr>
        <xdr:cNvSpPr/>
      </xdr:nvSpPr>
      <xdr:spPr>
        <a:xfrm>
          <a:off x="3695700" y="1257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687</xdr:row>
      <xdr:rowOff>0</xdr:rowOff>
    </xdr:from>
    <xdr:to>
      <xdr:col>39</xdr:col>
      <xdr:colOff>83820</xdr:colOff>
      <xdr:row>687</xdr:row>
      <xdr:rowOff>114300</xdr:rowOff>
    </xdr:to>
    <xdr:sp macro="" textlink="">
      <xdr:nvSpPr>
        <xdr:cNvPr id="5254" name="Arrow: Down 5253">
          <a:extLst>
            <a:ext uri="{FF2B5EF4-FFF2-40B4-BE49-F238E27FC236}">
              <a16:creationId xmlns:a16="http://schemas.microsoft.com/office/drawing/2014/main" id="{B620983B-FE0E-43B3-BEC9-06B10EADCAC8}"/>
            </a:ext>
          </a:extLst>
        </xdr:cNvPr>
        <xdr:cNvSpPr/>
      </xdr:nvSpPr>
      <xdr:spPr>
        <a:xfrm>
          <a:off x="11544300" y="1257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688</xdr:row>
      <xdr:rowOff>0</xdr:rowOff>
    </xdr:from>
    <xdr:to>
      <xdr:col>45</xdr:col>
      <xdr:colOff>83820</xdr:colOff>
      <xdr:row>688</xdr:row>
      <xdr:rowOff>114300</xdr:rowOff>
    </xdr:to>
    <xdr:sp macro="" textlink="">
      <xdr:nvSpPr>
        <xdr:cNvPr id="5255" name="Arrow: Down 5254">
          <a:extLst>
            <a:ext uri="{FF2B5EF4-FFF2-40B4-BE49-F238E27FC236}">
              <a16:creationId xmlns:a16="http://schemas.microsoft.com/office/drawing/2014/main" id="{DFB4B1B9-D201-4D0E-A66B-8972D1DBF832}"/>
            </a:ext>
          </a:extLst>
        </xdr:cNvPr>
        <xdr:cNvSpPr/>
      </xdr:nvSpPr>
      <xdr:spPr>
        <a:xfrm>
          <a:off x="13403580" y="1257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688</xdr:row>
      <xdr:rowOff>0</xdr:rowOff>
    </xdr:from>
    <xdr:to>
      <xdr:col>71</xdr:col>
      <xdr:colOff>83820</xdr:colOff>
      <xdr:row>688</xdr:row>
      <xdr:rowOff>114300</xdr:rowOff>
    </xdr:to>
    <xdr:sp macro="" textlink="">
      <xdr:nvSpPr>
        <xdr:cNvPr id="5256" name="Arrow: Down 5255">
          <a:extLst>
            <a:ext uri="{FF2B5EF4-FFF2-40B4-BE49-F238E27FC236}">
              <a16:creationId xmlns:a16="http://schemas.microsoft.com/office/drawing/2014/main" id="{C0102DFC-BA40-4537-9F49-1562A2AE1A4D}"/>
            </a:ext>
          </a:extLst>
        </xdr:cNvPr>
        <xdr:cNvSpPr/>
      </xdr:nvSpPr>
      <xdr:spPr>
        <a:xfrm rot="10800000">
          <a:off x="21960840" y="1257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688</xdr:row>
      <xdr:rowOff>0</xdr:rowOff>
    </xdr:from>
    <xdr:to>
      <xdr:col>39</xdr:col>
      <xdr:colOff>83820</xdr:colOff>
      <xdr:row>688</xdr:row>
      <xdr:rowOff>114300</xdr:rowOff>
    </xdr:to>
    <xdr:sp macro="" textlink="">
      <xdr:nvSpPr>
        <xdr:cNvPr id="5261" name="Arrow: Down 5260">
          <a:extLst>
            <a:ext uri="{FF2B5EF4-FFF2-40B4-BE49-F238E27FC236}">
              <a16:creationId xmlns:a16="http://schemas.microsoft.com/office/drawing/2014/main" id="{53EE0794-B82E-4C53-93EF-4F438FA96F8E}"/>
            </a:ext>
          </a:extLst>
        </xdr:cNvPr>
        <xdr:cNvSpPr/>
      </xdr:nvSpPr>
      <xdr:spPr>
        <a:xfrm>
          <a:off x="11544300" y="1257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688</xdr:row>
      <xdr:rowOff>0</xdr:rowOff>
    </xdr:from>
    <xdr:to>
      <xdr:col>24</xdr:col>
      <xdr:colOff>83820</xdr:colOff>
      <xdr:row>688</xdr:row>
      <xdr:rowOff>114300</xdr:rowOff>
    </xdr:to>
    <xdr:sp macro="" textlink="">
      <xdr:nvSpPr>
        <xdr:cNvPr id="5263" name="Arrow: Down 5262">
          <a:extLst>
            <a:ext uri="{FF2B5EF4-FFF2-40B4-BE49-F238E27FC236}">
              <a16:creationId xmlns:a16="http://schemas.microsoft.com/office/drawing/2014/main" id="{E877809E-4CB0-414B-BE10-6E9F624A7A1D}"/>
            </a:ext>
          </a:extLst>
        </xdr:cNvPr>
        <xdr:cNvSpPr/>
      </xdr:nvSpPr>
      <xdr:spPr>
        <a:xfrm rot="10800000">
          <a:off x="833628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688</xdr:row>
      <xdr:rowOff>0</xdr:rowOff>
    </xdr:from>
    <xdr:to>
      <xdr:col>11</xdr:col>
      <xdr:colOff>83820</xdr:colOff>
      <xdr:row>688</xdr:row>
      <xdr:rowOff>114300</xdr:rowOff>
    </xdr:to>
    <xdr:sp macro="" textlink="">
      <xdr:nvSpPr>
        <xdr:cNvPr id="5265" name="Arrow: Down 5264">
          <a:extLst>
            <a:ext uri="{FF2B5EF4-FFF2-40B4-BE49-F238E27FC236}">
              <a16:creationId xmlns:a16="http://schemas.microsoft.com/office/drawing/2014/main" id="{8CDC9A1A-FF10-4F27-8417-084F98298BA1}"/>
            </a:ext>
          </a:extLst>
        </xdr:cNvPr>
        <xdr:cNvSpPr/>
      </xdr:nvSpPr>
      <xdr:spPr>
        <a:xfrm rot="10800000">
          <a:off x="369570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688</xdr:row>
      <xdr:rowOff>0</xdr:rowOff>
    </xdr:from>
    <xdr:to>
      <xdr:col>5</xdr:col>
      <xdr:colOff>83820</xdr:colOff>
      <xdr:row>688</xdr:row>
      <xdr:rowOff>114300</xdr:rowOff>
    </xdr:to>
    <xdr:sp macro="" textlink="">
      <xdr:nvSpPr>
        <xdr:cNvPr id="5267" name="Arrow: Down 5266">
          <a:extLst>
            <a:ext uri="{FF2B5EF4-FFF2-40B4-BE49-F238E27FC236}">
              <a16:creationId xmlns:a16="http://schemas.microsoft.com/office/drawing/2014/main" id="{AC9079C3-E3ED-4150-8B6E-6BD22169F7C7}"/>
            </a:ext>
          </a:extLst>
        </xdr:cNvPr>
        <xdr:cNvSpPr/>
      </xdr:nvSpPr>
      <xdr:spPr>
        <a:xfrm rot="10800000">
          <a:off x="192786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689</xdr:row>
      <xdr:rowOff>0</xdr:rowOff>
    </xdr:from>
    <xdr:to>
      <xdr:col>45</xdr:col>
      <xdr:colOff>83820</xdr:colOff>
      <xdr:row>689</xdr:row>
      <xdr:rowOff>114300</xdr:rowOff>
    </xdr:to>
    <xdr:sp macro="" textlink="">
      <xdr:nvSpPr>
        <xdr:cNvPr id="5268" name="Arrow: Down 5267">
          <a:extLst>
            <a:ext uri="{FF2B5EF4-FFF2-40B4-BE49-F238E27FC236}">
              <a16:creationId xmlns:a16="http://schemas.microsoft.com/office/drawing/2014/main" id="{104638F0-130F-4DC2-81AD-5B57644E43B2}"/>
            </a:ext>
          </a:extLst>
        </xdr:cNvPr>
        <xdr:cNvSpPr/>
      </xdr:nvSpPr>
      <xdr:spPr>
        <a:xfrm>
          <a:off x="1340358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689</xdr:row>
      <xdr:rowOff>0</xdr:rowOff>
    </xdr:from>
    <xdr:to>
      <xdr:col>71</xdr:col>
      <xdr:colOff>83820</xdr:colOff>
      <xdr:row>689</xdr:row>
      <xdr:rowOff>114300</xdr:rowOff>
    </xdr:to>
    <xdr:sp macro="" textlink="">
      <xdr:nvSpPr>
        <xdr:cNvPr id="5269" name="Arrow: Down 5268">
          <a:extLst>
            <a:ext uri="{FF2B5EF4-FFF2-40B4-BE49-F238E27FC236}">
              <a16:creationId xmlns:a16="http://schemas.microsoft.com/office/drawing/2014/main" id="{F64BBB25-9973-41F7-BF18-CF80C99561AE}"/>
            </a:ext>
          </a:extLst>
        </xdr:cNvPr>
        <xdr:cNvSpPr/>
      </xdr:nvSpPr>
      <xdr:spPr>
        <a:xfrm rot="10800000">
          <a:off x="2196084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689</xdr:row>
      <xdr:rowOff>0</xdr:rowOff>
    </xdr:from>
    <xdr:to>
      <xdr:col>39</xdr:col>
      <xdr:colOff>83820</xdr:colOff>
      <xdr:row>689</xdr:row>
      <xdr:rowOff>114300</xdr:rowOff>
    </xdr:to>
    <xdr:sp macro="" textlink="">
      <xdr:nvSpPr>
        <xdr:cNvPr id="5271" name="Arrow: Down 5270">
          <a:extLst>
            <a:ext uri="{FF2B5EF4-FFF2-40B4-BE49-F238E27FC236}">
              <a16:creationId xmlns:a16="http://schemas.microsoft.com/office/drawing/2014/main" id="{1F92CBC7-9CC7-4F47-AB9F-33E069F542ED}"/>
            </a:ext>
          </a:extLst>
        </xdr:cNvPr>
        <xdr:cNvSpPr/>
      </xdr:nvSpPr>
      <xdr:spPr>
        <a:xfrm>
          <a:off x="1154430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688</xdr:row>
      <xdr:rowOff>0</xdr:rowOff>
    </xdr:from>
    <xdr:to>
      <xdr:col>60</xdr:col>
      <xdr:colOff>83820</xdr:colOff>
      <xdr:row>688</xdr:row>
      <xdr:rowOff>114300</xdr:rowOff>
    </xdr:to>
    <xdr:sp macro="" textlink="">
      <xdr:nvSpPr>
        <xdr:cNvPr id="5276" name="Arrow: Down 5275">
          <a:extLst>
            <a:ext uri="{FF2B5EF4-FFF2-40B4-BE49-F238E27FC236}">
              <a16:creationId xmlns:a16="http://schemas.microsoft.com/office/drawing/2014/main" id="{0DA4CF40-6CCB-4A29-BB23-1AA2494B5BC6}"/>
            </a:ext>
          </a:extLst>
        </xdr:cNvPr>
        <xdr:cNvSpPr/>
      </xdr:nvSpPr>
      <xdr:spPr>
        <a:xfrm rot="10800000">
          <a:off x="1908048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689</xdr:row>
      <xdr:rowOff>0</xdr:rowOff>
    </xdr:from>
    <xdr:to>
      <xdr:col>60</xdr:col>
      <xdr:colOff>83820</xdr:colOff>
      <xdr:row>689</xdr:row>
      <xdr:rowOff>114300</xdr:rowOff>
    </xdr:to>
    <xdr:sp macro="" textlink="">
      <xdr:nvSpPr>
        <xdr:cNvPr id="5277" name="Arrow: Down 5276">
          <a:extLst>
            <a:ext uri="{FF2B5EF4-FFF2-40B4-BE49-F238E27FC236}">
              <a16:creationId xmlns:a16="http://schemas.microsoft.com/office/drawing/2014/main" id="{370092F1-1A67-424B-BCC8-680460FF5B38}"/>
            </a:ext>
          </a:extLst>
        </xdr:cNvPr>
        <xdr:cNvSpPr/>
      </xdr:nvSpPr>
      <xdr:spPr>
        <a:xfrm rot="10800000">
          <a:off x="19080480" y="1261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689</xdr:row>
      <xdr:rowOff>0</xdr:rowOff>
    </xdr:from>
    <xdr:to>
      <xdr:col>5</xdr:col>
      <xdr:colOff>83820</xdr:colOff>
      <xdr:row>689</xdr:row>
      <xdr:rowOff>114300</xdr:rowOff>
    </xdr:to>
    <xdr:sp macro="" textlink="">
      <xdr:nvSpPr>
        <xdr:cNvPr id="5279" name="Arrow: Down 5278">
          <a:extLst>
            <a:ext uri="{FF2B5EF4-FFF2-40B4-BE49-F238E27FC236}">
              <a16:creationId xmlns:a16="http://schemas.microsoft.com/office/drawing/2014/main" id="{F4B58063-618E-43D1-9F89-DDD37CCB9825}"/>
            </a:ext>
          </a:extLst>
        </xdr:cNvPr>
        <xdr:cNvSpPr/>
      </xdr:nvSpPr>
      <xdr:spPr>
        <a:xfrm>
          <a:off x="192786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689</xdr:row>
      <xdr:rowOff>0</xdr:rowOff>
    </xdr:from>
    <xdr:to>
      <xdr:col>11</xdr:col>
      <xdr:colOff>83820</xdr:colOff>
      <xdr:row>689</xdr:row>
      <xdr:rowOff>114300</xdr:rowOff>
    </xdr:to>
    <xdr:sp macro="" textlink="">
      <xdr:nvSpPr>
        <xdr:cNvPr id="5280" name="Arrow: Down 5279">
          <a:extLst>
            <a:ext uri="{FF2B5EF4-FFF2-40B4-BE49-F238E27FC236}">
              <a16:creationId xmlns:a16="http://schemas.microsoft.com/office/drawing/2014/main" id="{18860A57-9A04-4367-986B-A09B34FED128}"/>
            </a:ext>
          </a:extLst>
        </xdr:cNvPr>
        <xdr:cNvSpPr/>
      </xdr:nvSpPr>
      <xdr:spPr>
        <a:xfrm>
          <a:off x="369570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689</xdr:row>
      <xdr:rowOff>0</xdr:rowOff>
    </xdr:from>
    <xdr:to>
      <xdr:col>24</xdr:col>
      <xdr:colOff>83820</xdr:colOff>
      <xdr:row>689</xdr:row>
      <xdr:rowOff>114300</xdr:rowOff>
    </xdr:to>
    <xdr:sp macro="" textlink="">
      <xdr:nvSpPr>
        <xdr:cNvPr id="5282" name="Arrow: Down 5281">
          <a:extLst>
            <a:ext uri="{FF2B5EF4-FFF2-40B4-BE49-F238E27FC236}">
              <a16:creationId xmlns:a16="http://schemas.microsoft.com/office/drawing/2014/main" id="{C6C9605A-DAE6-4F8F-BF7D-8E3D4232873C}"/>
            </a:ext>
          </a:extLst>
        </xdr:cNvPr>
        <xdr:cNvSpPr/>
      </xdr:nvSpPr>
      <xdr:spPr>
        <a:xfrm>
          <a:off x="833628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690</xdr:row>
      <xdr:rowOff>0</xdr:rowOff>
    </xdr:from>
    <xdr:to>
      <xdr:col>45</xdr:col>
      <xdr:colOff>83820</xdr:colOff>
      <xdr:row>690</xdr:row>
      <xdr:rowOff>114300</xdr:rowOff>
    </xdr:to>
    <xdr:sp macro="" textlink="">
      <xdr:nvSpPr>
        <xdr:cNvPr id="5283" name="Arrow: Down 5282">
          <a:extLst>
            <a:ext uri="{FF2B5EF4-FFF2-40B4-BE49-F238E27FC236}">
              <a16:creationId xmlns:a16="http://schemas.microsoft.com/office/drawing/2014/main" id="{AAFD56AE-EF56-4066-B285-498EA80921B4}"/>
            </a:ext>
          </a:extLst>
        </xdr:cNvPr>
        <xdr:cNvSpPr/>
      </xdr:nvSpPr>
      <xdr:spPr>
        <a:xfrm>
          <a:off x="13403580" y="1261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690</xdr:row>
      <xdr:rowOff>0</xdr:rowOff>
    </xdr:from>
    <xdr:to>
      <xdr:col>71</xdr:col>
      <xdr:colOff>83820</xdr:colOff>
      <xdr:row>690</xdr:row>
      <xdr:rowOff>114300</xdr:rowOff>
    </xdr:to>
    <xdr:sp macro="" textlink="">
      <xdr:nvSpPr>
        <xdr:cNvPr id="5284" name="Arrow: Down 5283">
          <a:extLst>
            <a:ext uri="{FF2B5EF4-FFF2-40B4-BE49-F238E27FC236}">
              <a16:creationId xmlns:a16="http://schemas.microsoft.com/office/drawing/2014/main" id="{4951A49E-18BA-4C7B-9821-1211C771AACD}"/>
            </a:ext>
          </a:extLst>
        </xdr:cNvPr>
        <xdr:cNvSpPr/>
      </xdr:nvSpPr>
      <xdr:spPr>
        <a:xfrm rot="10800000">
          <a:off x="21960840" y="1261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690</xdr:row>
      <xdr:rowOff>0</xdr:rowOff>
    </xdr:from>
    <xdr:to>
      <xdr:col>39</xdr:col>
      <xdr:colOff>83820</xdr:colOff>
      <xdr:row>690</xdr:row>
      <xdr:rowOff>114300</xdr:rowOff>
    </xdr:to>
    <xdr:sp macro="" textlink="">
      <xdr:nvSpPr>
        <xdr:cNvPr id="5285" name="Arrow: Down 5284">
          <a:extLst>
            <a:ext uri="{FF2B5EF4-FFF2-40B4-BE49-F238E27FC236}">
              <a16:creationId xmlns:a16="http://schemas.microsoft.com/office/drawing/2014/main" id="{ECEF8333-4876-42E0-B193-5D281F9A9225}"/>
            </a:ext>
          </a:extLst>
        </xdr:cNvPr>
        <xdr:cNvSpPr/>
      </xdr:nvSpPr>
      <xdr:spPr>
        <a:xfrm>
          <a:off x="11544300" y="1261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690</xdr:row>
      <xdr:rowOff>0</xdr:rowOff>
    </xdr:from>
    <xdr:to>
      <xdr:col>5</xdr:col>
      <xdr:colOff>83820</xdr:colOff>
      <xdr:row>690</xdr:row>
      <xdr:rowOff>114300</xdr:rowOff>
    </xdr:to>
    <xdr:sp macro="" textlink="">
      <xdr:nvSpPr>
        <xdr:cNvPr id="5287" name="Arrow: Down 5286">
          <a:extLst>
            <a:ext uri="{FF2B5EF4-FFF2-40B4-BE49-F238E27FC236}">
              <a16:creationId xmlns:a16="http://schemas.microsoft.com/office/drawing/2014/main" id="{BE587210-3299-46BE-BAB8-E0522914DD01}"/>
            </a:ext>
          </a:extLst>
        </xdr:cNvPr>
        <xdr:cNvSpPr/>
      </xdr:nvSpPr>
      <xdr:spPr>
        <a:xfrm>
          <a:off x="192786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690</xdr:row>
      <xdr:rowOff>0</xdr:rowOff>
    </xdr:from>
    <xdr:to>
      <xdr:col>11</xdr:col>
      <xdr:colOff>83820</xdr:colOff>
      <xdr:row>690</xdr:row>
      <xdr:rowOff>114300</xdr:rowOff>
    </xdr:to>
    <xdr:sp macro="" textlink="">
      <xdr:nvSpPr>
        <xdr:cNvPr id="5288" name="Arrow: Down 5287">
          <a:extLst>
            <a:ext uri="{FF2B5EF4-FFF2-40B4-BE49-F238E27FC236}">
              <a16:creationId xmlns:a16="http://schemas.microsoft.com/office/drawing/2014/main" id="{BD7B36AA-7647-4960-AB52-9579CAFD27EF}"/>
            </a:ext>
          </a:extLst>
        </xdr:cNvPr>
        <xdr:cNvSpPr/>
      </xdr:nvSpPr>
      <xdr:spPr>
        <a:xfrm>
          <a:off x="369570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690</xdr:row>
      <xdr:rowOff>0</xdr:rowOff>
    </xdr:from>
    <xdr:to>
      <xdr:col>24</xdr:col>
      <xdr:colOff>83820</xdr:colOff>
      <xdr:row>690</xdr:row>
      <xdr:rowOff>114300</xdr:rowOff>
    </xdr:to>
    <xdr:sp macro="" textlink="">
      <xdr:nvSpPr>
        <xdr:cNvPr id="5289" name="Arrow: Down 5288">
          <a:extLst>
            <a:ext uri="{FF2B5EF4-FFF2-40B4-BE49-F238E27FC236}">
              <a16:creationId xmlns:a16="http://schemas.microsoft.com/office/drawing/2014/main" id="{F7F477CB-7E69-40BA-AB13-871F0699890B}"/>
            </a:ext>
          </a:extLst>
        </xdr:cNvPr>
        <xdr:cNvSpPr/>
      </xdr:nvSpPr>
      <xdr:spPr>
        <a:xfrm>
          <a:off x="833628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690</xdr:row>
      <xdr:rowOff>0</xdr:rowOff>
    </xdr:from>
    <xdr:to>
      <xdr:col>60</xdr:col>
      <xdr:colOff>83820</xdr:colOff>
      <xdr:row>690</xdr:row>
      <xdr:rowOff>114300</xdr:rowOff>
    </xdr:to>
    <xdr:sp macro="" textlink="">
      <xdr:nvSpPr>
        <xdr:cNvPr id="5291" name="Arrow: Down 5290">
          <a:extLst>
            <a:ext uri="{FF2B5EF4-FFF2-40B4-BE49-F238E27FC236}">
              <a16:creationId xmlns:a16="http://schemas.microsoft.com/office/drawing/2014/main" id="{00C11B8B-24DD-47E9-A70D-D871F3E29A38}"/>
            </a:ext>
          </a:extLst>
        </xdr:cNvPr>
        <xdr:cNvSpPr/>
      </xdr:nvSpPr>
      <xdr:spPr>
        <a:xfrm>
          <a:off x="19080480" y="1262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691</xdr:row>
      <xdr:rowOff>0</xdr:rowOff>
    </xdr:from>
    <xdr:to>
      <xdr:col>71</xdr:col>
      <xdr:colOff>83820</xdr:colOff>
      <xdr:row>691</xdr:row>
      <xdr:rowOff>114300</xdr:rowOff>
    </xdr:to>
    <xdr:sp macro="" textlink="">
      <xdr:nvSpPr>
        <xdr:cNvPr id="4956" name="Arrow: Down 4955">
          <a:extLst>
            <a:ext uri="{FF2B5EF4-FFF2-40B4-BE49-F238E27FC236}">
              <a16:creationId xmlns:a16="http://schemas.microsoft.com/office/drawing/2014/main" id="{A0F033DF-2211-401E-8BF3-B5ED9EEF66F2}"/>
            </a:ext>
          </a:extLst>
        </xdr:cNvPr>
        <xdr:cNvSpPr/>
      </xdr:nvSpPr>
      <xdr:spPr>
        <a:xfrm rot="10800000">
          <a:off x="21960840" y="12628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691</xdr:row>
      <xdr:rowOff>0</xdr:rowOff>
    </xdr:from>
    <xdr:to>
      <xdr:col>60</xdr:col>
      <xdr:colOff>83820</xdr:colOff>
      <xdr:row>691</xdr:row>
      <xdr:rowOff>114300</xdr:rowOff>
    </xdr:to>
    <xdr:sp macro="" textlink="">
      <xdr:nvSpPr>
        <xdr:cNvPr id="4994" name="Arrow: Down 4993">
          <a:extLst>
            <a:ext uri="{FF2B5EF4-FFF2-40B4-BE49-F238E27FC236}">
              <a16:creationId xmlns:a16="http://schemas.microsoft.com/office/drawing/2014/main" id="{65D6AB8E-8C52-4A30-A038-7C72D47E43D4}"/>
            </a:ext>
          </a:extLst>
        </xdr:cNvPr>
        <xdr:cNvSpPr/>
      </xdr:nvSpPr>
      <xdr:spPr>
        <a:xfrm>
          <a:off x="19080480" y="1262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691</xdr:row>
      <xdr:rowOff>0</xdr:rowOff>
    </xdr:from>
    <xdr:to>
      <xdr:col>5</xdr:col>
      <xdr:colOff>83820</xdr:colOff>
      <xdr:row>691</xdr:row>
      <xdr:rowOff>114300</xdr:rowOff>
    </xdr:to>
    <xdr:sp macro="" textlink="">
      <xdr:nvSpPr>
        <xdr:cNvPr id="5005" name="Arrow: Down 5004">
          <a:extLst>
            <a:ext uri="{FF2B5EF4-FFF2-40B4-BE49-F238E27FC236}">
              <a16:creationId xmlns:a16="http://schemas.microsoft.com/office/drawing/2014/main" id="{BC7B0B2E-6438-430F-9A2E-FCCF3D911786}"/>
            </a:ext>
          </a:extLst>
        </xdr:cNvPr>
        <xdr:cNvSpPr/>
      </xdr:nvSpPr>
      <xdr:spPr>
        <a:xfrm rot="10800000">
          <a:off x="192786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691</xdr:row>
      <xdr:rowOff>0</xdr:rowOff>
    </xdr:from>
    <xdr:to>
      <xdr:col>11</xdr:col>
      <xdr:colOff>83820</xdr:colOff>
      <xdr:row>691</xdr:row>
      <xdr:rowOff>114300</xdr:rowOff>
    </xdr:to>
    <xdr:sp macro="" textlink="">
      <xdr:nvSpPr>
        <xdr:cNvPr id="5007" name="Arrow: Down 5006">
          <a:extLst>
            <a:ext uri="{FF2B5EF4-FFF2-40B4-BE49-F238E27FC236}">
              <a16:creationId xmlns:a16="http://schemas.microsoft.com/office/drawing/2014/main" id="{AA76689A-D16F-478A-AF0F-D0FC8DDD64D0}"/>
            </a:ext>
          </a:extLst>
        </xdr:cNvPr>
        <xdr:cNvSpPr/>
      </xdr:nvSpPr>
      <xdr:spPr>
        <a:xfrm rot="10800000">
          <a:off x="369570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691</xdr:row>
      <xdr:rowOff>0</xdr:rowOff>
    </xdr:from>
    <xdr:to>
      <xdr:col>24</xdr:col>
      <xdr:colOff>83820</xdr:colOff>
      <xdr:row>691</xdr:row>
      <xdr:rowOff>114300</xdr:rowOff>
    </xdr:to>
    <xdr:sp macro="" textlink="">
      <xdr:nvSpPr>
        <xdr:cNvPr id="5028" name="Arrow: Down 5027">
          <a:extLst>
            <a:ext uri="{FF2B5EF4-FFF2-40B4-BE49-F238E27FC236}">
              <a16:creationId xmlns:a16="http://schemas.microsoft.com/office/drawing/2014/main" id="{65E5C1F6-8B25-45F8-9225-B65D3AEEA2A1}"/>
            </a:ext>
          </a:extLst>
        </xdr:cNvPr>
        <xdr:cNvSpPr/>
      </xdr:nvSpPr>
      <xdr:spPr>
        <a:xfrm rot="10800000">
          <a:off x="833628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691</xdr:row>
      <xdr:rowOff>0</xdr:rowOff>
    </xdr:from>
    <xdr:to>
      <xdr:col>45</xdr:col>
      <xdr:colOff>83820</xdr:colOff>
      <xdr:row>691</xdr:row>
      <xdr:rowOff>114300</xdr:rowOff>
    </xdr:to>
    <xdr:sp macro="" textlink="">
      <xdr:nvSpPr>
        <xdr:cNvPr id="5029" name="Arrow: Down 5028">
          <a:extLst>
            <a:ext uri="{FF2B5EF4-FFF2-40B4-BE49-F238E27FC236}">
              <a16:creationId xmlns:a16="http://schemas.microsoft.com/office/drawing/2014/main" id="{08796988-8565-432E-AC39-14D70A267824}"/>
            </a:ext>
          </a:extLst>
        </xdr:cNvPr>
        <xdr:cNvSpPr/>
      </xdr:nvSpPr>
      <xdr:spPr>
        <a:xfrm rot="10800000">
          <a:off x="13403580" y="12646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691</xdr:row>
      <xdr:rowOff>0</xdr:rowOff>
    </xdr:from>
    <xdr:to>
      <xdr:col>39</xdr:col>
      <xdr:colOff>83820</xdr:colOff>
      <xdr:row>691</xdr:row>
      <xdr:rowOff>114300</xdr:rowOff>
    </xdr:to>
    <xdr:sp macro="" textlink="">
      <xdr:nvSpPr>
        <xdr:cNvPr id="5039" name="Arrow: Down 5038">
          <a:extLst>
            <a:ext uri="{FF2B5EF4-FFF2-40B4-BE49-F238E27FC236}">
              <a16:creationId xmlns:a16="http://schemas.microsoft.com/office/drawing/2014/main" id="{1F6D6BD0-45C3-4565-8F1B-EA04538A787A}"/>
            </a:ext>
          </a:extLst>
        </xdr:cNvPr>
        <xdr:cNvSpPr/>
      </xdr:nvSpPr>
      <xdr:spPr>
        <a:xfrm rot="10800000">
          <a:off x="11544300" y="12646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692</xdr:row>
      <xdr:rowOff>0</xdr:rowOff>
    </xdr:from>
    <xdr:to>
      <xdr:col>60</xdr:col>
      <xdr:colOff>83820</xdr:colOff>
      <xdr:row>692</xdr:row>
      <xdr:rowOff>114300</xdr:rowOff>
    </xdr:to>
    <xdr:sp macro="" textlink="">
      <xdr:nvSpPr>
        <xdr:cNvPr id="5042" name="Arrow: Down 5041">
          <a:extLst>
            <a:ext uri="{FF2B5EF4-FFF2-40B4-BE49-F238E27FC236}">
              <a16:creationId xmlns:a16="http://schemas.microsoft.com/office/drawing/2014/main" id="{1D3F571B-A54C-44C7-9128-A128955E94B5}"/>
            </a:ext>
          </a:extLst>
        </xdr:cNvPr>
        <xdr:cNvSpPr/>
      </xdr:nvSpPr>
      <xdr:spPr>
        <a:xfrm>
          <a:off x="19080480" y="1264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692</xdr:row>
      <xdr:rowOff>0</xdr:rowOff>
    </xdr:from>
    <xdr:to>
      <xdr:col>5</xdr:col>
      <xdr:colOff>83820</xdr:colOff>
      <xdr:row>692</xdr:row>
      <xdr:rowOff>114300</xdr:rowOff>
    </xdr:to>
    <xdr:sp macro="" textlink="">
      <xdr:nvSpPr>
        <xdr:cNvPr id="5043" name="Arrow: Down 5042">
          <a:extLst>
            <a:ext uri="{FF2B5EF4-FFF2-40B4-BE49-F238E27FC236}">
              <a16:creationId xmlns:a16="http://schemas.microsoft.com/office/drawing/2014/main" id="{3576B0DA-4E25-4450-873B-360D4188E57C}"/>
            </a:ext>
          </a:extLst>
        </xdr:cNvPr>
        <xdr:cNvSpPr/>
      </xdr:nvSpPr>
      <xdr:spPr>
        <a:xfrm rot="10800000">
          <a:off x="192786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692</xdr:row>
      <xdr:rowOff>0</xdr:rowOff>
    </xdr:from>
    <xdr:to>
      <xdr:col>11</xdr:col>
      <xdr:colOff>83820</xdr:colOff>
      <xdr:row>692</xdr:row>
      <xdr:rowOff>114300</xdr:rowOff>
    </xdr:to>
    <xdr:sp macro="" textlink="">
      <xdr:nvSpPr>
        <xdr:cNvPr id="5044" name="Arrow: Down 5043">
          <a:extLst>
            <a:ext uri="{FF2B5EF4-FFF2-40B4-BE49-F238E27FC236}">
              <a16:creationId xmlns:a16="http://schemas.microsoft.com/office/drawing/2014/main" id="{6A4DA719-1C02-489A-B55B-5ABC841899B5}"/>
            </a:ext>
          </a:extLst>
        </xdr:cNvPr>
        <xdr:cNvSpPr/>
      </xdr:nvSpPr>
      <xdr:spPr>
        <a:xfrm rot="10800000">
          <a:off x="369570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692</xdr:row>
      <xdr:rowOff>0</xdr:rowOff>
    </xdr:from>
    <xdr:to>
      <xdr:col>24</xdr:col>
      <xdr:colOff>83820</xdr:colOff>
      <xdr:row>692</xdr:row>
      <xdr:rowOff>114300</xdr:rowOff>
    </xdr:to>
    <xdr:sp macro="" textlink="">
      <xdr:nvSpPr>
        <xdr:cNvPr id="5045" name="Arrow: Down 5044">
          <a:extLst>
            <a:ext uri="{FF2B5EF4-FFF2-40B4-BE49-F238E27FC236}">
              <a16:creationId xmlns:a16="http://schemas.microsoft.com/office/drawing/2014/main" id="{B6325271-98E8-4D03-B4F7-49BD10AAB40B}"/>
            </a:ext>
          </a:extLst>
        </xdr:cNvPr>
        <xdr:cNvSpPr/>
      </xdr:nvSpPr>
      <xdr:spPr>
        <a:xfrm rot="10800000">
          <a:off x="833628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692</xdr:row>
      <xdr:rowOff>0</xdr:rowOff>
    </xdr:from>
    <xdr:to>
      <xdr:col>45</xdr:col>
      <xdr:colOff>83820</xdr:colOff>
      <xdr:row>692</xdr:row>
      <xdr:rowOff>114300</xdr:rowOff>
    </xdr:to>
    <xdr:sp macro="" textlink="">
      <xdr:nvSpPr>
        <xdr:cNvPr id="5046" name="Arrow: Down 5045">
          <a:extLst>
            <a:ext uri="{FF2B5EF4-FFF2-40B4-BE49-F238E27FC236}">
              <a16:creationId xmlns:a16="http://schemas.microsoft.com/office/drawing/2014/main" id="{1E3D6A52-DB0D-4056-9AF1-FA49655483AB}"/>
            </a:ext>
          </a:extLst>
        </xdr:cNvPr>
        <xdr:cNvSpPr/>
      </xdr:nvSpPr>
      <xdr:spPr>
        <a:xfrm rot="10800000">
          <a:off x="13403580" y="12646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692</xdr:row>
      <xdr:rowOff>0</xdr:rowOff>
    </xdr:from>
    <xdr:to>
      <xdr:col>39</xdr:col>
      <xdr:colOff>83820</xdr:colOff>
      <xdr:row>692</xdr:row>
      <xdr:rowOff>114300</xdr:rowOff>
    </xdr:to>
    <xdr:sp macro="" textlink="">
      <xdr:nvSpPr>
        <xdr:cNvPr id="5055" name="Arrow: Down 5054">
          <a:extLst>
            <a:ext uri="{FF2B5EF4-FFF2-40B4-BE49-F238E27FC236}">
              <a16:creationId xmlns:a16="http://schemas.microsoft.com/office/drawing/2014/main" id="{BFDCE1B4-1257-4FAD-BEB1-318BFD8017EB}"/>
            </a:ext>
          </a:extLst>
        </xdr:cNvPr>
        <xdr:cNvSpPr/>
      </xdr:nvSpPr>
      <xdr:spPr>
        <a:xfrm rot="10800000">
          <a:off x="11544300" y="12646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692</xdr:row>
      <xdr:rowOff>0</xdr:rowOff>
    </xdr:from>
    <xdr:to>
      <xdr:col>71</xdr:col>
      <xdr:colOff>83820</xdr:colOff>
      <xdr:row>692</xdr:row>
      <xdr:rowOff>114300</xdr:rowOff>
    </xdr:to>
    <xdr:sp macro="" textlink="">
      <xdr:nvSpPr>
        <xdr:cNvPr id="5059" name="Arrow: Down 5058">
          <a:extLst>
            <a:ext uri="{FF2B5EF4-FFF2-40B4-BE49-F238E27FC236}">
              <a16:creationId xmlns:a16="http://schemas.microsoft.com/office/drawing/2014/main" id="{AF6DE111-A6BD-4B2B-9F64-650AC7475E81}"/>
            </a:ext>
          </a:extLst>
        </xdr:cNvPr>
        <xdr:cNvSpPr/>
      </xdr:nvSpPr>
      <xdr:spPr>
        <a:xfrm>
          <a:off x="21960840" y="12665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693</xdr:row>
      <xdr:rowOff>0</xdr:rowOff>
    </xdr:from>
    <xdr:to>
      <xdr:col>5</xdr:col>
      <xdr:colOff>83820</xdr:colOff>
      <xdr:row>693</xdr:row>
      <xdr:rowOff>114300</xdr:rowOff>
    </xdr:to>
    <xdr:sp macro="" textlink="">
      <xdr:nvSpPr>
        <xdr:cNvPr id="5061" name="Arrow: Down 5060">
          <a:extLst>
            <a:ext uri="{FF2B5EF4-FFF2-40B4-BE49-F238E27FC236}">
              <a16:creationId xmlns:a16="http://schemas.microsoft.com/office/drawing/2014/main" id="{CAEE738E-7E57-4CBA-8CDA-14232461A785}"/>
            </a:ext>
          </a:extLst>
        </xdr:cNvPr>
        <xdr:cNvSpPr/>
      </xdr:nvSpPr>
      <xdr:spPr>
        <a:xfrm rot="10800000">
          <a:off x="1927860" y="12665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693</xdr:row>
      <xdr:rowOff>0</xdr:rowOff>
    </xdr:from>
    <xdr:to>
      <xdr:col>45</xdr:col>
      <xdr:colOff>83820</xdr:colOff>
      <xdr:row>693</xdr:row>
      <xdr:rowOff>114300</xdr:rowOff>
    </xdr:to>
    <xdr:sp macro="" textlink="">
      <xdr:nvSpPr>
        <xdr:cNvPr id="5074" name="Arrow: Down 5073">
          <a:extLst>
            <a:ext uri="{FF2B5EF4-FFF2-40B4-BE49-F238E27FC236}">
              <a16:creationId xmlns:a16="http://schemas.microsoft.com/office/drawing/2014/main" id="{C857C201-40C6-4F00-A805-536F48BC821E}"/>
            </a:ext>
          </a:extLst>
        </xdr:cNvPr>
        <xdr:cNvSpPr/>
      </xdr:nvSpPr>
      <xdr:spPr>
        <a:xfrm rot="10800000">
          <a:off x="13403580" y="126652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693</xdr:row>
      <xdr:rowOff>0</xdr:rowOff>
    </xdr:from>
    <xdr:to>
      <xdr:col>39</xdr:col>
      <xdr:colOff>83820</xdr:colOff>
      <xdr:row>693</xdr:row>
      <xdr:rowOff>114300</xdr:rowOff>
    </xdr:to>
    <xdr:sp macro="" textlink="">
      <xdr:nvSpPr>
        <xdr:cNvPr id="5075" name="Arrow: Down 5074">
          <a:extLst>
            <a:ext uri="{FF2B5EF4-FFF2-40B4-BE49-F238E27FC236}">
              <a16:creationId xmlns:a16="http://schemas.microsoft.com/office/drawing/2014/main" id="{1F886B0F-488B-45DD-B944-2C2B2A9A7FD0}"/>
            </a:ext>
          </a:extLst>
        </xdr:cNvPr>
        <xdr:cNvSpPr/>
      </xdr:nvSpPr>
      <xdr:spPr>
        <a:xfrm rot="10800000">
          <a:off x="11544300" y="126652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693</xdr:row>
      <xdr:rowOff>0</xdr:rowOff>
    </xdr:from>
    <xdr:to>
      <xdr:col>11</xdr:col>
      <xdr:colOff>83820</xdr:colOff>
      <xdr:row>693</xdr:row>
      <xdr:rowOff>114300</xdr:rowOff>
    </xdr:to>
    <xdr:sp macro="" textlink="">
      <xdr:nvSpPr>
        <xdr:cNvPr id="5078" name="Arrow: Down 5077">
          <a:extLst>
            <a:ext uri="{FF2B5EF4-FFF2-40B4-BE49-F238E27FC236}">
              <a16:creationId xmlns:a16="http://schemas.microsoft.com/office/drawing/2014/main" id="{025F8E84-F9B1-4FF2-A200-9C7B423F8AA4}"/>
            </a:ext>
          </a:extLst>
        </xdr:cNvPr>
        <xdr:cNvSpPr/>
      </xdr:nvSpPr>
      <xdr:spPr>
        <a:xfrm>
          <a:off x="3695700" y="1268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693</xdr:row>
      <xdr:rowOff>0</xdr:rowOff>
    </xdr:from>
    <xdr:to>
      <xdr:col>24</xdr:col>
      <xdr:colOff>83820</xdr:colOff>
      <xdr:row>693</xdr:row>
      <xdr:rowOff>114300</xdr:rowOff>
    </xdr:to>
    <xdr:sp macro="" textlink="">
      <xdr:nvSpPr>
        <xdr:cNvPr id="5088" name="Arrow: Down 5087">
          <a:extLst>
            <a:ext uri="{FF2B5EF4-FFF2-40B4-BE49-F238E27FC236}">
              <a16:creationId xmlns:a16="http://schemas.microsoft.com/office/drawing/2014/main" id="{116BFEB0-6C87-4D4B-B314-4CD49975B643}"/>
            </a:ext>
          </a:extLst>
        </xdr:cNvPr>
        <xdr:cNvSpPr/>
      </xdr:nvSpPr>
      <xdr:spPr>
        <a:xfrm>
          <a:off x="8336280" y="1268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693</xdr:row>
      <xdr:rowOff>0</xdr:rowOff>
    </xdr:from>
    <xdr:to>
      <xdr:col>60</xdr:col>
      <xdr:colOff>83820</xdr:colOff>
      <xdr:row>693</xdr:row>
      <xdr:rowOff>114300</xdr:rowOff>
    </xdr:to>
    <xdr:sp macro="" textlink="">
      <xdr:nvSpPr>
        <xdr:cNvPr id="5092" name="Arrow: Down 5091">
          <a:extLst>
            <a:ext uri="{FF2B5EF4-FFF2-40B4-BE49-F238E27FC236}">
              <a16:creationId xmlns:a16="http://schemas.microsoft.com/office/drawing/2014/main" id="{EDF86092-69A8-4FE5-BCF6-016B55049DBD}"/>
            </a:ext>
          </a:extLst>
        </xdr:cNvPr>
        <xdr:cNvSpPr/>
      </xdr:nvSpPr>
      <xdr:spPr>
        <a:xfrm rot="10800000">
          <a:off x="19080480" y="1268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693</xdr:row>
      <xdr:rowOff>0</xdr:rowOff>
    </xdr:from>
    <xdr:to>
      <xdr:col>71</xdr:col>
      <xdr:colOff>83820</xdr:colOff>
      <xdr:row>693</xdr:row>
      <xdr:rowOff>114300</xdr:rowOff>
    </xdr:to>
    <xdr:sp macro="" textlink="">
      <xdr:nvSpPr>
        <xdr:cNvPr id="5094" name="Arrow: Down 5093">
          <a:extLst>
            <a:ext uri="{FF2B5EF4-FFF2-40B4-BE49-F238E27FC236}">
              <a16:creationId xmlns:a16="http://schemas.microsoft.com/office/drawing/2014/main" id="{4FC5CCE6-B432-49F7-9AB8-8189C78F5FDE}"/>
            </a:ext>
          </a:extLst>
        </xdr:cNvPr>
        <xdr:cNvSpPr/>
      </xdr:nvSpPr>
      <xdr:spPr>
        <a:xfrm rot="10800000">
          <a:off x="21960840" y="1268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694</xdr:row>
      <xdr:rowOff>0</xdr:rowOff>
    </xdr:from>
    <xdr:to>
      <xdr:col>45</xdr:col>
      <xdr:colOff>83820</xdr:colOff>
      <xdr:row>694</xdr:row>
      <xdr:rowOff>114300</xdr:rowOff>
    </xdr:to>
    <xdr:sp macro="" textlink="">
      <xdr:nvSpPr>
        <xdr:cNvPr id="5121" name="Arrow: Down 5120">
          <a:extLst>
            <a:ext uri="{FF2B5EF4-FFF2-40B4-BE49-F238E27FC236}">
              <a16:creationId xmlns:a16="http://schemas.microsoft.com/office/drawing/2014/main" id="{25043B8A-FAC4-47D7-B353-76F4691D8C8D}"/>
            </a:ext>
          </a:extLst>
        </xdr:cNvPr>
        <xdr:cNvSpPr/>
      </xdr:nvSpPr>
      <xdr:spPr>
        <a:xfrm rot="10800000">
          <a:off x="13403580" y="126834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694</xdr:row>
      <xdr:rowOff>0</xdr:rowOff>
    </xdr:from>
    <xdr:to>
      <xdr:col>11</xdr:col>
      <xdr:colOff>83820</xdr:colOff>
      <xdr:row>694</xdr:row>
      <xdr:rowOff>114300</xdr:rowOff>
    </xdr:to>
    <xdr:sp macro="" textlink="">
      <xdr:nvSpPr>
        <xdr:cNvPr id="5127" name="Arrow: Down 5126">
          <a:extLst>
            <a:ext uri="{FF2B5EF4-FFF2-40B4-BE49-F238E27FC236}">
              <a16:creationId xmlns:a16="http://schemas.microsoft.com/office/drawing/2014/main" id="{1691A7B4-BD87-48FE-82D4-F98DD7DE01CB}"/>
            </a:ext>
          </a:extLst>
        </xdr:cNvPr>
        <xdr:cNvSpPr/>
      </xdr:nvSpPr>
      <xdr:spPr>
        <a:xfrm>
          <a:off x="3695700" y="1268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694</xdr:row>
      <xdr:rowOff>0</xdr:rowOff>
    </xdr:from>
    <xdr:to>
      <xdr:col>24</xdr:col>
      <xdr:colOff>83820</xdr:colOff>
      <xdr:row>694</xdr:row>
      <xdr:rowOff>114300</xdr:rowOff>
    </xdr:to>
    <xdr:sp macro="" textlink="">
      <xdr:nvSpPr>
        <xdr:cNvPr id="5130" name="Arrow: Down 5129">
          <a:extLst>
            <a:ext uri="{FF2B5EF4-FFF2-40B4-BE49-F238E27FC236}">
              <a16:creationId xmlns:a16="http://schemas.microsoft.com/office/drawing/2014/main" id="{BBAE8B3B-0614-4703-806D-5B24070998A2}"/>
            </a:ext>
          </a:extLst>
        </xdr:cNvPr>
        <xdr:cNvSpPr/>
      </xdr:nvSpPr>
      <xdr:spPr>
        <a:xfrm>
          <a:off x="8336280" y="1268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694</xdr:row>
      <xdr:rowOff>0</xdr:rowOff>
    </xdr:from>
    <xdr:to>
      <xdr:col>60</xdr:col>
      <xdr:colOff>83820</xdr:colOff>
      <xdr:row>694</xdr:row>
      <xdr:rowOff>114300</xdr:rowOff>
    </xdr:to>
    <xdr:sp macro="" textlink="">
      <xdr:nvSpPr>
        <xdr:cNvPr id="5135" name="Arrow: Down 5134">
          <a:extLst>
            <a:ext uri="{FF2B5EF4-FFF2-40B4-BE49-F238E27FC236}">
              <a16:creationId xmlns:a16="http://schemas.microsoft.com/office/drawing/2014/main" id="{BC29CE34-9B2E-4DC9-AB5D-CCA5BC577D3D}"/>
            </a:ext>
          </a:extLst>
        </xdr:cNvPr>
        <xdr:cNvSpPr/>
      </xdr:nvSpPr>
      <xdr:spPr>
        <a:xfrm rot="10800000">
          <a:off x="19080480" y="1268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694</xdr:row>
      <xdr:rowOff>0</xdr:rowOff>
    </xdr:from>
    <xdr:to>
      <xdr:col>71</xdr:col>
      <xdr:colOff>83820</xdr:colOff>
      <xdr:row>694</xdr:row>
      <xdr:rowOff>114300</xdr:rowOff>
    </xdr:to>
    <xdr:sp macro="" textlink="">
      <xdr:nvSpPr>
        <xdr:cNvPr id="5136" name="Arrow: Down 5135">
          <a:extLst>
            <a:ext uri="{FF2B5EF4-FFF2-40B4-BE49-F238E27FC236}">
              <a16:creationId xmlns:a16="http://schemas.microsoft.com/office/drawing/2014/main" id="{4AA5179A-8513-487E-BF79-00986CA5D158}"/>
            </a:ext>
          </a:extLst>
        </xdr:cNvPr>
        <xdr:cNvSpPr/>
      </xdr:nvSpPr>
      <xdr:spPr>
        <a:xfrm rot="10800000">
          <a:off x="21960840" y="1268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694</xdr:row>
      <xdr:rowOff>0</xdr:rowOff>
    </xdr:from>
    <xdr:to>
      <xdr:col>5</xdr:col>
      <xdr:colOff>83820</xdr:colOff>
      <xdr:row>694</xdr:row>
      <xdr:rowOff>114300</xdr:rowOff>
    </xdr:to>
    <xdr:sp macro="" textlink="">
      <xdr:nvSpPr>
        <xdr:cNvPr id="5137" name="Arrow: Down 5136">
          <a:extLst>
            <a:ext uri="{FF2B5EF4-FFF2-40B4-BE49-F238E27FC236}">
              <a16:creationId xmlns:a16="http://schemas.microsoft.com/office/drawing/2014/main" id="{AB719CCC-D313-4A2D-97F1-08400C0C8344}"/>
            </a:ext>
          </a:extLst>
        </xdr:cNvPr>
        <xdr:cNvSpPr/>
      </xdr:nvSpPr>
      <xdr:spPr>
        <a:xfrm>
          <a:off x="1927860" y="1270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694</xdr:row>
      <xdr:rowOff>0</xdr:rowOff>
    </xdr:from>
    <xdr:to>
      <xdr:col>39</xdr:col>
      <xdr:colOff>83820</xdr:colOff>
      <xdr:row>694</xdr:row>
      <xdr:rowOff>114300</xdr:rowOff>
    </xdr:to>
    <xdr:sp macro="" textlink="">
      <xdr:nvSpPr>
        <xdr:cNvPr id="5138" name="Arrow: Down 5137">
          <a:extLst>
            <a:ext uri="{FF2B5EF4-FFF2-40B4-BE49-F238E27FC236}">
              <a16:creationId xmlns:a16="http://schemas.microsoft.com/office/drawing/2014/main" id="{E3FBC0C1-270D-4C17-BA64-B54930396C42}"/>
            </a:ext>
          </a:extLst>
        </xdr:cNvPr>
        <xdr:cNvSpPr/>
      </xdr:nvSpPr>
      <xdr:spPr>
        <a:xfrm>
          <a:off x="11544300" y="1270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695</xdr:row>
      <xdr:rowOff>0</xdr:rowOff>
    </xdr:from>
    <xdr:to>
      <xdr:col>45</xdr:col>
      <xdr:colOff>83820</xdr:colOff>
      <xdr:row>695</xdr:row>
      <xdr:rowOff>114300</xdr:rowOff>
    </xdr:to>
    <xdr:sp macro="" textlink="">
      <xdr:nvSpPr>
        <xdr:cNvPr id="5156" name="Arrow: Down 5155">
          <a:extLst>
            <a:ext uri="{FF2B5EF4-FFF2-40B4-BE49-F238E27FC236}">
              <a16:creationId xmlns:a16="http://schemas.microsoft.com/office/drawing/2014/main" id="{1B10AEAC-1934-4C75-A03C-CC8BBDE8E117}"/>
            </a:ext>
          </a:extLst>
        </xdr:cNvPr>
        <xdr:cNvSpPr/>
      </xdr:nvSpPr>
      <xdr:spPr>
        <a:xfrm rot="10800000">
          <a:off x="13403580" y="127017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695</xdr:row>
      <xdr:rowOff>0</xdr:rowOff>
    </xdr:from>
    <xdr:to>
      <xdr:col>71</xdr:col>
      <xdr:colOff>83820</xdr:colOff>
      <xdr:row>695</xdr:row>
      <xdr:rowOff>114300</xdr:rowOff>
    </xdr:to>
    <xdr:sp macro="" textlink="">
      <xdr:nvSpPr>
        <xdr:cNvPr id="5165" name="Arrow: Down 5164">
          <a:extLst>
            <a:ext uri="{FF2B5EF4-FFF2-40B4-BE49-F238E27FC236}">
              <a16:creationId xmlns:a16="http://schemas.microsoft.com/office/drawing/2014/main" id="{A9D30327-2C72-48AA-BBE3-5B8171389668}"/>
            </a:ext>
          </a:extLst>
        </xdr:cNvPr>
        <xdr:cNvSpPr/>
      </xdr:nvSpPr>
      <xdr:spPr>
        <a:xfrm rot="10800000">
          <a:off x="21960840" y="1270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695</xdr:row>
      <xdr:rowOff>0</xdr:rowOff>
    </xdr:from>
    <xdr:to>
      <xdr:col>60</xdr:col>
      <xdr:colOff>83820</xdr:colOff>
      <xdr:row>695</xdr:row>
      <xdr:rowOff>114300</xdr:rowOff>
    </xdr:to>
    <xdr:sp macro="" textlink="">
      <xdr:nvSpPr>
        <xdr:cNvPr id="5184" name="Arrow: Down 5183">
          <a:extLst>
            <a:ext uri="{FF2B5EF4-FFF2-40B4-BE49-F238E27FC236}">
              <a16:creationId xmlns:a16="http://schemas.microsoft.com/office/drawing/2014/main" id="{B3024167-33A4-4247-86D7-4FC06D8013E5}"/>
            </a:ext>
          </a:extLst>
        </xdr:cNvPr>
        <xdr:cNvSpPr/>
      </xdr:nvSpPr>
      <xdr:spPr>
        <a:xfrm>
          <a:off x="19080480" y="1272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695</xdr:row>
      <xdr:rowOff>0</xdr:rowOff>
    </xdr:from>
    <xdr:to>
      <xdr:col>5</xdr:col>
      <xdr:colOff>83820</xdr:colOff>
      <xdr:row>695</xdr:row>
      <xdr:rowOff>114300</xdr:rowOff>
    </xdr:to>
    <xdr:sp macro="" textlink="">
      <xdr:nvSpPr>
        <xdr:cNvPr id="5189" name="Arrow: Down 5188">
          <a:extLst>
            <a:ext uri="{FF2B5EF4-FFF2-40B4-BE49-F238E27FC236}">
              <a16:creationId xmlns:a16="http://schemas.microsoft.com/office/drawing/2014/main" id="{7D68F55B-9377-4428-BCFD-ED970924538B}"/>
            </a:ext>
          </a:extLst>
        </xdr:cNvPr>
        <xdr:cNvSpPr/>
      </xdr:nvSpPr>
      <xdr:spPr>
        <a:xfrm rot="10800000">
          <a:off x="1927860" y="1272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695</xdr:row>
      <xdr:rowOff>0</xdr:rowOff>
    </xdr:from>
    <xdr:to>
      <xdr:col>11</xdr:col>
      <xdr:colOff>83820</xdr:colOff>
      <xdr:row>695</xdr:row>
      <xdr:rowOff>114300</xdr:rowOff>
    </xdr:to>
    <xdr:sp macro="" textlink="">
      <xdr:nvSpPr>
        <xdr:cNvPr id="5194" name="Arrow: Down 5193">
          <a:extLst>
            <a:ext uri="{FF2B5EF4-FFF2-40B4-BE49-F238E27FC236}">
              <a16:creationId xmlns:a16="http://schemas.microsoft.com/office/drawing/2014/main" id="{177C9B7F-6F06-412B-AC64-4AAD6E7C04C3}"/>
            </a:ext>
          </a:extLst>
        </xdr:cNvPr>
        <xdr:cNvSpPr/>
      </xdr:nvSpPr>
      <xdr:spPr>
        <a:xfrm rot="10800000">
          <a:off x="3695700" y="1272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695</xdr:row>
      <xdr:rowOff>0</xdr:rowOff>
    </xdr:from>
    <xdr:to>
      <xdr:col>24</xdr:col>
      <xdr:colOff>83820</xdr:colOff>
      <xdr:row>695</xdr:row>
      <xdr:rowOff>114300</xdr:rowOff>
    </xdr:to>
    <xdr:sp macro="" textlink="">
      <xdr:nvSpPr>
        <xdr:cNvPr id="5196" name="Arrow: Down 5195">
          <a:extLst>
            <a:ext uri="{FF2B5EF4-FFF2-40B4-BE49-F238E27FC236}">
              <a16:creationId xmlns:a16="http://schemas.microsoft.com/office/drawing/2014/main" id="{07FBF88C-843A-4470-A94C-FFA04FE03F1F}"/>
            </a:ext>
          </a:extLst>
        </xdr:cNvPr>
        <xdr:cNvSpPr/>
      </xdr:nvSpPr>
      <xdr:spPr>
        <a:xfrm rot="10800000">
          <a:off x="8336280" y="1272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695</xdr:row>
      <xdr:rowOff>0</xdr:rowOff>
    </xdr:from>
    <xdr:to>
      <xdr:col>39</xdr:col>
      <xdr:colOff>83820</xdr:colOff>
      <xdr:row>695</xdr:row>
      <xdr:rowOff>114300</xdr:rowOff>
    </xdr:to>
    <xdr:sp macro="" textlink="">
      <xdr:nvSpPr>
        <xdr:cNvPr id="5198" name="Arrow: Down 5197">
          <a:extLst>
            <a:ext uri="{FF2B5EF4-FFF2-40B4-BE49-F238E27FC236}">
              <a16:creationId xmlns:a16="http://schemas.microsoft.com/office/drawing/2014/main" id="{F7194E5D-289B-493C-A477-E40D6C879B38}"/>
            </a:ext>
          </a:extLst>
        </xdr:cNvPr>
        <xdr:cNvSpPr/>
      </xdr:nvSpPr>
      <xdr:spPr>
        <a:xfrm rot="10800000">
          <a:off x="11544300" y="127200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696</xdr:row>
      <xdr:rowOff>0</xdr:rowOff>
    </xdr:from>
    <xdr:to>
      <xdr:col>45</xdr:col>
      <xdr:colOff>83820</xdr:colOff>
      <xdr:row>696</xdr:row>
      <xdr:rowOff>114300</xdr:rowOff>
    </xdr:to>
    <xdr:sp macro="" textlink="">
      <xdr:nvSpPr>
        <xdr:cNvPr id="5216" name="Arrow: Down 5215">
          <a:extLst>
            <a:ext uri="{FF2B5EF4-FFF2-40B4-BE49-F238E27FC236}">
              <a16:creationId xmlns:a16="http://schemas.microsoft.com/office/drawing/2014/main" id="{3391FB6A-23B1-412D-9CDF-D1849DBCCFE4}"/>
            </a:ext>
          </a:extLst>
        </xdr:cNvPr>
        <xdr:cNvSpPr/>
      </xdr:nvSpPr>
      <xdr:spPr>
        <a:xfrm rot="10800000">
          <a:off x="13403580" y="127200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696</xdr:row>
      <xdr:rowOff>0</xdr:rowOff>
    </xdr:from>
    <xdr:to>
      <xdr:col>71</xdr:col>
      <xdr:colOff>83820</xdr:colOff>
      <xdr:row>696</xdr:row>
      <xdr:rowOff>114300</xdr:rowOff>
    </xdr:to>
    <xdr:sp macro="" textlink="">
      <xdr:nvSpPr>
        <xdr:cNvPr id="5219" name="Arrow: Down 5218">
          <a:extLst>
            <a:ext uri="{FF2B5EF4-FFF2-40B4-BE49-F238E27FC236}">
              <a16:creationId xmlns:a16="http://schemas.microsoft.com/office/drawing/2014/main" id="{BECA408E-C3C5-4E0E-8F38-06492E29C350}"/>
            </a:ext>
          </a:extLst>
        </xdr:cNvPr>
        <xdr:cNvSpPr/>
      </xdr:nvSpPr>
      <xdr:spPr>
        <a:xfrm rot="10800000">
          <a:off x="21960840" y="1272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696</xdr:row>
      <xdr:rowOff>0</xdr:rowOff>
    </xdr:from>
    <xdr:to>
      <xdr:col>60</xdr:col>
      <xdr:colOff>83820</xdr:colOff>
      <xdr:row>696</xdr:row>
      <xdr:rowOff>114300</xdr:rowOff>
    </xdr:to>
    <xdr:sp macro="" textlink="">
      <xdr:nvSpPr>
        <xdr:cNvPr id="5237" name="Arrow: Down 5236">
          <a:extLst>
            <a:ext uri="{FF2B5EF4-FFF2-40B4-BE49-F238E27FC236}">
              <a16:creationId xmlns:a16="http://schemas.microsoft.com/office/drawing/2014/main" id="{7244657E-A0DF-4C65-967B-6F94D2EC2307}"/>
            </a:ext>
          </a:extLst>
        </xdr:cNvPr>
        <xdr:cNvSpPr/>
      </xdr:nvSpPr>
      <xdr:spPr>
        <a:xfrm rot="10800000">
          <a:off x="19080480" y="1273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696</xdr:row>
      <xdr:rowOff>0</xdr:rowOff>
    </xdr:from>
    <xdr:to>
      <xdr:col>39</xdr:col>
      <xdr:colOff>83820</xdr:colOff>
      <xdr:row>696</xdr:row>
      <xdr:rowOff>114300</xdr:rowOff>
    </xdr:to>
    <xdr:sp macro="" textlink="">
      <xdr:nvSpPr>
        <xdr:cNvPr id="5239" name="Arrow: Down 5238">
          <a:extLst>
            <a:ext uri="{FF2B5EF4-FFF2-40B4-BE49-F238E27FC236}">
              <a16:creationId xmlns:a16="http://schemas.microsoft.com/office/drawing/2014/main" id="{56A9CDBB-B948-4B7E-8881-BF28CF6FC559}"/>
            </a:ext>
          </a:extLst>
        </xdr:cNvPr>
        <xdr:cNvSpPr/>
      </xdr:nvSpPr>
      <xdr:spPr>
        <a:xfrm>
          <a:off x="11544300" y="1273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697</xdr:row>
      <xdr:rowOff>0</xdr:rowOff>
    </xdr:from>
    <xdr:to>
      <xdr:col>45</xdr:col>
      <xdr:colOff>83820</xdr:colOff>
      <xdr:row>697</xdr:row>
      <xdr:rowOff>114300</xdr:rowOff>
    </xdr:to>
    <xdr:sp macro="" textlink="">
      <xdr:nvSpPr>
        <xdr:cNvPr id="5264" name="Arrow: Down 5263">
          <a:extLst>
            <a:ext uri="{FF2B5EF4-FFF2-40B4-BE49-F238E27FC236}">
              <a16:creationId xmlns:a16="http://schemas.microsoft.com/office/drawing/2014/main" id="{75FA2D37-15AE-4CA2-986A-6E6FDC79E98C}"/>
            </a:ext>
          </a:extLst>
        </xdr:cNvPr>
        <xdr:cNvSpPr/>
      </xdr:nvSpPr>
      <xdr:spPr>
        <a:xfrm rot="10800000">
          <a:off x="13403580" y="127383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697</xdr:row>
      <xdr:rowOff>0</xdr:rowOff>
    </xdr:from>
    <xdr:to>
      <xdr:col>71</xdr:col>
      <xdr:colOff>83820</xdr:colOff>
      <xdr:row>697</xdr:row>
      <xdr:rowOff>114300</xdr:rowOff>
    </xdr:to>
    <xdr:sp macro="" textlink="">
      <xdr:nvSpPr>
        <xdr:cNvPr id="5266" name="Arrow: Down 5265">
          <a:extLst>
            <a:ext uri="{FF2B5EF4-FFF2-40B4-BE49-F238E27FC236}">
              <a16:creationId xmlns:a16="http://schemas.microsoft.com/office/drawing/2014/main" id="{DF09D4A7-0196-49E0-9E7E-6620D8E95213}"/>
            </a:ext>
          </a:extLst>
        </xdr:cNvPr>
        <xdr:cNvSpPr/>
      </xdr:nvSpPr>
      <xdr:spPr>
        <a:xfrm rot="10800000">
          <a:off x="21960840" y="1273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697</xdr:row>
      <xdr:rowOff>0</xdr:rowOff>
    </xdr:from>
    <xdr:to>
      <xdr:col>39</xdr:col>
      <xdr:colOff>83820</xdr:colOff>
      <xdr:row>697</xdr:row>
      <xdr:rowOff>114300</xdr:rowOff>
    </xdr:to>
    <xdr:sp macro="" textlink="">
      <xdr:nvSpPr>
        <xdr:cNvPr id="5272" name="Arrow: Down 5271">
          <a:extLst>
            <a:ext uri="{FF2B5EF4-FFF2-40B4-BE49-F238E27FC236}">
              <a16:creationId xmlns:a16="http://schemas.microsoft.com/office/drawing/2014/main" id="{B8AAACE7-3BDC-4930-A115-106CAE4ED814}"/>
            </a:ext>
          </a:extLst>
        </xdr:cNvPr>
        <xdr:cNvSpPr/>
      </xdr:nvSpPr>
      <xdr:spPr>
        <a:xfrm>
          <a:off x="11544300" y="1273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697</xdr:row>
      <xdr:rowOff>0</xdr:rowOff>
    </xdr:from>
    <xdr:to>
      <xdr:col>60</xdr:col>
      <xdr:colOff>83820</xdr:colOff>
      <xdr:row>697</xdr:row>
      <xdr:rowOff>114300</xdr:rowOff>
    </xdr:to>
    <xdr:sp macro="" textlink="">
      <xdr:nvSpPr>
        <xdr:cNvPr id="5281" name="Arrow: Down 5280">
          <a:extLst>
            <a:ext uri="{FF2B5EF4-FFF2-40B4-BE49-F238E27FC236}">
              <a16:creationId xmlns:a16="http://schemas.microsoft.com/office/drawing/2014/main" id="{5A9323E5-25EE-40AC-BA28-843E879C4786}"/>
            </a:ext>
          </a:extLst>
        </xdr:cNvPr>
        <xdr:cNvSpPr/>
      </xdr:nvSpPr>
      <xdr:spPr>
        <a:xfrm>
          <a:off x="1908048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696</xdr:row>
      <xdr:rowOff>0</xdr:rowOff>
    </xdr:from>
    <xdr:to>
      <xdr:col>11</xdr:col>
      <xdr:colOff>83820</xdr:colOff>
      <xdr:row>696</xdr:row>
      <xdr:rowOff>114300</xdr:rowOff>
    </xdr:to>
    <xdr:sp macro="" textlink="">
      <xdr:nvSpPr>
        <xdr:cNvPr id="5290" name="Arrow: Down 5289">
          <a:extLst>
            <a:ext uri="{FF2B5EF4-FFF2-40B4-BE49-F238E27FC236}">
              <a16:creationId xmlns:a16="http://schemas.microsoft.com/office/drawing/2014/main" id="{91CCA32E-486D-42ED-A24B-580D6F916410}"/>
            </a:ext>
          </a:extLst>
        </xdr:cNvPr>
        <xdr:cNvSpPr/>
      </xdr:nvSpPr>
      <xdr:spPr>
        <a:xfrm>
          <a:off x="3695700" y="1273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696</xdr:row>
      <xdr:rowOff>0</xdr:rowOff>
    </xdr:from>
    <xdr:to>
      <xdr:col>5</xdr:col>
      <xdr:colOff>83820</xdr:colOff>
      <xdr:row>696</xdr:row>
      <xdr:rowOff>114300</xdr:rowOff>
    </xdr:to>
    <xdr:sp macro="" textlink="">
      <xdr:nvSpPr>
        <xdr:cNvPr id="5292" name="Arrow: Down 5291">
          <a:extLst>
            <a:ext uri="{FF2B5EF4-FFF2-40B4-BE49-F238E27FC236}">
              <a16:creationId xmlns:a16="http://schemas.microsoft.com/office/drawing/2014/main" id="{88FAE7C9-C498-4D1B-94E8-D17D86493AA8}"/>
            </a:ext>
          </a:extLst>
        </xdr:cNvPr>
        <xdr:cNvSpPr/>
      </xdr:nvSpPr>
      <xdr:spPr>
        <a:xfrm>
          <a:off x="1927860" y="1273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697</xdr:row>
      <xdr:rowOff>0</xdr:rowOff>
    </xdr:from>
    <xdr:to>
      <xdr:col>5</xdr:col>
      <xdr:colOff>83820</xdr:colOff>
      <xdr:row>697</xdr:row>
      <xdr:rowOff>114300</xdr:rowOff>
    </xdr:to>
    <xdr:sp macro="" textlink="">
      <xdr:nvSpPr>
        <xdr:cNvPr id="5294" name="Arrow: Down 5293">
          <a:extLst>
            <a:ext uri="{FF2B5EF4-FFF2-40B4-BE49-F238E27FC236}">
              <a16:creationId xmlns:a16="http://schemas.microsoft.com/office/drawing/2014/main" id="{4242BD8E-28B8-4FF7-A7D5-B42372C6B815}"/>
            </a:ext>
          </a:extLst>
        </xdr:cNvPr>
        <xdr:cNvSpPr/>
      </xdr:nvSpPr>
      <xdr:spPr>
        <a:xfrm>
          <a:off x="192786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697</xdr:row>
      <xdr:rowOff>0</xdr:rowOff>
    </xdr:from>
    <xdr:to>
      <xdr:col>11</xdr:col>
      <xdr:colOff>83820</xdr:colOff>
      <xdr:row>697</xdr:row>
      <xdr:rowOff>114300</xdr:rowOff>
    </xdr:to>
    <xdr:sp macro="" textlink="">
      <xdr:nvSpPr>
        <xdr:cNvPr id="5296" name="Arrow: Down 5295">
          <a:extLst>
            <a:ext uri="{FF2B5EF4-FFF2-40B4-BE49-F238E27FC236}">
              <a16:creationId xmlns:a16="http://schemas.microsoft.com/office/drawing/2014/main" id="{021EB6C9-D34F-45A9-ADB9-3FDF1E3783D6}"/>
            </a:ext>
          </a:extLst>
        </xdr:cNvPr>
        <xdr:cNvSpPr/>
      </xdr:nvSpPr>
      <xdr:spPr>
        <a:xfrm>
          <a:off x="369570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696</xdr:row>
      <xdr:rowOff>0</xdr:rowOff>
    </xdr:from>
    <xdr:to>
      <xdr:col>24</xdr:col>
      <xdr:colOff>83820</xdr:colOff>
      <xdr:row>696</xdr:row>
      <xdr:rowOff>114300</xdr:rowOff>
    </xdr:to>
    <xdr:sp macro="" textlink="">
      <xdr:nvSpPr>
        <xdr:cNvPr id="5298" name="Arrow: Down 5297">
          <a:extLst>
            <a:ext uri="{FF2B5EF4-FFF2-40B4-BE49-F238E27FC236}">
              <a16:creationId xmlns:a16="http://schemas.microsoft.com/office/drawing/2014/main" id="{C7FD43B3-9226-435A-838F-86CE3C77FF30}"/>
            </a:ext>
          </a:extLst>
        </xdr:cNvPr>
        <xdr:cNvSpPr/>
      </xdr:nvSpPr>
      <xdr:spPr>
        <a:xfrm>
          <a:off x="8336280" y="1273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697</xdr:row>
      <xdr:rowOff>0</xdr:rowOff>
    </xdr:from>
    <xdr:to>
      <xdr:col>24</xdr:col>
      <xdr:colOff>83820</xdr:colOff>
      <xdr:row>697</xdr:row>
      <xdr:rowOff>114300</xdr:rowOff>
    </xdr:to>
    <xdr:sp macro="" textlink="">
      <xdr:nvSpPr>
        <xdr:cNvPr id="5300" name="Arrow: Down 5299">
          <a:extLst>
            <a:ext uri="{FF2B5EF4-FFF2-40B4-BE49-F238E27FC236}">
              <a16:creationId xmlns:a16="http://schemas.microsoft.com/office/drawing/2014/main" id="{2283087C-5D0D-42AF-BB04-9661FBC344D9}"/>
            </a:ext>
          </a:extLst>
        </xdr:cNvPr>
        <xdr:cNvSpPr/>
      </xdr:nvSpPr>
      <xdr:spPr>
        <a:xfrm>
          <a:off x="833628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698</xdr:row>
      <xdr:rowOff>0</xdr:rowOff>
    </xdr:from>
    <xdr:to>
      <xdr:col>45</xdr:col>
      <xdr:colOff>83820</xdr:colOff>
      <xdr:row>698</xdr:row>
      <xdr:rowOff>114300</xdr:rowOff>
    </xdr:to>
    <xdr:sp macro="" textlink="">
      <xdr:nvSpPr>
        <xdr:cNvPr id="4990" name="Arrow: Down 4989">
          <a:extLst>
            <a:ext uri="{FF2B5EF4-FFF2-40B4-BE49-F238E27FC236}">
              <a16:creationId xmlns:a16="http://schemas.microsoft.com/office/drawing/2014/main" id="{5CEC3D46-5C27-479B-97A0-60B1E6BECD89}"/>
            </a:ext>
          </a:extLst>
        </xdr:cNvPr>
        <xdr:cNvSpPr/>
      </xdr:nvSpPr>
      <xdr:spPr>
        <a:xfrm rot="10800000">
          <a:off x="13403580" y="12756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698</xdr:row>
      <xdr:rowOff>0</xdr:rowOff>
    </xdr:from>
    <xdr:to>
      <xdr:col>60</xdr:col>
      <xdr:colOff>83820</xdr:colOff>
      <xdr:row>698</xdr:row>
      <xdr:rowOff>114300</xdr:rowOff>
    </xdr:to>
    <xdr:sp macro="" textlink="">
      <xdr:nvSpPr>
        <xdr:cNvPr id="5003" name="Arrow: Down 5002">
          <a:extLst>
            <a:ext uri="{FF2B5EF4-FFF2-40B4-BE49-F238E27FC236}">
              <a16:creationId xmlns:a16="http://schemas.microsoft.com/office/drawing/2014/main" id="{4B866B2B-4D63-4D27-8AFE-624CDF1FFC03}"/>
            </a:ext>
          </a:extLst>
        </xdr:cNvPr>
        <xdr:cNvSpPr/>
      </xdr:nvSpPr>
      <xdr:spPr>
        <a:xfrm>
          <a:off x="1908048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698</xdr:row>
      <xdr:rowOff>0</xdr:rowOff>
    </xdr:from>
    <xdr:to>
      <xdr:col>71</xdr:col>
      <xdr:colOff>83820</xdr:colOff>
      <xdr:row>698</xdr:row>
      <xdr:rowOff>114300</xdr:rowOff>
    </xdr:to>
    <xdr:sp macro="" textlink="">
      <xdr:nvSpPr>
        <xdr:cNvPr id="5031" name="Arrow: Down 5030">
          <a:extLst>
            <a:ext uri="{FF2B5EF4-FFF2-40B4-BE49-F238E27FC236}">
              <a16:creationId xmlns:a16="http://schemas.microsoft.com/office/drawing/2014/main" id="{A023AB8E-4881-4A80-933C-824B6CE95364}"/>
            </a:ext>
          </a:extLst>
        </xdr:cNvPr>
        <xdr:cNvSpPr/>
      </xdr:nvSpPr>
      <xdr:spPr>
        <a:xfrm>
          <a:off x="21960840" y="1277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698</xdr:row>
      <xdr:rowOff>0</xdr:rowOff>
    </xdr:from>
    <xdr:to>
      <xdr:col>39</xdr:col>
      <xdr:colOff>83820</xdr:colOff>
      <xdr:row>698</xdr:row>
      <xdr:rowOff>114300</xdr:rowOff>
    </xdr:to>
    <xdr:sp macro="" textlink="">
      <xdr:nvSpPr>
        <xdr:cNvPr id="5056" name="Arrow: Down 5055">
          <a:extLst>
            <a:ext uri="{FF2B5EF4-FFF2-40B4-BE49-F238E27FC236}">
              <a16:creationId xmlns:a16="http://schemas.microsoft.com/office/drawing/2014/main" id="{4DDF6761-43CB-4A83-ABC0-B23F728EC2D6}"/>
            </a:ext>
          </a:extLst>
        </xdr:cNvPr>
        <xdr:cNvSpPr/>
      </xdr:nvSpPr>
      <xdr:spPr>
        <a:xfrm rot="10800000">
          <a:off x="11544300" y="12774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698</xdr:row>
      <xdr:rowOff>0</xdr:rowOff>
    </xdr:from>
    <xdr:to>
      <xdr:col>24</xdr:col>
      <xdr:colOff>83820</xdr:colOff>
      <xdr:row>698</xdr:row>
      <xdr:rowOff>114300</xdr:rowOff>
    </xdr:to>
    <xdr:sp macro="" textlink="">
      <xdr:nvSpPr>
        <xdr:cNvPr id="5060" name="Arrow: Down 5059">
          <a:extLst>
            <a:ext uri="{FF2B5EF4-FFF2-40B4-BE49-F238E27FC236}">
              <a16:creationId xmlns:a16="http://schemas.microsoft.com/office/drawing/2014/main" id="{1E211968-01E5-48D4-9BC8-FCE3A10E73F4}"/>
            </a:ext>
          </a:extLst>
        </xdr:cNvPr>
        <xdr:cNvSpPr/>
      </xdr:nvSpPr>
      <xdr:spPr>
        <a:xfrm rot="10800000">
          <a:off x="833628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698</xdr:row>
      <xdr:rowOff>0</xdr:rowOff>
    </xdr:from>
    <xdr:to>
      <xdr:col>11</xdr:col>
      <xdr:colOff>83820</xdr:colOff>
      <xdr:row>698</xdr:row>
      <xdr:rowOff>114300</xdr:rowOff>
    </xdr:to>
    <xdr:sp macro="" textlink="">
      <xdr:nvSpPr>
        <xdr:cNvPr id="5072" name="Arrow: Down 5071">
          <a:extLst>
            <a:ext uri="{FF2B5EF4-FFF2-40B4-BE49-F238E27FC236}">
              <a16:creationId xmlns:a16="http://schemas.microsoft.com/office/drawing/2014/main" id="{87E5D26C-F19C-4866-9454-AAF0ECFDB2C1}"/>
            </a:ext>
          </a:extLst>
        </xdr:cNvPr>
        <xdr:cNvSpPr/>
      </xdr:nvSpPr>
      <xdr:spPr>
        <a:xfrm rot="10800000">
          <a:off x="369570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698</xdr:row>
      <xdr:rowOff>0</xdr:rowOff>
    </xdr:from>
    <xdr:to>
      <xdr:col>5</xdr:col>
      <xdr:colOff>83820</xdr:colOff>
      <xdr:row>698</xdr:row>
      <xdr:rowOff>114300</xdr:rowOff>
    </xdr:to>
    <xdr:sp macro="" textlink="">
      <xdr:nvSpPr>
        <xdr:cNvPr id="5076" name="Arrow: Down 5075">
          <a:extLst>
            <a:ext uri="{FF2B5EF4-FFF2-40B4-BE49-F238E27FC236}">
              <a16:creationId xmlns:a16="http://schemas.microsoft.com/office/drawing/2014/main" id="{CDFEF3A8-E9CC-4F7F-BBC2-4611559A1FDF}"/>
            </a:ext>
          </a:extLst>
        </xdr:cNvPr>
        <xdr:cNvSpPr/>
      </xdr:nvSpPr>
      <xdr:spPr>
        <a:xfrm rot="10800000">
          <a:off x="192786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699</xdr:row>
      <xdr:rowOff>0</xdr:rowOff>
    </xdr:from>
    <xdr:to>
      <xdr:col>45</xdr:col>
      <xdr:colOff>83820</xdr:colOff>
      <xdr:row>699</xdr:row>
      <xdr:rowOff>114300</xdr:rowOff>
    </xdr:to>
    <xdr:sp macro="" textlink="">
      <xdr:nvSpPr>
        <xdr:cNvPr id="5115" name="Arrow: Down 5114">
          <a:extLst>
            <a:ext uri="{FF2B5EF4-FFF2-40B4-BE49-F238E27FC236}">
              <a16:creationId xmlns:a16="http://schemas.microsoft.com/office/drawing/2014/main" id="{E6A6EE76-D7BC-4D1E-BF5A-73DF973E400C}"/>
            </a:ext>
          </a:extLst>
        </xdr:cNvPr>
        <xdr:cNvSpPr/>
      </xdr:nvSpPr>
      <xdr:spPr>
        <a:xfrm rot="10800000">
          <a:off x="13403580" y="12774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699</xdr:row>
      <xdr:rowOff>0</xdr:rowOff>
    </xdr:from>
    <xdr:to>
      <xdr:col>39</xdr:col>
      <xdr:colOff>83820</xdr:colOff>
      <xdr:row>699</xdr:row>
      <xdr:rowOff>114300</xdr:rowOff>
    </xdr:to>
    <xdr:sp macro="" textlink="">
      <xdr:nvSpPr>
        <xdr:cNvPr id="5120" name="Arrow: Down 5119">
          <a:extLst>
            <a:ext uri="{FF2B5EF4-FFF2-40B4-BE49-F238E27FC236}">
              <a16:creationId xmlns:a16="http://schemas.microsoft.com/office/drawing/2014/main" id="{920118B8-F449-4C76-880A-DC9F04D35494}"/>
            </a:ext>
          </a:extLst>
        </xdr:cNvPr>
        <xdr:cNvSpPr/>
      </xdr:nvSpPr>
      <xdr:spPr>
        <a:xfrm rot="10800000">
          <a:off x="11544300" y="12774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699</xdr:row>
      <xdr:rowOff>0</xdr:rowOff>
    </xdr:from>
    <xdr:to>
      <xdr:col>24</xdr:col>
      <xdr:colOff>83820</xdr:colOff>
      <xdr:row>699</xdr:row>
      <xdr:rowOff>114300</xdr:rowOff>
    </xdr:to>
    <xdr:sp macro="" textlink="">
      <xdr:nvSpPr>
        <xdr:cNvPr id="5122" name="Arrow: Down 5121">
          <a:extLst>
            <a:ext uri="{FF2B5EF4-FFF2-40B4-BE49-F238E27FC236}">
              <a16:creationId xmlns:a16="http://schemas.microsoft.com/office/drawing/2014/main" id="{5480AFC8-A1E3-4315-87D1-7CC5CA860D6E}"/>
            </a:ext>
          </a:extLst>
        </xdr:cNvPr>
        <xdr:cNvSpPr/>
      </xdr:nvSpPr>
      <xdr:spPr>
        <a:xfrm rot="10800000">
          <a:off x="833628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699</xdr:row>
      <xdr:rowOff>0</xdr:rowOff>
    </xdr:from>
    <xdr:to>
      <xdr:col>11</xdr:col>
      <xdr:colOff>83820</xdr:colOff>
      <xdr:row>699</xdr:row>
      <xdr:rowOff>114300</xdr:rowOff>
    </xdr:to>
    <xdr:sp macro="" textlink="">
      <xdr:nvSpPr>
        <xdr:cNvPr id="5142" name="Arrow: Down 5141">
          <a:extLst>
            <a:ext uri="{FF2B5EF4-FFF2-40B4-BE49-F238E27FC236}">
              <a16:creationId xmlns:a16="http://schemas.microsoft.com/office/drawing/2014/main" id="{E7640329-9482-45A4-A596-FC596DD79B1D}"/>
            </a:ext>
          </a:extLst>
        </xdr:cNvPr>
        <xdr:cNvSpPr/>
      </xdr:nvSpPr>
      <xdr:spPr>
        <a:xfrm rot="10800000">
          <a:off x="369570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699</xdr:row>
      <xdr:rowOff>0</xdr:rowOff>
    </xdr:from>
    <xdr:to>
      <xdr:col>5</xdr:col>
      <xdr:colOff>83820</xdr:colOff>
      <xdr:row>699</xdr:row>
      <xdr:rowOff>114300</xdr:rowOff>
    </xdr:to>
    <xdr:sp macro="" textlink="">
      <xdr:nvSpPr>
        <xdr:cNvPr id="5143" name="Arrow: Down 5142">
          <a:extLst>
            <a:ext uri="{FF2B5EF4-FFF2-40B4-BE49-F238E27FC236}">
              <a16:creationId xmlns:a16="http://schemas.microsoft.com/office/drawing/2014/main" id="{FD8281A4-A6FB-4863-8989-E150977E72D7}"/>
            </a:ext>
          </a:extLst>
        </xdr:cNvPr>
        <xdr:cNvSpPr/>
      </xdr:nvSpPr>
      <xdr:spPr>
        <a:xfrm rot="10800000">
          <a:off x="192786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699</xdr:row>
      <xdr:rowOff>0</xdr:rowOff>
    </xdr:from>
    <xdr:to>
      <xdr:col>60</xdr:col>
      <xdr:colOff>83820</xdr:colOff>
      <xdr:row>699</xdr:row>
      <xdr:rowOff>114300</xdr:rowOff>
    </xdr:to>
    <xdr:sp macro="" textlink="">
      <xdr:nvSpPr>
        <xdr:cNvPr id="5145" name="Arrow: Down 5144">
          <a:extLst>
            <a:ext uri="{FF2B5EF4-FFF2-40B4-BE49-F238E27FC236}">
              <a16:creationId xmlns:a16="http://schemas.microsoft.com/office/drawing/2014/main" id="{E820D330-26C0-4322-94B0-DAF9ABC2D882}"/>
            </a:ext>
          </a:extLst>
        </xdr:cNvPr>
        <xdr:cNvSpPr/>
      </xdr:nvSpPr>
      <xdr:spPr>
        <a:xfrm rot="10800000">
          <a:off x="1908048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699</xdr:row>
      <xdr:rowOff>0</xdr:rowOff>
    </xdr:from>
    <xdr:to>
      <xdr:col>71</xdr:col>
      <xdr:colOff>83820</xdr:colOff>
      <xdr:row>699</xdr:row>
      <xdr:rowOff>114300</xdr:rowOff>
    </xdr:to>
    <xdr:sp macro="" textlink="">
      <xdr:nvSpPr>
        <xdr:cNvPr id="5146" name="Arrow: Down 5145">
          <a:extLst>
            <a:ext uri="{FF2B5EF4-FFF2-40B4-BE49-F238E27FC236}">
              <a16:creationId xmlns:a16="http://schemas.microsoft.com/office/drawing/2014/main" id="{F46EE3E8-6AC0-4BB8-9F50-6DA0AFFBA0C1}"/>
            </a:ext>
          </a:extLst>
        </xdr:cNvPr>
        <xdr:cNvSpPr/>
      </xdr:nvSpPr>
      <xdr:spPr>
        <a:xfrm rot="10800000">
          <a:off x="2196084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700</xdr:row>
      <xdr:rowOff>0</xdr:rowOff>
    </xdr:from>
    <xdr:to>
      <xdr:col>45</xdr:col>
      <xdr:colOff>83820</xdr:colOff>
      <xdr:row>700</xdr:row>
      <xdr:rowOff>114300</xdr:rowOff>
    </xdr:to>
    <xdr:sp macro="" textlink="">
      <xdr:nvSpPr>
        <xdr:cNvPr id="5154" name="Arrow: Down 5153">
          <a:extLst>
            <a:ext uri="{FF2B5EF4-FFF2-40B4-BE49-F238E27FC236}">
              <a16:creationId xmlns:a16="http://schemas.microsoft.com/office/drawing/2014/main" id="{193D334A-566A-46EB-9D91-9A2EF5141615}"/>
            </a:ext>
          </a:extLst>
        </xdr:cNvPr>
        <xdr:cNvSpPr/>
      </xdr:nvSpPr>
      <xdr:spPr>
        <a:xfrm rot="10800000">
          <a:off x="13403580" y="127932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700</xdr:row>
      <xdr:rowOff>0</xdr:rowOff>
    </xdr:from>
    <xdr:to>
      <xdr:col>24</xdr:col>
      <xdr:colOff>83820</xdr:colOff>
      <xdr:row>700</xdr:row>
      <xdr:rowOff>114300</xdr:rowOff>
    </xdr:to>
    <xdr:sp macro="" textlink="">
      <xdr:nvSpPr>
        <xdr:cNvPr id="5157" name="Arrow: Down 5156">
          <a:extLst>
            <a:ext uri="{FF2B5EF4-FFF2-40B4-BE49-F238E27FC236}">
              <a16:creationId xmlns:a16="http://schemas.microsoft.com/office/drawing/2014/main" id="{A1CD2D3A-DAC3-4C44-BF90-925CD8DCD452}"/>
            </a:ext>
          </a:extLst>
        </xdr:cNvPr>
        <xdr:cNvSpPr/>
      </xdr:nvSpPr>
      <xdr:spPr>
        <a:xfrm rot="10800000">
          <a:off x="833628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700</xdr:row>
      <xdr:rowOff>0</xdr:rowOff>
    </xdr:from>
    <xdr:to>
      <xdr:col>11</xdr:col>
      <xdr:colOff>83820</xdr:colOff>
      <xdr:row>700</xdr:row>
      <xdr:rowOff>114300</xdr:rowOff>
    </xdr:to>
    <xdr:sp macro="" textlink="">
      <xdr:nvSpPr>
        <xdr:cNvPr id="5158" name="Arrow: Down 5157">
          <a:extLst>
            <a:ext uri="{FF2B5EF4-FFF2-40B4-BE49-F238E27FC236}">
              <a16:creationId xmlns:a16="http://schemas.microsoft.com/office/drawing/2014/main" id="{E11BE1DA-48E6-4651-ABAA-DF116C004687}"/>
            </a:ext>
          </a:extLst>
        </xdr:cNvPr>
        <xdr:cNvSpPr/>
      </xdr:nvSpPr>
      <xdr:spPr>
        <a:xfrm rot="10800000">
          <a:off x="369570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700</xdr:row>
      <xdr:rowOff>0</xdr:rowOff>
    </xdr:from>
    <xdr:to>
      <xdr:col>5</xdr:col>
      <xdr:colOff>83820</xdr:colOff>
      <xdr:row>700</xdr:row>
      <xdr:rowOff>114300</xdr:rowOff>
    </xdr:to>
    <xdr:sp macro="" textlink="">
      <xdr:nvSpPr>
        <xdr:cNvPr id="5160" name="Arrow: Down 5159">
          <a:extLst>
            <a:ext uri="{FF2B5EF4-FFF2-40B4-BE49-F238E27FC236}">
              <a16:creationId xmlns:a16="http://schemas.microsoft.com/office/drawing/2014/main" id="{B1D10372-7195-49E6-AB23-CDC8D4292F02}"/>
            </a:ext>
          </a:extLst>
        </xdr:cNvPr>
        <xdr:cNvSpPr/>
      </xdr:nvSpPr>
      <xdr:spPr>
        <a:xfrm rot="10800000">
          <a:off x="192786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700</xdr:row>
      <xdr:rowOff>0</xdr:rowOff>
    </xdr:from>
    <xdr:to>
      <xdr:col>60</xdr:col>
      <xdr:colOff>83820</xdr:colOff>
      <xdr:row>700</xdr:row>
      <xdr:rowOff>114300</xdr:rowOff>
    </xdr:to>
    <xdr:sp macro="" textlink="">
      <xdr:nvSpPr>
        <xdr:cNvPr id="5167" name="Arrow: Down 5166">
          <a:extLst>
            <a:ext uri="{FF2B5EF4-FFF2-40B4-BE49-F238E27FC236}">
              <a16:creationId xmlns:a16="http://schemas.microsoft.com/office/drawing/2014/main" id="{048CA84D-7F2E-4DA3-B951-34ED431FCB2A}"/>
            </a:ext>
          </a:extLst>
        </xdr:cNvPr>
        <xdr:cNvSpPr/>
      </xdr:nvSpPr>
      <xdr:spPr>
        <a:xfrm rot="10800000">
          <a:off x="1908048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700</xdr:row>
      <xdr:rowOff>0</xdr:rowOff>
    </xdr:from>
    <xdr:to>
      <xdr:col>71</xdr:col>
      <xdr:colOff>83820</xdr:colOff>
      <xdr:row>700</xdr:row>
      <xdr:rowOff>114300</xdr:rowOff>
    </xdr:to>
    <xdr:sp macro="" textlink="">
      <xdr:nvSpPr>
        <xdr:cNvPr id="5170" name="Arrow: Down 5169">
          <a:extLst>
            <a:ext uri="{FF2B5EF4-FFF2-40B4-BE49-F238E27FC236}">
              <a16:creationId xmlns:a16="http://schemas.microsoft.com/office/drawing/2014/main" id="{6751D577-00C8-4F18-B0A1-0DC68850F627}"/>
            </a:ext>
          </a:extLst>
        </xdr:cNvPr>
        <xdr:cNvSpPr/>
      </xdr:nvSpPr>
      <xdr:spPr>
        <a:xfrm rot="10800000">
          <a:off x="2196084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701</xdr:row>
      <xdr:rowOff>0</xdr:rowOff>
    </xdr:from>
    <xdr:to>
      <xdr:col>64</xdr:col>
      <xdr:colOff>83820</xdr:colOff>
      <xdr:row>701</xdr:row>
      <xdr:rowOff>114300</xdr:rowOff>
    </xdr:to>
    <xdr:sp macro="" textlink="">
      <xdr:nvSpPr>
        <xdr:cNvPr id="5200" name="Arrow: Down 5199">
          <a:extLst>
            <a:ext uri="{FF2B5EF4-FFF2-40B4-BE49-F238E27FC236}">
              <a16:creationId xmlns:a16="http://schemas.microsoft.com/office/drawing/2014/main" id="{D684488D-F7B2-46E6-A1B1-AC0CBA866133}"/>
            </a:ext>
          </a:extLst>
        </xdr:cNvPr>
        <xdr:cNvSpPr/>
      </xdr:nvSpPr>
      <xdr:spPr>
        <a:xfrm rot="10800000">
          <a:off x="1908048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700</xdr:row>
      <xdr:rowOff>0</xdr:rowOff>
    </xdr:from>
    <xdr:to>
      <xdr:col>39</xdr:col>
      <xdr:colOff>83820</xdr:colOff>
      <xdr:row>700</xdr:row>
      <xdr:rowOff>114300</xdr:rowOff>
    </xdr:to>
    <xdr:sp macro="" textlink="">
      <xdr:nvSpPr>
        <xdr:cNvPr id="5208" name="Arrow: Down 5207">
          <a:extLst>
            <a:ext uri="{FF2B5EF4-FFF2-40B4-BE49-F238E27FC236}">
              <a16:creationId xmlns:a16="http://schemas.microsoft.com/office/drawing/2014/main" id="{9BAD74F8-51A4-428E-9F76-45C9FAB0A4DC}"/>
            </a:ext>
          </a:extLst>
        </xdr:cNvPr>
        <xdr:cNvSpPr/>
      </xdr:nvSpPr>
      <xdr:spPr>
        <a:xfrm>
          <a:off x="11544300" y="12811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701</xdr:row>
      <xdr:rowOff>0</xdr:rowOff>
    </xdr:from>
    <xdr:to>
      <xdr:col>45</xdr:col>
      <xdr:colOff>83820</xdr:colOff>
      <xdr:row>701</xdr:row>
      <xdr:rowOff>114300</xdr:rowOff>
    </xdr:to>
    <xdr:sp macro="" textlink="">
      <xdr:nvSpPr>
        <xdr:cNvPr id="5235" name="Arrow: Down 5234">
          <a:extLst>
            <a:ext uri="{FF2B5EF4-FFF2-40B4-BE49-F238E27FC236}">
              <a16:creationId xmlns:a16="http://schemas.microsoft.com/office/drawing/2014/main" id="{2449551A-26F9-4B7A-B90A-2661A49820A1}"/>
            </a:ext>
          </a:extLst>
        </xdr:cNvPr>
        <xdr:cNvSpPr/>
      </xdr:nvSpPr>
      <xdr:spPr>
        <a:xfrm rot="10800000">
          <a:off x="13403580" y="128115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701</xdr:row>
      <xdr:rowOff>0</xdr:rowOff>
    </xdr:from>
    <xdr:to>
      <xdr:col>71</xdr:col>
      <xdr:colOff>83820</xdr:colOff>
      <xdr:row>701</xdr:row>
      <xdr:rowOff>114300</xdr:rowOff>
    </xdr:to>
    <xdr:sp macro="" textlink="">
      <xdr:nvSpPr>
        <xdr:cNvPr id="5244" name="Arrow: Down 5243">
          <a:extLst>
            <a:ext uri="{FF2B5EF4-FFF2-40B4-BE49-F238E27FC236}">
              <a16:creationId xmlns:a16="http://schemas.microsoft.com/office/drawing/2014/main" id="{E0985202-63E5-45E8-BE80-F7153AAE9AA5}"/>
            </a:ext>
          </a:extLst>
        </xdr:cNvPr>
        <xdr:cNvSpPr/>
      </xdr:nvSpPr>
      <xdr:spPr>
        <a:xfrm rot="10800000">
          <a:off x="21960840" y="12811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701</xdr:row>
      <xdr:rowOff>0</xdr:rowOff>
    </xdr:from>
    <xdr:to>
      <xdr:col>39</xdr:col>
      <xdr:colOff>83820</xdr:colOff>
      <xdr:row>701</xdr:row>
      <xdr:rowOff>114300</xdr:rowOff>
    </xdr:to>
    <xdr:sp macro="" textlink="">
      <xdr:nvSpPr>
        <xdr:cNvPr id="5245" name="Arrow: Down 5244">
          <a:extLst>
            <a:ext uri="{FF2B5EF4-FFF2-40B4-BE49-F238E27FC236}">
              <a16:creationId xmlns:a16="http://schemas.microsoft.com/office/drawing/2014/main" id="{F16EB9FC-A30D-444F-ADFD-3D1F084D33D1}"/>
            </a:ext>
          </a:extLst>
        </xdr:cNvPr>
        <xdr:cNvSpPr/>
      </xdr:nvSpPr>
      <xdr:spPr>
        <a:xfrm>
          <a:off x="11544300" y="12811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701</xdr:row>
      <xdr:rowOff>0</xdr:rowOff>
    </xdr:from>
    <xdr:to>
      <xdr:col>60</xdr:col>
      <xdr:colOff>83820</xdr:colOff>
      <xdr:row>701</xdr:row>
      <xdr:rowOff>114300</xdr:rowOff>
    </xdr:to>
    <xdr:sp macro="" textlink="">
      <xdr:nvSpPr>
        <xdr:cNvPr id="5247" name="Arrow: Down 5246">
          <a:extLst>
            <a:ext uri="{FF2B5EF4-FFF2-40B4-BE49-F238E27FC236}">
              <a16:creationId xmlns:a16="http://schemas.microsoft.com/office/drawing/2014/main" id="{F7F215F5-C5D7-42B1-88F3-A32FD9F4DD4A}"/>
            </a:ext>
          </a:extLst>
        </xdr:cNvPr>
        <xdr:cNvSpPr/>
      </xdr:nvSpPr>
      <xdr:spPr>
        <a:xfrm>
          <a:off x="1908048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701</xdr:row>
      <xdr:rowOff>0</xdr:rowOff>
    </xdr:from>
    <xdr:to>
      <xdr:col>5</xdr:col>
      <xdr:colOff>83820</xdr:colOff>
      <xdr:row>701</xdr:row>
      <xdr:rowOff>114300</xdr:rowOff>
    </xdr:to>
    <xdr:sp macro="" textlink="">
      <xdr:nvSpPr>
        <xdr:cNvPr id="5251" name="Arrow: Down 5250">
          <a:extLst>
            <a:ext uri="{FF2B5EF4-FFF2-40B4-BE49-F238E27FC236}">
              <a16:creationId xmlns:a16="http://schemas.microsoft.com/office/drawing/2014/main" id="{88FA568A-C835-438A-94E2-B74F45EF1C5E}"/>
            </a:ext>
          </a:extLst>
        </xdr:cNvPr>
        <xdr:cNvSpPr/>
      </xdr:nvSpPr>
      <xdr:spPr>
        <a:xfrm>
          <a:off x="192786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701</xdr:row>
      <xdr:rowOff>0</xdr:rowOff>
    </xdr:from>
    <xdr:to>
      <xdr:col>11</xdr:col>
      <xdr:colOff>83820</xdr:colOff>
      <xdr:row>701</xdr:row>
      <xdr:rowOff>114300</xdr:rowOff>
    </xdr:to>
    <xdr:sp macro="" textlink="">
      <xdr:nvSpPr>
        <xdr:cNvPr id="5257" name="Arrow: Down 5256">
          <a:extLst>
            <a:ext uri="{FF2B5EF4-FFF2-40B4-BE49-F238E27FC236}">
              <a16:creationId xmlns:a16="http://schemas.microsoft.com/office/drawing/2014/main" id="{65A51C5F-1E19-4D83-8E74-8ABB64B25D25}"/>
            </a:ext>
          </a:extLst>
        </xdr:cNvPr>
        <xdr:cNvSpPr/>
      </xdr:nvSpPr>
      <xdr:spPr>
        <a:xfrm>
          <a:off x="369570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701</xdr:row>
      <xdr:rowOff>0</xdr:rowOff>
    </xdr:from>
    <xdr:to>
      <xdr:col>24</xdr:col>
      <xdr:colOff>83820</xdr:colOff>
      <xdr:row>701</xdr:row>
      <xdr:rowOff>114300</xdr:rowOff>
    </xdr:to>
    <xdr:sp macro="" textlink="">
      <xdr:nvSpPr>
        <xdr:cNvPr id="5258" name="Arrow: Down 5257">
          <a:extLst>
            <a:ext uri="{FF2B5EF4-FFF2-40B4-BE49-F238E27FC236}">
              <a16:creationId xmlns:a16="http://schemas.microsoft.com/office/drawing/2014/main" id="{DC2C7EA2-5AED-44E3-B524-1817A2BBF92D}"/>
            </a:ext>
          </a:extLst>
        </xdr:cNvPr>
        <xdr:cNvSpPr/>
      </xdr:nvSpPr>
      <xdr:spPr>
        <a:xfrm>
          <a:off x="833628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702</xdr:row>
      <xdr:rowOff>0</xdr:rowOff>
    </xdr:from>
    <xdr:to>
      <xdr:col>64</xdr:col>
      <xdr:colOff>83820</xdr:colOff>
      <xdr:row>702</xdr:row>
      <xdr:rowOff>114300</xdr:rowOff>
    </xdr:to>
    <xdr:sp macro="" textlink="">
      <xdr:nvSpPr>
        <xdr:cNvPr id="5295" name="Arrow: Down 5294">
          <a:extLst>
            <a:ext uri="{FF2B5EF4-FFF2-40B4-BE49-F238E27FC236}">
              <a16:creationId xmlns:a16="http://schemas.microsoft.com/office/drawing/2014/main" id="{7C21B3F0-FE0A-4747-AAD5-629988E7E558}"/>
            </a:ext>
          </a:extLst>
        </xdr:cNvPr>
        <xdr:cNvSpPr/>
      </xdr:nvSpPr>
      <xdr:spPr>
        <a:xfrm rot="10800000">
          <a:off x="19347180" y="1282979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702</xdr:row>
      <xdr:rowOff>0</xdr:rowOff>
    </xdr:from>
    <xdr:to>
      <xdr:col>45</xdr:col>
      <xdr:colOff>83820</xdr:colOff>
      <xdr:row>702</xdr:row>
      <xdr:rowOff>114300</xdr:rowOff>
    </xdr:to>
    <xdr:sp macro="" textlink="">
      <xdr:nvSpPr>
        <xdr:cNvPr id="5297" name="Arrow: Down 5296">
          <a:extLst>
            <a:ext uri="{FF2B5EF4-FFF2-40B4-BE49-F238E27FC236}">
              <a16:creationId xmlns:a16="http://schemas.microsoft.com/office/drawing/2014/main" id="{878AB16E-B879-456F-801B-1EA994F8E878}"/>
            </a:ext>
          </a:extLst>
        </xdr:cNvPr>
        <xdr:cNvSpPr/>
      </xdr:nvSpPr>
      <xdr:spPr>
        <a:xfrm rot="10800000">
          <a:off x="13403580" y="128297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702</xdr:row>
      <xdr:rowOff>0</xdr:rowOff>
    </xdr:from>
    <xdr:to>
      <xdr:col>71</xdr:col>
      <xdr:colOff>83820</xdr:colOff>
      <xdr:row>702</xdr:row>
      <xdr:rowOff>114300</xdr:rowOff>
    </xdr:to>
    <xdr:sp macro="" textlink="">
      <xdr:nvSpPr>
        <xdr:cNvPr id="5299" name="Arrow: Down 5298">
          <a:extLst>
            <a:ext uri="{FF2B5EF4-FFF2-40B4-BE49-F238E27FC236}">
              <a16:creationId xmlns:a16="http://schemas.microsoft.com/office/drawing/2014/main" id="{5E2E69EB-1E94-44A0-8919-B8BC2BF8F5A1}"/>
            </a:ext>
          </a:extLst>
        </xdr:cNvPr>
        <xdr:cNvSpPr/>
      </xdr:nvSpPr>
      <xdr:spPr>
        <a:xfrm rot="10800000">
          <a:off x="21960840" y="1282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702</xdr:row>
      <xdr:rowOff>0</xdr:rowOff>
    </xdr:from>
    <xdr:to>
      <xdr:col>39</xdr:col>
      <xdr:colOff>83820</xdr:colOff>
      <xdr:row>702</xdr:row>
      <xdr:rowOff>114300</xdr:rowOff>
    </xdr:to>
    <xdr:sp macro="" textlink="">
      <xdr:nvSpPr>
        <xdr:cNvPr id="5301" name="Arrow: Down 5300">
          <a:extLst>
            <a:ext uri="{FF2B5EF4-FFF2-40B4-BE49-F238E27FC236}">
              <a16:creationId xmlns:a16="http://schemas.microsoft.com/office/drawing/2014/main" id="{F54E30DE-C56B-4E7B-9B16-36FEA9DE0357}"/>
            </a:ext>
          </a:extLst>
        </xdr:cNvPr>
        <xdr:cNvSpPr/>
      </xdr:nvSpPr>
      <xdr:spPr>
        <a:xfrm>
          <a:off x="11544300" y="1282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702</xdr:row>
      <xdr:rowOff>0</xdr:rowOff>
    </xdr:from>
    <xdr:to>
      <xdr:col>60</xdr:col>
      <xdr:colOff>83820</xdr:colOff>
      <xdr:row>702</xdr:row>
      <xdr:rowOff>114300</xdr:rowOff>
    </xdr:to>
    <xdr:sp macro="" textlink="">
      <xdr:nvSpPr>
        <xdr:cNvPr id="5302" name="Arrow: Down 5301">
          <a:extLst>
            <a:ext uri="{FF2B5EF4-FFF2-40B4-BE49-F238E27FC236}">
              <a16:creationId xmlns:a16="http://schemas.microsoft.com/office/drawing/2014/main" id="{44926EEA-786F-4D26-AF14-7DFB7EA47077}"/>
            </a:ext>
          </a:extLst>
        </xdr:cNvPr>
        <xdr:cNvSpPr/>
      </xdr:nvSpPr>
      <xdr:spPr>
        <a:xfrm>
          <a:off x="1908048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702</xdr:row>
      <xdr:rowOff>0</xdr:rowOff>
    </xdr:from>
    <xdr:to>
      <xdr:col>5</xdr:col>
      <xdr:colOff>83820</xdr:colOff>
      <xdr:row>702</xdr:row>
      <xdr:rowOff>114300</xdr:rowOff>
    </xdr:to>
    <xdr:sp macro="" textlink="">
      <xdr:nvSpPr>
        <xdr:cNvPr id="5303" name="Arrow: Down 5302">
          <a:extLst>
            <a:ext uri="{FF2B5EF4-FFF2-40B4-BE49-F238E27FC236}">
              <a16:creationId xmlns:a16="http://schemas.microsoft.com/office/drawing/2014/main" id="{440A125A-EA1D-4347-9AF0-938443F9272C}"/>
            </a:ext>
          </a:extLst>
        </xdr:cNvPr>
        <xdr:cNvSpPr/>
      </xdr:nvSpPr>
      <xdr:spPr>
        <a:xfrm>
          <a:off x="192786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702</xdr:row>
      <xdr:rowOff>0</xdr:rowOff>
    </xdr:from>
    <xdr:to>
      <xdr:col>11</xdr:col>
      <xdr:colOff>83820</xdr:colOff>
      <xdr:row>702</xdr:row>
      <xdr:rowOff>114300</xdr:rowOff>
    </xdr:to>
    <xdr:sp macro="" textlink="">
      <xdr:nvSpPr>
        <xdr:cNvPr id="5304" name="Arrow: Down 5303">
          <a:extLst>
            <a:ext uri="{FF2B5EF4-FFF2-40B4-BE49-F238E27FC236}">
              <a16:creationId xmlns:a16="http://schemas.microsoft.com/office/drawing/2014/main" id="{2AE5BA6F-D0A9-492B-B246-03819B553F29}"/>
            </a:ext>
          </a:extLst>
        </xdr:cNvPr>
        <xdr:cNvSpPr/>
      </xdr:nvSpPr>
      <xdr:spPr>
        <a:xfrm>
          <a:off x="369570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702</xdr:row>
      <xdr:rowOff>0</xdr:rowOff>
    </xdr:from>
    <xdr:to>
      <xdr:col>24</xdr:col>
      <xdr:colOff>83820</xdr:colOff>
      <xdr:row>702</xdr:row>
      <xdr:rowOff>114300</xdr:rowOff>
    </xdr:to>
    <xdr:sp macro="" textlink="">
      <xdr:nvSpPr>
        <xdr:cNvPr id="5305" name="Arrow: Down 5304">
          <a:extLst>
            <a:ext uri="{FF2B5EF4-FFF2-40B4-BE49-F238E27FC236}">
              <a16:creationId xmlns:a16="http://schemas.microsoft.com/office/drawing/2014/main" id="{32BB50EF-8D7B-49B9-BC99-B6357F7F57DA}"/>
            </a:ext>
          </a:extLst>
        </xdr:cNvPr>
        <xdr:cNvSpPr/>
      </xdr:nvSpPr>
      <xdr:spPr>
        <a:xfrm>
          <a:off x="833628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703</xdr:row>
      <xdr:rowOff>0</xdr:rowOff>
    </xdr:from>
    <xdr:to>
      <xdr:col>64</xdr:col>
      <xdr:colOff>83820</xdr:colOff>
      <xdr:row>703</xdr:row>
      <xdr:rowOff>114300</xdr:rowOff>
    </xdr:to>
    <xdr:sp macro="" textlink="">
      <xdr:nvSpPr>
        <xdr:cNvPr id="5307" name="Arrow: Down 5306">
          <a:extLst>
            <a:ext uri="{FF2B5EF4-FFF2-40B4-BE49-F238E27FC236}">
              <a16:creationId xmlns:a16="http://schemas.microsoft.com/office/drawing/2014/main" id="{8BEEA819-C3A9-4780-BF2C-66CA44A528FB}"/>
            </a:ext>
          </a:extLst>
        </xdr:cNvPr>
        <xdr:cNvSpPr/>
      </xdr:nvSpPr>
      <xdr:spPr>
        <a:xfrm rot="10800000">
          <a:off x="19347180" y="1284808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703</xdr:row>
      <xdr:rowOff>0</xdr:rowOff>
    </xdr:from>
    <xdr:to>
      <xdr:col>45</xdr:col>
      <xdr:colOff>83820</xdr:colOff>
      <xdr:row>703</xdr:row>
      <xdr:rowOff>114300</xdr:rowOff>
    </xdr:to>
    <xdr:sp macro="" textlink="">
      <xdr:nvSpPr>
        <xdr:cNvPr id="5308" name="Arrow: Down 5307">
          <a:extLst>
            <a:ext uri="{FF2B5EF4-FFF2-40B4-BE49-F238E27FC236}">
              <a16:creationId xmlns:a16="http://schemas.microsoft.com/office/drawing/2014/main" id="{F2A96B2B-BD1D-4170-BFBA-2BED501EDB16}"/>
            </a:ext>
          </a:extLst>
        </xdr:cNvPr>
        <xdr:cNvSpPr/>
      </xdr:nvSpPr>
      <xdr:spPr>
        <a:xfrm rot="10800000">
          <a:off x="13403580" y="128480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703</xdr:row>
      <xdr:rowOff>0</xdr:rowOff>
    </xdr:from>
    <xdr:to>
      <xdr:col>71</xdr:col>
      <xdr:colOff>83820</xdr:colOff>
      <xdr:row>703</xdr:row>
      <xdr:rowOff>114300</xdr:rowOff>
    </xdr:to>
    <xdr:sp macro="" textlink="">
      <xdr:nvSpPr>
        <xdr:cNvPr id="5309" name="Arrow: Down 5308">
          <a:extLst>
            <a:ext uri="{FF2B5EF4-FFF2-40B4-BE49-F238E27FC236}">
              <a16:creationId xmlns:a16="http://schemas.microsoft.com/office/drawing/2014/main" id="{202675BE-668A-4F2A-9CC3-44E3E9D76E0A}"/>
            </a:ext>
          </a:extLst>
        </xdr:cNvPr>
        <xdr:cNvSpPr/>
      </xdr:nvSpPr>
      <xdr:spPr>
        <a:xfrm rot="10800000">
          <a:off x="21960840" y="1284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703</xdr:row>
      <xdr:rowOff>0</xdr:rowOff>
    </xdr:from>
    <xdr:to>
      <xdr:col>39</xdr:col>
      <xdr:colOff>83820</xdr:colOff>
      <xdr:row>703</xdr:row>
      <xdr:rowOff>114300</xdr:rowOff>
    </xdr:to>
    <xdr:sp macro="" textlink="">
      <xdr:nvSpPr>
        <xdr:cNvPr id="5310" name="Arrow: Down 5309">
          <a:extLst>
            <a:ext uri="{FF2B5EF4-FFF2-40B4-BE49-F238E27FC236}">
              <a16:creationId xmlns:a16="http://schemas.microsoft.com/office/drawing/2014/main" id="{144FF7F3-8DCF-4800-909E-CDBCB83CB97F}"/>
            </a:ext>
          </a:extLst>
        </xdr:cNvPr>
        <xdr:cNvSpPr/>
      </xdr:nvSpPr>
      <xdr:spPr>
        <a:xfrm>
          <a:off x="11544300" y="1284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703</xdr:row>
      <xdr:rowOff>0</xdr:rowOff>
    </xdr:from>
    <xdr:to>
      <xdr:col>5</xdr:col>
      <xdr:colOff>83820</xdr:colOff>
      <xdr:row>703</xdr:row>
      <xdr:rowOff>114300</xdr:rowOff>
    </xdr:to>
    <xdr:sp macro="" textlink="">
      <xdr:nvSpPr>
        <xdr:cNvPr id="5312" name="Arrow: Down 5311">
          <a:extLst>
            <a:ext uri="{FF2B5EF4-FFF2-40B4-BE49-F238E27FC236}">
              <a16:creationId xmlns:a16="http://schemas.microsoft.com/office/drawing/2014/main" id="{98114F9B-EE7F-4649-BC06-C005DC8E86BB}"/>
            </a:ext>
          </a:extLst>
        </xdr:cNvPr>
        <xdr:cNvSpPr/>
      </xdr:nvSpPr>
      <xdr:spPr>
        <a:xfrm>
          <a:off x="1927860" y="1284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703</xdr:row>
      <xdr:rowOff>0</xdr:rowOff>
    </xdr:from>
    <xdr:to>
      <xdr:col>11</xdr:col>
      <xdr:colOff>83820</xdr:colOff>
      <xdr:row>703</xdr:row>
      <xdr:rowOff>114300</xdr:rowOff>
    </xdr:to>
    <xdr:sp macro="" textlink="">
      <xdr:nvSpPr>
        <xdr:cNvPr id="5313" name="Arrow: Down 5312">
          <a:extLst>
            <a:ext uri="{FF2B5EF4-FFF2-40B4-BE49-F238E27FC236}">
              <a16:creationId xmlns:a16="http://schemas.microsoft.com/office/drawing/2014/main" id="{BF436A6F-D513-417B-9C7E-E4FEC029626D}"/>
            </a:ext>
          </a:extLst>
        </xdr:cNvPr>
        <xdr:cNvSpPr/>
      </xdr:nvSpPr>
      <xdr:spPr>
        <a:xfrm>
          <a:off x="3695700" y="1284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703</xdr:row>
      <xdr:rowOff>0</xdr:rowOff>
    </xdr:from>
    <xdr:to>
      <xdr:col>24</xdr:col>
      <xdr:colOff>83820</xdr:colOff>
      <xdr:row>703</xdr:row>
      <xdr:rowOff>114300</xdr:rowOff>
    </xdr:to>
    <xdr:sp macro="" textlink="">
      <xdr:nvSpPr>
        <xdr:cNvPr id="5314" name="Arrow: Down 5313">
          <a:extLst>
            <a:ext uri="{FF2B5EF4-FFF2-40B4-BE49-F238E27FC236}">
              <a16:creationId xmlns:a16="http://schemas.microsoft.com/office/drawing/2014/main" id="{A2C4E405-D565-463B-90E7-1B96126854E7}"/>
            </a:ext>
          </a:extLst>
        </xdr:cNvPr>
        <xdr:cNvSpPr/>
      </xdr:nvSpPr>
      <xdr:spPr>
        <a:xfrm>
          <a:off x="8336280" y="1284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703</xdr:row>
      <xdr:rowOff>0</xdr:rowOff>
    </xdr:from>
    <xdr:to>
      <xdr:col>60</xdr:col>
      <xdr:colOff>83820</xdr:colOff>
      <xdr:row>703</xdr:row>
      <xdr:rowOff>114300</xdr:rowOff>
    </xdr:to>
    <xdr:sp macro="" textlink="">
      <xdr:nvSpPr>
        <xdr:cNvPr id="5316" name="Arrow: Down 5315">
          <a:extLst>
            <a:ext uri="{FF2B5EF4-FFF2-40B4-BE49-F238E27FC236}">
              <a16:creationId xmlns:a16="http://schemas.microsoft.com/office/drawing/2014/main" id="{2635F4BE-F939-4E60-8EAC-424E953EE32E}"/>
            </a:ext>
          </a:extLst>
        </xdr:cNvPr>
        <xdr:cNvSpPr/>
      </xdr:nvSpPr>
      <xdr:spPr>
        <a:xfrm rot="10800000">
          <a:off x="19080480" y="12866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704</xdr:row>
      <xdr:rowOff>0</xdr:rowOff>
    </xdr:from>
    <xdr:to>
      <xdr:col>64</xdr:col>
      <xdr:colOff>83820</xdr:colOff>
      <xdr:row>704</xdr:row>
      <xdr:rowOff>114300</xdr:rowOff>
    </xdr:to>
    <xdr:sp macro="" textlink="">
      <xdr:nvSpPr>
        <xdr:cNvPr id="5318" name="Arrow: Down 5317">
          <a:extLst>
            <a:ext uri="{FF2B5EF4-FFF2-40B4-BE49-F238E27FC236}">
              <a16:creationId xmlns:a16="http://schemas.microsoft.com/office/drawing/2014/main" id="{304439C1-46B0-423E-9C33-DF6D4BA2FD7B}"/>
            </a:ext>
          </a:extLst>
        </xdr:cNvPr>
        <xdr:cNvSpPr/>
      </xdr:nvSpPr>
      <xdr:spPr>
        <a:xfrm rot="10800000">
          <a:off x="19347180" y="1286637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704</xdr:row>
      <xdr:rowOff>0</xdr:rowOff>
    </xdr:from>
    <xdr:to>
      <xdr:col>45</xdr:col>
      <xdr:colOff>83820</xdr:colOff>
      <xdr:row>704</xdr:row>
      <xdr:rowOff>114300</xdr:rowOff>
    </xdr:to>
    <xdr:sp macro="" textlink="">
      <xdr:nvSpPr>
        <xdr:cNvPr id="5319" name="Arrow: Down 5318">
          <a:extLst>
            <a:ext uri="{FF2B5EF4-FFF2-40B4-BE49-F238E27FC236}">
              <a16:creationId xmlns:a16="http://schemas.microsoft.com/office/drawing/2014/main" id="{54E1E6DC-3DB1-4DC6-8350-D8E3A8A90020}"/>
            </a:ext>
          </a:extLst>
        </xdr:cNvPr>
        <xdr:cNvSpPr/>
      </xdr:nvSpPr>
      <xdr:spPr>
        <a:xfrm rot="10800000">
          <a:off x="13403580" y="128663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704</xdr:row>
      <xdr:rowOff>0</xdr:rowOff>
    </xdr:from>
    <xdr:to>
      <xdr:col>71</xdr:col>
      <xdr:colOff>83820</xdr:colOff>
      <xdr:row>704</xdr:row>
      <xdr:rowOff>114300</xdr:rowOff>
    </xdr:to>
    <xdr:sp macro="" textlink="">
      <xdr:nvSpPr>
        <xdr:cNvPr id="5320" name="Arrow: Down 5319">
          <a:extLst>
            <a:ext uri="{FF2B5EF4-FFF2-40B4-BE49-F238E27FC236}">
              <a16:creationId xmlns:a16="http://schemas.microsoft.com/office/drawing/2014/main" id="{772AFD65-7A17-443E-8CED-21714A6A75EB}"/>
            </a:ext>
          </a:extLst>
        </xdr:cNvPr>
        <xdr:cNvSpPr/>
      </xdr:nvSpPr>
      <xdr:spPr>
        <a:xfrm rot="10800000">
          <a:off x="21960840" y="12866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704</xdr:row>
      <xdr:rowOff>0</xdr:rowOff>
    </xdr:from>
    <xdr:to>
      <xdr:col>39</xdr:col>
      <xdr:colOff>83820</xdr:colOff>
      <xdr:row>704</xdr:row>
      <xdr:rowOff>114300</xdr:rowOff>
    </xdr:to>
    <xdr:sp macro="" textlink="">
      <xdr:nvSpPr>
        <xdr:cNvPr id="5321" name="Arrow: Down 5320">
          <a:extLst>
            <a:ext uri="{FF2B5EF4-FFF2-40B4-BE49-F238E27FC236}">
              <a16:creationId xmlns:a16="http://schemas.microsoft.com/office/drawing/2014/main" id="{2F8D979E-8387-4097-9DCE-B9C3045E08DA}"/>
            </a:ext>
          </a:extLst>
        </xdr:cNvPr>
        <xdr:cNvSpPr/>
      </xdr:nvSpPr>
      <xdr:spPr>
        <a:xfrm>
          <a:off x="11544300" y="12866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704</xdr:row>
      <xdr:rowOff>0</xdr:rowOff>
    </xdr:from>
    <xdr:to>
      <xdr:col>5</xdr:col>
      <xdr:colOff>83820</xdr:colOff>
      <xdr:row>704</xdr:row>
      <xdr:rowOff>114300</xdr:rowOff>
    </xdr:to>
    <xdr:sp macro="" textlink="">
      <xdr:nvSpPr>
        <xdr:cNvPr id="5322" name="Arrow: Down 5321">
          <a:extLst>
            <a:ext uri="{FF2B5EF4-FFF2-40B4-BE49-F238E27FC236}">
              <a16:creationId xmlns:a16="http://schemas.microsoft.com/office/drawing/2014/main" id="{8BEE2A87-1954-4ED9-9F6D-00A437DE71D5}"/>
            </a:ext>
          </a:extLst>
        </xdr:cNvPr>
        <xdr:cNvSpPr/>
      </xdr:nvSpPr>
      <xdr:spPr>
        <a:xfrm>
          <a:off x="1927860" y="1286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704</xdr:row>
      <xdr:rowOff>0</xdr:rowOff>
    </xdr:from>
    <xdr:to>
      <xdr:col>11</xdr:col>
      <xdr:colOff>83820</xdr:colOff>
      <xdr:row>704</xdr:row>
      <xdr:rowOff>114300</xdr:rowOff>
    </xdr:to>
    <xdr:sp macro="" textlink="">
      <xdr:nvSpPr>
        <xdr:cNvPr id="5323" name="Arrow: Down 5322">
          <a:extLst>
            <a:ext uri="{FF2B5EF4-FFF2-40B4-BE49-F238E27FC236}">
              <a16:creationId xmlns:a16="http://schemas.microsoft.com/office/drawing/2014/main" id="{D68CF83A-204B-4865-A1B9-20B299277720}"/>
            </a:ext>
          </a:extLst>
        </xdr:cNvPr>
        <xdr:cNvSpPr/>
      </xdr:nvSpPr>
      <xdr:spPr>
        <a:xfrm>
          <a:off x="3695700" y="1286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704</xdr:row>
      <xdr:rowOff>0</xdr:rowOff>
    </xdr:from>
    <xdr:to>
      <xdr:col>24</xdr:col>
      <xdr:colOff>83820</xdr:colOff>
      <xdr:row>704</xdr:row>
      <xdr:rowOff>114300</xdr:rowOff>
    </xdr:to>
    <xdr:sp macro="" textlink="">
      <xdr:nvSpPr>
        <xdr:cNvPr id="5324" name="Arrow: Down 5323">
          <a:extLst>
            <a:ext uri="{FF2B5EF4-FFF2-40B4-BE49-F238E27FC236}">
              <a16:creationId xmlns:a16="http://schemas.microsoft.com/office/drawing/2014/main" id="{7BC7A635-E384-40C8-B11C-13651E4D65A5}"/>
            </a:ext>
          </a:extLst>
        </xdr:cNvPr>
        <xdr:cNvSpPr/>
      </xdr:nvSpPr>
      <xdr:spPr>
        <a:xfrm>
          <a:off x="8336280" y="1286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704</xdr:row>
      <xdr:rowOff>0</xdr:rowOff>
    </xdr:from>
    <xdr:to>
      <xdr:col>60</xdr:col>
      <xdr:colOff>83820</xdr:colOff>
      <xdr:row>704</xdr:row>
      <xdr:rowOff>114300</xdr:rowOff>
    </xdr:to>
    <xdr:sp macro="" textlink="">
      <xdr:nvSpPr>
        <xdr:cNvPr id="5326" name="Arrow: Down 5325">
          <a:extLst>
            <a:ext uri="{FF2B5EF4-FFF2-40B4-BE49-F238E27FC236}">
              <a16:creationId xmlns:a16="http://schemas.microsoft.com/office/drawing/2014/main" id="{B5B62951-5B4F-4918-A8BD-BA49E02591CD}"/>
            </a:ext>
          </a:extLst>
        </xdr:cNvPr>
        <xdr:cNvSpPr/>
      </xdr:nvSpPr>
      <xdr:spPr>
        <a:xfrm>
          <a:off x="19080480" y="1288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705</xdr:row>
      <xdr:rowOff>0</xdr:rowOff>
    </xdr:from>
    <xdr:to>
      <xdr:col>64</xdr:col>
      <xdr:colOff>83820</xdr:colOff>
      <xdr:row>705</xdr:row>
      <xdr:rowOff>114300</xdr:rowOff>
    </xdr:to>
    <xdr:sp macro="" textlink="">
      <xdr:nvSpPr>
        <xdr:cNvPr id="5327" name="Arrow: Down 5326">
          <a:extLst>
            <a:ext uri="{FF2B5EF4-FFF2-40B4-BE49-F238E27FC236}">
              <a16:creationId xmlns:a16="http://schemas.microsoft.com/office/drawing/2014/main" id="{0BE891CA-E9D5-42A1-ACA4-EF8695A2B875}"/>
            </a:ext>
          </a:extLst>
        </xdr:cNvPr>
        <xdr:cNvSpPr/>
      </xdr:nvSpPr>
      <xdr:spPr>
        <a:xfrm rot="10800000">
          <a:off x="19347180" y="1288465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705</xdr:row>
      <xdr:rowOff>0</xdr:rowOff>
    </xdr:from>
    <xdr:to>
      <xdr:col>45</xdr:col>
      <xdr:colOff>83820</xdr:colOff>
      <xdr:row>705</xdr:row>
      <xdr:rowOff>114300</xdr:rowOff>
    </xdr:to>
    <xdr:sp macro="" textlink="">
      <xdr:nvSpPr>
        <xdr:cNvPr id="5328" name="Arrow: Down 5327">
          <a:extLst>
            <a:ext uri="{FF2B5EF4-FFF2-40B4-BE49-F238E27FC236}">
              <a16:creationId xmlns:a16="http://schemas.microsoft.com/office/drawing/2014/main" id="{79EAC458-37BB-4EA4-9CF4-CFD41CC0E94C}"/>
            </a:ext>
          </a:extLst>
        </xdr:cNvPr>
        <xdr:cNvSpPr/>
      </xdr:nvSpPr>
      <xdr:spPr>
        <a:xfrm rot="10800000">
          <a:off x="13403580" y="128846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705</xdr:row>
      <xdr:rowOff>0</xdr:rowOff>
    </xdr:from>
    <xdr:to>
      <xdr:col>60</xdr:col>
      <xdr:colOff>83820</xdr:colOff>
      <xdr:row>705</xdr:row>
      <xdr:rowOff>114300</xdr:rowOff>
    </xdr:to>
    <xdr:sp macro="" textlink="">
      <xdr:nvSpPr>
        <xdr:cNvPr id="5334" name="Arrow: Down 5333">
          <a:extLst>
            <a:ext uri="{FF2B5EF4-FFF2-40B4-BE49-F238E27FC236}">
              <a16:creationId xmlns:a16="http://schemas.microsoft.com/office/drawing/2014/main" id="{17BE1087-950D-419E-8226-F7717F12385F}"/>
            </a:ext>
          </a:extLst>
        </xdr:cNvPr>
        <xdr:cNvSpPr/>
      </xdr:nvSpPr>
      <xdr:spPr>
        <a:xfrm>
          <a:off x="19080480" y="1288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705</xdr:row>
      <xdr:rowOff>0</xdr:rowOff>
    </xdr:from>
    <xdr:to>
      <xdr:col>71</xdr:col>
      <xdr:colOff>83820</xdr:colOff>
      <xdr:row>705</xdr:row>
      <xdr:rowOff>114300</xdr:rowOff>
    </xdr:to>
    <xdr:sp macro="" textlink="">
      <xdr:nvSpPr>
        <xdr:cNvPr id="5336" name="Arrow: Down 5335">
          <a:extLst>
            <a:ext uri="{FF2B5EF4-FFF2-40B4-BE49-F238E27FC236}">
              <a16:creationId xmlns:a16="http://schemas.microsoft.com/office/drawing/2014/main" id="{09E79651-BB45-4466-8334-F391C49F5D88}"/>
            </a:ext>
          </a:extLst>
        </xdr:cNvPr>
        <xdr:cNvSpPr/>
      </xdr:nvSpPr>
      <xdr:spPr>
        <a:xfrm>
          <a:off x="21960840" y="1290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705</xdr:row>
      <xdr:rowOff>0</xdr:rowOff>
    </xdr:from>
    <xdr:to>
      <xdr:col>5</xdr:col>
      <xdr:colOff>83820</xdr:colOff>
      <xdr:row>705</xdr:row>
      <xdr:rowOff>114300</xdr:rowOff>
    </xdr:to>
    <xdr:sp macro="" textlink="">
      <xdr:nvSpPr>
        <xdr:cNvPr id="5338" name="Arrow: Down 5337">
          <a:extLst>
            <a:ext uri="{FF2B5EF4-FFF2-40B4-BE49-F238E27FC236}">
              <a16:creationId xmlns:a16="http://schemas.microsoft.com/office/drawing/2014/main" id="{4CA8786E-A095-4D9A-826B-FC82D9025641}"/>
            </a:ext>
          </a:extLst>
        </xdr:cNvPr>
        <xdr:cNvSpPr/>
      </xdr:nvSpPr>
      <xdr:spPr>
        <a:xfrm rot="10800000">
          <a:off x="192786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705</xdr:row>
      <xdr:rowOff>0</xdr:rowOff>
    </xdr:from>
    <xdr:to>
      <xdr:col>11</xdr:col>
      <xdr:colOff>83820</xdr:colOff>
      <xdr:row>705</xdr:row>
      <xdr:rowOff>114300</xdr:rowOff>
    </xdr:to>
    <xdr:sp macro="" textlink="">
      <xdr:nvSpPr>
        <xdr:cNvPr id="5340" name="Arrow: Down 5339">
          <a:extLst>
            <a:ext uri="{FF2B5EF4-FFF2-40B4-BE49-F238E27FC236}">
              <a16:creationId xmlns:a16="http://schemas.microsoft.com/office/drawing/2014/main" id="{6B4354DE-5C1D-40F8-BD31-76EDE1DA578B}"/>
            </a:ext>
          </a:extLst>
        </xdr:cNvPr>
        <xdr:cNvSpPr/>
      </xdr:nvSpPr>
      <xdr:spPr>
        <a:xfrm rot="10800000">
          <a:off x="369570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705</xdr:row>
      <xdr:rowOff>0</xdr:rowOff>
    </xdr:from>
    <xdr:to>
      <xdr:col>24</xdr:col>
      <xdr:colOff>83820</xdr:colOff>
      <xdr:row>705</xdr:row>
      <xdr:rowOff>114300</xdr:rowOff>
    </xdr:to>
    <xdr:sp macro="" textlink="">
      <xdr:nvSpPr>
        <xdr:cNvPr id="5342" name="Arrow: Down 5341">
          <a:extLst>
            <a:ext uri="{FF2B5EF4-FFF2-40B4-BE49-F238E27FC236}">
              <a16:creationId xmlns:a16="http://schemas.microsoft.com/office/drawing/2014/main" id="{81289CCB-7C3F-4CF0-A1F8-BA4D339215EF}"/>
            </a:ext>
          </a:extLst>
        </xdr:cNvPr>
        <xdr:cNvSpPr/>
      </xdr:nvSpPr>
      <xdr:spPr>
        <a:xfrm rot="10800000">
          <a:off x="833628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705</xdr:row>
      <xdr:rowOff>0</xdr:rowOff>
    </xdr:from>
    <xdr:to>
      <xdr:col>39</xdr:col>
      <xdr:colOff>83820</xdr:colOff>
      <xdr:row>705</xdr:row>
      <xdr:rowOff>114300</xdr:rowOff>
    </xdr:to>
    <xdr:sp macro="" textlink="">
      <xdr:nvSpPr>
        <xdr:cNvPr id="5344" name="Arrow: Down 5343">
          <a:extLst>
            <a:ext uri="{FF2B5EF4-FFF2-40B4-BE49-F238E27FC236}">
              <a16:creationId xmlns:a16="http://schemas.microsoft.com/office/drawing/2014/main" id="{C7ED1ED6-D24B-4535-A50C-6DE89994C9A3}"/>
            </a:ext>
          </a:extLst>
        </xdr:cNvPr>
        <xdr:cNvSpPr/>
      </xdr:nvSpPr>
      <xdr:spPr>
        <a:xfrm rot="10800000">
          <a:off x="11544300" y="1290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706</xdr:row>
      <xdr:rowOff>0</xdr:rowOff>
    </xdr:from>
    <xdr:to>
      <xdr:col>64</xdr:col>
      <xdr:colOff>83820</xdr:colOff>
      <xdr:row>706</xdr:row>
      <xdr:rowOff>114300</xdr:rowOff>
    </xdr:to>
    <xdr:sp macro="" textlink="">
      <xdr:nvSpPr>
        <xdr:cNvPr id="5345" name="Arrow: Down 5344">
          <a:extLst>
            <a:ext uri="{FF2B5EF4-FFF2-40B4-BE49-F238E27FC236}">
              <a16:creationId xmlns:a16="http://schemas.microsoft.com/office/drawing/2014/main" id="{0BAC868D-6E07-4329-B8BB-0FB6C485B9B0}"/>
            </a:ext>
          </a:extLst>
        </xdr:cNvPr>
        <xdr:cNvSpPr/>
      </xdr:nvSpPr>
      <xdr:spPr>
        <a:xfrm rot="10800000">
          <a:off x="19347180" y="1290294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706</xdr:row>
      <xdr:rowOff>0</xdr:rowOff>
    </xdr:from>
    <xdr:to>
      <xdr:col>45</xdr:col>
      <xdr:colOff>83820</xdr:colOff>
      <xdr:row>706</xdr:row>
      <xdr:rowOff>114300</xdr:rowOff>
    </xdr:to>
    <xdr:sp macro="" textlink="">
      <xdr:nvSpPr>
        <xdr:cNvPr id="5346" name="Arrow: Down 5345">
          <a:extLst>
            <a:ext uri="{FF2B5EF4-FFF2-40B4-BE49-F238E27FC236}">
              <a16:creationId xmlns:a16="http://schemas.microsoft.com/office/drawing/2014/main" id="{F4E16C58-F995-445A-831D-1DC21A158DE8}"/>
            </a:ext>
          </a:extLst>
        </xdr:cNvPr>
        <xdr:cNvSpPr/>
      </xdr:nvSpPr>
      <xdr:spPr>
        <a:xfrm rot="10800000">
          <a:off x="13403580" y="1290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706</xdr:row>
      <xdr:rowOff>0</xdr:rowOff>
    </xdr:from>
    <xdr:to>
      <xdr:col>60</xdr:col>
      <xdr:colOff>83820</xdr:colOff>
      <xdr:row>706</xdr:row>
      <xdr:rowOff>114300</xdr:rowOff>
    </xdr:to>
    <xdr:sp macro="" textlink="">
      <xdr:nvSpPr>
        <xdr:cNvPr id="5347" name="Arrow: Down 5346">
          <a:extLst>
            <a:ext uri="{FF2B5EF4-FFF2-40B4-BE49-F238E27FC236}">
              <a16:creationId xmlns:a16="http://schemas.microsoft.com/office/drawing/2014/main" id="{1E3C803D-F565-41C3-977A-317DA9F0E88E}"/>
            </a:ext>
          </a:extLst>
        </xdr:cNvPr>
        <xdr:cNvSpPr/>
      </xdr:nvSpPr>
      <xdr:spPr>
        <a:xfrm>
          <a:off x="19080480" y="1290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706</xdr:row>
      <xdr:rowOff>0</xdr:rowOff>
    </xdr:from>
    <xdr:to>
      <xdr:col>71</xdr:col>
      <xdr:colOff>83820</xdr:colOff>
      <xdr:row>706</xdr:row>
      <xdr:rowOff>114300</xdr:rowOff>
    </xdr:to>
    <xdr:sp macro="" textlink="">
      <xdr:nvSpPr>
        <xdr:cNvPr id="5348" name="Arrow: Down 5347">
          <a:extLst>
            <a:ext uri="{FF2B5EF4-FFF2-40B4-BE49-F238E27FC236}">
              <a16:creationId xmlns:a16="http://schemas.microsoft.com/office/drawing/2014/main" id="{2A6F79C1-6193-4BE5-A20A-6C85CD66D1D1}"/>
            </a:ext>
          </a:extLst>
        </xdr:cNvPr>
        <xdr:cNvSpPr/>
      </xdr:nvSpPr>
      <xdr:spPr>
        <a:xfrm>
          <a:off x="21960840" y="1290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706</xdr:row>
      <xdr:rowOff>0</xdr:rowOff>
    </xdr:from>
    <xdr:to>
      <xdr:col>5</xdr:col>
      <xdr:colOff>83820</xdr:colOff>
      <xdr:row>706</xdr:row>
      <xdr:rowOff>114300</xdr:rowOff>
    </xdr:to>
    <xdr:sp macro="" textlink="">
      <xdr:nvSpPr>
        <xdr:cNvPr id="5349" name="Arrow: Down 5348">
          <a:extLst>
            <a:ext uri="{FF2B5EF4-FFF2-40B4-BE49-F238E27FC236}">
              <a16:creationId xmlns:a16="http://schemas.microsoft.com/office/drawing/2014/main" id="{5A805AF3-B8C3-4AEB-B086-39ABFD3041BC}"/>
            </a:ext>
          </a:extLst>
        </xdr:cNvPr>
        <xdr:cNvSpPr/>
      </xdr:nvSpPr>
      <xdr:spPr>
        <a:xfrm rot="10800000">
          <a:off x="192786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706</xdr:row>
      <xdr:rowOff>0</xdr:rowOff>
    </xdr:from>
    <xdr:to>
      <xdr:col>11</xdr:col>
      <xdr:colOff>83820</xdr:colOff>
      <xdr:row>706</xdr:row>
      <xdr:rowOff>114300</xdr:rowOff>
    </xdr:to>
    <xdr:sp macro="" textlink="">
      <xdr:nvSpPr>
        <xdr:cNvPr id="5350" name="Arrow: Down 5349">
          <a:extLst>
            <a:ext uri="{FF2B5EF4-FFF2-40B4-BE49-F238E27FC236}">
              <a16:creationId xmlns:a16="http://schemas.microsoft.com/office/drawing/2014/main" id="{6C2A6270-3B30-4C2A-A35E-66A26F228B21}"/>
            </a:ext>
          </a:extLst>
        </xdr:cNvPr>
        <xdr:cNvSpPr/>
      </xdr:nvSpPr>
      <xdr:spPr>
        <a:xfrm rot="10800000">
          <a:off x="369570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706</xdr:row>
      <xdr:rowOff>0</xdr:rowOff>
    </xdr:from>
    <xdr:to>
      <xdr:col>24</xdr:col>
      <xdr:colOff>83820</xdr:colOff>
      <xdr:row>706</xdr:row>
      <xdr:rowOff>114300</xdr:rowOff>
    </xdr:to>
    <xdr:sp macro="" textlink="">
      <xdr:nvSpPr>
        <xdr:cNvPr id="5351" name="Arrow: Down 5350">
          <a:extLst>
            <a:ext uri="{FF2B5EF4-FFF2-40B4-BE49-F238E27FC236}">
              <a16:creationId xmlns:a16="http://schemas.microsoft.com/office/drawing/2014/main" id="{D24B9C19-2170-4658-9E13-FC212CF71D28}"/>
            </a:ext>
          </a:extLst>
        </xdr:cNvPr>
        <xdr:cNvSpPr/>
      </xdr:nvSpPr>
      <xdr:spPr>
        <a:xfrm rot="10800000">
          <a:off x="833628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706</xdr:row>
      <xdr:rowOff>0</xdr:rowOff>
    </xdr:from>
    <xdr:to>
      <xdr:col>39</xdr:col>
      <xdr:colOff>83820</xdr:colOff>
      <xdr:row>706</xdr:row>
      <xdr:rowOff>114300</xdr:rowOff>
    </xdr:to>
    <xdr:sp macro="" textlink="">
      <xdr:nvSpPr>
        <xdr:cNvPr id="5354" name="Arrow: Down 5353">
          <a:extLst>
            <a:ext uri="{FF2B5EF4-FFF2-40B4-BE49-F238E27FC236}">
              <a16:creationId xmlns:a16="http://schemas.microsoft.com/office/drawing/2014/main" id="{DE995EFF-D109-4A6C-82DA-D34A5B1B1593}"/>
            </a:ext>
          </a:extLst>
        </xdr:cNvPr>
        <xdr:cNvSpPr/>
      </xdr:nvSpPr>
      <xdr:spPr>
        <a:xfrm>
          <a:off x="1154430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707</xdr:row>
      <xdr:rowOff>0</xdr:rowOff>
    </xdr:from>
    <xdr:to>
      <xdr:col>64</xdr:col>
      <xdr:colOff>83820</xdr:colOff>
      <xdr:row>707</xdr:row>
      <xdr:rowOff>114300</xdr:rowOff>
    </xdr:to>
    <xdr:sp macro="" textlink="">
      <xdr:nvSpPr>
        <xdr:cNvPr id="5355" name="Arrow: Down 5354">
          <a:extLst>
            <a:ext uri="{FF2B5EF4-FFF2-40B4-BE49-F238E27FC236}">
              <a16:creationId xmlns:a16="http://schemas.microsoft.com/office/drawing/2014/main" id="{3FC88DF0-3DBA-4999-90C5-E81E9C112B06}"/>
            </a:ext>
          </a:extLst>
        </xdr:cNvPr>
        <xdr:cNvSpPr/>
      </xdr:nvSpPr>
      <xdr:spPr>
        <a:xfrm rot="10800000">
          <a:off x="19347180" y="1292123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707</xdr:row>
      <xdr:rowOff>0</xdr:rowOff>
    </xdr:from>
    <xdr:to>
      <xdr:col>45</xdr:col>
      <xdr:colOff>83820</xdr:colOff>
      <xdr:row>707</xdr:row>
      <xdr:rowOff>114300</xdr:rowOff>
    </xdr:to>
    <xdr:sp macro="" textlink="">
      <xdr:nvSpPr>
        <xdr:cNvPr id="5356" name="Arrow: Down 5355">
          <a:extLst>
            <a:ext uri="{FF2B5EF4-FFF2-40B4-BE49-F238E27FC236}">
              <a16:creationId xmlns:a16="http://schemas.microsoft.com/office/drawing/2014/main" id="{0A8F52A7-DF9A-4D42-966C-72AEDFA682F3}"/>
            </a:ext>
          </a:extLst>
        </xdr:cNvPr>
        <xdr:cNvSpPr/>
      </xdr:nvSpPr>
      <xdr:spPr>
        <a:xfrm rot="10800000">
          <a:off x="13403580" y="129212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707</xdr:row>
      <xdr:rowOff>0</xdr:rowOff>
    </xdr:from>
    <xdr:to>
      <xdr:col>5</xdr:col>
      <xdr:colOff>83820</xdr:colOff>
      <xdr:row>707</xdr:row>
      <xdr:rowOff>114300</xdr:rowOff>
    </xdr:to>
    <xdr:sp macro="" textlink="">
      <xdr:nvSpPr>
        <xdr:cNvPr id="5359" name="Arrow: Down 5358">
          <a:extLst>
            <a:ext uri="{FF2B5EF4-FFF2-40B4-BE49-F238E27FC236}">
              <a16:creationId xmlns:a16="http://schemas.microsoft.com/office/drawing/2014/main" id="{B1140291-C6B4-4ED5-8616-6E48DE6B5F79}"/>
            </a:ext>
          </a:extLst>
        </xdr:cNvPr>
        <xdr:cNvSpPr/>
      </xdr:nvSpPr>
      <xdr:spPr>
        <a:xfrm rot="10800000">
          <a:off x="192786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707</xdr:row>
      <xdr:rowOff>0</xdr:rowOff>
    </xdr:from>
    <xdr:to>
      <xdr:col>11</xdr:col>
      <xdr:colOff>83820</xdr:colOff>
      <xdr:row>707</xdr:row>
      <xdr:rowOff>114300</xdr:rowOff>
    </xdr:to>
    <xdr:sp macro="" textlink="">
      <xdr:nvSpPr>
        <xdr:cNvPr id="5360" name="Arrow: Down 5359">
          <a:extLst>
            <a:ext uri="{FF2B5EF4-FFF2-40B4-BE49-F238E27FC236}">
              <a16:creationId xmlns:a16="http://schemas.microsoft.com/office/drawing/2014/main" id="{41F1C546-0B96-48C2-A3FE-080C083E3B96}"/>
            </a:ext>
          </a:extLst>
        </xdr:cNvPr>
        <xdr:cNvSpPr/>
      </xdr:nvSpPr>
      <xdr:spPr>
        <a:xfrm rot="10800000">
          <a:off x="369570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707</xdr:row>
      <xdr:rowOff>0</xdr:rowOff>
    </xdr:from>
    <xdr:to>
      <xdr:col>24</xdr:col>
      <xdr:colOff>83820</xdr:colOff>
      <xdr:row>707</xdr:row>
      <xdr:rowOff>114300</xdr:rowOff>
    </xdr:to>
    <xdr:sp macro="" textlink="">
      <xdr:nvSpPr>
        <xdr:cNvPr id="5361" name="Arrow: Down 5360">
          <a:extLst>
            <a:ext uri="{FF2B5EF4-FFF2-40B4-BE49-F238E27FC236}">
              <a16:creationId xmlns:a16="http://schemas.microsoft.com/office/drawing/2014/main" id="{58F9D3D3-5B57-49F0-BE64-07ADAAF274E7}"/>
            </a:ext>
          </a:extLst>
        </xdr:cNvPr>
        <xdr:cNvSpPr/>
      </xdr:nvSpPr>
      <xdr:spPr>
        <a:xfrm rot="10800000">
          <a:off x="833628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707</xdr:row>
      <xdr:rowOff>0</xdr:rowOff>
    </xdr:from>
    <xdr:to>
      <xdr:col>39</xdr:col>
      <xdr:colOff>83820</xdr:colOff>
      <xdr:row>707</xdr:row>
      <xdr:rowOff>114300</xdr:rowOff>
    </xdr:to>
    <xdr:sp macro="" textlink="">
      <xdr:nvSpPr>
        <xdr:cNvPr id="5362" name="Arrow: Down 5361">
          <a:extLst>
            <a:ext uri="{FF2B5EF4-FFF2-40B4-BE49-F238E27FC236}">
              <a16:creationId xmlns:a16="http://schemas.microsoft.com/office/drawing/2014/main" id="{071493B5-35D7-417A-AE63-051B4BB30A3A}"/>
            </a:ext>
          </a:extLst>
        </xdr:cNvPr>
        <xdr:cNvSpPr/>
      </xdr:nvSpPr>
      <xdr:spPr>
        <a:xfrm>
          <a:off x="1154430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707</xdr:row>
      <xdr:rowOff>0</xdr:rowOff>
    </xdr:from>
    <xdr:to>
      <xdr:col>60</xdr:col>
      <xdr:colOff>83820</xdr:colOff>
      <xdr:row>707</xdr:row>
      <xdr:rowOff>114300</xdr:rowOff>
    </xdr:to>
    <xdr:sp macro="" textlink="">
      <xdr:nvSpPr>
        <xdr:cNvPr id="5363" name="Arrow: Down 5362">
          <a:extLst>
            <a:ext uri="{FF2B5EF4-FFF2-40B4-BE49-F238E27FC236}">
              <a16:creationId xmlns:a16="http://schemas.microsoft.com/office/drawing/2014/main" id="{69BD1866-D6D1-4BB0-9F33-9715BDBB1191}"/>
            </a:ext>
          </a:extLst>
        </xdr:cNvPr>
        <xdr:cNvSpPr/>
      </xdr:nvSpPr>
      <xdr:spPr>
        <a:xfrm rot="10800000">
          <a:off x="19080480" y="1293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707</xdr:row>
      <xdr:rowOff>0</xdr:rowOff>
    </xdr:from>
    <xdr:to>
      <xdr:col>71</xdr:col>
      <xdr:colOff>83820</xdr:colOff>
      <xdr:row>707</xdr:row>
      <xdr:rowOff>114300</xdr:rowOff>
    </xdr:to>
    <xdr:sp macro="" textlink="">
      <xdr:nvSpPr>
        <xdr:cNvPr id="5365" name="Arrow: Down 5364">
          <a:extLst>
            <a:ext uri="{FF2B5EF4-FFF2-40B4-BE49-F238E27FC236}">
              <a16:creationId xmlns:a16="http://schemas.microsoft.com/office/drawing/2014/main" id="{A5CDA43D-C820-4C94-9239-FE71641A7894}"/>
            </a:ext>
          </a:extLst>
        </xdr:cNvPr>
        <xdr:cNvSpPr/>
      </xdr:nvSpPr>
      <xdr:spPr>
        <a:xfrm rot="10800000">
          <a:off x="21960840" y="1293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708</xdr:row>
      <xdr:rowOff>0</xdr:rowOff>
    </xdr:from>
    <xdr:to>
      <xdr:col>64</xdr:col>
      <xdr:colOff>83820</xdr:colOff>
      <xdr:row>708</xdr:row>
      <xdr:rowOff>114300</xdr:rowOff>
    </xdr:to>
    <xdr:sp macro="" textlink="">
      <xdr:nvSpPr>
        <xdr:cNvPr id="5374" name="Arrow: Down 5373">
          <a:extLst>
            <a:ext uri="{FF2B5EF4-FFF2-40B4-BE49-F238E27FC236}">
              <a16:creationId xmlns:a16="http://schemas.microsoft.com/office/drawing/2014/main" id="{B310A1E5-F446-4BC7-89C1-F017135C214A}"/>
            </a:ext>
          </a:extLst>
        </xdr:cNvPr>
        <xdr:cNvSpPr/>
      </xdr:nvSpPr>
      <xdr:spPr>
        <a:xfrm rot="10800000">
          <a:off x="19347180" y="1293952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708</xdr:row>
      <xdr:rowOff>0</xdr:rowOff>
    </xdr:from>
    <xdr:to>
      <xdr:col>45</xdr:col>
      <xdr:colOff>83820</xdr:colOff>
      <xdr:row>708</xdr:row>
      <xdr:rowOff>114300</xdr:rowOff>
    </xdr:to>
    <xdr:sp macro="" textlink="">
      <xdr:nvSpPr>
        <xdr:cNvPr id="5375" name="Arrow: Down 5374">
          <a:extLst>
            <a:ext uri="{FF2B5EF4-FFF2-40B4-BE49-F238E27FC236}">
              <a16:creationId xmlns:a16="http://schemas.microsoft.com/office/drawing/2014/main" id="{B100EF96-47B1-4184-8E69-3C535A26C53F}"/>
            </a:ext>
          </a:extLst>
        </xdr:cNvPr>
        <xdr:cNvSpPr/>
      </xdr:nvSpPr>
      <xdr:spPr>
        <a:xfrm rot="10800000">
          <a:off x="13403580" y="129395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708</xdr:row>
      <xdr:rowOff>0</xdr:rowOff>
    </xdr:from>
    <xdr:to>
      <xdr:col>39</xdr:col>
      <xdr:colOff>83820</xdr:colOff>
      <xdr:row>708</xdr:row>
      <xdr:rowOff>114300</xdr:rowOff>
    </xdr:to>
    <xdr:sp macro="" textlink="">
      <xdr:nvSpPr>
        <xdr:cNvPr id="5379" name="Arrow: Down 5378">
          <a:extLst>
            <a:ext uri="{FF2B5EF4-FFF2-40B4-BE49-F238E27FC236}">
              <a16:creationId xmlns:a16="http://schemas.microsoft.com/office/drawing/2014/main" id="{13551243-0E33-4E70-87CB-83D1F06F8965}"/>
            </a:ext>
          </a:extLst>
        </xdr:cNvPr>
        <xdr:cNvSpPr/>
      </xdr:nvSpPr>
      <xdr:spPr>
        <a:xfrm>
          <a:off x="11544300" y="1293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708</xdr:row>
      <xdr:rowOff>0</xdr:rowOff>
    </xdr:from>
    <xdr:to>
      <xdr:col>5</xdr:col>
      <xdr:colOff>83820</xdr:colOff>
      <xdr:row>708</xdr:row>
      <xdr:rowOff>114300</xdr:rowOff>
    </xdr:to>
    <xdr:sp macro="" textlink="">
      <xdr:nvSpPr>
        <xdr:cNvPr id="5383" name="Arrow: Down 5382">
          <a:extLst>
            <a:ext uri="{FF2B5EF4-FFF2-40B4-BE49-F238E27FC236}">
              <a16:creationId xmlns:a16="http://schemas.microsoft.com/office/drawing/2014/main" id="{4FC6335F-8483-491E-BF75-9ABF4BDAD162}"/>
            </a:ext>
          </a:extLst>
        </xdr:cNvPr>
        <xdr:cNvSpPr/>
      </xdr:nvSpPr>
      <xdr:spPr>
        <a:xfrm>
          <a:off x="192786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708</xdr:row>
      <xdr:rowOff>0</xdr:rowOff>
    </xdr:from>
    <xdr:to>
      <xdr:col>11</xdr:col>
      <xdr:colOff>83820</xdr:colOff>
      <xdr:row>708</xdr:row>
      <xdr:rowOff>114300</xdr:rowOff>
    </xdr:to>
    <xdr:sp macro="" textlink="">
      <xdr:nvSpPr>
        <xdr:cNvPr id="5385" name="Arrow: Down 5384">
          <a:extLst>
            <a:ext uri="{FF2B5EF4-FFF2-40B4-BE49-F238E27FC236}">
              <a16:creationId xmlns:a16="http://schemas.microsoft.com/office/drawing/2014/main" id="{125B6485-EDD1-42BE-AF17-A670A10CCD76}"/>
            </a:ext>
          </a:extLst>
        </xdr:cNvPr>
        <xdr:cNvSpPr/>
      </xdr:nvSpPr>
      <xdr:spPr>
        <a:xfrm>
          <a:off x="369570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708</xdr:row>
      <xdr:rowOff>0</xdr:rowOff>
    </xdr:from>
    <xdr:to>
      <xdr:col>24</xdr:col>
      <xdr:colOff>83820</xdr:colOff>
      <xdr:row>708</xdr:row>
      <xdr:rowOff>114300</xdr:rowOff>
    </xdr:to>
    <xdr:sp macro="" textlink="">
      <xdr:nvSpPr>
        <xdr:cNvPr id="5386" name="Arrow: Down 5385">
          <a:extLst>
            <a:ext uri="{FF2B5EF4-FFF2-40B4-BE49-F238E27FC236}">
              <a16:creationId xmlns:a16="http://schemas.microsoft.com/office/drawing/2014/main" id="{CC65B966-FDAF-45B5-9C09-545736F407AF}"/>
            </a:ext>
          </a:extLst>
        </xdr:cNvPr>
        <xdr:cNvSpPr/>
      </xdr:nvSpPr>
      <xdr:spPr>
        <a:xfrm>
          <a:off x="833628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708</xdr:row>
      <xdr:rowOff>0</xdr:rowOff>
    </xdr:from>
    <xdr:to>
      <xdr:col>60</xdr:col>
      <xdr:colOff>83820</xdr:colOff>
      <xdr:row>708</xdr:row>
      <xdr:rowOff>114300</xdr:rowOff>
    </xdr:to>
    <xdr:sp macro="" textlink="">
      <xdr:nvSpPr>
        <xdr:cNvPr id="5387" name="Arrow: Down 5386">
          <a:extLst>
            <a:ext uri="{FF2B5EF4-FFF2-40B4-BE49-F238E27FC236}">
              <a16:creationId xmlns:a16="http://schemas.microsoft.com/office/drawing/2014/main" id="{4016C2CA-0FDE-4037-8A3B-C7A38B170FB3}"/>
            </a:ext>
          </a:extLst>
        </xdr:cNvPr>
        <xdr:cNvSpPr/>
      </xdr:nvSpPr>
      <xdr:spPr>
        <a:xfrm>
          <a:off x="1908048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708</xdr:row>
      <xdr:rowOff>0</xdr:rowOff>
    </xdr:from>
    <xdr:to>
      <xdr:col>71</xdr:col>
      <xdr:colOff>83820</xdr:colOff>
      <xdr:row>708</xdr:row>
      <xdr:rowOff>114300</xdr:rowOff>
    </xdr:to>
    <xdr:sp macro="" textlink="">
      <xdr:nvSpPr>
        <xdr:cNvPr id="5389" name="Arrow: Down 5388">
          <a:extLst>
            <a:ext uri="{FF2B5EF4-FFF2-40B4-BE49-F238E27FC236}">
              <a16:creationId xmlns:a16="http://schemas.microsoft.com/office/drawing/2014/main" id="{97AB838A-E3AC-450E-8105-61929AFFDC80}"/>
            </a:ext>
          </a:extLst>
        </xdr:cNvPr>
        <xdr:cNvSpPr/>
      </xdr:nvSpPr>
      <xdr:spPr>
        <a:xfrm>
          <a:off x="2196084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709</xdr:row>
      <xdr:rowOff>0</xdr:rowOff>
    </xdr:from>
    <xdr:to>
      <xdr:col>64</xdr:col>
      <xdr:colOff>83820</xdr:colOff>
      <xdr:row>709</xdr:row>
      <xdr:rowOff>114300</xdr:rowOff>
    </xdr:to>
    <xdr:sp macro="" textlink="">
      <xdr:nvSpPr>
        <xdr:cNvPr id="5390" name="Arrow: Down 5389">
          <a:extLst>
            <a:ext uri="{FF2B5EF4-FFF2-40B4-BE49-F238E27FC236}">
              <a16:creationId xmlns:a16="http://schemas.microsoft.com/office/drawing/2014/main" id="{2A1FDA2F-89B1-4AA9-B5E5-5C2E0A154CD9}"/>
            </a:ext>
          </a:extLst>
        </xdr:cNvPr>
        <xdr:cNvSpPr/>
      </xdr:nvSpPr>
      <xdr:spPr>
        <a:xfrm rot="10800000">
          <a:off x="19347180" y="1295781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709</xdr:row>
      <xdr:rowOff>0</xdr:rowOff>
    </xdr:from>
    <xdr:to>
      <xdr:col>45</xdr:col>
      <xdr:colOff>83820</xdr:colOff>
      <xdr:row>709</xdr:row>
      <xdr:rowOff>114300</xdr:rowOff>
    </xdr:to>
    <xdr:sp macro="" textlink="">
      <xdr:nvSpPr>
        <xdr:cNvPr id="5391" name="Arrow: Down 5390">
          <a:extLst>
            <a:ext uri="{FF2B5EF4-FFF2-40B4-BE49-F238E27FC236}">
              <a16:creationId xmlns:a16="http://schemas.microsoft.com/office/drawing/2014/main" id="{064D7732-2F4C-4A03-A676-8CA14460596F}"/>
            </a:ext>
          </a:extLst>
        </xdr:cNvPr>
        <xdr:cNvSpPr/>
      </xdr:nvSpPr>
      <xdr:spPr>
        <a:xfrm rot="10800000">
          <a:off x="13403580" y="1295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709</xdr:row>
      <xdr:rowOff>0</xdr:rowOff>
    </xdr:from>
    <xdr:to>
      <xdr:col>24</xdr:col>
      <xdr:colOff>83820</xdr:colOff>
      <xdr:row>709</xdr:row>
      <xdr:rowOff>114300</xdr:rowOff>
    </xdr:to>
    <xdr:sp macro="" textlink="">
      <xdr:nvSpPr>
        <xdr:cNvPr id="5395" name="Arrow: Down 5394">
          <a:extLst>
            <a:ext uri="{FF2B5EF4-FFF2-40B4-BE49-F238E27FC236}">
              <a16:creationId xmlns:a16="http://schemas.microsoft.com/office/drawing/2014/main" id="{C58EA291-459A-4C7C-8D45-57BFD3F53E95}"/>
            </a:ext>
          </a:extLst>
        </xdr:cNvPr>
        <xdr:cNvSpPr/>
      </xdr:nvSpPr>
      <xdr:spPr>
        <a:xfrm>
          <a:off x="833628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709</xdr:row>
      <xdr:rowOff>0</xdr:rowOff>
    </xdr:from>
    <xdr:to>
      <xdr:col>60</xdr:col>
      <xdr:colOff>83820</xdr:colOff>
      <xdr:row>709</xdr:row>
      <xdr:rowOff>114300</xdr:rowOff>
    </xdr:to>
    <xdr:sp macro="" textlink="">
      <xdr:nvSpPr>
        <xdr:cNvPr id="5396" name="Arrow: Down 5395">
          <a:extLst>
            <a:ext uri="{FF2B5EF4-FFF2-40B4-BE49-F238E27FC236}">
              <a16:creationId xmlns:a16="http://schemas.microsoft.com/office/drawing/2014/main" id="{72E2CCE1-34C4-48E4-92FA-BD6A6435B331}"/>
            </a:ext>
          </a:extLst>
        </xdr:cNvPr>
        <xdr:cNvSpPr/>
      </xdr:nvSpPr>
      <xdr:spPr>
        <a:xfrm>
          <a:off x="1908048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709</xdr:row>
      <xdr:rowOff>0</xdr:rowOff>
    </xdr:from>
    <xdr:to>
      <xdr:col>71</xdr:col>
      <xdr:colOff>83820</xdr:colOff>
      <xdr:row>709</xdr:row>
      <xdr:rowOff>114300</xdr:rowOff>
    </xdr:to>
    <xdr:sp macro="" textlink="">
      <xdr:nvSpPr>
        <xdr:cNvPr id="5397" name="Arrow: Down 5396">
          <a:extLst>
            <a:ext uri="{FF2B5EF4-FFF2-40B4-BE49-F238E27FC236}">
              <a16:creationId xmlns:a16="http://schemas.microsoft.com/office/drawing/2014/main" id="{98697E8F-850C-417C-8CE2-8505811630CC}"/>
            </a:ext>
          </a:extLst>
        </xdr:cNvPr>
        <xdr:cNvSpPr/>
      </xdr:nvSpPr>
      <xdr:spPr>
        <a:xfrm>
          <a:off x="2196084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709</xdr:row>
      <xdr:rowOff>0</xdr:rowOff>
    </xdr:from>
    <xdr:to>
      <xdr:col>39</xdr:col>
      <xdr:colOff>83820</xdr:colOff>
      <xdr:row>709</xdr:row>
      <xdr:rowOff>114300</xdr:rowOff>
    </xdr:to>
    <xdr:sp macro="" textlink="">
      <xdr:nvSpPr>
        <xdr:cNvPr id="5399" name="Arrow: Down 5398">
          <a:extLst>
            <a:ext uri="{FF2B5EF4-FFF2-40B4-BE49-F238E27FC236}">
              <a16:creationId xmlns:a16="http://schemas.microsoft.com/office/drawing/2014/main" id="{2B758A39-D94D-4D6A-ACF3-54D9AFE452D1}"/>
            </a:ext>
          </a:extLst>
        </xdr:cNvPr>
        <xdr:cNvSpPr/>
      </xdr:nvSpPr>
      <xdr:spPr>
        <a:xfrm rot="10800000">
          <a:off x="11544300" y="129760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709</xdr:row>
      <xdr:rowOff>0</xdr:rowOff>
    </xdr:from>
    <xdr:to>
      <xdr:col>11</xdr:col>
      <xdr:colOff>83820</xdr:colOff>
      <xdr:row>709</xdr:row>
      <xdr:rowOff>114300</xdr:rowOff>
    </xdr:to>
    <xdr:sp macro="" textlink="">
      <xdr:nvSpPr>
        <xdr:cNvPr id="5400" name="Arrow: Down 5399">
          <a:extLst>
            <a:ext uri="{FF2B5EF4-FFF2-40B4-BE49-F238E27FC236}">
              <a16:creationId xmlns:a16="http://schemas.microsoft.com/office/drawing/2014/main" id="{502FA848-9BF2-4616-BE4A-2D072F95510D}"/>
            </a:ext>
          </a:extLst>
        </xdr:cNvPr>
        <xdr:cNvSpPr/>
      </xdr:nvSpPr>
      <xdr:spPr>
        <a:xfrm rot="10800000">
          <a:off x="3695700" y="12976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709</xdr:row>
      <xdr:rowOff>0</xdr:rowOff>
    </xdr:from>
    <xdr:to>
      <xdr:col>5</xdr:col>
      <xdr:colOff>83820</xdr:colOff>
      <xdr:row>709</xdr:row>
      <xdr:rowOff>114300</xdr:rowOff>
    </xdr:to>
    <xdr:sp macro="" textlink="">
      <xdr:nvSpPr>
        <xdr:cNvPr id="5402" name="Arrow: Down 5401">
          <a:extLst>
            <a:ext uri="{FF2B5EF4-FFF2-40B4-BE49-F238E27FC236}">
              <a16:creationId xmlns:a16="http://schemas.microsoft.com/office/drawing/2014/main" id="{8FF58279-A4F6-495D-8807-3EBF4580E7CD}"/>
            </a:ext>
          </a:extLst>
        </xdr:cNvPr>
        <xdr:cNvSpPr/>
      </xdr:nvSpPr>
      <xdr:spPr>
        <a:xfrm rot="10800000">
          <a:off x="1927860" y="12976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710</xdr:row>
      <xdr:rowOff>0</xdr:rowOff>
    </xdr:from>
    <xdr:to>
      <xdr:col>64</xdr:col>
      <xdr:colOff>83820</xdr:colOff>
      <xdr:row>710</xdr:row>
      <xdr:rowOff>114300</xdr:rowOff>
    </xdr:to>
    <xdr:sp macro="" textlink="">
      <xdr:nvSpPr>
        <xdr:cNvPr id="5403" name="Arrow: Down 5402">
          <a:extLst>
            <a:ext uri="{FF2B5EF4-FFF2-40B4-BE49-F238E27FC236}">
              <a16:creationId xmlns:a16="http://schemas.microsoft.com/office/drawing/2014/main" id="{9CF5B754-7881-4A1C-9242-C26467644D65}"/>
            </a:ext>
          </a:extLst>
        </xdr:cNvPr>
        <xdr:cNvSpPr/>
      </xdr:nvSpPr>
      <xdr:spPr>
        <a:xfrm rot="10800000">
          <a:off x="19347180" y="1297609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710</xdr:row>
      <xdr:rowOff>0</xdr:rowOff>
    </xdr:from>
    <xdr:to>
      <xdr:col>45</xdr:col>
      <xdr:colOff>83820</xdr:colOff>
      <xdr:row>710</xdr:row>
      <xdr:rowOff>114300</xdr:rowOff>
    </xdr:to>
    <xdr:sp macro="" textlink="">
      <xdr:nvSpPr>
        <xdr:cNvPr id="5404" name="Arrow: Down 5403">
          <a:extLst>
            <a:ext uri="{FF2B5EF4-FFF2-40B4-BE49-F238E27FC236}">
              <a16:creationId xmlns:a16="http://schemas.microsoft.com/office/drawing/2014/main" id="{3B1BEC3B-63D9-4EFB-95F6-7590A92D94A0}"/>
            </a:ext>
          </a:extLst>
        </xdr:cNvPr>
        <xdr:cNvSpPr/>
      </xdr:nvSpPr>
      <xdr:spPr>
        <a:xfrm rot="10800000">
          <a:off x="13403580" y="129760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710</xdr:row>
      <xdr:rowOff>0</xdr:rowOff>
    </xdr:from>
    <xdr:to>
      <xdr:col>71</xdr:col>
      <xdr:colOff>83820</xdr:colOff>
      <xdr:row>710</xdr:row>
      <xdr:rowOff>114300</xdr:rowOff>
    </xdr:to>
    <xdr:sp macro="" textlink="">
      <xdr:nvSpPr>
        <xdr:cNvPr id="5407" name="Arrow: Down 5406">
          <a:extLst>
            <a:ext uri="{FF2B5EF4-FFF2-40B4-BE49-F238E27FC236}">
              <a16:creationId xmlns:a16="http://schemas.microsoft.com/office/drawing/2014/main" id="{00C3E77D-ED5E-43E3-8632-BAFAFFD98053}"/>
            </a:ext>
          </a:extLst>
        </xdr:cNvPr>
        <xdr:cNvSpPr/>
      </xdr:nvSpPr>
      <xdr:spPr>
        <a:xfrm>
          <a:off x="21960840" y="1297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710</xdr:row>
      <xdr:rowOff>0</xdr:rowOff>
    </xdr:from>
    <xdr:to>
      <xdr:col>60</xdr:col>
      <xdr:colOff>83820</xdr:colOff>
      <xdr:row>710</xdr:row>
      <xdr:rowOff>114300</xdr:rowOff>
    </xdr:to>
    <xdr:sp macro="" textlink="">
      <xdr:nvSpPr>
        <xdr:cNvPr id="5412" name="Arrow: Down 5411">
          <a:extLst>
            <a:ext uri="{FF2B5EF4-FFF2-40B4-BE49-F238E27FC236}">
              <a16:creationId xmlns:a16="http://schemas.microsoft.com/office/drawing/2014/main" id="{D6AACEC7-8E23-40B1-97FD-3CD99B945B4C}"/>
            </a:ext>
          </a:extLst>
        </xdr:cNvPr>
        <xdr:cNvSpPr/>
      </xdr:nvSpPr>
      <xdr:spPr>
        <a:xfrm rot="10800000">
          <a:off x="19080480" y="1299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710</xdr:row>
      <xdr:rowOff>0</xdr:rowOff>
    </xdr:from>
    <xdr:to>
      <xdr:col>39</xdr:col>
      <xdr:colOff>83820</xdr:colOff>
      <xdr:row>710</xdr:row>
      <xdr:rowOff>114300</xdr:rowOff>
    </xdr:to>
    <xdr:sp macro="" textlink="">
      <xdr:nvSpPr>
        <xdr:cNvPr id="5415" name="Arrow: Down 5414">
          <a:extLst>
            <a:ext uri="{FF2B5EF4-FFF2-40B4-BE49-F238E27FC236}">
              <a16:creationId xmlns:a16="http://schemas.microsoft.com/office/drawing/2014/main" id="{3867EC92-27DF-4BBA-8346-F960D5D212D7}"/>
            </a:ext>
          </a:extLst>
        </xdr:cNvPr>
        <xdr:cNvSpPr/>
      </xdr:nvSpPr>
      <xdr:spPr>
        <a:xfrm>
          <a:off x="11544300" y="1299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710</xdr:row>
      <xdr:rowOff>0</xdr:rowOff>
    </xdr:from>
    <xdr:to>
      <xdr:col>24</xdr:col>
      <xdr:colOff>83820</xdr:colOff>
      <xdr:row>710</xdr:row>
      <xdr:rowOff>114300</xdr:rowOff>
    </xdr:to>
    <xdr:sp macro="" textlink="">
      <xdr:nvSpPr>
        <xdr:cNvPr id="5416" name="Arrow: Down 5415">
          <a:extLst>
            <a:ext uri="{FF2B5EF4-FFF2-40B4-BE49-F238E27FC236}">
              <a16:creationId xmlns:a16="http://schemas.microsoft.com/office/drawing/2014/main" id="{A8488941-8B75-4798-9821-6E06FE328E37}"/>
            </a:ext>
          </a:extLst>
        </xdr:cNvPr>
        <xdr:cNvSpPr/>
      </xdr:nvSpPr>
      <xdr:spPr>
        <a:xfrm>
          <a:off x="833628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710</xdr:row>
      <xdr:rowOff>0</xdr:rowOff>
    </xdr:from>
    <xdr:to>
      <xdr:col>11</xdr:col>
      <xdr:colOff>83820</xdr:colOff>
      <xdr:row>710</xdr:row>
      <xdr:rowOff>114300</xdr:rowOff>
    </xdr:to>
    <xdr:sp macro="" textlink="">
      <xdr:nvSpPr>
        <xdr:cNvPr id="5417" name="Arrow: Down 5416">
          <a:extLst>
            <a:ext uri="{FF2B5EF4-FFF2-40B4-BE49-F238E27FC236}">
              <a16:creationId xmlns:a16="http://schemas.microsoft.com/office/drawing/2014/main" id="{70BE39C5-976F-4686-A14D-240B56AA52B3}"/>
            </a:ext>
          </a:extLst>
        </xdr:cNvPr>
        <xdr:cNvSpPr/>
      </xdr:nvSpPr>
      <xdr:spPr>
        <a:xfrm>
          <a:off x="369570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710</xdr:row>
      <xdr:rowOff>0</xdr:rowOff>
    </xdr:from>
    <xdr:to>
      <xdr:col>5</xdr:col>
      <xdr:colOff>83820</xdr:colOff>
      <xdr:row>710</xdr:row>
      <xdr:rowOff>114300</xdr:rowOff>
    </xdr:to>
    <xdr:sp macro="" textlink="">
      <xdr:nvSpPr>
        <xdr:cNvPr id="5419" name="Arrow: Down 5418">
          <a:extLst>
            <a:ext uri="{FF2B5EF4-FFF2-40B4-BE49-F238E27FC236}">
              <a16:creationId xmlns:a16="http://schemas.microsoft.com/office/drawing/2014/main" id="{FFE934A3-419D-4ECB-AC10-30B260B0C54E}"/>
            </a:ext>
          </a:extLst>
        </xdr:cNvPr>
        <xdr:cNvSpPr/>
      </xdr:nvSpPr>
      <xdr:spPr>
        <a:xfrm>
          <a:off x="192786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711</xdr:row>
      <xdr:rowOff>0</xdr:rowOff>
    </xdr:from>
    <xdr:to>
      <xdr:col>64</xdr:col>
      <xdr:colOff>83820</xdr:colOff>
      <xdr:row>711</xdr:row>
      <xdr:rowOff>114300</xdr:rowOff>
    </xdr:to>
    <xdr:sp macro="" textlink="">
      <xdr:nvSpPr>
        <xdr:cNvPr id="5428" name="Arrow: Down 5427">
          <a:extLst>
            <a:ext uri="{FF2B5EF4-FFF2-40B4-BE49-F238E27FC236}">
              <a16:creationId xmlns:a16="http://schemas.microsoft.com/office/drawing/2014/main" id="{9CA275CD-C239-4421-A7D7-AD46A4CDD75F}"/>
            </a:ext>
          </a:extLst>
        </xdr:cNvPr>
        <xdr:cNvSpPr/>
      </xdr:nvSpPr>
      <xdr:spPr>
        <a:xfrm rot="10800000">
          <a:off x="19347180" y="1299438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711</xdr:row>
      <xdr:rowOff>0</xdr:rowOff>
    </xdr:from>
    <xdr:to>
      <xdr:col>45</xdr:col>
      <xdr:colOff>83820</xdr:colOff>
      <xdr:row>711</xdr:row>
      <xdr:rowOff>114300</xdr:rowOff>
    </xdr:to>
    <xdr:sp macro="" textlink="">
      <xdr:nvSpPr>
        <xdr:cNvPr id="5429" name="Arrow: Down 5428">
          <a:extLst>
            <a:ext uri="{FF2B5EF4-FFF2-40B4-BE49-F238E27FC236}">
              <a16:creationId xmlns:a16="http://schemas.microsoft.com/office/drawing/2014/main" id="{DB4B25AC-6C0A-421B-901E-D85D373DC0BF}"/>
            </a:ext>
          </a:extLst>
        </xdr:cNvPr>
        <xdr:cNvSpPr/>
      </xdr:nvSpPr>
      <xdr:spPr>
        <a:xfrm rot="10800000">
          <a:off x="13403580" y="129943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711</xdr:row>
      <xdr:rowOff>0</xdr:rowOff>
    </xdr:from>
    <xdr:to>
      <xdr:col>71</xdr:col>
      <xdr:colOff>83820</xdr:colOff>
      <xdr:row>711</xdr:row>
      <xdr:rowOff>114300</xdr:rowOff>
    </xdr:to>
    <xdr:sp macro="" textlink="">
      <xdr:nvSpPr>
        <xdr:cNvPr id="5430" name="Arrow: Down 5429">
          <a:extLst>
            <a:ext uri="{FF2B5EF4-FFF2-40B4-BE49-F238E27FC236}">
              <a16:creationId xmlns:a16="http://schemas.microsoft.com/office/drawing/2014/main" id="{72E8CA3A-48BB-4FA4-A353-25F2795A51B5}"/>
            </a:ext>
          </a:extLst>
        </xdr:cNvPr>
        <xdr:cNvSpPr/>
      </xdr:nvSpPr>
      <xdr:spPr>
        <a:xfrm>
          <a:off x="2196084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711</xdr:row>
      <xdr:rowOff>0</xdr:rowOff>
    </xdr:from>
    <xdr:to>
      <xdr:col>24</xdr:col>
      <xdr:colOff>83820</xdr:colOff>
      <xdr:row>711</xdr:row>
      <xdr:rowOff>114300</xdr:rowOff>
    </xdr:to>
    <xdr:sp macro="" textlink="">
      <xdr:nvSpPr>
        <xdr:cNvPr id="5433" name="Arrow: Down 5432">
          <a:extLst>
            <a:ext uri="{FF2B5EF4-FFF2-40B4-BE49-F238E27FC236}">
              <a16:creationId xmlns:a16="http://schemas.microsoft.com/office/drawing/2014/main" id="{C33FDC37-E051-4BD2-9ED5-6237173DF29A}"/>
            </a:ext>
          </a:extLst>
        </xdr:cNvPr>
        <xdr:cNvSpPr/>
      </xdr:nvSpPr>
      <xdr:spPr>
        <a:xfrm>
          <a:off x="833628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711</xdr:row>
      <xdr:rowOff>0</xdr:rowOff>
    </xdr:from>
    <xdr:to>
      <xdr:col>11</xdr:col>
      <xdr:colOff>83820</xdr:colOff>
      <xdr:row>711</xdr:row>
      <xdr:rowOff>114300</xdr:rowOff>
    </xdr:to>
    <xdr:sp macro="" textlink="">
      <xdr:nvSpPr>
        <xdr:cNvPr id="5434" name="Arrow: Down 5433">
          <a:extLst>
            <a:ext uri="{FF2B5EF4-FFF2-40B4-BE49-F238E27FC236}">
              <a16:creationId xmlns:a16="http://schemas.microsoft.com/office/drawing/2014/main" id="{F1E27791-A98E-4F59-B4F8-29926E1E594C}"/>
            </a:ext>
          </a:extLst>
        </xdr:cNvPr>
        <xdr:cNvSpPr/>
      </xdr:nvSpPr>
      <xdr:spPr>
        <a:xfrm>
          <a:off x="369570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711</xdr:row>
      <xdr:rowOff>0</xdr:rowOff>
    </xdr:from>
    <xdr:to>
      <xdr:col>5</xdr:col>
      <xdr:colOff>83820</xdr:colOff>
      <xdr:row>711</xdr:row>
      <xdr:rowOff>114300</xdr:rowOff>
    </xdr:to>
    <xdr:sp macro="" textlink="">
      <xdr:nvSpPr>
        <xdr:cNvPr id="5435" name="Arrow: Down 5434">
          <a:extLst>
            <a:ext uri="{FF2B5EF4-FFF2-40B4-BE49-F238E27FC236}">
              <a16:creationId xmlns:a16="http://schemas.microsoft.com/office/drawing/2014/main" id="{F30AF581-CA57-4044-A398-CF6B66C0065B}"/>
            </a:ext>
          </a:extLst>
        </xdr:cNvPr>
        <xdr:cNvSpPr/>
      </xdr:nvSpPr>
      <xdr:spPr>
        <a:xfrm>
          <a:off x="192786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711</xdr:row>
      <xdr:rowOff>0</xdr:rowOff>
    </xdr:from>
    <xdr:to>
      <xdr:col>39</xdr:col>
      <xdr:colOff>83820</xdr:colOff>
      <xdr:row>711</xdr:row>
      <xdr:rowOff>114300</xdr:rowOff>
    </xdr:to>
    <xdr:sp macro="" textlink="">
      <xdr:nvSpPr>
        <xdr:cNvPr id="5436" name="Arrow: Down 5435">
          <a:extLst>
            <a:ext uri="{FF2B5EF4-FFF2-40B4-BE49-F238E27FC236}">
              <a16:creationId xmlns:a16="http://schemas.microsoft.com/office/drawing/2014/main" id="{CC0BA1BD-5E7C-4323-AB84-A4D8B602673E}"/>
            </a:ext>
          </a:extLst>
        </xdr:cNvPr>
        <xdr:cNvSpPr/>
      </xdr:nvSpPr>
      <xdr:spPr>
        <a:xfrm rot="10800000">
          <a:off x="11544300" y="130126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711</xdr:row>
      <xdr:rowOff>0</xdr:rowOff>
    </xdr:from>
    <xdr:to>
      <xdr:col>60</xdr:col>
      <xdr:colOff>83820</xdr:colOff>
      <xdr:row>711</xdr:row>
      <xdr:rowOff>114300</xdr:rowOff>
    </xdr:to>
    <xdr:sp macro="" textlink="">
      <xdr:nvSpPr>
        <xdr:cNvPr id="5437" name="Arrow: Down 5436">
          <a:extLst>
            <a:ext uri="{FF2B5EF4-FFF2-40B4-BE49-F238E27FC236}">
              <a16:creationId xmlns:a16="http://schemas.microsoft.com/office/drawing/2014/main" id="{7F73C9C7-D429-4FA6-B7A4-05B6FB04B0EC}"/>
            </a:ext>
          </a:extLst>
        </xdr:cNvPr>
        <xdr:cNvSpPr/>
      </xdr:nvSpPr>
      <xdr:spPr>
        <a:xfrm>
          <a:off x="19080480" y="1301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712</xdr:row>
      <xdr:rowOff>0</xdr:rowOff>
    </xdr:from>
    <xdr:to>
      <xdr:col>64</xdr:col>
      <xdr:colOff>83820</xdr:colOff>
      <xdr:row>712</xdr:row>
      <xdr:rowOff>114300</xdr:rowOff>
    </xdr:to>
    <xdr:sp macro="" textlink="">
      <xdr:nvSpPr>
        <xdr:cNvPr id="5438" name="Arrow: Down 5437">
          <a:extLst>
            <a:ext uri="{FF2B5EF4-FFF2-40B4-BE49-F238E27FC236}">
              <a16:creationId xmlns:a16="http://schemas.microsoft.com/office/drawing/2014/main" id="{916C1BF2-13EE-44D9-A9E5-99B44FF28B21}"/>
            </a:ext>
          </a:extLst>
        </xdr:cNvPr>
        <xdr:cNvSpPr/>
      </xdr:nvSpPr>
      <xdr:spPr>
        <a:xfrm rot="10800000">
          <a:off x="19347180" y="1301267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712</xdr:row>
      <xdr:rowOff>0</xdr:rowOff>
    </xdr:from>
    <xdr:to>
      <xdr:col>45</xdr:col>
      <xdr:colOff>83820</xdr:colOff>
      <xdr:row>712</xdr:row>
      <xdr:rowOff>114300</xdr:rowOff>
    </xdr:to>
    <xdr:sp macro="" textlink="">
      <xdr:nvSpPr>
        <xdr:cNvPr id="5439" name="Arrow: Down 5438">
          <a:extLst>
            <a:ext uri="{FF2B5EF4-FFF2-40B4-BE49-F238E27FC236}">
              <a16:creationId xmlns:a16="http://schemas.microsoft.com/office/drawing/2014/main" id="{BED2556E-9D8D-480A-BB81-FF917C3654A6}"/>
            </a:ext>
          </a:extLst>
        </xdr:cNvPr>
        <xdr:cNvSpPr/>
      </xdr:nvSpPr>
      <xdr:spPr>
        <a:xfrm rot="10800000">
          <a:off x="13403580" y="130126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712</xdr:row>
      <xdr:rowOff>0</xdr:rowOff>
    </xdr:from>
    <xdr:to>
      <xdr:col>71</xdr:col>
      <xdr:colOff>83820</xdr:colOff>
      <xdr:row>712</xdr:row>
      <xdr:rowOff>114300</xdr:rowOff>
    </xdr:to>
    <xdr:sp macro="" textlink="">
      <xdr:nvSpPr>
        <xdr:cNvPr id="5440" name="Arrow: Down 5439">
          <a:extLst>
            <a:ext uri="{FF2B5EF4-FFF2-40B4-BE49-F238E27FC236}">
              <a16:creationId xmlns:a16="http://schemas.microsoft.com/office/drawing/2014/main" id="{5291825F-1858-45DE-B901-F5CEB13DCDD8}"/>
            </a:ext>
          </a:extLst>
        </xdr:cNvPr>
        <xdr:cNvSpPr/>
      </xdr:nvSpPr>
      <xdr:spPr>
        <a:xfrm>
          <a:off x="21960840" y="1301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712</xdr:row>
      <xdr:rowOff>0</xdr:rowOff>
    </xdr:from>
    <xdr:to>
      <xdr:col>39</xdr:col>
      <xdr:colOff>83820</xdr:colOff>
      <xdr:row>712</xdr:row>
      <xdr:rowOff>114300</xdr:rowOff>
    </xdr:to>
    <xdr:sp macro="" textlink="">
      <xdr:nvSpPr>
        <xdr:cNvPr id="5444" name="Arrow: Down 5443">
          <a:extLst>
            <a:ext uri="{FF2B5EF4-FFF2-40B4-BE49-F238E27FC236}">
              <a16:creationId xmlns:a16="http://schemas.microsoft.com/office/drawing/2014/main" id="{B5DAA833-47F5-4721-92A6-1DB6F02896A9}"/>
            </a:ext>
          </a:extLst>
        </xdr:cNvPr>
        <xdr:cNvSpPr/>
      </xdr:nvSpPr>
      <xdr:spPr>
        <a:xfrm rot="10800000">
          <a:off x="11544300" y="130126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712</xdr:row>
      <xdr:rowOff>0</xdr:rowOff>
    </xdr:from>
    <xdr:to>
      <xdr:col>60</xdr:col>
      <xdr:colOff>83820</xdr:colOff>
      <xdr:row>712</xdr:row>
      <xdr:rowOff>114300</xdr:rowOff>
    </xdr:to>
    <xdr:sp macro="" textlink="">
      <xdr:nvSpPr>
        <xdr:cNvPr id="5445" name="Arrow: Down 5444">
          <a:extLst>
            <a:ext uri="{FF2B5EF4-FFF2-40B4-BE49-F238E27FC236}">
              <a16:creationId xmlns:a16="http://schemas.microsoft.com/office/drawing/2014/main" id="{D3676F9F-C667-459F-96AD-B8187AA229F0}"/>
            </a:ext>
          </a:extLst>
        </xdr:cNvPr>
        <xdr:cNvSpPr/>
      </xdr:nvSpPr>
      <xdr:spPr>
        <a:xfrm>
          <a:off x="19080480" y="1301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712</xdr:row>
      <xdr:rowOff>0</xdr:rowOff>
    </xdr:from>
    <xdr:to>
      <xdr:col>5</xdr:col>
      <xdr:colOff>83820</xdr:colOff>
      <xdr:row>712</xdr:row>
      <xdr:rowOff>114300</xdr:rowOff>
    </xdr:to>
    <xdr:sp macro="" textlink="">
      <xdr:nvSpPr>
        <xdr:cNvPr id="5447" name="Arrow: Down 5446">
          <a:extLst>
            <a:ext uri="{FF2B5EF4-FFF2-40B4-BE49-F238E27FC236}">
              <a16:creationId xmlns:a16="http://schemas.microsoft.com/office/drawing/2014/main" id="{97220C33-B29B-4452-8140-D3ACB4B9B5AB}"/>
            </a:ext>
          </a:extLst>
        </xdr:cNvPr>
        <xdr:cNvSpPr/>
      </xdr:nvSpPr>
      <xdr:spPr>
        <a:xfrm rot="10800000">
          <a:off x="192786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712</xdr:row>
      <xdr:rowOff>0</xdr:rowOff>
    </xdr:from>
    <xdr:to>
      <xdr:col>11</xdr:col>
      <xdr:colOff>83820</xdr:colOff>
      <xdr:row>712</xdr:row>
      <xdr:rowOff>114300</xdr:rowOff>
    </xdr:to>
    <xdr:sp macro="" textlink="">
      <xdr:nvSpPr>
        <xdr:cNvPr id="5449" name="Arrow: Down 5448">
          <a:extLst>
            <a:ext uri="{FF2B5EF4-FFF2-40B4-BE49-F238E27FC236}">
              <a16:creationId xmlns:a16="http://schemas.microsoft.com/office/drawing/2014/main" id="{B571A954-AF07-4A70-A6FF-4EF21BA53BB6}"/>
            </a:ext>
          </a:extLst>
        </xdr:cNvPr>
        <xdr:cNvSpPr/>
      </xdr:nvSpPr>
      <xdr:spPr>
        <a:xfrm rot="10800000">
          <a:off x="369570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712</xdr:row>
      <xdr:rowOff>0</xdr:rowOff>
    </xdr:from>
    <xdr:to>
      <xdr:col>24</xdr:col>
      <xdr:colOff>83820</xdr:colOff>
      <xdr:row>712</xdr:row>
      <xdr:rowOff>114300</xdr:rowOff>
    </xdr:to>
    <xdr:sp macro="" textlink="">
      <xdr:nvSpPr>
        <xdr:cNvPr id="5451" name="Arrow: Down 5450">
          <a:extLst>
            <a:ext uri="{FF2B5EF4-FFF2-40B4-BE49-F238E27FC236}">
              <a16:creationId xmlns:a16="http://schemas.microsoft.com/office/drawing/2014/main" id="{B305C872-31D3-4FC0-A91B-A50226E404DB}"/>
            </a:ext>
          </a:extLst>
        </xdr:cNvPr>
        <xdr:cNvSpPr/>
      </xdr:nvSpPr>
      <xdr:spPr>
        <a:xfrm rot="10800000">
          <a:off x="833628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713</xdr:row>
      <xdr:rowOff>0</xdr:rowOff>
    </xdr:from>
    <xdr:to>
      <xdr:col>64</xdr:col>
      <xdr:colOff>83820</xdr:colOff>
      <xdr:row>713</xdr:row>
      <xdr:rowOff>114300</xdr:rowOff>
    </xdr:to>
    <xdr:sp macro="" textlink="">
      <xdr:nvSpPr>
        <xdr:cNvPr id="5460" name="Arrow: Down 5459">
          <a:extLst>
            <a:ext uri="{FF2B5EF4-FFF2-40B4-BE49-F238E27FC236}">
              <a16:creationId xmlns:a16="http://schemas.microsoft.com/office/drawing/2014/main" id="{676CA898-D04D-4BAD-9267-B7696E004359}"/>
            </a:ext>
          </a:extLst>
        </xdr:cNvPr>
        <xdr:cNvSpPr/>
      </xdr:nvSpPr>
      <xdr:spPr>
        <a:xfrm rot="10800000">
          <a:off x="19347180" y="1303096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713</xdr:row>
      <xdr:rowOff>0</xdr:rowOff>
    </xdr:from>
    <xdr:to>
      <xdr:col>45</xdr:col>
      <xdr:colOff>83820</xdr:colOff>
      <xdr:row>713</xdr:row>
      <xdr:rowOff>114300</xdr:rowOff>
    </xdr:to>
    <xdr:sp macro="" textlink="">
      <xdr:nvSpPr>
        <xdr:cNvPr id="5461" name="Arrow: Down 5460">
          <a:extLst>
            <a:ext uri="{FF2B5EF4-FFF2-40B4-BE49-F238E27FC236}">
              <a16:creationId xmlns:a16="http://schemas.microsoft.com/office/drawing/2014/main" id="{19C83B23-4F74-49DE-86B3-0E354F37E6CD}"/>
            </a:ext>
          </a:extLst>
        </xdr:cNvPr>
        <xdr:cNvSpPr/>
      </xdr:nvSpPr>
      <xdr:spPr>
        <a:xfrm rot="10800000">
          <a:off x="13403580" y="1303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713</xdr:row>
      <xdr:rowOff>0</xdr:rowOff>
    </xdr:from>
    <xdr:to>
      <xdr:col>71</xdr:col>
      <xdr:colOff>83820</xdr:colOff>
      <xdr:row>713</xdr:row>
      <xdr:rowOff>114300</xdr:rowOff>
    </xdr:to>
    <xdr:sp macro="" textlink="">
      <xdr:nvSpPr>
        <xdr:cNvPr id="5462" name="Arrow: Down 5461">
          <a:extLst>
            <a:ext uri="{FF2B5EF4-FFF2-40B4-BE49-F238E27FC236}">
              <a16:creationId xmlns:a16="http://schemas.microsoft.com/office/drawing/2014/main" id="{5623B153-5451-4961-86E7-F96900364C51}"/>
            </a:ext>
          </a:extLst>
        </xdr:cNvPr>
        <xdr:cNvSpPr/>
      </xdr:nvSpPr>
      <xdr:spPr>
        <a:xfrm>
          <a:off x="21960840" y="1303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713</xdr:row>
      <xdr:rowOff>0</xdr:rowOff>
    </xdr:from>
    <xdr:to>
      <xdr:col>39</xdr:col>
      <xdr:colOff>83820</xdr:colOff>
      <xdr:row>713</xdr:row>
      <xdr:rowOff>114300</xdr:rowOff>
    </xdr:to>
    <xdr:sp macro="" textlink="">
      <xdr:nvSpPr>
        <xdr:cNvPr id="5463" name="Arrow: Down 5462">
          <a:extLst>
            <a:ext uri="{FF2B5EF4-FFF2-40B4-BE49-F238E27FC236}">
              <a16:creationId xmlns:a16="http://schemas.microsoft.com/office/drawing/2014/main" id="{FB58AA04-3CD2-40CA-A49A-611E4C9B2C58}"/>
            </a:ext>
          </a:extLst>
        </xdr:cNvPr>
        <xdr:cNvSpPr/>
      </xdr:nvSpPr>
      <xdr:spPr>
        <a:xfrm rot="10800000">
          <a:off x="11544300" y="1303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713</xdr:row>
      <xdr:rowOff>0</xdr:rowOff>
    </xdr:from>
    <xdr:to>
      <xdr:col>60</xdr:col>
      <xdr:colOff>83820</xdr:colOff>
      <xdr:row>713</xdr:row>
      <xdr:rowOff>114300</xdr:rowOff>
    </xdr:to>
    <xdr:sp macro="" textlink="">
      <xdr:nvSpPr>
        <xdr:cNvPr id="5464" name="Arrow: Down 5463">
          <a:extLst>
            <a:ext uri="{FF2B5EF4-FFF2-40B4-BE49-F238E27FC236}">
              <a16:creationId xmlns:a16="http://schemas.microsoft.com/office/drawing/2014/main" id="{3B117ECB-4EDF-4521-8D54-3FD08F51D298}"/>
            </a:ext>
          </a:extLst>
        </xdr:cNvPr>
        <xdr:cNvSpPr/>
      </xdr:nvSpPr>
      <xdr:spPr>
        <a:xfrm>
          <a:off x="19080480" y="1303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713</xdr:row>
      <xdr:rowOff>0</xdr:rowOff>
    </xdr:from>
    <xdr:to>
      <xdr:col>5</xdr:col>
      <xdr:colOff>83820</xdr:colOff>
      <xdr:row>713</xdr:row>
      <xdr:rowOff>114300</xdr:rowOff>
    </xdr:to>
    <xdr:sp macro="" textlink="">
      <xdr:nvSpPr>
        <xdr:cNvPr id="5465" name="Arrow: Down 5464">
          <a:extLst>
            <a:ext uri="{FF2B5EF4-FFF2-40B4-BE49-F238E27FC236}">
              <a16:creationId xmlns:a16="http://schemas.microsoft.com/office/drawing/2014/main" id="{6E34D80E-6C92-4D4E-B6A8-3723D2707627}"/>
            </a:ext>
          </a:extLst>
        </xdr:cNvPr>
        <xdr:cNvSpPr/>
      </xdr:nvSpPr>
      <xdr:spPr>
        <a:xfrm rot="10800000">
          <a:off x="192786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713</xdr:row>
      <xdr:rowOff>0</xdr:rowOff>
    </xdr:from>
    <xdr:to>
      <xdr:col>11</xdr:col>
      <xdr:colOff>83820</xdr:colOff>
      <xdr:row>713</xdr:row>
      <xdr:rowOff>114300</xdr:rowOff>
    </xdr:to>
    <xdr:sp macro="" textlink="">
      <xdr:nvSpPr>
        <xdr:cNvPr id="5466" name="Arrow: Down 5465">
          <a:extLst>
            <a:ext uri="{FF2B5EF4-FFF2-40B4-BE49-F238E27FC236}">
              <a16:creationId xmlns:a16="http://schemas.microsoft.com/office/drawing/2014/main" id="{BCAFD922-817A-426F-9FA0-A8F536A93F33}"/>
            </a:ext>
          </a:extLst>
        </xdr:cNvPr>
        <xdr:cNvSpPr/>
      </xdr:nvSpPr>
      <xdr:spPr>
        <a:xfrm rot="10800000">
          <a:off x="369570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713</xdr:row>
      <xdr:rowOff>0</xdr:rowOff>
    </xdr:from>
    <xdr:to>
      <xdr:col>24</xdr:col>
      <xdr:colOff>83820</xdr:colOff>
      <xdr:row>713</xdr:row>
      <xdr:rowOff>114300</xdr:rowOff>
    </xdr:to>
    <xdr:sp macro="" textlink="">
      <xdr:nvSpPr>
        <xdr:cNvPr id="5467" name="Arrow: Down 5466">
          <a:extLst>
            <a:ext uri="{FF2B5EF4-FFF2-40B4-BE49-F238E27FC236}">
              <a16:creationId xmlns:a16="http://schemas.microsoft.com/office/drawing/2014/main" id="{A8FC526F-2E96-4930-893C-39491DEE5383}"/>
            </a:ext>
          </a:extLst>
        </xdr:cNvPr>
        <xdr:cNvSpPr/>
      </xdr:nvSpPr>
      <xdr:spPr>
        <a:xfrm rot="10800000">
          <a:off x="833628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714</xdr:row>
      <xdr:rowOff>0</xdr:rowOff>
    </xdr:from>
    <xdr:to>
      <xdr:col>64</xdr:col>
      <xdr:colOff>83820</xdr:colOff>
      <xdr:row>714</xdr:row>
      <xdr:rowOff>114300</xdr:rowOff>
    </xdr:to>
    <xdr:sp macro="" textlink="">
      <xdr:nvSpPr>
        <xdr:cNvPr id="5476" name="Arrow: Down 5475">
          <a:extLst>
            <a:ext uri="{FF2B5EF4-FFF2-40B4-BE49-F238E27FC236}">
              <a16:creationId xmlns:a16="http://schemas.microsoft.com/office/drawing/2014/main" id="{D7A6BE25-EB0A-426D-9935-F0B497FED39F}"/>
            </a:ext>
          </a:extLst>
        </xdr:cNvPr>
        <xdr:cNvSpPr/>
      </xdr:nvSpPr>
      <xdr:spPr>
        <a:xfrm rot="10800000">
          <a:off x="19347180" y="1304925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714</xdr:row>
      <xdr:rowOff>0</xdr:rowOff>
    </xdr:from>
    <xdr:to>
      <xdr:col>45</xdr:col>
      <xdr:colOff>83820</xdr:colOff>
      <xdr:row>714</xdr:row>
      <xdr:rowOff>114300</xdr:rowOff>
    </xdr:to>
    <xdr:sp macro="" textlink="">
      <xdr:nvSpPr>
        <xdr:cNvPr id="5477" name="Arrow: Down 5476">
          <a:extLst>
            <a:ext uri="{FF2B5EF4-FFF2-40B4-BE49-F238E27FC236}">
              <a16:creationId xmlns:a16="http://schemas.microsoft.com/office/drawing/2014/main" id="{74F7706B-20D3-4FF2-8A18-9A9ADD1E44A0}"/>
            </a:ext>
          </a:extLst>
        </xdr:cNvPr>
        <xdr:cNvSpPr/>
      </xdr:nvSpPr>
      <xdr:spPr>
        <a:xfrm rot="10800000">
          <a:off x="13403580" y="130492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714</xdr:row>
      <xdr:rowOff>0</xdr:rowOff>
    </xdr:from>
    <xdr:to>
      <xdr:col>71</xdr:col>
      <xdr:colOff>83820</xdr:colOff>
      <xdr:row>714</xdr:row>
      <xdr:rowOff>114300</xdr:rowOff>
    </xdr:to>
    <xdr:sp macro="" textlink="">
      <xdr:nvSpPr>
        <xdr:cNvPr id="5478" name="Arrow: Down 5477">
          <a:extLst>
            <a:ext uri="{FF2B5EF4-FFF2-40B4-BE49-F238E27FC236}">
              <a16:creationId xmlns:a16="http://schemas.microsoft.com/office/drawing/2014/main" id="{947D62C4-E54C-4C16-97FC-39FA3B467144}"/>
            </a:ext>
          </a:extLst>
        </xdr:cNvPr>
        <xdr:cNvSpPr/>
      </xdr:nvSpPr>
      <xdr:spPr>
        <a:xfrm>
          <a:off x="21960840" y="13049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714</xdr:row>
      <xdr:rowOff>0</xdr:rowOff>
    </xdr:from>
    <xdr:to>
      <xdr:col>5</xdr:col>
      <xdr:colOff>83820</xdr:colOff>
      <xdr:row>714</xdr:row>
      <xdr:rowOff>114300</xdr:rowOff>
    </xdr:to>
    <xdr:sp macro="" textlink="">
      <xdr:nvSpPr>
        <xdr:cNvPr id="5481" name="Arrow: Down 5480">
          <a:extLst>
            <a:ext uri="{FF2B5EF4-FFF2-40B4-BE49-F238E27FC236}">
              <a16:creationId xmlns:a16="http://schemas.microsoft.com/office/drawing/2014/main" id="{90E5C37D-B1C9-4C8F-BDC8-9E48A7419759}"/>
            </a:ext>
          </a:extLst>
        </xdr:cNvPr>
        <xdr:cNvSpPr/>
      </xdr:nvSpPr>
      <xdr:spPr>
        <a:xfrm rot="10800000">
          <a:off x="1927860" y="13049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714</xdr:row>
      <xdr:rowOff>0</xdr:rowOff>
    </xdr:from>
    <xdr:to>
      <xdr:col>11</xdr:col>
      <xdr:colOff>83820</xdr:colOff>
      <xdr:row>714</xdr:row>
      <xdr:rowOff>114300</xdr:rowOff>
    </xdr:to>
    <xdr:sp macro="" textlink="">
      <xdr:nvSpPr>
        <xdr:cNvPr id="5482" name="Arrow: Down 5481">
          <a:extLst>
            <a:ext uri="{FF2B5EF4-FFF2-40B4-BE49-F238E27FC236}">
              <a16:creationId xmlns:a16="http://schemas.microsoft.com/office/drawing/2014/main" id="{24EC63E5-1CCF-436F-8226-20AA05B8041A}"/>
            </a:ext>
          </a:extLst>
        </xdr:cNvPr>
        <xdr:cNvSpPr/>
      </xdr:nvSpPr>
      <xdr:spPr>
        <a:xfrm rot="10800000">
          <a:off x="3695700" y="13049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714</xdr:row>
      <xdr:rowOff>0</xdr:rowOff>
    </xdr:from>
    <xdr:to>
      <xdr:col>24</xdr:col>
      <xdr:colOff>83820</xdr:colOff>
      <xdr:row>714</xdr:row>
      <xdr:rowOff>114300</xdr:rowOff>
    </xdr:to>
    <xdr:sp macro="" textlink="">
      <xdr:nvSpPr>
        <xdr:cNvPr id="5483" name="Arrow: Down 5482">
          <a:extLst>
            <a:ext uri="{FF2B5EF4-FFF2-40B4-BE49-F238E27FC236}">
              <a16:creationId xmlns:a16="http://schemas.microsoft.com/office/drawing/2014/main" id="{90007094-46C7-4DAB-95AD-B3BACCE4868C}"/>
            </a:ext>
          </a:extLst>
        </xdr:cNvPr>
        <xdr:cNvSpPr/>
      </xdr:nvSpPr>
      <xdr:spPr>
        <a:xfrm rot="10800000">
          <a:off x="8336280" y="13049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714</xdr:row>
      <xdr:rowOff>0</xdr:rowOff>
    </xdr:from>
    <xdr:to>
      <xdr:col>39</xdr:col>
      <xdr:colOff>83820</xdr:colOff>
      <xdr:row>714</xdr:row>
      <xdr:rowOff>114300</xdr:rowOff>
    </xdr:to>
    <xdr:sp macro="" textlink="">
      <xdr:nvSpPr>
        <xdr:cNvPr id="5485" name="Arrow: Down 5484">
          <a:extLst>
            <a:ext uri="{FF2B5EF4-FFF2-40B4-BE49-F238E27FC236}">
              <a16:creationId xmlns:a16="http://schemas.microsoft.com/office/drawing/2014/main" id="{739E9AD8-E4F0-4C5B-A638-7770947733CE}"/>
            </a:ext>
          </a:extLst>
        </xdr:cNvPr>
        <xdr:cNvSpPr/>
      </xdr:nvSpPr>
      <xdr:spPr>
        <a:xfrm>
          <a:off x="11544300" y="1306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714</xdr:row>
      <xdr:rowOff>0</xdr:rowOff>
    </xdr:from>
    <xdr:to>
      <xdr:col>60</xdr:col>
      <xdr:colOff>83820</xdr:colOff>
      <xdr:row>714</xdr:row>
      <xdr:rowOff>114300</xdr:rowOff>
    </xdr:to>
    <xdr:sp macro="" textlink="">
      <xdr:nvSpPr>
        <xdr:cNvPr id="5487" name="Arrow: Down 5486">
          <a:extLst>
            <a:ext uri="{FF2B5EF4-FFF2-40B4-BE49-F238E27FC236}">
              <a16:creationId xmlns:a16="http://schemas.microsoft.com/office/drawing/2014/main" id="{05838E69-13E7-48B5-B719-526F6F50F1D1}"/>
            </a:ext>
          </a:extLst>
        </xdr:cNvPr>
        <xdr:cNvSpPr/>
      </xdr:nvSpPr>
      <xdr:spPr>
        <a:xfrm rot="10800000">
          <a:off x="19080480" y="1306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715</xdr:row>
      <xdr:rowOff>0</xdr:rowOff>
    </xdr:from>
    <xdr:to>
      <xdr:col>64</xdr:col>
      <xdr:colOff>83820</xdr:colOff>
      <xdr:row>715</xdr:row>
      <xdr:rowOff>114300</xdr:rowOff>
    </xdr:to>
    <xdr:sp macro="" textlink="">
      <xdr:nvSpPr>
        <xdr:cNvPr id="5488" name="Arrow: Down 5487">
          <a:extLst>
            <a:ext uri="{FF2B5EF4-FFF2-40B4-BE49-F238E27FC236}">
              <a16:creationId xmlns:a16="http://schemas.microsoft.com/office/drawing/2014/main" id="{9702392E-71CA-4C20-BD39-2E801003E0AE}"/>
            </a:ext>
          </a:extLst>
        </xdr:cNvPr>
        <xdr:cNvSpPr/>
      </xdr:nvSpPr>
      <xdr:spPr>
        <a:xfrm rot="10800000">
          <a:off x="19347180" y="1306753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715</xdr:row>
      <xdr:rowOff>0</xdr:rowOff>
    </xdr:from>
    <xdr:to>
      <xdr:col>45</xdr:col>
      <xdr:colOff>83820</xdr:colOff>
      <xdr:row>715</xdr:row>
      <xdr:rowOff>114300</xdr:rowOff>
    </xdr:to>
    <xdr:sp macro="" textlink="">
      <xdr:nvSpPr>
        <xdr:cNvPr id="5489" name="Arrow: Down 5488">
          <a:extLst>
            <a:ext uri="{FF2B5EF4-FFF2-40B4-BE49-F238E27FC236}">
              <a16:creationId xmlns:a16="http://schemas.microsoft.com/office/drawing/2014/main" id="{3F7D632E-7B53-43EE-B9E6-476615BD5FA5}"/>
            </a:ext>
          </a:extLst>
        </xdr:cNvPr>
        <xdr:cNvSpPr/>
      </xdr:nvSpPr>
      <xdr:spPr>
        <a:xfrm rot="10800000">
          <a:off x="13403580" y="130675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715</xdr:row>
      <xdr:rowOff>0</xdr:rowOff>
    </xdr:from>
    <xdr:to>
      <xdr:col>71</xdr:col>
      <xdr:colOff>83820</xdr:colOff>
      <xdr:row>715</xdr:row>
      <xdr:rowOff>114300</xdr:rowOff>
    </xdr:to>
    <xdr:sp macro="" textlink="">
      <xdr:nvSpPr>
        <xdr:cNvPr id="5490" name="Arrow: Down 5489">
          <a:extLst>
            <a:ext uri="{FF2B5EF4-FFF2-40B4-BE49-F238E27FC236}">
              <a16:creationId xmlns:a16="http://schemas.microsoft.com/office/drawing/2014/main" id="{90D1F74F-9E43-43C2-9097-A7C17E826099}"/>
            </a:ext>
          </a:extLst>
        </xdr:cNvPr>
        <xdr:cNvSpPr/>
      </xdr:nvSpPr>
      <xdr:spPr>
        <a:xfrm>
          <a:off x="21960840" y="1306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715</xdr:row>
      <xdr:rowOff>0</xdr:rowOff>
    </xdr:from>
    <xdr:to>
      <xdr:col>39</xdr:col>
      <xdr:colOff>83820</xdr:colOff>
      <xdr:row>715</xdr:row>
      <xdr:rowOff>114300</xdr:rowOff>
    </xdr:to>
    <xdr:sp macro="" textlink="">
      <xdr:nvSpPr>
        <xdr:cNvPr id="5494" name="Arrow: Down 5493">
          <a:extLst>
            <a:ext uri="{FF2B5EF4-FFF2-40B4-BE49-F238E27FC236}">
              <a16:creationId xmlns:a16="http://schemas.microsoft.com/office/drawing/2014/main" id="{AF5233FA-3360-495B-B273-60C19BC1DE24}"/>
            </a:ext>
          </a:extLst>
        </xdr:cNvPr>
        <xdr:cNvSpPr/>
      </xdr:nvSpPr>
      <xdr:spPr>
        <a:xfrm>
          <a:off x="11544300" y="1306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715</xdr:row>
      <xdr:rowOff>0</xdr:rowOff>
    </xdr:from>
    <xdr:to>
      <xdr:col>60</xdr:col>
      <xdr:colOff>83820</xdr:colOff>
      <xdr:row>715</xdr:row>
      <xdr:rowOff>114300</xdr:rowOff>
    </xdr:to>
    <xdr:sp macro="" textlink="">
      <xdr:nvSpPr>
        <xdr:cNvPr id="5498" name="Arrow: Down 5497">
          <a:extLst>
            <a:ext uri="{FF2B5EF4-FFF2-40B4-BE49-F238E27FC236}">
              <a16:creationId xmlns:a16="http://schemas.microsoft.com/office/drawing/2014/main" id="{A598AE18-C4D6-472D-B1C4-9F16803DB6E6}"/>
            </a:ext>
          </a:extLst>
        </xdr:cNvPr>
        <xdr:cNvSpPr/>
      </xdr:nvSpPr>
      <xdr:spPr>
        <a:xfrm>
          <a:off x="1908048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715</xdr:row>
      <xdr:rowOff>0</xdr:rowOff>
    </xdr:from>
    <xdr:to>
      <xdr:col>24</xdr:col>
      <xdr:colOff>83820</xdr:colOff>
      <xdr:row>715</xdr:row>
      <xdr:rowOff>114300</xdr:rowOff>
    </xdr:to>
    <xdr:sp macro="" textlink="">
      <xdr:nvSpPr>
        <xdr:cNvPr id="5500" name="Arrow: Down 5499">
          <a:extLst>
            <a:ext uri="{FF2B5EF4-FFF2-40B4-BE49-F238E27FC236}">
              <a16:creationId xmlns:a16="http://schemas.microsoft.com/office/drawing/2014/main" id="{C0927D44-2D1B-4044-849B-43B6AC927877}"/>
            </a:ext>
          </a:extLst>
        </xdr:cNvPr>
        <xdr:cNvSpPr/>
      </xdr:nvSpPr>
      <xdr:spPr>
        <a:xfrm>
          <a:off x="833628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715</xdr:row>
      <xdr:rowOff>0</xdr:rowOff>
    </xdr:from>
    <xdr:to>
      <xdr:col>11</xdr:col>
      <xdr:colOff>83820</xdr:colOff>
      <xdr:row>715</xdr:row>
      <xdr:rowOff>114300</xdr:rowOff>
    </xdr:to>
    <xdr:sp macro="" textlink="">
      <xdr:nvSpPr>
        <xdr:cNvPr id="5502" name="Arrow: Down 5501">
          <a:extLst>
            <a:ext uri="{FF2B5EF4-FFF2-40B4-BE49-F238E27FC236}">
              <a16:creationId xmlns:a16="http://schemas.microsoft.com/office/drawing/2014/main" id="{DD8CBD69-B962-4B32-8B65-01A941A2A456}"/>
            </a:ext>
          </a:extLst>
        </xdr:cNvPr>
        <xdr:cNvSpPr/>
      </xdr:nvSpPr>
      <xdr:spPr>
        <a:xfrm>
          <a:off x="369570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715</xdr:row>
      <xdr:rowOff>0</xdr:rowOff>
    </xdr:from>
    <xdr:to>
      <xdr:col>5</xdr:col>
      <xdr:colOff>83820</xdr:colOff>
      <xdr:row>715</xdr:row>
      <xdr:rowOff>114300</xdr:rowOff>
    </xdr:to>
    <xdr:sp macro="" textlink="">
      <xdr:nvSpPr>
        <xdr:cNvPr id="5504" name="Arrow: Down 5503">
          <a:extLst>
            <a:ext uri="{FF2B5EF4-FFF2-40B4-BE49-F238E27FC236}">
              <a16:creationId xmlns:a16="http://schemas.microsoft.com/office/drawing/2014/main" id="{E4369381-59BD-4CF1-A65C-E5CCE9C23395}"/>
            </a:ext>
          </a:extLst>
        </xdr:cNvPr>
        <xdr:cNvSpPr/>
      </xdr:nvSpPr>
      <xdr:spPr>
        <a:xfrm>
          <a:off x="192786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716</xdr:row>
      <xdr:rowOff>0</xdr:rowOff>
    </xdr:from>
    <xdr:to>
      <xdr:col>64</xdr:col>
      <xdr:colOff>83820</xdr:colOff>
      <xdr:row>716</xdr:row>
      <xdr:rowOff>114300</xdr:rowOff>
    </xdr:to>
    <xdr:sp macro="" textlink="">
      <xdr:nvSpPr>
        <xdr:cNvPr id="5513" name="Arrow: Down 5512">
          <a:extLst>
            <a:ext uri="{FF2B5EF4-FFF2-40B4-BE49-F238E27FC236}">
              <a16:creationId xmlns:a16="http://schemas.microsoft.com/office/drawing/2014/main" id="{BDDE6DE4-87AE-4150-B301-63DF656D6B84}"/>
            </a:ext>
          </a:extLst>
        </xdr:cNvPr>
        <xdr:cNvSpPr/>
      </xdr:nvSpPr>
      <xdr:spPr>
        <a:xfrm rot="10800000">
          <a:off x="19347180" y="1308582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716</xdr:row>
      <xdr:rowOff>0</xdr:rowOff>
    </xdr:from>
    <xdr:to>
      <xdr:col>45</xdr:col>
      <xdr:colOff>83820</xdr:colOff>
      <xdr:row>716</xdr:row>
      <xdr:rowOff>114300</xdr:rowOff>
    </xdr:to>
    <xdr:sp macro="" textlink="">
      <xdr:nvSpPr>
        <xdr:cNvPr id="5514" name="Arrow: Down 5513">
          <a:extLst>
            <a:ext uri="{FF2B5EF4-FFF2-40B4-BE49-F238E27FC236}">
              <a16:creationId xmlns:a16="http://schemas.microsoft.com/office/drawing/2014/main" id="{FA227C81-7FB9-4BE2-B22D-02809E69C9E8}"/>
            </a:ext>
          </a:extLst>
        </xdr:cNvPr>
        <xdr:cNvSpPr/>
      </xdr:nvSpPr>
      <xdr:spPr>
        <a:xfrm rot="10800000">
          <a:off x="13403580" y="130858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716</xdr:row>
      <xdr:rowOff>0</xdr:rowOff>
    </xdr:from>
    <xdr:to>
      <xdr:col>71</xdr:col>
      <xdr:colOff>83820</xdr:colOff>
      <xdr:row>716</xdr:row>
      <xdr:rowOff>114300</xdr:rowOff>
    </xdr:to>
    <xdr:sp macro="" textlink="">
      <xdr:nvSpPr>
        <xdr:cNvPr id="5515" name="Arrow: Down 5514">
          <a:extLst>
            <a:ext uri="{FF2B5EF4-FFF2-40B4-BE49-F238E27FC236}">
              <a16:creationId xmlns:a16="http://schemas.microsoft.com/office/drawing/2014/main" id="{8B831256-FE68-4C46-A72A-B2AF73D4A7AA}"/>
            </a:ext>
          </a:extLst>
        </xdr:cNvPr>
        <xdr:cNvSpPr/>
      </xdr:nvSpPr>
      <xdr:spPr>
        <a:xfrm>
          <a:off x="2196084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716</xdr:row>
      <xdr:rowOff>0</xdr:rowOff>
    </xdr:from>
    <xdr:to>
      <xdr:col>39</xdr:col>
      <xdr:colOff>83820</xdr:colOff>
      <xdr:row>716</xdr:row>
      <xdr:rowOff>114300</xdr:rowOff>
    </xdr:to>
    <xdr:sp macro="" textlink="">
      <xdr:nvSpPr>
        <xdr:cNvPr id="5516" name="Arrow: Down 5515">
          <a:extLst>
            <a:ext uri="{FF2B5EF4-FFF2-40B4-BE49-F238E27FC236}">
              <a16:creationId xmlns:a16="http://schemas.microsoft.com/office/drawing/2014/main" id="{3C1C582F-9559-4198-BE13-5EFBC857636A}"/>
            </a:ext>
          </a:extLst>
        </xdr:cNvPr>
        <xdr:cNvSpPr/>
      </xdr:nvSpPr>
      <xdr:spPr>
        <a:xfrm>
          <a:off x="11544300" y="13085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716</xdr:row>
      <xdr:rowOff>0</xdr:rowOff>
    </xdr:from>
    <xdr:to>
      <xdr:col>60</xdr:col>
      <xdr:colOff>83820</xdr:colOff>
      <xdr:row>716</xdr:row>
      <xdr:rowOff>114300</xdr:rowOff>
    </xdr:to>
    <xdr:sp macro="" textlink="">
      <xdr:nvSpPr>
        <xdr:cNvPr id="5517" name="Arrow: Down 5516">
          <a:extLst>
            <a:ext uri="{FF2B5EF4-FFF2-40B4-BE49-F238E27FC236}">
              <a16:creationId xmlns:a16="http://schemas.microsoft.com/office/drawing/2014/main" id="{36672365-39E2-4477-BEF4-3AED8D3221B5}"/>
            </a:ext>
          </a:extLst>
        </xdr:cNvPr>
        <xdr:cNvSpPr/>
      </xdr:nvSpPr>
      <xdr:spPr>
        <a:xfrm>
          <a:off x="1908048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716</xdr:row>
      <xdr:rowOff>0</xdr:rowOff>
    </xdr:from>
    <xdr:to>
      <xdr:col>24</xdr:col>
      <xdr:colOff>83820</xdr:colOff>
      <xdr:row>716</xdr:row>
      <xdr:rowOff>114300</xdr:rowOff>
    </xdr:to>
    <xdr:sp macro="" textlink="">
      <xdr:nvSpPr>
        <xdr:cNvPr id="5522" name="Arrow: Down 5521">
          <a:extLst>
            <a:ext uri="{FF2B5EF4-FFF2-40B4-BE49-F238E27FC236}">
              <a16:creationId xmlns:a16="http://schemas.microsoft.com/office/drawing/2014/main" id="{E95F0846-6559-4DB7-A0E8-479A3832B656}"/>
            </a:ext>
          </a:extLst>
        </xdr:cNvPr>
        <xdr:cNvSpPr/>
      </xdr:nvSpPr>
      <xdr:spPr>
        <a:xfrm rot="10800000">
          <a:off x="8336280" y="1310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716</xdr:row>
      <xdr:rowOff>0</xdr:rowOff>
    </xdr:from>
    <xdr:to>
      <xdr:col>5</xdr:col>
      <xdr:colOff>83820</xdr:colOff>
      <xdr:row>716</xdr:row>
      <xdr:rowOff>114300</xdr:rowOff>
    </xdr:to>
    <xdr:sp macro="" textlink="">
      <xdr:nvSpPr>
        <xdr:cNvPr id="5524" name="Arrow: Down 5523">
          <a:extLst>
            <a:ext uri="{FF2B5EF4-FFF2-40B4-BE49-F238E27FC236}">
              <a16:creationId xmlns:a16="http://schemas.microsoft.com/office/drawing/2014/main" id="{24F63F86-01A9-4258-8AB4-2A877BEEBC17}"/>
            </a:ext>
          </a:extLst>
        </xdr:cNvPr>
        <xdr:cNvSpPr/>
      </xdr:nvSpPr>
      <xdr:spPr>
        <a:xfrm rot="10800000">
          <a:off x="1927860" y="1310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716</xdr:row>
      <xdr:rowOff>0</xdr:rowOff>
    </xdr:from>
    <xdr:to>
      <xdr:col>11</xdr:col>
      <xdr:colOff>83820</xdr:colOff>
      <xdr:row>716</xdr:row>
      <xdr:rowOff>114300</xdr:rowOff>
    </xdr:to>
    <xdr:sp macro="" textlink="">
      <xdr:nvSpPr>
        <xdr:cNvPr id="5525" name="Arrow: Down 5524">
          <a:extLst>
            <a:ext uri="{FF2B5EF4-FFF2-40B4-BE49-F238E27FC236}">
              <a16:creationId xmlns:a16="http://schemas.microsoft.com/office/drawing/2014/main" id="{30F585A2-166A-48A7-8243-2F00B40D1FF6}"/>
            </a:ext>
          </a:extLst>
        </xdr:cNvPr>
        <xdr:cNvSpPr/>
      </xdr:nvSpPr>
      <xdr:spPr>
        <a:xfrm rot="10800000">
          <a:off x="3695700" y="1310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717</xdr:row>
      <xdr:rowOff>0</xdr:rowOff>
    </xdr:from>
    <xdr:to>
      <xdr:col>64</xdr:col>
      <xdr:colOff>83820</xdr:colOff>
      <xdr:row>717</xdr:row>
      <xdr:rowOff>114300</xdr:rowOff>
    </xdr:to>
    <xdr:sp macro="" textlink="">
      <xdr:nvSpPr>
        <xdr:cNvPr id="5542" name="Arrow: Down 5541">
          <a:extLst>
            <a:ext uri="{FF2B5EF4-FFF2-40B4-BE49-F238E27FC236}">
              <a16:creationId xmlns:a16="http://schemas.microsoft.com/office/drawing/2014/main" id="{F770EE3B-E0E1-4003-9F8A-5145DBA3F013}"/>
            </a:ext>
          </a:extLst>
        </xdr:cNvPr>
        <xdr:cNvSpPr/>
      </xdr:nvSpPr>
      <xdr:spPr>
        <a:xfrm rot="10800000">
          <a:off x="19347180" y="1310411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717</xdr:row>
      <xdr:rowOff>0</xdr:rowOff>
    </xdr:from>
    <xdr:to>
      <xdr:col>45</xdr:col>
      <xdr:colOff>83820</xdr:colOff>
      <xdr:row>717</xdr:row>
      <xdr:rowOff>114300</xdr:rowOff>
    </xdr:to>
    <xdr:sp macro="" textlink="">
      <xdr:nvSpPr>
        <xdr:cNvPr id="5543" name="Arrow: Down 5542">
          <a:extLst>
            <a:ext uri="{FF2B5EF4-FFF2-40B4-BE49-F238E27FC236}">
              <a16:creationId xmlns:a16="http://schemas.microsoft.com/office/drawing/2014/main" id="{836C851D-D924-4240-A147-6DA3252BD5BA}"/>
            </a:ext>
          </a:extLst>
        </xdr:cNvPr>
        <xdr:cNvSpPr/>
      </xdr:nvSpPr>
      <xdr:spPr>
        <a:xfrm rot="10800000">
          <a:off x="13403580" y="131041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717</xdr:row>
      <xdr:rowOff>0</xdr:rowOff>
    </xdr:from>
    <xdr:to>
      <xdr:col>71</xdr:col>
      <xdr:colOff>83820</xdr:colOff>
      <xdr:row>717</xdr:row>
      <xdr:rowOff>114300</xdr:rowOff>
    </xdr:to>
    <xdr:sp macro="" textlink="">
      <xdr:nvSpPr>
        <xdr:cNvPr id="5544" name="Arrow: Down 5543">
          <a:extLst>
            <a:ext uri="{FF2B5EF4-FFF2-40B4-BE49-F238E27FC236}">
              <a16:creationId xmlns:a16="http://schemas.microsoft.com/office/drawing/2014/main" id="{C4E2AE6C-2BC5-485D-8D95-05E818ECECA4}"/>
            </a:ext>
          </a:extLst>
        </xdr:cNvPr>
        <xdr:cNvSpPr/>
      </xdr:nvSpPr>
      <xdr:spPr>
        <a:xfrm>
          <a:off x="21960840" y="1310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717</xdr:row>
      <xdr:rowOff>0</xdr:rowOff>
    </xdr:from>
    <xdr:to>
      <xdr:col>39</xdr:col>
      <xdr:colOff>83820</xdr:colOff>
      <xdr:row>717</xdr:row>
      <xdr:rowOff>114300</xdr:rowOff>
    </xdr:to>
    <xdr:sp macro="" textlink="">
      <xdr:nvSpPr>
        <xdr:cNvPr id="5545" name="Arrow: Down 5544">
          <a:extLst>
            <a:ext uri="{FF2B5EF4-FFF2-40B4-BE49-F238E27FC236}">
              <a16:creationId xmlns:a16="http://schemas.microsoft.com/office/drawing/2014/main" id="{16E732FB-D4F0-4E4A-83AD-1BCFC35CACEE}"/>
            </a:ext>
          </a:extLst>
        </xdr:cNvPr>
        <xdr:cNvSpPr/>
      </xdr:nvSpPr>
      <xdr:spPr>
        <a:xfrm>
          <a:off x="11544300" y="1310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717</xdr:row>
      <xdr:rowOff>0</xdr:rowOff>
    </xdr:from>
    <xdr:to>
      <xdr:col>60</xdr:col>
      <xdr:colOff>83820</xdr:colOff>
      <xdr:row>717</xdr:row>
      <xdr:rowOff>114300</xdr:rowOff>
    </xdr:to>
    <xdr:sp macro="" textlink="">
      <xdr:nvSpPr>
        <xdr:cNvPr id="5550" name="Arrow: Down 5549">
          <a:extLst>
            <a:ext uri="{FF2B5EF4-FFF2-40B4-BE49-F238E27FC236}">
              <a16:creationId xmlns:a16="http://schemas.microsoft.com/office/drawing/2014/main" id="{F5915253-1054-414B-BBB9-864B10B6A262}"/>
            </a:ext>
          </a:extLst>
        </xdr:cNvPr>
        <xdr:cNvSpPr/>
      </xdr:nvSpPr>
      <xdr:spPr>
        <a:xfrm rot="10800000">
          <a:off x="19080480" y="1312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717</xdr:row>
      <xdr:rowOff>0</xdr:rowOff>
    </xdr:from>
    <xdr:to>
      <xdr:col>24</xdr:col>
      <xdr:colOff>83820</xdr:colOff>
      <xdr:row>717</xdr:row>
      <xdr:rowOff>114300</xdr:rowOff>
    </xdr:to>
    <xdr:sp macro="" textlink="">
      <xdr:nvSpPr>
        <xdr:cNvPr id="5552" name="Arrow: Down 5551">
          <a:extLst>
            <a:ext uri="{FF2B5EF4-FFF2-40B4-BE49-F238E27FC236}">
              <a16:creationId xmlns:a16="http://schemas.microsoft.com/office/drawing/2014/main" id="{C9FCD527-A3E8-4170-84DE-2599AB59BC2C}"/>
            </a:ext>
          </a:extLst>
        </xdr:cNvPr>
        <xdr:cNvSpPr/>
      </xdr:nvSpPr>
      <xdr:spPr>
        <a:xfrm>
          <a:off x="833628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717</xdr:row>
      <xdr:rowOff>0</xdr:rowOff>
    </xdr:from>
    <xdr:to>
      <xdr:col>11</xdr:col>
      <xdr:colOff>83820</xdr:colOff>
      <xdr:row>717</xdr:row>
      <xdr:rowOff>114300</xdr:rowOff>
    </xdr:to>
    <xdr:sp macro="" textlink="">
      <xdr:nvSpPr>
        <xdr:cNvPr id="5553" name="Arrow: Down 5552">
          <a:extLst>
            <a:ext uri="{FF2B5EF4-FFF2-40B4-BE49-F238E27FC236}">
              <a16:creationId xmlns:a16="http://schemas.microsoft.com/office/drawing/2014/main" id="{181E6954-755B-4F65-A704-175ADBB8C68F}"/>
            </a:ext>
          </a:extLst>
        </xdr:cNvPr>
        <xdr:cNvSpPr/>
      </xdr:nvSpPr>
      <xdr:spPr>
        <a:xfrm>
          <a:off x="369570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717</xdr:row>
      <xdr:rowOff>0</xdr:rowOff>
    </xdr:from>
    <xdr:to>
      <xdr:col>5</xdr:col>
      <xdr:colOff>83820</xdr:colOff>
      <xdr:row>717</xdr:row>
      <xdr:rowOff>114300</xdr:rowOff>
    </xdr:to>
    <xdr:sp macro="" textlink="">
      <xdr:nvSpPr>
        <xdr:cNvPr id="5554" name="Arrow: Down 5553">
          <a:extLst>
            <a:ext uri="{FF2B5EF4-FFF2-40B4-BE49-F238E27FC236}">
              <a16:creationId xmlns:a16="http://schemas.microsoft.com/office/drawing/2014/main" id="{F67BFAFD-FF86-4669-B1BF-EBE336588A3A}"/>
            </a:ext>
          </a:extLst>
        </xdr:cNvPr>
        <xdr:cNvSpPr/>
      </xdr:nvSpPr>
      <xdr:spPr>
        <a:xfrm>
          <a:off x="192786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718</xdr:row>
      <xdr:rowOff>0</xdr:rowOff>
    </xdr:from>
    <xdr:to>
      <xdr:col>64</xdr:col>
      <xdr:colOff>83820</xdr:colOff>
      <xdr:row>718</xdr:row>
      <xdr:rowOff>114300</xdr:rowOff>
    </xdr:to>
    <xdr:sp macro="" textlink="">
      <xdr:nvSpPr>
        <xdr:cNvPr id="5555" name="Arrow: Down 5554">
          <a:extLst>
            <a:ext uri="{FF2B5EF4-FFF2-40B4-BE49-F238E27FC236}">
              <a16:creationId xmlns:a16="http://schemas.microsoft.com/office/drawing/2014/main" id="{FE0D5075-76F7-42A6-A9F1-016B63388EFB}"/>
            </a:ext>
          </a:extLst>
        </xdr:cNvPr>
        <xdr:cNvSpPr/>
      </xdr:nvSpPr>
      <xdr:spPr>
        <a:xfrm rot="10800000">
          <a:off x="19347180" y="1312240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718</xdr:row>
      <xdr:rowOff>0</xdr:rowOff>
    </xdr:from>
    <xdr:to>
      <xdr:col>45</xdr:col>
      <xdr:colOff>83820</xdr:colOff>
      <xdr:row>718</xdr:row>
      <xdr:rowOff>114300</xdr:rowOff>
    </xdr:to>
    <xdr:sp macro="" textlink="">
      <xdr:nvSpPr>
        <xdr:cNvPr id="5556" name="Arrow: Down 5555">
          <a:extLst>
            <a:ext uri="{FF2B5EF4-FFF2-40B4-BE49-F238E27FC236}">
              <a16:creationId xmlns:a16="http://schemas.microsoft.com/office/drawing/2014/main" id="{C6B646FA-C1FE-4767-B37D-E4BC5530BCFD}"/>
            </a:ext>
          </a:extLst>
        </xdr:cNvPr>
        <xdr:cNvSpPr/>
      </xdr:nvSpPr>
      <xdr:spPr>
        <a:xfrm rot="10800000">
          <a:off x="13403580" y="131224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718</xdr:row>
      <xdr:rowOff>0</xdr:rowOff>
    </xdr:from>
    <xdr:to>
      <xdr:col>71</xdr:col>
      <xdr:colOff>83820</xdr:colOff>
      <xdr:row>718</xdr:row>
      <xdr:rowOff>114300</xdr:rowOff>
    </xdr:to>
    <xdr:sp macro="" textlink="">
      <xdr:nvSpPr>
        <xdr:cNvPr id="5557" name="Arrow: Down 5556">
          <a:extLst>
            <a:ext uri="{FF2B5EF4-FFF2-40B4-BE49-F238E27FC236}">
              <a16:creationId xmlns:a16="http://schemas.microsoft.com/office/drawing/2014/main" id="{D4FCDE2A-8502-4650-A1D5-0E0ACC5A7ED3}"/>
            </a:ext>
          </a:extLst>
        </xdr:cNvPr>
        <xdr:cNvSpPr/>
      </xdr:nvSpPr>
      <xdr:spPr>
        <a:xfrm>
          <a:off x="2196084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718</xdr:row>
      <xdr:rowOff>0</xdr:rowOff>
    </xdr:from>
    <xdr:to>
      <xdr:col>39</xdr:col>
      <xdr:colOff>83820</xdr:colOff>
      <xdr:row>718</xdr:row>
      <xdr:rowOff>114300</xdr:rowOff>
    </xdr:to>
    <xdr:sp macro="" textlink="">
      <xdr:nvSpPr>
        <xdr:cNvPr id="5558" name="Arrow: Down 5557">
          <a:extLst>
            <a:ext uri="{FF2B5EF4-FFF2-40B4-BE49-F238E27FC236}">
              <a16:creationId xmlns:a16="http://schemas.microsoft.com/office/drawing/2014/main" id="{A63B5904-B7FA-46A8-8AE5-494CC049E1FA}"/>
            </a:ext>
          </a:extLst>
        </xdr:cNvPr>
        <xdr:cNvSpPr/>
      </xdr:nvSpPr>
      <xdr:spPr>
        <a:xfrm>
          <a:off x="11544300" y="1312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718</xdr:row>
      <xdr:rowOff>0</xdr:rowOff>
    </xdr:from>
    <xdr:to>
      <xdr:col>24</xdr:col>
      <xdr:colOff>83820</xdr:colOff>
      <xdr:row>718</xdr:row>
      <xdr:rowOff>114300</xdr:rowOff>
    </xdr:to>
    <xdr:sp macro="" textlink="">
      <xdr:nvSpPr>
        <xdr:cNvPr id="5560" name="Arrow: Down 5559">
          <a:extLst>
            <a:ext uri="{FF2B5EF4-FFF2-40B4-BE49-F238E27FC236}">
              <a16:creationId xmlns:a16="http://schemas.microsoft.com/office/drawing/2014/main" id="{8AA98A73-72ED-4878-B4DE-000534F44274}"/>
            </a:ext>
          </a:extLst>
        </xdr:cNvPr>
        <xdr:cNvSpPr/>
      </xdr:nvSpPr>
      <xdr:spPr>
        <a:xfrm>
          <a:off x="833628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718</xdr:row>
      <xdr:rowOff>0</xdr:rowOff>
    </xdr:from>
    <xdr:to>
      <xdr:col>11</xdr:col>
      <xdr:colOff>83820</xdr:colOff>
      <xdr:row>718</xdr:row>
      <xdr:rowOff>114300</xdr:rowOff>
    </xdr:to>
    <xdr:sp macro="" textlink="">
      <xdr:nvSpPr>
        <xdr:cNvPr id="5561" name="Arrow: Down 5560">
          <a:extLst>
            <a:ext uri="{FF2B5EF4-FFF2-40B4-BE49-F238E27FC236}">
              <a16:creationId xmlns:a16="http://schemas.microsoft.com/office/drawing/2014/main" id="{656CE1BF-EA77-4000-91EC-AF85351212FB}"/>
            </a:ext>
          </a:extLst>
        </xdr:cNvPr>
        <xdr:cNvSpPr/>
      </xdr:nvSpPr>
      <xdr:spPr>
        <a:xfrm>
          <a:off x="369570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718</xdr:row>
      <xdr:rowOff>0</xdr:rowOff>
    </xdr:from>
    <xdr:to>
      <xdr:col>5</xdr:col>
      <xdr:colOff>83820</xdr:colOff>
      <xdr:row>718</xdr:row>
      <xdr:rowOff>114300</xdr:rowOff>
    </xdr:to>
    <xdr:sp macro="" textlink="">
      <xdr:nvSpPr>
        <xdr:cNvPr id="5562" name="Arrow: Down 5561">
          <a:extLst>
            <a:ext uri="{FF2B5EF4-FFF2-40B4-BE49-F238E27FC236}">
              <a16:creationId xmlns:a16="http://schemas.microsoft.com/office/drawing/2014/main" id="{17117986-7E9B-4902-BC9A-E882B39C98B9}"/>
            </a:ext>
          </a:extLst>
        </xdr:cNvPr>
        <xdr:cNvSpPr/>
      </xdr:nvSpPr>
      <xdr:spPr>
        <a:xfrm>
          <a:off x="192786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718</xdr:row>
      <xdr:rowOff>0</xdr:rowOff>
    </xdr:from>
    <xdr:to>
      <xdr:col>60</xdr:col>
      <xdr:colOff>83820</xdr:colOff>
      <xdr:row>718</xdr:row>
      <xdr:rowOff>114300</xdr:rowOff>
    </xdr:to>
    <xdr:sp macro="" textlink="">
      <xdr:nvSpPr>
        <xdr:cNvPr id="5564" name="Arrow: Down 5563">
          <a:extLst>
            <a:ext uri="{FF2B5EF4-FFF2-40B4-BE49-F238E27FC236}">
              <a16:creationId xmlns:a16="http://schemas.microsoft.com/office/drawing/2014/main" id="{60236B9D-C851-4113-98E6-2808593D2698}"/>
            </a:ext>
          </a:extLst>
        </xdr:cNvPr>
        <xdr:cNvSpPr/>
      </xdr:nvSpPr>
      <xdr:spPr>
        <a:xfrm>
          <a:off x="19080480" y="1314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719</xdr:row>
      <xdr:rowOff>0</xdr:rowOff>
    </xdr:from>
    <xdr:to>
      <xdr:col>64</xdr:col>
      <xdr:colOff>83820</xdr:colOff>
      <xdr:row>719</xdr:row>
      <xdr:rowOff>114300</xdr:rowOff>
    </xdr:to>
    <xdr:sp macro="" textlink="">
      <xdr:nvSpPr>
        <xdr:cNvPr id="5192" name="Arrow: Down 5191">
          <a:extLst>
            <a:ext uri="{FF2B5EF4-FFF2-40B4-BE49-F238E27FC236}">
              <a16:creationId xmlns:a16="http://schemas.microsoft.com/office/drawing/2014/main" id="{A53659C6-78FA-4B7F-A0A0-7CC6A291129D}"/>
            </a:ext>
          </a:extLst>
        </xdr:cNvPr>
        <xdr:cNvSpPr/>
      </xdr:nvSpPr>
      <xdr:spPr>
        <a:xfrm rot="10800000">
          <a:off x="19347180" y="1314069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719</xdr:row>
      <xdr:rowOff>0</xdr:rowOff>
    </xdr:from>
    <xdr:to>
      <xdr:col>45</xdr:col>
      <xdr:colOff>83820</xdr:colOff>
      <xdr:row>719</xdr:row>
      <xdr:rowOff>114300</xdr:rowOff>
    </xdr:to>
    <xdr:sp macro="" textlink="">
      <xdr:nvSpPr>
        <xdr:cNvPr id="5197" name="Arrow: Down 5196">
          <a:extLst>
            <a:ext uri="{FF2B5EF4-FFF2-40B4-BE49-F238E27FC236}">
              <a16:creationId xmlns:a16="http://schemas.microsoft.com/office/drawing/2014/main" id="{DD62CFB7-3067-40F0-B0CA-F062D095CAD0}"/>
            </a:ext>
          </a:extLst>
        </xdr:cNvPr>
        <xdr:cNvSpPr/>
      </xdr:nvSpPr>
      <xdr:spPr>
        <a:xfrm rot="10800000">
          <a:off x="13403580" y="131406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719</xdr:row>
      <xdr:rowOff>0</xdr:rowOff>
    </xdr:from>
    <xdr:to>
      <xdr:col>71</xdr:col>
      <xdr:colOff>83820</xdr:colOff>
      <xdr:row>719</xdr:row>
      <xdr:rowOff>114300</xdr:rowOff>
    </xdr:to>
    <xdr:sp macro="" textlink="">
      <xdr:nvSpPr>
        <xdr:cNvPr id="5199" name="Arrow: Down 5198">
          <a:extLst>
            <a:ext uri="{FF2B5EF4-FFF2-40B4-BE49-F238E27FC236}">
              <a16:creationId xmlns:a16="http://schemas.microsoft.com/office/drawing/2014/main" id="{DF6E3BE0-6A83-4724-ADE2-D3803E96CEF2}"/>
            </a:ext>
          </a:extLst>
        </xdr:cNvPr>
        <xdr:cNvSpPr/>
      </xdr:nvSpPr>
      <xdr:spPr>
        <a:xfrm>
          <a:off x="21960840" y="1314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719</xdr:row>
      <xdr:rowOff>0</xdr:rowOff>
    </xdr:from>
    <xdr:to>
      <xdr:col>60</xdr:col>
      <xdr:colOff>83820</xdr:colOff>
      <xdr:row>719</xdr:row>
      <xdr:rowOff>114300</xdr:rowOff>
    </xdr:to>
    <xdr:sp macro="" textlink="">
      <xdr:nvSpPr>
        <xdr:cNvPr id="5221" name="Arrow: Down 5220">
          <a:extLst>
            <a:ext uri="{FF2B5EF4-FFF2-40B4-BE49-F238E27FC236}">
              <a16:creationId xmlns:a16="http://schemas.microsoft.com/office/drawing/2014/main" id="{53AF8E26-2BE5-4CBF-9E94-135C8E54E793}"/>
            </a:ext>
          </a:extLst>
        </xdr:cNvPr>
        <xdr:cNvSpPr/>
      </xdr:nvSpPr>
      <xdr:spPr>
        <a:xfrm>
          <a:off x="19080480" y="1314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719</xdr:row>
      <xdr:rowOff>0</xdr:rowOff>
    </xdr:from>
    <xdr:to>
      <xdr:col>11</xdr:col>
      <xdr:colOff>83820</xdr:colOff>
      <xdr:row>719</xdr:row>
      <xdr:rowOff>114300</xdr:rowOff>
    </xdr:to>
    <xdr:sp macro="" textlink="">
      <xdr:nvSpPr>
        <xdr:cNvPr id="5232" name="Arrow: Down 5231">
          <a:extLst>
            <a:ext uri="{FF2B5EF4-FFF2-40B4-BE49-F238E27FC236}">
              <a16:creationId xmlns:a16="http://schemas.microsoft.com/office/drawing/2014/main" id="{688CA1D7-6081-4894-97E7-B2AD75E2367E}"/>
            </a:ext>
          </a:extLst>
        </xdr:cNvPr>
        <xdr:cNvSpPr/>
      </xdr:nvSpPr>
      <xdr:spPr>
        <a:xfrm rot="10800000">
          <a:off x="369570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719</xdr:row>
      <xdr:rowOff>0</xdr:rowOff>
    </xdr:from>
    <xdr:to>
      <xdr:col>5</xdr:col>
      <xdr:colOff>83820</xdr:colOff>
      <xdr:row>719</xdr:row>
      <xdr:rowOff>114300</xdr:rowOff>
    </xdr:to>
    <xdr:sp macro="" textlink="">
      <xdr:nvSpPr>
        <xdr:cNvPr id="5236" name="Arrow: Down 5235">
          <a:extLst>
            <a:ext uri="{FF2B5EF4-FFF2-40B4-BE49-F238E27FC236}">
              <a16:creationId xmlns:a16="http://schemas.microsoft.com/office/drawing/2014/main" id="{05295549-26CA-4231-B0DB-8F58319766B2}"/>
            </a:ext>
          </a:extLst>
        </xdr:cNvPr>
        <xdr:cNvSpPr/>
      </xdr:nvSpPr>
      <xdr:spPr>
        <a:xfrm rot="10800000">
          <a:off x="192786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719</xdr:row>
      <xdr:rowOff>0</xdr:rowOff>
    </xdr:from>
    <xdr:to>
      <xdr:col>24</xdr:col>
      <xdr:colOff>83820</xdr:colOff>
      <xdr:row>719</xdr:row>
      <xdr:rowOff>114300</xdr:rowOff>
    </xdr:to>
    <xdr:sp macro="" textlink="">
      <xdr:nvSpPr>
        <xdr:cNvPr id="5242" name="Arrow: Down 5241">
          <a:extLst>
            <a:ext uri="{FF2B5EF4-FFF2-40B4-BE49-F238E27FC236}">
              <a16:creationId xmlns:a16="http://schemas.microsoft.com/office/drawing/2014/main" id="{A7AF80FD-BEE1-42D7-933C-8EFC65E5B6B0}"/>
            </a:ext>
          </a:extLst>
        </xdr:cNvPr>
        <xdr:cNvSpPr/>
      </xdr:nvSpPr>
      <xdr:spPr>
        <a:xfrm rot="10800000">
          <a:off x="833628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719</xdr:row>
      <xdr:rowOff>0</xdr:rowOff>
    </xdr:from>
    <xdr:to>
      <xdr:col>39</xdr:col>
      <xdr:colOff>83820</xdr:colOff>
      <xdr:row>719</xdr:row>
      <xdr:rowOff>114300</xdr:rowOff>
    </xdr:to>
    <xdr:sp macro="" textlink="">
      <xdr:nvSpPr>
        <xdr:cNvPr id="5249" name="Arrow: Down 5248">
          <a:extLst>
            <a:ext uri="{FF2B5EF4-FFF2-40B4-BE49-F238E27FC236}">
              <a16:creationId xmlns:a16="http://schemas.microsoft.com/office/drawing/2014/main" id="{DDC9BDA9-E5B4-4740-8D2B-9861C0C09C28}"/>
            </a:ext>
          </a:extLst>
        </xdr:cNvPr>
        <xdr:cNvSpPr/>
      </xdr:nvSpPr>
      <xdr:spPr>
        <a:xfrm rot="10800000">
          <a:off x="11544300" y="1315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720</xdr:row>
      <xdr:rowOff>0</xdr:rowOff>
    </xdr:from>
    <xdr:to>
      <xdr:col>64</xdr:col>
      <xdr:colOff>83820</xdr:colOff>
      <xdr:row>720</xdr:row>
      <xdr:rowOff>114300</xdr:rowOff>
    </xdr:to>
    <xdr:sp macro="" textlink="">
      <xdr:nvSpPr>
        <xdr:cNvPr id="5253" name="Arrow: Down 5252">
          <a:extLst>
            <a:ext uri="{FF2B5EF4-FFF2-40B4-BE49-F238E27FC236}">
              <a16:creationId xmlns:a16="http://schemas.microsoft.com/office/drawing/2014/main" id="{38772C61-B640-46D9-B0C3-E07EFE3D6E89}"/>
            </a:ext>
          </a:extLst>
        </xdr:cNvPr>
        <xdr:cNvSpPr/>
      </xdr:nvSpPr>
      <xdr:spPr>
        <a:xfrm rot="10800000">
          <a:off x="19347180" y="1315897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720</xdr:row>
      <xdr:rowOff>0</xdr:rowOff>
    </xdr:from>
    <xdr:to>
      <xdr:col>45</xdr:col>
      <xdr:colOff>83820</xdr:colOff>
      <xdr:row>720</xdr:row>
      <xdr:rowOff>114300</xdr:rowOff>
    </xdr:to>
    <xdr:sp macro="" textlink="">
      <xdr:nvSpPr>
        <xdr:cNvPr id="5259" name="Arrow: Down 5258">
          <a:extLst>
            <a:ext uri="{FF2B5EF4-FFF2-40B4-BE49-F238E27FC236}">
              <a16:creationId xmlns:a16="http://schemas.microsoft.com/office/drawing/2014/main" id="{33DD45F8-EE1C-4989-A8A8-5D92CC1B8D92}"/>
            </a:ext>
          </a:extLst>
        </xdr:cNvPr>
        <xdr:cNvSpPr/>
      </xdr:nvSpPr>
      <xdr:spPr>
        <a:xfrm rot="10800000">
          <a:off x="13403580" y="1315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720</xdr:row>
      <xdr:rowOff>0</xdr:rowOff>
    </xdr:from>
    <xdr:to>
      <xdr:col>71</xdr:col>
      <xdr:colOff>83820</xdr:colOff>
      <xdr:row>720</xdr:row>
      <xdr:rowOff>114300</xdr:rowOff>
    </xdr:to>
    <xdr:sp macro="" textlink="">
      <xdr:nvSpPr>
        <xdr:cNvPr id="5260" name="Arrow: Down 5259">
          <a:extLst>
            <a:ext uri="{FF2B5EF4-FFF2-40B4-BE49-F238E27FC236}">
              <a16:creationId xmlns:a16="http://schemas.microsoft.com/office/drawing/2014/main" id="{D6DA45A0-FE7A-4088-8353-11E4B365A742}"/>
            </a:ext>
          </a:extLst>
        </xdr:cNvPr>
        <xdr:cNvSpPr/>
      </xdr:nvSpPr>
      <xdr:spPr>
        <a:xfrm>
          <a:off x="21960840" y="1315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720</xdr:row>
      <xdr:rowOff>0</xdr:rowOff>
    </xdr:from>
    <xdr:to>
      <xdr:col>11</xdr:col>
      <xdr:colOff>83820</xdr:colOff>
      <xdr:row>720</xdr:row>
      <xdr:rowOff>114300</xdr:rowOff>
    </xdr:to>
    <xdr:sp macro="" textlink="">
      <xdr:nvSpPr>
        <xdr:cNvPr id="5270" name="Arrow: Down 5269">
          <a:extLst>
            <a:ext uri="{FF2B5EF4-FFF2-40B4-BE49-F238E27FC236}">
              <a16:creationId xmlns:a16="http://schemas.microsoft.com/office/drawing/2014/main" id="{171739D4-5D4D-4C19-87CE-55C4DA5B9D4A}"/>
            </a:ext>
          </a:extLst>
        </xdr:cNvPr>
        <xdr:cNvSpPr/>
      </xdr:nvSpPr>
      <xdr:spPr>
        <a:xfrm rot="10800000">
          <a:off x="369570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720</xdr:row>
      <xdr:rowOff>0</xdr:rowOff>
    </xdr:from>
    <xdr:to>
      <xdr:col>5</xdr:col>
      <xdr:colOff>83820</xdr:colOff>
      <xdr:row>720</xdr:row>
      <xdr:rowOff>114300</xdr:rowOff>
    </xdr:to>
    <xdr:sp macro="" textlink="">
      <xdr:nvSpPr>
        <xdr:cNvPr id="5273" name="Arrow: Down 5272">
          <a:extLst>
            <a:ext uri="{FF2B5EF4-FFF2-40B4-BE49-F238E27FC236}">
              <a16:creationId xmlns:a16="http://schemas.microsoft.com/office/drawing/2014/main" id="{28923FB0-94E3-4157-98EB-B1BE7677B7B3}"/>
            </a:ext>
          </a:extLst>
        </xdr:cNvPr>
        <xdr:cNvSpPr/>
      </xdr:nvSpPr>
      <xdr:spPr>
        <a:xfrm rot="10800000">
          <a:off x="192786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720</xdr:row>
      <xdr:rowOff>0</xdr:rowOff>
    </xdr:from>
    <xdr:to>
      <xdr:col>24</xdr:col>
      <xdr:colOff>83820</xdr:colOff>
      <xdr:row>720</xdr:row>
      <xdr:rowOff>114300</xdr:rowOff>
    </xdr:to>
    <xdr:sp macro="" textlink="">
      <xdr:nvSpPr>
        <xdr:cNvPr id="5274" name="Arrow: Down 5273">
          <a:extLst>
            <a:ext uri="{FF2B5EF4-FFF2-40B4-BE49-F238E27FC236}">
              <a16:creationId xmlns:a16="http://schemas.microsoft.com/office/drawing/2014/main" id="{768FD09B-338F-4223-AE56-D0D5082B5D79}"/>
            </a:ext>
          </a:extLst>
        </xdr:cNvPr>
        <xdr:cNvSpPr/>
      </xdr:nvSpPr>
      <xdr:spPr>
        <a:xfrm rot="10800000">
          <a:off x="833628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720</xdr:row>
      <xdr:rowOff>0</xdr:rowOff>
    </xdr:from>
    <xdr:to>
      <xdr:col>39</xdr:col>
      <xdr:colOff>83820</xdr:colOff>
      <xdr:row>720</xdr:row>
      <xdr:rowOff>114300</xdr:rowOff>
    </xdr:to>
    <xdr:sp macro="" textlink="">
      <xdr:nvSpPr>
        <xdr:cNvPr id="5278" name="Arrow: Down 5277">
          <a:extLst>
            <a:ext uri="{FF2B5EF4-FFF2-40B4-BE49-F238E27FC236}">
              <a16:creationId xmlns:a16="http://schemas.microsoft.com/office/drawing/2014/main" id="{F6F3B686-E5FB-435E-A86A-769E91B355E6}"/>
            </a:ext>
          </a:extLst>
        </xdr:cNvPr>
        <xdr:cNvSpPr/>
      </xdr:nvSpPr>
      <xdr:spPr>
        <a:xfrm>
          <a:off x="1154430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720</xdr:row>
      <xdr:rowOff>0</xdr:rowOff>
    </xdr:from>
    <xdr:to>
      <xdr:col>60</xdr:col>
      <xdr:colOff>83820</xdr:colOff>
      <xdr:row>720</xdr:row>
      <xdr:rowOff>114300</xdr:rowOff>
    </xdr:to>
    <xdr:sp macro="" textlink="">
      <xdr:nvSpPr>
        <xdr:cNvPr id="5286" name="Arrow: Down 5285">
          <a:extLst>
            <a:ext uri="{FF2B5EF4-FFF2-40B4-BE49-F238E27FC236}">
              <a16:creationId xmlns:a16="http://schemas.microsoft.com/office/drawing/2014/main" id="{263037A5-466C-48F6-8CFD-3739636CFFF7}"/>
            </a:ext>
          </a:extLst>
        </xdr:cNvPr>
        <xdr:cNvSpPr/>
      </xdr:nvSpPr>
      <xdr:spPr>
        <a:xfrm rot="10800000">
          <a:off x="1908048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721</xdr:row>
      <xdr:rowOff>0</xdr:rowOff>
    </xdr:from>
    <xdr:to>
      <xdr:col>64</xdr:col>
      <xdr:colOff>83820</xdr:colOff>
      <xdr:row>721</xdr:row>
      <xdr:rowOff>114300</xdr:rowOff>
    </xdr:to>
    <xdr:sp macro="" textlink="">
      <xdr:nvSpPr>
        <xdr:cNvPr id="5293" name="Arrow: Down 5292">
          <a:extLst>
            <a:ext uri="{FF2B5EF4-FFF2-40B4-BE49-F238E27FC236}">
              <a16:creationId xmlns:a16="http://schemas.microsoft.com/office/drawing/2014/main" id="{5C923D4F-988A-4DFA-8EEC-F0CE9DDD5DD4}"/>
            </a:ext>
          </a:extLst>
        </xdr:cNvPr>
        <xdr:cNvSpPr/>
      </xdr:nvSpPr>
      <xdr:spPr>
        <a:xfrm rot="10800000">
          <a:off x="19347180" y="1317726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721</xdr:row>
      <xdr:rowOff>0</xdr:rowOff>
    </xdr:from>
    <xdr:to>
      <xdr:col>45</xdr:col>
      <xdr:colOff>83820</xdr:colOff>
      <xdr:row>721</xdr:row>
      <xdr:rowOff>114300</xdr:rowOff>
    </xdr:to>
    <xdr:sp macro="" textlink="">
      <xdr:nvSpPr>
        <xdr:cNvPr id="5306" name="Arrow: Down 5305">
          <a:extLst>
            <a:ext uri="{FF2B5EF4-FFF2-40B4-BE49-F238E27FC236}">
              <a16:creationId xmlns:a16="http://schemas.microsoft.com/office/drawing/2014/main" id="{E0DDF31E-4B42-45ED-9B62-32F6C56062E0}"/>
            </a:ext>
          </a:extLst>
        </xdr:cNvPr>
        <xdr:cNvSpPr/>
      </xdr:nvSpPr>
      <xdr:spPr>
        <a:xfrm rot="10800000">
          <a:off x="13403580" y="131772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721</xdr:row>
      <xdr:rowOff>0</xdr:rowOff>
    </xdr:from>
    <xdr:to>
      <xdr:col>71</xdr:col>
      <xdr:colOff>83820</xdr:colOff>
      <xdr:row>721</xdr:row>
      <xdr:rowOff>114300</xdr:rowOff>
    </xdr:to>
    <xdr:sp macro="" textlink="">
      <xdr:nvSpPr>
        <xdr:cNvPr id="5311" name="Arrow: Down 5310">
          <a:extLst>
            <a:ext uri="{FF2B5EF4-FFF2-40B4-BE49-F238E27FC236}">
              <a16:creationId xmlns:a16="http://schemas.microsoft.com/office/drawing/2014/main" id="{FFB70B69-C075-44B7-901F-5D1AA69575F5}"/>
            </a:ext>
          </a:extLst>
        </xdr:cNvPr>
        <xdr:cNvSpPr/>
      </xdr:nvSpPr>
      <xdr:spPr>
        <a:xfrm>
          <a:off x="21960840" y="13177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721</xdr:row>
      <xdr:rowOff>0</xdr:rowOff>
    </xdr:from>
    <xdr:to>
      <xdr:col>11</xdr:col>
      <xdr:colOff>83820</xdr:colOff>
      <xdr:row>721</xdr:row>
      <xdr:rowOff>114300</xdr:rowOff>
    </xdr:to>
    <xdr:sp macro="" textlink="">
      <xdr:nvSpPr>
        <xdr:cNvPr id="5315" name="Arrow: Down 5314">
          <a:extLst>
            <a:ext uri="{FF2B5EF4-FFF2-40B4-BE49-F238E27FC236}">
              <a16:creationId xmlns:a16="http://schemas.microsoft.com/office/drawing/2014/main" id="{1E31A24B-C6D5-402B-BC05-26C051FE43AA}"/>
            </a:ext>
          </a:extLst>
        </xdr:cNvPr>
        <xdr:cNvSpPr/>
      </xdr:nvSpPr>
      <xdr:spPr>
        <a:xfrm rot="10800000">
          <a:off x="369570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721</xdr:row>
      <xdr:rowOff>0</xdr:rowOff>
    </xdr:from>
    <xdr:to>
      <xdr:col>5</xdr:col>
      <xdr:colOff>83820</xdr:colOff>
      <xdr:row>721</xdr:row>
      <xdr:rowOff>114300</xdr:rowOff>
    </xdr:to>
    <xdr:sp macro="" textlink="">
      <xdr:nvSpPr>
        <xdr:cNvPr id="5317" name="Arrow: Down 5316">
          <a:extLst>
            <a:ext uri="{FF2B5EF4-FFF2-40B4-BE49-F238E27FC236}">
              <a16:creationId xmlns:a16="http://schemas.microsoft.com/office/drawing/2014/main" id="{E0835ADF-CA4F-46BC-99E1-732639064383}"/>
            </a:ext>
          </a:extLst>
        </xdr:cNvPr>
        <xdr:cNvSpPr/>
      </xdr:nvSpPr>
      <xdr:spPr>
        <a:xfrm rot="10800000">
          <a:off x="192786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721</xdr:row>
      <xdr:rowOff>0</xdr:rowOff>
    </xdr:from>
    <xdr:to>
      <xdr:col>24</xdr:col>
      <xdr:colOff>83820</xdr:colOff>
      <xdr:row>721</xdr:row>
      <xdr:rowOff>114300</xdr:rowOff>
    </xdr:to>
    <xdr:sp macro="" textlink="">
      <xdr:nvSpPr>
        <xdr:cNvPr id="5325" name="Arrow: Down 5324">
          <a:extLst>
            <a:ext uri="{FF2B5EF4-FFF2-40B4-BE49-F238E27FC236}">
              <a16:creationId xmlns:a16="http://schemas.microsoft.com/office/drawing/2014/main" id="{C6C3E13A-026B-4077-A683-1F3130495DEA}"/>
            </a:ext>
          </a:extLst>
        </xdr:cNvPr>
        <xdr:cNvSpPr/>
      </xdr:nvSpPr>
      <xdr:spPr>
        <a:xfrm rot="10800000">
          <a:off x="833628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721</xdr:row>
      <xdr:rowOff>0</xdr:rowOff>
    </xdr:from>
    <xdr:to>
      <xdr:col>39</xdr:col>
      <xdr:colOff>83820</xdr:colOff>
      <xdr:row>721</xdr:row>
      <xdr:rowOff>114300</xdr:rowOff>
    </xdr:to>
    <xdr:sp macro="" textlink="">
      <xdr:nvSpPr>
        <xdr:cNvPr id="5329" name="Arrow: Down 5328">
          <a:extLst>
            <a:ext uri="{FF2B5EF4-FFF2-40B4-BE49-F238E27FC236}">
              <a16:creationId xmlns:a16="http://schemas.microsoft.com/office/drawing/2014/main" id="{3DC2ED1D-18B9-4911-A651-5CA6126181D0}"/>
            </a:ext>
          </a:extLst>
        </xdr:cNvPr>
        <xdr:cNvSpPr/>
      </xdr:nvSpPr>
      <xdr:spPr>
        <a:xfrm>
          <a:off x="1154430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721</xdr:row>
      <xdr:rowOff>0</xdr:rowOff>
    </xdr:from>
    <xdr:to>
      <xdr:col>60</xdr:col>
      <xdr:colOff>83820</xdr:colOff>
      <xdr:row>721</xdr:row>
      <xdr:rowOff>114300</xdr:rowOff>
    </xdr:to>
    <xdr:sp macro="" textlink="">
      <xdr:nvSpPr>
        <xdr:cNvPr id="5330" name="Arrow: Down 5329">
          <a:extLst>
            <a:ext uri="{FF2B5EF4-FFF2-40B4-BE49-F238E27FC236}">
              <a16:creationId xmlns:a16="http://schemas.microsoft.com/office/drawing/2014/main" id="{A21B30BB-D02B-45ED-B56F-EA1412979560}"/>
            </a:ext>
          </a:extLst>
        </xdr:cNvPr>
        <xdr:cNvSpPr/>
      </xdr:nvSpPr>
      <xdr:spPr>
        <a:xfrm rot="10800000">
          <a:off x="1908048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722</xdr:row>
      <xdr:rowOff>0</xdr:rowOff>
    </xdr:from>
    <xdr:to>
      <xdr:col>64</xdr:col>
      <xdr:colOff>83820</xdr:colOff>
      <xdr:row>722</xdr:row>
      <xdr:rowOff>114300</xdr:rowOff>
    </xdr:to>
    <xdr:sp macro="" textlink="">
      <xdr:nvSpPr>
        <xdr:cNvPr id="5352" name="Arrow: Down 5351">
          <a:extLst>
            <a:ext uri="{FF2B5EF4-FFF2-40B4-BE49-F238E27FC236}">
              <a16:creationId xmlns:a16="http://schemas.microsoft.com/office/drawing/2014/main" id="{FB1DAEBD-F1CD-4AEE-BB0A-F1D77E3A4C79}"/>
            </a:ext>
          </a:extLst>
        </xdr:cNvPr>
        <xdr:cNvSpPr/>
      </xdr:nvSpPr>
      <xdr:spPr>
        <a:xfrm rot="10800000">
          <a:off x="19347180" y="1319555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722</xdr:row>
      <xdr:rowOff>0</xdr:rowOff>
    </xdr:from>
    <xdr:to>
      <xdr:col>45</xdr:col>
      <xdr:colOff>83820</xdr:colOff>
      <xdr:row>722</xdr:row>
      <xdr:rowOff>114300</xdr:rowOff>
    </xdr:to>
    <xdr:sp macro="" textlink="">
      <xdr:nvSpPr>
        <xdr:cNvPr id="5353" name="Arrow: Down 5352">
          <a:extLst>
            <a:ext uri="{FF2B5EF4-FFF2-40B4-BE49-F238E27FC236}">
              <a16:creationId xmlns:a16="http://schemas.microsoft.com/office/drawing/2014/main" id="{59DE305D-8A4E-43D4-9740-99F89DBD0A93}"/>
            </a:ext>
          </a:extLst>
        </xdr:cNvPr>
        <xdr:cNvSpPr/>
      </xdr:nvSpPr>
      <xdr:spPr>
        <a:xfrm rot="10800000">
          <a:off x="13403580" y="131955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722</xdr:row>
      <xdr:rowOff>0</xdr:rowOff>
    </xdr:from>
    <xdr:to>
      <xdr:col>71</xdr:col>
      <xdr:colOff>83820</xdr:colOff>
      <xdr:row>722</xdr:row>
      <xdr:rowOff>114300</xdr:rowOff>
    </xdr:to>
    <xdr:sp macro="" textlink="">
      <xdr:nvSpPr>
        <xdr:cNvPr id="5357" name="Arrow: Down 5356">
          <a:extLst>
            <a:ext uri="{FF2B5EF4-FFF2-40B4-BE49-F238E27FC236}">
              <a16:creationId xmlns:a16="http://schemas.microsoft.com/office/drawing/2014/main" id="{EA5BB398-1FDE-4B04-B8CD-1F0CD3F18F1C}"/>
            </a:ext>
          </a:extLst>
        </xdr:cNvPr>
        <xdr:cNvSpPr/>
      </xdr:nvSpPr>
      <xdr:spPr>
        <a:xfrm>
          <a:off x="21960840" y="1319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722</xdr:row>
      <xdr:rowOff>0</xdr:rowOff>
    </xdr:from>
    <xdr:to>
      <xdr:col>39</xdr:col>
      <xdr:colOff>83820</xdr:colOff>
      <xdr:row>722</xdr:row>
      <xdr:rowOff>114300</xdr:rowOff>
    </xdr:to>
    <xdr:sp macro="" textlink="">
      <xdr:nvSpPr>
        <xdr:cNvPr id="5367" name="Arrow: Down 5366">
          <a:extLst>
            <a:ext uri="{FF2B5EF4-FFF2-40B4-BE49-F238E27FC236}">
              <a16:creationId xmlns:a16="http://schemas.microsoft.com/office/drawing/2014/main" id="{39D3DDE3-F220-42DB-9FFD-37EC1381B4E2}"/>
            </a:ext>
          </a:extLst>
        </xdr:cNvPr>
        <xdr:cNvSpPr/>
      </xdr:nvSpPr>
      <xdr:spPr>
        <a:xfrm>
          <a:off x="11544300" y="1319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722</xdr:row>
      <xdr:rowOff>0</xdr:rowOff>
    </xdr:from>
    <xdr:to>
      <xdr:col>60</xdr:col>
      <xdr:colOff>83820</xdr:colOff>
      <xdr:row>722</xdr:row>
      <xdr:rowOff>114300</xdr:rowOff>
    </xdr:to>
    <xdr:sp macro="" textlink="">
      <xdr:nvSpPr>
        <xdr:cNvPr id="5370" name="Arrow: Down 5369">
          <a:extLst>
            <a:ext uri="{FF2B5EF4-FFF2-40B4-BE49-F238E27FC236}">
              <a16:creationId xmlns:a16="http://schemas.microsoft.com/office/drawing/2014/main" id="{DEF6A759-58D9-4744-82CD-0D751906AC88}"/>
            </a:ext>
          </a:extLst>
        </xdr:cNvPr>
        <xdr:cNvSpPr/>
      </xdr:nvSpPr>
      <xdr:spPr>
        <a:xfrm>
          <a:off x="1908048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722</xdr:row>
      <xdr:rowOff>0</xdr:rowOff>
    </xdr:from>
    <xdr:to>
      <xdr:col>5</xdr:col>
      <xdr:colOff>83820</xdr:colOff>
      <xdr:row>722</xdr:row>
      <xdr:rowOff>114300</xdr:rowOff>
    </xdr:to>
    <xdr:sp macro="" textlink="">
      <xdr:nvSpPr>
        <xdr:cNvPr id="5372" name="Arrow: Down 5371">
          <a:extLst>
            <a:ext uri="{FF2B5EF4-FFF2-40B4-BE49-F238E27FC236}">
              <a16:creationId xmlns:a16="http://schemas.microsoft.com/office/drawing/2014/main" id="{2A4CEBAA-2390-4762-A429-532DE827E9D9}"/>
            </a:ext>
          </a:extLst>
        </xdr:cNvPr>
        <xdr:cNvSpPr/>
      </xdr:nvSpPr>
      <xdr:spPr>
        <a:xfrm>
          <a:off x="192786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722</xdr:row>
      <xdr:rowOff>0</xdr:rowOff>
    </xdr:from>
    <xdr:to>
      <xdr:col>11</xdr:col>
      <xdr:colOff>83820</xdr:colOff>
      <xdr:row>722</xdr:row>
      <xdr:rowOff>114300</xdr:rowOff>
    </xdr:to>
    <xdr:sp macro="" textlink="">
      <xdr:nvSpPr>
        <xdr:cNvPr id="5376" name="Arrow: Down 5375">
          <a:extLst>
            <a:ext uri="{FF2B5EF4-FFF2-40B4-BE49-F238E27FC236}">
              <a16:creationId xmlns:a16="http://schemas.microsoft.com/office/drawing/2014/main" id="{C49D7173-C96A-4561-BF9F-09772F46D45E}"/>
            </a:ext>
          </a:extLst>
        </xdr:cNvPr>
        <xdr:cNvSpPr/>
      </xdr:nvSpPr>
      <xdr:spPr>
        <a:xfrm>
          <a:off x="369570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722</xdr:row>
      <xdr:rowOff>0</xdr:rowOff>
    </xdr:from>
    <xdr:to>
      <xdr:col>24</xdr:col>
      <xdr:colOff>83820</xdr:colOff>
      <xdr:row>722</xdr:row>
      <xdr:rowOff>114300</xdr:rowOff>
    </xdr:to>
    <xdr:sp macro="" textlink="">
      <xdr:nvSpPr>
        <xdr:cNvPr id="5378" name="Arrow: Down 5377">
          <a:extLst>
            <a:ext uri="{FF2B5EF4-FFF2-40B4-BE49-F238E27FC236}">
              <a16:creationId xmlns:a16="http://schemas.microsoft.com/office/drawing/2014/main" id="{AC5DF90D-C78C-4F24-B3F7-8E718C1CC9E9}"/>
            </a:ext>
          </a:extLst>
        </xdr:cNvPr>
        <xdr:cNvSpPr/>
      </xdr:nvSpPr>
      <xdr:spPr>
        <a:xfrm>
          <a:off x="833628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723</xdr:row>
      <xdr:rowOff>0</xdr:rowOff>
    </xdr:from>
    <xdr:to>
      <xdr:col>64</xdr:col>
      <xdr:colOff>83820</xdr:colOff>
      <xdr:row>723</xdr:row>
      <xdr:rowOff>114300</xdr:rowOff>
    </xdr:to>
    <xdr:sp macro="" textlink="">
      <xdr:nvSpPr>
        <xdr:cNvPr id="5398" name="Arrow: Down 5397">
          <a:extLst>
            <a:ext uri="{FF2B5EF4-FFF2-40B4-BE49-F238E27FC236}">
              <a16:creationId xmlns:a16="http://schemas.microsoft.com/office/drawing/2014/main" id="{C1AD8F56-391E-4DC1-A44D-4E619FDFEF8A}"/>
            </a:ext>
          </a:extLst>
        </xdr:cNvPr>
        <xdr:cNvSpPr/>
      </xdr:nvSpPr>
      <xdr:spPr>
        <a:xfrm rot="10800000">
          <a:off x="19347180" y="1321384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723</xdr:row>
      <xdr:rowOff>0</xdr:rowOff>
    </xdr:from>
    <xdr:to>
      <xdr:col>45</xdr:col>
      <xdr:colOff>83820</xdr:colOff>
      <xdr:row>723</xdr:row>
      <xdr:rowOff>114300</xdr:rowOff>
    </xdr:to>
    <xdr:sp macro="" textlink="">
      <xdr:nvSpPr>
        <xdr:cNvPr id="5401" name="Arrow: Down 5400">
          <a:extLst>
            <a:ext uri="{FF2B5EF4-FFF2-40B4-BE49-F238E27FC236}">
              <a16:creationId xmlns:a16="http://schemas.microsoft.com/office/drawing/2014/main" id="{4C063621-3A07-491E-BE3B-0C9EFB3B2AA2}"/>
            </a:ext>
          </a:extLst>
        </xdr:cNvPr>
        <xdr:cNvSpPr/>
      </xdr:nvSpPr>
      <xdr:spPr>
        <a:xfrm rot="10800000">
          <a:off x="13403580" y="132138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723</xdr:row>
      <xdr:rowOff>0</xdr:rowOff>
    </xdr:from>
    <xdr:to>
      <xdr:col>71</xdr:col>
      <xdr:colOff>83820</xdr:colOff>
      <xdr:row>723</xdr:row>
      <xdr:rowOff>114300</xdr:rowOff>
    </xdr:to>
    <xdr:sp macro="" textlink="">
      <xdr:nvSpPr>
        <xdr:cNvPr id="5405" name="Arrow: Down 5404">
          <a:extLst>
            <a:ext uri="{FF2B5EF4-FFF2-40B4-BE49-F238E27FC236}">
              <a16:creationId xmlns:a16="http://schemas.microsoft.com/office/drawing/2014/main" id="{FB627899-E837-4DDA-AECF-74DD02600A66}"/>
            </a:ext>
          </a:extLst>
        </xdr:cNvPr>
        <xdr:cNvSpPr/>
      </xdr:nvSpPr>
      <xdr:spPr>
        <a:xfrm>
          <a:off x="2196084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723</xdr:row>
      <xdr:rowOff>0</xdr:rowOff>
    </xdr:from>
    <xdr:to>
      <xdr:col>5</xdr:col>
      <xdr:colOff>83820</xdr:colOff>
      <xdr:row>723</xdr:row>
      <xdr:rowOff>114300</xdr:rowOff>
    </xdr:to>
    <xdr:sp macro="" textlink="">
      <xdr:nvSpPr>
        <xdr:cNvPr id="5409" name="Arrow: Down 5408">
          <a:extLst>
            <a:ext uri="{FF2B5EF4-FFF2-40B4-BE49-F238E27FC236}">
              <a16:creationId xmlns:a16="http://schemas.microsoft.com/office/drawing/2014/main" id="{954F1C6D-947F-499F-906E-88BEE86CE8CE}"/>
            </a:ext>
          </a:extLst>
        </xdr:cNvPr>
        <xdr:cNvSpPr/>
      </xdr:nvSpPr>
      <xdr:spPr>
        <a:xfrm>
          <a:off x="192786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723</xdr:row>
      <xdr:rowOff>0</xdr:rowOff>
    </xdr:from>
    <xdr:to>
      <xdr:col>11</xdr:col>
      <xdr:colOff>83820</xdr:colOff>
      <xdr:row>723</xdr:row>
      <xdr:rowOff>114300</xdr:rowOff>
    </xdr:to>
    <xdr:sp macro="" textlink="">
      <xdr:nvSpPr>
        <xdr:cNvPr id="5410" name="Arrow: Down 5409">
          <a:extLst>
            <a:ext uri="{FF2B5EF4-FFF2-40B4-BE49-F238E27FC236}">
              <a16:creationId xmlns:a16="http://schemas.microsoft.com/office/drawing/2014/main" id="{985E180F-50BA-4775-B512-6B19C223662F}"/>
            </a:ext>
          </a:extLst>
        </xdr:cNvPr>
        <xdr:cNvSpPr/>
      </xdr:nvSpPr>
      <xdr:spPr>
        <a:xfrm>
          <a:off x="369570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723</xdr:row>
      <xdr:rowOff>0</xdr:rowOff>
    </xdr:from>
    <xdr:to>
      <xdr:col>60</xdr:col>
      <xdr:colOff>83820</xdr:colOff>
      <xdr:row>723</xdr:row>
      <xdr:rowOff>114300</xdr:rowOff>
    </xdr:to>
    <xdr:sp macro="" textlink="">
      <xdr:nvSpPr>
        <xdr:cNvPr id="5414" name="Arrow: Down 5413">
          <a:extLst>
            <a:ext uri="{FF2B5EF4-FFF2-40B4-BE49-F238E27FC236}">
              <a16:creationId xmlns:a16="http://schemas.microsoft.com/office/drawing/2014/main" id="{6F7DFE4B-9CC0-4AC3-B277-B48CBF1D8178}"/>
            </a:ext>
          </a:extLst>
        </xdr:cNvPr>
        <xdr:cNvSpPr/>
      </xdr:nvSpPr>
      <xdr:spPr>
        <a:xfrm rot="10800000">
          <a:off x="19080480" y="1323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723</xdr:row>
      <xdr:rowOff>0</xdr:rowOff>
    </xdr:from>
    <xdr:to>
      <xdr:col>24</xdr:col>
      <xdr:colOff>83820</xdr:colOff>
      <xdr:row>723</xdr:row>
      <xdr:rowOff>114300</xdr:rowOff>
    </xdr:to>
    <xdr:sp macro="" textlink="">
      <xdr:nvSpPr>
        <xdr:cNvPr id="5420" name="Arrow: Down 5419">
          <a:extLst>
            <a:ext uri="{FF2B5EF4-FFF2-40B4-BE49-F238E27FC236}">
              <a16:creationId xmlns:a16="http://schemas.microsoft.com/office/drawing/2014/main" id="{CA0873FE-3727-482A-96A2-6EB2CD1E8338}"/>
            </a:ext>
          </a:extLst>
        </xdr:cNvPr>
        <xdr:cNvSpPr/>
      </xdr:nvSpPr>
      <xdr:spPr>
        <a:xfrm rot="10800000">
          <a:off x="8336280" y="1323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723</xdr:row>
      <xdr:rowOff>0</xdr:rowOff>
    </xdr:from>
    <xdr:to>
      <xdr:col>39</xdr:col>
      <xdr:colOff>83820</xdr:colOff>
      <xdr:row>723</xdr:row>
      <xdr:rowOff>114300</xdr:rowOff>
    </xdr:to>
    <xdr:sp macro="" textlink="">
      <xdr:nvSpPr>
        <xdr:cNvPr id="5422" name="Arrow: Down 5421">
          <a:extLst>
            <a:ext uri="{FF2B5EF4-FFF2-40B4-BE49-F238E27FC236}">
              <a16:creationId xmlns:a16="http://schemas.microsoft.com/office/drawing/2014/main" id="{0EB61A65-900B-4B33-B274-392424966413}"/>
            </a:ext>
          </a:extLst>
        </xdr:cNvPr>
        <xdr:cNvSpPr/>
      </xdr:nvSpPr>
      <xdr:spPr>
        <a:xfrm rot="10800000">
          <a:off x="11544300" y="132321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724</xdr:row>
      <xdr:rowOff>0</xdr:rowOff>
    </xdr:from>
    <xdr:to>
      <xdr:col>64</xdr:col>
      <xdr:colOff>83820</xdr:colOff>
      <xdr:row>724</xdr:row>
      <xdr:rowOff>114300</xdr:rowOff>
    </xdr:to>
    <xdr:sp macro="" textlink="">
      <xdr:nvSpPr>
        <xdr:cNvPr id="5423" name="Arrow: Down 5422">
          <a:extLst>
            <a:ext uri="{FF2B5EF4-FFF2-40B4-BE49-F238E27FC236}">
              <a16:creationId xmlns:a16="http://schemas.microsoft.com/office/drawing/2014/main" id="{3CB0CC49-E6A2-4E9C-999C-313DA41B78F6}"/>
            </a:ext>
          </a:extLst>
        </xdr:cNvPr>
        <xdr:cNvSpPr/>
      </xdr:nvSpPr>
      <xdr:spPr>
        <a:xfrm rot="10800000">
          <a:off x="19347180" y="1323213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724</xdr:row>
      <xdr:rowOff>0</xdr:rowOff>
    </xdr:from>
    <xdr:to>
      <xdr:col>45</xdr:col>
      <xdr:colOff>83820</xdr:colOff>
      <xdr:row>724</xdr:row>
      <xdr:rowOff>114300</xdr:rowOff>
    </xdr:to>
    <xdr:sp macro="" textlink="">
      <xdr:nvSpPr>
        <xdr:cNvPr id="5424" name="Arrow: Down 5423">
          <a:extLst>
            <a:ext uri="{FF2B5EF4-FFF2-40B4-BE49-F238E27FC236}">
              <a16:creationId xmlns:a16="http://schemas.microsoft.com/office/drawing/2014/main" id="{82E93432-78A7-4389-AF1E-686F56B9C761}"/>
            </a:ext>
          </a:extLst>
        </xdr:cNvPr>
        <xdr:cNvSpPr/>
      </xdr:nvSpPr>
      <xdr:spPr>
        <a:xfrm rot="10800000">
          <a:off x="13403580" y="132321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724</xdr:row>
      <xdr:rowOff>0</xdr:rowOff>
    </xdr:from>
    <xdr:to>
      <xdr:col>71</xdr:col>
      <xdr:colOff>83820</xdr:colOff>
      <xdr:row>724</xdr:row>
      <xdr:rowOff>114300</xdr:rowOff>
    </xdr:to>
    <xdr:sp macro="" textlink="">
      <xdr:nvSpPr>
        <xdr:cNvPr id="5425" name="Arrow: Down 5424">
          <a:extLst>
            <a:ext uri="{FF2B5EF4-FFF2-40B4-BE49-F238E27FC236}">
              <a16:creationId xmlns:a16="http://schemas.microsoft.com/office/drawing/2014/main" id="{FCBA277B-AB6B-4C59-8DEC-FCB8B5E9862C}"/>
            </a:ext>
          </a:extLst>
        </xdr:cNvPr>
        <xdr:cNvSpPr/>
      </xdr:nvSpPr>
      <xdr:spPr>
        <a:xfrm>
          <a:off x="21960840" y="1323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724</xdr:row>
      <xdr:rowOff>0</xdr:rowOff>
    </xdr:from>
    <xdr:to>
      <xdr:col>5</xdr:col>
      <xdr:colOff>83820</xdr:colOff>
      <xdr:row>724</xdr:row>
      <xdr:rowOff>114300</xdr:rowOff>
    </xdr:to>
    <xdr:sp macro="" textlink="">
      <xdr:nvSpPr>
        <xdr:cNvPr id="5426" name="Arrow: Down 5425">
          <a:extLst>
            <a:ext uri="{FF2B5EF4-FFF2-40B4-BE49-F238E27FC236}">
              <a16:creationId xmlns:a16="http://schemas.microsoft.com/office/drawing/2014/main" id="{72245B1D-E177-47E7-891D-C43A30AC216E}"/>
            </a:ext>
          </a:extLst>
        </xdr:cNvPr>
        <xdr:cNvSpPr/>
      </xdr:nvSpPr>
      <xdr:spPr>
        <a:xfrm>
          <a:off x="1927860" y="1323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724</xdr:row>
      <xdr:rowOff>0</xdr:rowOff>
    </xdr:from>
    <xdr:to>
      <xdr:col>11</xdr:col>
      <xdr:colOff>83820</xdr:colOff>
      <xdr:row>724</xdr:row>
      <xdr:rowOff>114300</xdr:rowOff>
    </xdr:to>
    <xdr:sp macro="" textlink="">
      <xdr:nvSpPr>
        <xdr:cNvPr id="5427" name="Arrow: Down 5426">
          <a:extLst>
            <a:ext uri="{FF2B5EF4-FFF2-40B4-BE49-F238E27FC236}">
              <a16:creationId xmlns:a16="http://schemas.microsoft.com/office/drawing/2014/main" id="{E9803268-2E45-4FF7-93FB-23414BF4CD08}"/>
            </a:ext>
          </a:extLst>
        </xdr:cNvPr>
        <xdr:cNvSpPr/>
      </xdr:nvSpPr>
      <xdr:spPr>
        <a:xfrm>
          <a:off x="3695700" y="1323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724</xdr:row>
      <xdr:rowOff>0</xdr:rowOff>
    </xdr:from>
    <xdr:to>
      <xdr:col>39</xdr:col>
      <xdr:colOff>83820</xdr:colOff>
      <xdr:row>724</xdr:row>
      <xdr:rowOff>114300</xdr:rowOff>
    </xdr:to>
    <xdr:sp macro="" textlink="">
      <xdr:nvSpPr>
        <xdr:cNvPr id="5441" name="Arrow: Down 5440">
          <a:extLst>
            <a:ext uri="{FF2B5EF4-FFF2-40B4-BE49-F238E27FC236}">
              <a16:creationId xmlns:a16="http://schemas.microsoft.com/office/drawing/2014/main" id="{1BAC90CC-9253-49E8-8BFB-8D9A946AB93F}"/>
            </a:ext>
          </a:extLst>
        </xdr:cNvPr>
        <xdr:cNvSpPr/>
      </xdr:nvSpPr>
      <xdr:spPr>
        <a:xfrm rot="10800000">
          <a:off x="11544300" y="132321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724</xdr:row>
      <xdr:rowOff>0</xdr:rowOff>
    </xdr:from>
    <xdr:to>
      <xdr:col>24</xdr:col>
      <xdr:colOff>83820</xdr:colOff>
      <xdr:row>724</xdr:row>
      <xdr:rowOff>114300</xdr:rowOff>
    </xdr:to>
    <xdr:sp macro="" textlink="">
      <xdr:nvSpPr>
        <xdr:cNvPr id="5443" name="Arrow: Down 5442">
          <a:extLst>
            <a:ext uri="{FF2B5EF4-FFF2-40B4-BE49-F238E27FC236}">
              <a16:creationId xmlns:a16="http://schemas.microsoft.com/office/drawing/2014/main" id="{751958D3-166F-4ACC-BDCB-5D44072351D5}"/>
            </a:ext>
          </a:extLst>
        </xdr:cNvPr>
        <xdr:cNvSpPr/>
      </xdr:nvSpPr>
      <xdr:spPr>
        <a:xfrm>
          <a:off x="833628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724</xdr:row>
      <xdr:rowOff>0</xdr:rowOff>
    </xdr:from>
    <xdr:to>
      <xdr:col>60</xdr:col>
      <xdr:colOff>83820</xdr:colOff>
      <xdr:row>724</xdr:row>
      <xdr:rowOff>114300</xdr:rowOff>
    </xdr:to>
    <xdr:sp macro="" textlink="">
      <xdr:nvSpPr>
        <xdr:cNvPr id="5446" name="Arrow: Down 5445">
          <a:extLst>
            <a:ext uri="{FF2B5EF4-FFF2-40B4-BE49-F238E27FC236}">
              <a16:creationId xmlns:a16="http://schemas.microsoft.com/office/drawing/2014/main" id="{0A4ED0FF-E45A-4040-8336-04B7FED98868}"/>
            </a:ext>
          </a:extLst>
        </xdr:cNvPr>
        <xdr:cNvSpPr/>
      </xdr:nvSpPr>
      <xdr:spPr>
        <a:xfrm>
          <a:off x="1908048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725</xdr:row>
      <xdr:rowOff>0</xdr:rowOff>
    </xdr:from>
    <xdr:to>
      <xdr:col>64</xdr:col>
      <xdr:colOff>83820</xdr:colOff>
      <xdr:row>725</xdr:row>
      <xdr:rowOff>114300</xdr:rowOff>
    </xdr:to>
    <xdr:sp macro="" textlink="">
      <xdr:nvSpPr>
        <xdr:cNvPr id="5458" name="Arrow: Down 5457">
          <a:extLst>
            <a:ext uri="{FF2B5EF4-FFF2-40B4-BE49-F238E27FC236}">
              <a16:creationId xmlns:a16="http://schemas.microsoft.com/office/drawing/2014/main" id="{E45DC245-4DBE-478B-8B17-FD1CC23A6754}"/>
            </a:ext>
          </a:extLst>
        </xdr:cNvPr>
        <xdr:cNvSpPr/>
      </xdr:nvSpPr>
      <xdr:spPr>
        <a:xfrm rot="10800000">
          <a:off x="19347180" y="1325041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725</xdr:row>
      <xdr:rowOff>0</xdr:rowOff>
    </xdr:from>
    <xdr:to>
      <xdr:col>45</xdr:col>
      <xdr:colOff>83820</xdr:colOff>
      <xdr:row>725</xdr:row>
      <xdr:rowOff>114300</xdr:rowOff>
    </xdr:to>
    <xdr:sp macro="" textlink="">
      <xdr:nvSpPr>
        <xdr:cNvPr id="5459" name="Arrow: Down 5458">
          <a:extLst>
            <a:ext uri="{FF2B5EF4-FFF2-40B4-BE49-F238E27FC236}">
              <a16:creationId xmlns:a16="http://schemas.microsoft.com/office/drawing/2014/main" id="{EC5F409E-73A1-47C0-A42D-7D178B22296A}"/>
            </a:ext>
          </a:extLst>
        </xdr:cNvPr>
        <xdr:cNvSpPr/>
      </xdr:nvSpPr>
      <xdr:spPr>
        <a:xfrm rot="10800000">
          <a:off x="13403580" y="132504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725</xdr:row>
      <xdr:rowOff>0</xdr:rowOff>
    </xdr:from>
    <xdr:to>
      <xdr:col>71</xdr:col>
      <xdr:colOff>83820</xdr:colOff>
      <xdr:row>725</xdr:row>
      <xdr:rowOff>114300</xdr:rowOff>
    </xdr:to>
    <xdr:sp macro="" textlink="">
      <xdr:nvSpPr>
        <xdr:cNvPr id="5468" name="Arrow: Down 5467">
          <a:extLst>
            <a:ext uri="{FF2B5EF4-FFF2-40B4-BE49-F238E27FC236}">
              <a16:creationId xmlns:a16="http://schemas.microsoft.com/office/drawing/2014/main" id="{A9216C6C-8E01-47A4-9867-50704A909BEA}"/>
            </a:ext>
          </a:extLst>
        </xdr:cNvPr>
        <xdr:cNvSpPr/>
      </xdr:nvSpPr>
      <xdr:spPr>
        <a:xfrm>
          <a:off x="2196084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725</xdr:row>
      <xdr:rowOff>0</xdr:rowOff>
    </xdr:from>
    <xdr:to>
      <xdr:col>5</xdr:col>
      <xdr:colOff>83820</xdr:colOff>
      <xdr:row>725</xdr:row>
      <xdr:rowOff>114300</xdr:rowOff>
    </xdr:to>
    <xdr:sp macro="" textlink="">
      <xdr:nvSpPr>
        <xdr:cNvPr id="5469" name="Arrow: Down 5468">
          <a:extLst>
            <a:ext uri="{FF2B5EF4-FFF2-40B4-BE49-F238E27FC236}">
              <a16:creationId xmlns:a16="http://schemas.microsoft.com/office/drawing/2014/main" id="{FB298EF6-1FF5-4916-8B02-B4A719C2EB1B}"/>
            </a:ext>
          </a:extLst>
        </xdr:cNvPr>
        <xdr:cNvSpPr/>
      </xdr:nvSpPr>
      <xdr:spPr>
        <a:xfrm>
          <a:off x="192786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725</xdr:row>
      <xdr:rowOff>0</xdr:rowOff>
    </xdr:from>
    <xdr:to>
      <xdr:col>11</xdr:col>
      <xdr:colOff>83820</xdr:colOff>
      <xdr:row>725</xdr:row>
      <xdr:rowOff>114300</xdr:rowOff>
    </xdr:to>
    <xdr:sp macro="" textlink="">
      <xdr:nvSpPr>
        <xdr:cNvPr id="5470" name="Arrow: Down 5469">
          <a:extLst>
            <a:ext uri="{FF2B5EF4-FFF2-40B4-BE49-F238E27FC236}">
              <a16:creationId xmlns:a16="http://schemas.microsoft.com/office/drawing/2014/main" id="{AE444E96-DDC5-4C12-ACAE-AB3DEFF0FC41}"/>
            </a:ext>
          </a:extLst>
        </xdr:cNvPr>
        <xdr:cNvSpPr/>
      </xdr:nvSpPr>
      <xdr:spPr>
        <a:xfrm>
          <a:off x="369570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725</xdr:row>
      <xdr:rowOff>0</xdr:rowOff>
    </xdr:from>
    <xdr:to>
      <xdr:col>24</xdr:col>
      <xdr:colOff>83820</xdr:colOff>
      <xdr:row>725</xdr:row>
      <xdr:rowOff>114300</xdr:rowOff>
    </xdr:to>
    <xdr:sp macro="" textlink="">
      <xdr:nvSpPr>
        <xdr:cNvPr id="5472" name="Arrow: Down 5471">
          <a:extLst>
            <a:ext uri="{FF2B5EF4-FFF2-40B4-BE49-F238E27FC236}">
              <a16:creationId xmlns:a16="http://schemas.microsoft.com/office/drawing/2014/main" id="{02C4459D-28DC-47AF-9EBA-98601A9B6879}"/>
            </a:ext>
          </a:extLst>
        </xdr:cNvPr>
        <xdr:cNvSpPr/>
      </xdr:nvSpPr>
      <xdr:spPr>
        <a:xfrm>
          <a:off x="833628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725</xdr:row>
      <xdr:rowOff>0</xdr:rowOff>
    </xdr:from>
    <xdr:to>
      <xdr:col>60</xdr:col>
      <xdr:colOff>83820</xdr:colOff>
      <xdr:row>725</xdr:row>
      <xdr:rowOff>114300</xdr:rowOff>
    </xdr:to>
    <xdr:sp macro="" textlink="">
      <xdr:nvSpPr>
        <xdr:cNvPr id="5473" name="Arrow: Down 5472">
          <a:extLst>
            <a:ext uri="{FF2B5EF4-FFF2-40B4-BE49-F238E27FC236}">
              <a16:creationId xmlns:a16="http://schemas.microsoft.com/office/drawing/2014/main" id="{D3D20177-8E53-4D52-8351-0A7FEECB3B76}"/>
            </a:ext>
          </a:extLst>
        </xdr:cNvPr>
        <xdr:cNvSpPr/>
      </xdr:nvSpPr>
      <xdr:spPr>
        <a:xfrm>
          <a:off x="1908048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725</xdr:row>
      <xdr:rowOff>0</xdr:rowOff>
    </xdr:from>
    <xdr:to>
      <xdr:col>39</xdr:col>
      <xdr:colOff>83820</xdr:colOff>
      <xdr:row>725</xdr:row>
      <xdr:rowOff>114300</xdr:rowOff>
    </xdr:to>
    <xdr:sp macro="" textlink="">
      <xdr:nvSpPr>
        <xdr:cNvPr id="5474" name="Arrow: Down 5473">
          <a:extLst>
            <a:ext uri="{FF2B5EF4-FFF2-40B4-BE49-F238E27FC236}">
              <a16:creationId xmlns:a16="http://schemas.microsoft.com/office/drawing/2014/main" id="{C75FDEB0-FD48-4CB0-9508-904F3E8C2956}"/>
            </a:ext>
          </a:extLst>
        </xdr:cNvPr>
        <xdr:cNvSpPr/>
      </xdr:nvSpPr>
      <xdr:spPr>
        <a:xfrm>
          <a:off x="11544300" y="13268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726</xdr:row>
      <xdr:rowOff>0</xdr:rowOff>
    </xdr:from>
    <xdr:to>
      <xdr:col>64</xdr:col>
      <xdr:colOff>83820</xdr:colOff>
      <xdr:row>726</xdr:row>
      <xdr:rowOff>114300</xdr:rowOff>
    </xdr:to>
    <xdr:sp macro="" textlink="">
      <xdr:nvSpPr>
        <xdr:cNvPr id="5238" name="Arrow: Down 5237">
          <a:extLst>
            <a:ext uri="{FF2B5EF4-FFF2-40B4-BE49-F238E27FC236}">
              <a16:creationId xmlns:a16="http://schemas.microsoft.com/office/drawing/2014/main" id="{AC49F437-BE98-40C3-B018-4872EC4E7041}"/>
            </a:ext>
          </a:extLst>
        </xdr:cNvPr>
        <xdr:cNvSpPr/>
      </xdr:nvSpPr>
      <xdr:spPr>
        <a:xfrm rot="10800000">
          <a:off x="19347180" y="1326870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726</xdr:row>
      <xdr:rowOff>0</xdr:rowOff>
    </xdr:from>
    <xdr:to>
      <xdr:col>45</xdr:col>
      <xdr:colOff>83820</xdr:colOff>
      <xdr:row>726</xdr:row>
      <xdr:rowOff>114300</xdr:rowOff>
    </xdr:to>
    <xdr:sp macro="" textlink="">
      <xdr:nvSpPr>
        <xdr:cNvPr id="5243" name="Arrow: Down 5242">
          <a:extLst>
            <a:ext uri="{FF2B5EF4-FFF2-40B4-BE49-F238E27FC236}">
              <a16:creationId xmlns:a16="http://schemas.microsoft.com/office/drawing/2014/main" id="{BB11A2D8-5996-40F0-AA73-EEF3B16DAA52}"/>
            </a:ext>
          </a:extLst>
        </xdr:cNvPr>
        <xdr:cNvSpPr/>
      </xdr:nvSpPr>
      <xdr:spPr>
        <a:xfrm rot="10800000">
          <a:off x="13403580" y="132687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726</xdr:row>
      <xdr:rowOff>0</xdr:rowOff>
    </xdr:from>
    <xdr:to>
      <xdr:col>71</xdr:col>
      <xdr:colOff>83820</xdr:colOff>
      <xdr:row>726</xdr:row>
      <xdr:rowOff>114300</xdr:rowOff>
    </xdr:to>
    <xdr:sp macro="" textlink="">
      <xdr:nvSpPr>
        <xdr:cNvPr id="5262" name="Arrow: Down 5261">
          <a:extLst>
            <a:ext uri="{FF2B5EF4-FFF2-40B4-BE49-F238E27FC236}">
              <a16:creationId xmlns:a16="http://schemas.microsoft.com/office/drawing/2014/main" id="{53F9EB9E-C364-4543-83E3-E56584DC8E10}"/>
            </a:ext>
          </a:extLst>
        </xdr:cNvPr>
        <xdr:cNvSpPr/>
      </xdr:nvSpPr>
      <xdr:spPr>
        <a:xfrm>
          <a:off x="21960840" y="1326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726</xdr:row>
      <xdr:rowOff>0</xdr:rowOff>
    </xdr:from>
    <xdr:to>
      <xdr:col>60</xdr:col>
      <xdr:colOff>83820</xdr:colOff>
      <xdr:row>726</xdr:row>
      <xdr:rowOff>114300</xdr:rowOff>
    </xdr:to>
    <xdr:sp macro="" textlink="">
      <xdr:nvSpPr>
        <xdr:cNvPr id="5333" name="Arrow: Down 5332">
          <a:extLst>
            <a:ext uri="{FF2B5EF4-FFF2-40B4-BE49-F238E27FC236}">
              <a16:creationId xmlns:a16="http://schemas.microsoft.com/office/drawing/2014/main" id="{CE5B0EBC-4D2E-4F3B-9342-FBF848F47D7B}"/>
            </a:ext>
          </a:extLst>
        </xdr:cNvPr>
        <xdr:cNvSpPr/>
      </xdr:nvSpPr>
      <xdr:spPr>
        <a:xfrm>
          <a:off x="19080480" y="1326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726</xdr:row>
      <xdr:rowOff>0</xdr:rowOff>
    </xdr:from>
    <xdr:to>
      <xdr:col>5</xdr:col>
      <xdr:colOff>83820</xdr:colOff>
      <xdr:row>726</xdr:row>
      <xdr:rowOff>114300</xdr:rowOff>
    </xdr:to>
    <xdr:sp macro="" textlink="">
      <xdr:nvSpPr>
        <xdr:cNvPr id="5339" name="Arrow: Down 5338">
          <a:extLst>
            <a:ext uri="{FF2B5EF4-FFF2-40B4-BE49-F238E27FC236}">
              <a16:creationId xmlns:a16="http://schemas.microsoft.com/office/drawing/2014/main" id="{00A5CF44-3EEC-4029-9E33-BBFF99BBC7BC}"/>
            </a:ext>
          </a:extLst>
        </xdr:cNvPr>
        <xdr:cNvSpPr/>
      </xdr:nvSpPr>
      <xdr:spPr>
        <a:xfrm rot="10800000">
          <a:off x="192786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726</xdr:row>
      <xdr:rowOff>0</xdr:rowOff>
    </xdr:from>
    <xdr:to>
      <xdr:col>11</xdr:col>
      <xdr:colOff>83820</xdr:colOff>
      <xdr:row>726</xdr:row>
      <xdr:rowOff>114300</xdr:rowOff>
    </xdr:to>
    <xdr:sp macro="" textlink="">
      <xdr:nvSpPr>
        <xdr:cNvPr id="5343" name="Arrow: Down 5342">
          <a:extLst>
            <a:ext uri="{FF2B5EF4-FFF2-40B4-BE49-F238E27FC236}">
              <a16:creationId xmlns:a16="http://schemas.microsoft.com/office/drawing/2014/main" id="{0436979E-3D3C-438D-9523-592692127978}"/>
            </a:ext>
          </a:extLst>
        </xdr:cNvPr>
        <xdr:cNvSpPr/>
      </xdr:nvSpPr>
      <xdr:spPr>
        <a:xfrm rot="10800000">
          <a:off x="369570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726</xdr:row>
      <xdr:rowOff>0</xdr:rowOff>
    </xdr:from>
    <xdr:to>
      <xdr:col>24</xdr:col>
      <xdr:colOff>83820</xdr:colOff>
      <xdr:row>726</xdr:row>
      <xdr:rowOff>114300</xdr:rowOff>
    </xdr:to>
    <xdr:sp macro="" textlink="">
      <xdr:nvSpPr>
        <xdr:cNvPr id="5364" name="Arrow: Down 5363">
          <a:extLst>
            <a:ext uri="{FF2B5EF4-FFF2-40B4-BE49-F238E27FC236}">
              <a16:creationId xmlns:a16="http://schemas.microsoft.com/office/drawing/2014/main" id="{F1F7BAC4-245B-45C7-BB4C-F85705E0299E}"/>
            </a:ext>
          </a:extLst>
        </xdr:cNvPr>
        <xdr:cNvSpPr/>
      </xdr:nvSpPr>
      <xdr:spPr>
        <a:xfrm rot="10800000">
          <a:off x="833628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726</xdr:row>
      <xdr:rowOff>0</xdr:rowOff>
    </xdr:from>
    <xdr:to>
      <xdr:col>39</xdr:col>
      <xdr:colOff>83820</xdr:colOff>
      <xdr:row>726</xdr:row>
      <xdr:rowOff>114300</xdr:rowOff>
    </xdr:to>
    <xdr:sp macro="" textlink="">
      <xdr:nvSpPr>
        <xdr:cNvPr id="5368" name="Arrow: Down 5367">
          <a:extLst>
            <a:ext uri="{FF2B5EF4-FFF2-40B4-BE49-F238E27FC236}">
              <a16:creationId xmlns:a16="http://schemas.microsoft.com/office/drawing/2014/main" id="{3EF17DB6-8A6F-4A98-AAAC-9FBFBE3E3EA1}"/>
            </a:ext>
          </a:extLst>
        </xdr:cNvPr>
        <xdr:cNvSpPr/>
      </xdr:nvSpPr>
      <xdr:spPr>
        <a:xfrm rot="10800000">
          <a:off x="11544300" y="1328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727</xdr:row>
      <xdr:rowOff>0</xdr:rowOff>
    </xdr:from>
    <xdr:to>
      <xdr:col>64</xdr:col>
      <xdr:colOff>83820</xdr:colOff>
      <xdr:row>727</xdr:row>
      <xdr:rowOff>114300</xdr:rowOff>
    </xdr:to>
    <xdr:sp macro="" textlink="">
      <xdr:nvSpPr>
        <xdr:cNvPr id="5388" name="Arrow: Down 5387">
          <a:extLst>
            <a:ext uri="{FF2B5EF4-FFF2-40B4-BE49-F238E27FC236}">
              <a16:creationId xmlns:a16="http://schemas.microsoft.com/office/drawing/2014/main" id="{3A6A07DC-625B-4505-A871-C765372E9D31}"/>
            </a:ext>
          </a:extLst>
        </xdr:cNvPr>
        <xdr:cNvSpPr/>
      </xdr:nvSpPr>
      <xdr:spPr>
        <a:xfrm rot="10800000">
          <a:off x="19347180" y="1328699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727</xdr:row>
      <xdr:rowOff>0</xdr:rowOff>
    </xdr:from>
    <xdr:to>
      <xdr:col>45</xdr:col>
      <xdr:colOff>83820</xdr:colOff>
      <xdr:row>727</xdr:row>
      <xdr:rowOff>114300</xdr:rowOff>
    </xdr:to>
    <xdr:sp macro="" textlink="">
      <xdr:nvSpPr>
        <xdr:cNvPr id="5392" name="Arrow: Down 5391">
          <a:extLst>
            <a:ext uri="{FF2B5EF4-FFF2-40B4-BE49-F238E27FC236}">
              <a16:creationId xmlns:a16="http://schemas.microsoft.com/office/drawing/2014/main" id="{2C5AD892-583B-4796-B1DC-BEE9E897B5A2}"/>
            </a:ext>
          </a:extLst>
        </xdr:cNvPr>
        <xdr:cNvSpPr/>
      </xdr:nvSpPr>
      <xdr:spPr>
        <a:xfrm rot="10800000">
          <a:off x="13403580" y="1328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727</xdr:row>
      <xdr:rowOff>0</xdr:rowOff>
    </xdr:from>
    <xdr:to>
      <xdr:col>71</xdr:col>
      <xdr:colOff>83820</xdr:colOff>
      <xdr:row>727</xdr:row>
      <xdr:rowOff>114300</xdr:rowOff>
    </xdr:to>
    <xdr:sp macro="" textlink="">
      <xdr:nvSpPr>
        <xdr:cNvPr id="5393" name="Arrow: Down 5392">
          <a:extLst>
            <a:ext uri="{FF2B5EF4-FFF2-40B4-BE49-F238E27FC236}">
              <a16:creationId xmlns:a16="http://schemas.microsoft.com/office/drawing/2014/main" id="{813DB54F-3E45-43BC-8B69-F7DA718D415B}"/>
            </a:ext>
          </a:extLst>
        </xdr:cNvPr>
        <xdr:cNvSpPr/>
      </xdr:nvSpPr>
      <xdr:spPr>
        <a:xfrm>
          <a:off x="21960840" y="1328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727</xdr:row>
      <xdr:rowOff>0</xdr:rowOff>
    </xdr:from>
    <xdr:to>
      <xdr:col>5</xdr:col>
      <xdr:colOff>83820</xdr:colOff>
      <xdr:row>727</xdr:row>
      <xdr:rowOff>114300</xdr:rowOff>
    </xdr:to>
    <xdr:sp macro="" textlink="">
      <xdr:nvSpPr>
        <xdr:cNvPr id="5406" name="Arrow: Down 5405">
          <a:extLst>
            <a:ext uri="{FF2B5EF4-FFF2-40B4-BE49-F238E27FC236}">
              <a16:creationId xmlns:a16="http://schemas.microsoft.com/office/drawing/2014/main" id="{F58D00F0-3C02-47AC-B22B-CAFF95E4237B}"/>
            </a:ext>
          </a:extLst>
        </xdr:cNvPr>
        <xdr:cNvSpPr/>
      </xdr:nvSpPr>
      <xdr:spPr>
        <a:xfrm rot="10800000">
          <a:off x="192786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727</xdr:row>
      <xdr:rowOff>0</xdr:rowOff>
    </xdr:from>
    <xdr:to>
      <xdr:col>11</xdr:col>
      <xdr:colOff>83820</xdr:colOff>
      <xdr:row>727</xdr:row>
      <xdr:rowOff>114300</xdr:rowOff>
    </xdr:to>
    <xdr:sp macro="" textlink="">
      <xdr:nvSpPr>
        <xdr:cNvPr id="5408" name="Arrow: Down 5407">
          <a:extLst>
            <a:ext uri="{FF2B5EF4-FFF2-40B4-BE49-F238E27FC236}">
              <a16:creationId xmlns:a16="http://schemas.microsoft.com/office/drawing/2014/main" id="{17E4F157-D252-4B4E-96DD-61C73400E14D}"/>
            </a:ext>
          </a:extLst>
        </xdr:cNvPr>
        <xdr:cNvSpPr/>
      </xdr:nvSpPr>
      <xdr:spPr>
        <a:xfrm rot="10800000">
          <a:off x="369570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727</xdr:row>
      <xdr:rowOff>0</xdr:rowOff>
    </xdr:from>
    <xdr:to>
      <xdr:col>24</xdr:col>
      <xdr:colOff>83820</xdr:colOff>
      <xdr:row>727</xdr:row>
      <xdr:rowOff>114300</xdr:rowOff>
    </xdr:to>
    <xdr:sp macro="" textlink="">
      <xdr:nvSpPr>
        <xdr:cNvPr id="5411" name="Arrow: Down 5410">
          <a:extLst>
            <a:ext uri="{FF2B5EF4-FFF2-40B4-BE49-F238E27FC236}">
              <a16:creationId xmlns:a16="http://schemas.microsoft.com/office/drawing/2014/main" id="{9A080D6C-B0AB-4C3C-AD87-0D74B81A484F}"/>
            </a:ext>
          </a:extLst>
        </xdr:cNvPr>
        <xdr:cNvSpPr/>
      </xdr:nvSpPr>
      <xdr:spPr>
        <a:xfrm rot="10800000">
          <a:off x="833628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727</xdr:row>
      <xdr:rowOff>0</xdr:rowOff>
    </xdr:from>
    <xdr:to>
      <xdr:col>39</xdr:col>
      <xdr:colOff>83820</xdr:colOff>
      <xdr:row>727</xdr:row>
      <xdr:rowOff>114300</xdr:rowOff>
    </xdr:to>
    <xdr:sp macro="" textlink="">
      <xdr:nvSpPr>
        <xdr:cNvPr id="5421" name="Arrow: Down 5420">
          <a:extLst>
            <a:ext uri="{FF2B5EF4-FFF2-40B4-BE49-F238E27FC236}">
              <a16:creationId xmlns:a16="http://schemas.microsoft.com/office/drawing/2014/main" id="{2736B6A2-D6CF-4405-9F51-76D6170FC5BB}"/>
            </a:ext>
          </a:extLst>
        </xdr:cNvPr>
        <xdr:cNvSpPr/>
      </xdr:nvSpPr>
      <xdr:spPr>
        <a:xfrm rot="10800000">
          <a:off x="1154430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727</xdr:row>
      <xdr:rowOff>0</xdr:rowOff>
    </xdr:from>
    <xdr:to>
      <xdr:col>60</xdr:col>
      <xdr:colOff>83820</xdr:colOff>
      <xdr:row>727</xdr:row>
      <xdr:rowOff>114300</xdr:rowOff>
    </xdr:to>
    <xdr:sp macro="" textlink="">
      <xdr:nvSpPr>
        <xdr:cNvPr id="5432" name="Arrow: Down 5431">
          <a:extLst>
            <a:ext uri="{FF2B5EF4-FFF2-40B4-BE49-F238E27FC236}">
              <a16:creationId xmlns:a16="http://schemas.microsoft.com/office/drawing/2014/main" id="{B96555C5-E3A2-45DD-AAC2-B9D80CB68974}"/>
            </a:ext>
          </a:extLst>
        </xdr:cNvPr>
        <xdr:cNvSpPr/>
      </xdr:nvSpPr>
      <xdr:spPr>
        <a:xfrm rot="10800000">
          <a:off x="1908048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728</xdr:row>
      <xdr:rowOff>0</xdr:rowOff>
    </xdr:from>
    <xdr:to>
      <xdr:col>64</xdr:col>
      <xdr:colOff>83820</xdr:colOff>
      <xdr:row>728</xdr:row>
      <xdr:rowOff>114300</xdr:rowOff>
    </xdr:to>
    <xdr:sp macro="" textlink="">
      <xdr:nvSpPr>
        <xdr:cNvPr id="5442" name="Arrow: Down 5441">
          <a:extLst>
            <a:ext uri="{FF2B5EF4-FFF2-40B4-BE49-F238E27FC236}">
              <a16:creationId xmlns:a16="http://schemas.microsoft.com/office/drawing/2014/main" id="{5488973B-22B3-4E26-8F12-B5F4855783FF}"/>
            </a:ext>
          </a:extLst>
        </xdr:cNvPr>
        <xdr:cNvSpPr/>
      </xdr:nvSpPr>
      <xdr:spPr>
        <a:xfrm rot="10800000">
          <a:off x="19347180" y="1330528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728</xdr:row>
      <xdr:rowOff>0</xdr:rowOff>
    </xdr:from>
    <xdr:to>
      <xdr:col>45</xdr:col>
      <xdr:colOff>83820</xdr:colOff>
      <xdr:row>728</xdr:row>
      <xdr:rowOff>114300</xdr:rowOff>
    </xdr:to>
    <xdr:sp macro="" textlink="">
      <xdr:nvSpPr>
        <xdr:cNvPr id="5448" name="Arrow: Down 5447">
          <a:extLst>
            <a:ext uri="{FF2B5EF4-FFF2-40B4-BE49-F238E27FC236}">
              <a16:creationId xmlns:a16="http://schemas.microsoft.com/office/drawing/2014/main" id="{8334ECA0-E0EC-49D4-B0BD-C083B35D4E5B}"/>
            </a:ext>
          </a:extLst>
        </xdr:cNvPr>
        <xdr:cNvSpPr/>
      </xdr:nvSpPr>
      <xdr:spPr>
        <a:xfrm rot="10800000">
          <a:off x="13403580" y="133052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728</xdr:row>
      <xdr:rowOff>0</xdr:rowOff>
    </xdr:from>
    <xdr:to>
      <xdr:col>71</xdr:col>
      <xdr:colOff>83820</xdr:colOff>
      <xdr:row>728</xdr:row>
      <xdr:rowOff>114300</xdr:rowOff>
    </xdr:to>
    <xdr:sp macro="" textlink="">
      <xdr:nvSpPr>
        <xdr:cNvPr id="5450" name="Arrow: Down 5449">
          <a:extLst>
            <a:ext uri="{FF2B5EF4-FFF2-40B4-BE49-F238E27FC236}">
              <a16:creationId xmlns:a16="http://schemas.microsoft.com/office/drawing/2014/main" id="{86B69BAF-D978-4C47-AFBF-1845ED7C0BEB}"/>
            </a:ext>
          </a:extLst>
        </xdr:cNvPr>
        <xdr:cNvSpPr/>
      </xdr:nvSpPr>
      <xdr:spPr>
        <a:xfrm>
          <a:off x="21960840" y="13305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728</xdr:row>
      <xdr:rowOff>0</xdr:rowOff>
    </xdr:from>
    <xdr:to>
      <xdr:col>5</xdr:col>
      <xdr:colOff>83820</xdr:colOff>
      <xdr:row>728</xdr:row>
      <xdr:rowOff>114300</xdr:rowOff>
    </xdr:to>
    <xdr:sp macro="" textlink="">
      <xdr:nvSpPr>
        <xdr:cNvPr id="5452" name="Arrow: Down 5451">
          <a:extLst>
            <a:ext uri="{FF2B5EF4-FFF2-40B4-BE49-F238E27FC236}">
              <a16:creationId xmlns:a16="http://schemas.microsoft.com/office/drawing/2014/main" id="{E8AC3B03-1858-42F1-8AA9-7E1379CB41A1}"/>
            </a:ext>
          </a:extLst>
        </xdr:cNvPr>
        <xdr:cNvSpPr/>
      </xdr:nvSpPr>
      <xdr:spPr>
        <a:xfrm rot="10800000">
          <a:off x="192786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728</xdr:row>
      <xdr:rowOff>0</xdr:rowOff>
    </xdr:from>
    <xdr:to>
      <xdr:col>11</xdr:col>
      <xdr:colOff>83820</xdr:colOff>
      <xdr:row>728</xdr:row>
      <xdr:rowOff>114300</xdr:rowOff>
    </xdr:to>
    <xdr:sp macro="" textlink="">
      <xdr:nvSpPr>
        <xdr:cNvPr id="5453" name="Arrow: Down 5452">
          <a:extLst>
            <a:ext uri="{FF2B5EF4-FFF2-40B4-BE49-F238E27FC236}">
              <a16:creationId xmlns:a16="http://schemas.microsoft.com/office/drawing/2014/main" id="{647376F1-F3C3-44CE-8ED3-87301B8731D3}"/>
            </a:ext>
          </a:extLst>
        </xdr:cNvPr>
        <xdr:cNvSpPr/>
      </xdr:nvSpPr>
      <xdr:spPr>
        <a:xfrm rot="10800000">
          <a:off x="369570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728</xdr:row>
      <xdr:rowOff>0</xdr:rowOff>
    </xdr:from>
    <xdr:to>
      <xdr:col>24</xdr:col>
      <xdr:colOff>83820</xdr:colOff>
      <xdr:row>728</xdr:row>
      <xdr:rowOff>114300</xdr:rowOff>
    </xdr:to>
    <xdr:sp macro="" textlink="">
      <xdr:nvSpPr>
        <xdr:cNvPr id="5454" name="Arrow: Down 5453">
          <a:extLst>
            <a:ext uri="{FF2B5EF4-FFF2-40B4-BE49-F238E27FC236}">
              <a16:creationId xmlns:a16="http://schemas.microsoft.com/office/drawing/2014/main" id="{F071735D-A629-40BD-837D-E6CB7C9755D0}"/>
            </a:ext>
          </a:extLst>
        </xdr:cNvPr>
        <xdr:cNvSpPr/>
      </xdr:nvSpPr>
      <xdr:spPr>
        <a:xfrm rot="10800000">
          <a:off x="833628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728</xdr:row>
      <xdr:rowOff>0</xdr:rowOff>
    </xdr:from>
    <xdr:to>
      <xdr:col>60</xdr:col>
      <xdr:colOff>83820</xdr:colOff>
      <xdr:row>728</xdr:row>
      <xdr:rowOff>114300</xdr:rowOff>
    </xdr:to>
    <xdr:sp macro="" textlink="">
      <xdr:nvSpPr>
        <xdr:cNvPr id="5456" name="Arrow: Down 5455">
          <a:extLst>
            <a:ext uri="{FF2B5EF4-FFF2-40B4-BE49-F238E27FC236}">
              <a16:creationId xmlns:a16="http://schemas.microsoft.com/office/drawing/2014/main" id="{F594E1FA-BE87-49A6-9658-C17EE3C6BBE2}"/>
            </a:ext>
          </a:extLst>
        </xdr:cNvPr>
        <xdr:cNvSpPr/>
      </xdr:nvSpPr>
      <xdr:spPr>
        <a:xfrm rot="10800000">
          <a:off x="1908048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728</xdr:row>
      <xdr:rowOff>0</xdr:rowOff>
    </xdr:from>
    <xdr:to>
      <xdr:col>39</xdr:col>
      <xdr:colOff>83820</xdr:colOff>
      <xdr:row>728</xdr:row>
      <xdr:rowOff>114300</xdr:rowOff>
    </xdr:to>
    <xdr:sp macro="" textlink="">
      <xdr:nvSpPr>
        <xdr:cNvPr id="5471" name="Arrow: Down 5470">
          <a:extLst>
            <a:ext uri="{FF2B5EF4-FFF2-40B4-BE49-F238E27FC236}">
              <a16:creationId xmlns:a16="http://schemas.microsoft.com/office/drawing/2014/main" id="{981EE3D8-C135-4EAB-8135-D7AA3156E59F}"/>
            </a:ext>
          </a:extLst>
        </xdr:cNvPr>
        <xdr:cNvSpPr/>
      </xdr:nvSpPr>
      <xdr:spPr>
        <a:xfrm rot="10800000">
          <a:off x="11544300" y="133235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729</xdr:row>
      <xdr:rowOff>0</xdr:rowOff>
    </xdr:from>
    <xdr:to>
      <xdr:col>64</xdr:col>
      <xdr:colOff>83820</xdr:colOff>
      <xdr:row>729</xdr:row>
      <xdr:rowOff>114300</xdr:rowOff>
    </xdr:to>
    <xdr:sp macro="" textlink="">
      <xdr:nvSpPr>
        <xdr:cNvPr id="5332" name="Arrow: Down 5331">
          <a:extLst>
            <a:ext uri="{FF2B5EF4-FFF2-40B4-BE49-F238E27FC236}">
              <a16:creationId xmlns:a16="http://schemas.microsoft.com/office/drawing/2014/main" id="{7CB9EFC5-2E7E-4E82-8756-48F23C01565A}"/>
            </a:ext>
          </a:extLst>
        </xdr:cNvPr>
        <xdr:cNvSpPr/>
      </xdr:nvSpPr>
      <xdr:spPr>
        <a:xfrm rot="10800000">
          <a:off x="19347180" y="1332357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729</xdr:row>
      <xdr:rowOff>0</xdr:rowOff>
    </xdr:from>
    <xdr:to>
      <xdr:col>45</xdr:col>
      <xdr:colOff>83820</xdr:colOff>
      <xdr:row>729</xdr:row>
      <xdr:rowOff>114300</xdr:rowOff>
    </xdr:to>
    <xdr:sp macro="" textlink="">
      <xdr:nvSpPr>
        <xdr:cNvPr id="5335" name="Arrow: Down 5334">
          <a:extLst>
            <a:ext uri="{FF2B5EF4-FFF2-40B4-BE49-F238E27FC236}">
              <a16:creationId xmlns:a16="http://schemas.microsoft.com/office/drawing/2014/main" id="{A27D2529-9D08-4588-A38D-9759E03A9DD7}"/>
            </a:ext>
          </a:extLst>
        </xdr:cNvPr>
        <xdr:cNvSpPr/>
      </xdr:nvSpPr>
      <xdr:spPr>
        <a:xfrm rot="10800000">
          <a:off x="13403580" y="133235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729</xdr:row>
      <xdr:rowOff>0</xdr:rowOff>
    </xdr:from>
    <xdr:to>
      <xdr:col>71</xdr:col>
      <xdr:colOff>83820</xdr:colOff>
      <xdr:row>729</xdr:row>
      <xdr:rowOff>114300</xdr:rowOff>
    </xdr:to>
    <xdr:sp macro="" textlink="">
      <xdr:nvSpPr>
        <xdr:cNvPr id="5337" name="Arrow: Down 5336">
          <a:extLst>
            <a:ext uri="{FF2B5EF4-FFF2-40B4-BE49-F238E27FC236}">
              <a16:creationId xmlns:a16="http://schemas.microsoft.com/office/drawing/2014/main" id="{83E09672-FA6E-490F-9095-91D939AEC01A}"/>
            </a:ext>
          </a:extLst>
        </xdr:cNvPr>
        <xdr:cNvSpPr/>
      </xdr:nvSpPr>
      <xdr:spPr>
        <a:xfrm>
          <a:off x="21960840" y="1332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729</xdr:row>
      <xdr:rowOff>0</xdr:rowOff>
    </xdr:from>
    <xdr:to>
      <xdr:col>60</xdr:col>
      <xdr:colOff>83820</xdr:colOff>
      <xdr:row>729</xdr:row>
      <xdr:rowOff>114300</xdr:rowOff>
    </xdr:to>
    <xdr:sp macro="" textlink="">
      <xdr:nvSpPr>
        <xdr:cNvPr id="5369" name="Arrow: Down 5368">
          <a:extLst>
            <a:ext uri="{FF2B5EF4-FFF2-40B4-BE49-F238E27FC236}">
              <a16:creationId xmlns:a16="http://schemas.microsoft.com/office/drawing/2014/main" id="{50138F44-A1FE-4C7B-AC12-990860FADA1C}"/>
            </a:ext>
          </a:extLst>
        </xdr:cNvPr>
        <xdr:cNvSpPr/>
      </xdr:nvSpPr>
      <xdr:spPr>
        <a:xfrm rot="10800000">
          <a:off x="19080480" y="1332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729</xdr:row>
      <xdr:rowOff>0</xdr:rowOff>
    </xdr:from>
    <xdr:to>
      <xdr:col>39</xdr:col>
      <xdr:colOff>83820</xdr:colOff>
      <xdr:row>729</xdr:row>
      <xdr:rowOff>114300</xdr:rowOff>
    </xdr:to>
    <xdr:sp macro="" textlink="">
      <xdr:nvSpPr>
        <xdr:cNvPr id="5377" name="Arrow: Down 5376">
          <a:extLst>
            <a:ext uri="{FF2B5EF4-FFF2-40B4-BE49-F238E27FC236}">
              <a16:creationId xmlns:a16="http://schemas.microsoft.com/office/drawing/2014/main" id="{B77B8212-7F1C-4892-A551-4E562BC3BDCA}"/>
            </a:ext>
          </a:extLst>
        </xdr:cNvPr>
        <xdr:cNvSpPr/>
      </xdr:nvSpPr>
      <xdr:spPr>
        <a:xfrm rot="10800000">
          <a:off x="11544300" y="1334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729</xdr:row>
      <xdr:rowOff>0</xdr:rowOff>
    </xdr:from>
    <xdr:to>
      <xdr:col>24</xdr:col>
      <xdr:colOff>83820</xdr:colOff>
      <xdr:row>729</xdr:row>
      <xdr:rowOff>114300</xdr:rowOff>
    </xdr:to>
    <xdr:sp macro="" textlink="">
      <xdr:nvSpPr>
        <xdr:cNvPr id="5381" name="Arrow: Down 5380">
          <a:extLst>
            <a:ext uri="{FF2B5EF4-FFF2-40B4-BE49-F238E27FC236}">
              <a16:creationId xmlns:a16="http://schemas.microsoft.com/office/drawing/2014/main" id="{89673673-34DE-4D2A-8C2F-CBDB8C828987}"/>
            </a:ext>
          </a:extLst>
        </xdr:cNvPr>
        <xdr:cNvSpPr/>
      </xdr:nvSpPr>
      <xdr:spPr>
        <a:xfrm>
          <a:off x="8336280" y="1334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729</xdr:row>
      <xdr:rowOff>0</xdr:rowOff>
    </xdr:from>
    <xdr:to>
      <xdr:col>11</xdr:col>
      <xdr:colOff>83820</xdr:colOff>
      <xdr:row>729</xdr:row>
      <xdr:rowOff>114300</xdr:rowOff>
    </xdr:to>
    <xdr:sp macro="" textlink="">
      <xdr:nvSpPr>
        <xdr:cNvPr id="5384" name="Arrow: Down 5383">
          <a:extLst>
            <a:ext uri="{FF2B5EF4-FFF2-40B4-BE49-F238E27FC236}">
              <a16:creationId xmlns:a16="http://schemas.microsoft.com/office/drawing/2014/main" id="{293176DB-3CAB-409B-B5D9-2785F95B6F46}"/>
            </a:ext>
          </a:extLst>
        </xdr:cNvPr>
        <xdr:cNvSpPr/>
      </xdr:nvSpPr>
      <xdr:spPr>
        <a:xfrm>
          <a:off x="3695700" y="1334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729</xdr:row>
      <xdr:rowOff>0</xdr:rowOff>
    </xdr:from>
    <xdr:to>
      <xdr:col>5</xdr:col>
      <xdr:colOff>83820</xdr:colOff>
      <xdr:row>729</xdr:row>
      <xdr:rowOff>114300</xdr:rowOff>
    </xdr:to>
    <xdr:sp macro="" textlink="">
      <xdr:nvSpPr>
        <xdr:cNvPr id="5418" name="Arrow: Down 5417">
          <a:extLst>
            <a:ext uri="{FF2B5EF4-FFF2-40B4-BE49-F238E27FC236}">
              <a16:creationId xmlns:a16="http://schemas.microsoft.com/office/drawing/2014/main" id="{E1625671-F6DD-4F61-B268-21FE96A4A917}"/>
            </a:ext>
          </a:extLst>
        </xdr:cNvPr>
        <xdr:cNvSpPr/>
      </xdr:nvSpPr>
      <xdr:spPr>
        <a:xfrm>
          <a:off x="1927860" y="1334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730</xdr:row>
      <xdr:rowOff>0</xdr:rowOff>
    </xdr:from>
    <xdr:to>
      <xdr:col>64</xdr:col>
      <xdr:colOff>83820</xdr:colOff>
      <xdr:row>730</xdr:row>
      <xdr:rowOff>114300</xdr:rowOff>
    </xdr:to>
    <xdr:sp macro="" textlink="">
      <xdr:nvSpPr>
        <xdr:cNvPr id="5491" name="Arrow: Down 5490">
          <a:extLst>
            <a:ext uri="{FF2B5EF4-FFF2-40B4-BE49-F238E27FC236}">
              <a16:creationId xmlns:a16="http://schemas.microsoft.com/office/drawing/2014/main" id="{941BFF56-6627-4598-AF20-ED0825F621C9}"/>
            </a:ext>
          </a:extLst>
        </xdr:cNvPr>
        <xdr:cNvSpPr/>
      </xdr:nvSpPr>
      <xdr:spPr>
        <a:xfrm rot="10800000">
          <a:off x="19347180" y="1334185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730</xdr:row>
      <xdr:rowOff>0</xdr:rowOff>
    </xdr:from>
    <xdr:to>
      <xdr:col>45</xdr:col>
      <xdr:colOff>83820</xdr:colOff>
      <xdr:row>730</xdr:row>
      <xdr:rowOff>114300</xdr:rowOff>
    </xdr:to>
    <xdr:sp macro="" textlink="">
      <xdr:nvSpPr>
        <xdr:cNvPr id="5492" name="Arrow: Down 5491">
          <a:extLst>
            <a:ext uri="{FF2B5EF4-FFF2-40B4-BE49-F238E27FC236}">
              <a16:creationId xmlns:a16="http://schemas.microsoft.com/office/drawing/2014/main" id="{BD51C82E-7D64-4687-AAFA-AE791D873321}"/>
            </a:ext>
          </a:extLst>
        </xdr:cNvPr>
        <xdr:cNvSpPr/>
      </xdr:nvSpPr>
      <xdr:spPr>
        <a:xfrm rot="10800000">
          <a:off x="13403580" y="133418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730</xdr:row>
      <xdr:rowOff>0</xdr:rowOff>
    </xdr:from>
    <xdr:to>
      <xdr:col>71</xdr:col>
      <xdr:colOff>83820</xdr:colOff>
      <xdr:row>730</xdr:row>
      <xdr:rowOff>114300</xdr:rowOff>
    </xdr:to>
    <xdr:sp macro="" textlink="">
      <xdr:nvSpPr>
        <xdr:cNvPr id="5493" name="Arrow: Down 5492">
          <a:extLst>
            <a:ext uri="{FF2B5EF4-FFF2-40B4-BE49-F238E27FC236}">
              <a16:creationId xmlns:a16="http://schemas.microsoft.com/office/drawing/2014/main" id="{E106D58F-1029-4B08-BAF5-8236B3FA2707}"/>
            </a:ext>
          </a:extLst>
        </xdr:cNvPr>
        <xdr:cNvSpPr/>
      </xdr:nvSpPr>
      <xdr:spPr>
        <a:xfrm>
          <a:off x="21960840" y="1334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730</xdr:row>
      <xdr:rowOff>0</xdr:rowOff>
    </xdr:from>
    <xdr:to>
      <xdr:col>60</xdr:col>
      <xdr:colOff>83820</xdr:colOff>
      <xdr:row>730</xdr:row>
      <xdr:rowOff>114300</xdr:rowOff>
    </xdr:to>
    <xdr:sp macro="" textlink="">
      <xdr:nvSpPr>
        <xdr:cNvPr id="5495" name="Arrow: Down 5494">
          <a:extLst>
            <a:ext uri="{FF2B5EF4-FFF2-40B4-BE49-F238E27FC236}">
              <a16:creationId xmlns:a16="http://schemas.microsoft.com/office/drawing/2014/main" id="{2FAC3A3D-FB78-430C-816F-718A6D1A4D74}"/>
            </a:ext>
          </a:extLst>
        </xdr:cNvPr>
        <xdr:cNvSpPr/>
      </xdr:nvSpPr>
      <xdr:spPr>
        <a:xfrm rot="10800000">
          <a:off x="19080480" y="1334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730</xdr:row>
      <xdr:rowOff>0</xdr:rowOff>
    </xdr:from>
    <xdr:to>
      <xdr:col>39</xdr:col>
      <xdr:colOff>83820</xdr:colOff>
      <xdr:row>730</xdr:row>
      <xdr:rowOff>114300</xdr:rowOff>
    </xdr:to>
    <xdr:sp macro="" textlink="">
      <xdr:nvSpPr>
        <xdr:cNvPr id="5496" name="Arrow: Down 5495">
          <a:extLst>
            <a:ext uri="{FF2B5EF4-FFF2-40B4-BE49-F238E27FC236}">
              <a16:creationId xmlns:a16="http://schemas.microsoft.com/office/drawing/2014/main" id="{B6EB5826-F07F-4A30-B61E-1BBFA2D9572E}"/>
            </a:ext>
          </a:extLst>
        </xdr:cNvPr>
        <xdr:cNvSpPr/>
      </xdr:nvSpPr>
      <xdr:spPr>
        <a:xfrm rot="10800000">
          <a:off x="11544300" y="1334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730</xdr:row>
      <xdr:rowOff>0</xdr:rowOff>
    </xdr:from>
    <xdr:to>
      <xdr:col>24</xdr:col>
      <xdr:colOff>83820</xdr:colOff>
      <xdr:row>730</xdr:row>
      <xdr:rowOff>114300</xdr:rowOff>
    </xdr:to>
    <xdr:sp macro="" textlink="">
      <xdr:nvSpPr>
        <xdr:cNvPr id="5497" name="Arrow: Down 5496">
          <a:extLst>
            <a:ext uri="{FF2B5EF4-FFF2-40B4-BE49-F238E27FC236}">
              <a16:creationId xmlns:a16="http://schemas.microsoft.com/office/drawing/2014/main" id="{203E7C14-8128-49D2-811C-B0B297588477}"/>
            </a:ext>
          </a:extLst>
        </xdr:cNvPr>
        <xdr:cNvSpPr/>
      </xdr:nvSpPr>
      <xdr:spPr>
        <a:xfrm>
          <a:off x="8336280" y="1334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730</xdr:row>
      <xdr:rowOff>0</xdr:rowOff>
    </xdr:from>
    <xdr:to>
      <xdr:col>11</xdr:col>
      <xdr:colOff>83820</xdr:colOff>
      <xdr:row>730</xdr:row>
      <xdr:rowOff>114300</xdr:rowOff>
    </xdr:to>
    <xdr:sp macro="" textlink="">
      <xdr:nvSpPr>
        <xdr:cNvPr id="5505" name="Arrow: Down 5504">
          <a:extLst>
            <a:ext uri="{FF2B5EF4-FFF2-40B4-BE49-F238E27FC236}">
              <a16:creationId xmlns:a16="http://schemas.microsoft.com/office/drawing/2014/main" id="{11739E24-119F-4CEB-B1EB-78D08B7E6A21}"/>
            </a:ext>
          </a:extLst>
        </xdr:cNvPr>
        <xdr:cNvSpPr/>
      </xdr:nvSpPr>
      <xdr:spPr>
        <a:xfrm rot="10800000">
          <a:off x="3695700" y="1336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730</xdr:row>
      <xdr:rowOff>0</xdr:rowOff>
    </xdr:from>
    <xdr:to>
      <xdr:col>5</xdr:col>
      <xdr:colOff>83820</xdr:colOff>
      <xdr:row>730</xdr:row>
      <xdr:rowOff>114300</xdr:rowOff>
    </xdr:to>
    <xdr:sp macro="" textlink="">
      <xdr:nvSpPr>
        <xdr:cNvPr id="5507" name="Arrow: Down 5506">
          <a:extLst>
            <a:ext uri="{FF2B5EF4-FFF2-40B4-BE49-F238E27FC236}">
              <a16:creationId xmlns:a16="http://schemas.microsoft.com/office/drawing/2014/main" id="{A50EE8BB-5B78-4B42-A9CC-351E8583E6C4}"/>
            </a:ext>
          </a:extLst>
        </xdr:cNvPr>
        <xdr:cNvSpPr/>
      </xdr:nvSpPr>
      <xdr:spPr>
        <a:xfrm rot="10800000">
          <a:off x="1927860" y="1336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731</xdr:row>
      <xdr:rowOff>0</xdr:rowOff>
    </xdr:from>
    <xdr:to>
      <xdr:col>64</xdr:col>
      <xdr:colOff>83820</xdr:colOff>
      <xdr:row>731</xdr:row>
      <xdr:rowOff>114300</xdr:rowOff>
    </xdr:to>
    <xdr:sp macro="" textlink="">
      <xdr:nvSpPr>
        <xdr:cNvPr id="5521" name="Arrow: Down 5520">
          <a:extLst>
            <a:ext uri="{FF2B5EF4-FFF2-40B4-BE49-F238E27FC236}">
              <a16:creationId xmlns:a16="http://schemas.microsoft.com/office/drawing/2014/main" id="{B810A6B9-3F95-405B-9ADC-8FB4F9B08895}"/>
            </a:ext>
          </a:extLst>
        </xdr:cNvPr>
        <xdr:cNvSpPr/>
      </xdr:nvSpPr>
      <xdr:spPr>
        <a:xfrm rot="10800000">
          <a:off x="19347180" y="1336014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731</xdr:row>
      <xdr:rowOff>0</xdr:rowOff>
    </xdr:from>
    <xdr:to>
      <xdr:col>45</xdr:col>
      <xdr:colOff>83820</xdr:colOff>
      <xdr:row>731</xdr:row>
      <xdr:rowOff>114300</xdr:rowOff>
    </xdr:to>
    <xdr:sp macro="" textlink="">
      <xdr:nvSpPr>
        <xdr:cNvPr id="5523" name="Arrow: Down 5522">
          <a:extLst>
            <a:ext uri="{FF2B5EF4-FFF2-40B4-BE49-F238E27FC236}">
              <a16:creationId xmlns:a16="http://schemas.microsoft.com/office/drawing/2014/main" id="{5DA145BD-FD7C-4FC2-B8F6-B4FBCC38F74E}"/>
            </a:ext>
          </a:extLst>
        </xdr:cNvPr>
        <xdr:cNvSpPr/>
      </xdr:nvSpPr>
      <xdr:spPr>
        <a:xfrm rot="10800000">
          <a:off x="13403580" y="133601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731</xdr:row>
      <xdr:rowOff>0</xdr:rowOff>
    </xdr:from>
    <xdr:to>
      <xdr:col>71</xdr:col>
      <xdr:colOff>83820</xdr:colOff>
      <xdr:row>731</xdr:row>
      <xdr:rowOff>114300</xdr:rowOff>
    </xdr:to>
    <xdr:sp macro="" textlink="">
      <xdr:nvSpPr>
        <xdr:cNvPr id="5526" name="Arrow: Down 5525">
          <a:extLst>
            <a:ext uri="{FF2B5EF4-FFF2-40B4-BE49-F238E27FC236}">
              <a16:creationId xmlns:a16="http://schemas.microsoft.com/office/drawing/2014/main" id="{097D8F61-F5D9-466D-9747-DC3C35356248}"/>
            </a:ext>
          </a:extLst>
        </xdr:cNvPr>
        <xdr:cNvSpPr/>
      </xdr:nvSpPr>
      <xdr:spPr>
        <a:xfrm>
          <a:off x="21960840" y="1336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731</xdr:row>
      <xdr:rowOff>0</xdr:rowOff>
    </xdr:from>
    <xdr:to>
      <xdr:col>60</xdr:col>
      <xdr:colOff>83820</xdr:colOff>
      <xdr:row>731</xdr:row>
      <xdr:rowOff>114300</xdr:rowOff>
    </xdr:to>
    <xdr:sp macro="" textlink="">
      <xdr:nvSpPr>
        <xdr:cNvPr id="5527" name="Arrow: Down 5526">
          <a:extLst>
            <a:ext uri="{FF2B5EF4-FFF2-40B4-BE49-F238E27FC236}">
              <a16:creationId xmlns:a16="http://schemas.microsoft.com/office/drawing/2014/main" id="{EF5BEBFF-EB37-44FB-8314-4BB21219FE8C}"/>
            </a:ext>
          </a:extLst>
        </xdr:cNvPr>
        <xdr:cNvSpPr/>
      </xdr:nvSpPr>
      <xdr:spPr>
        <a:xfrm rot="10800000">
          <a:off x="19080480" y="1336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731</xdr:row>
      <xdr:rowOff>0</xdr:rowOff>
    </xdr:from>
    <xdr:to>
      <xdr:col>24</xdr:col>
      <xdr:colOff>83820</xdr:colOff>
      <xdr:row>731</xdr:row>
      <xdr:rowOff>114300</xdr:rowOff>
    </xdr:to>
    <xdr:sp macro="" textlink="">
      <xdr:nvSpPr>
        <xdr:cNvPr id="5529" name="Arrow: Down 5528">
          <a:extLst>
            <a:ext uri="{FF2B5EF4-FFF2-40B4-BE49-F238E27FC236}">
              <a16:creationId xmlns:a16="http://schemas.microsoft.com/office/drawing/2014/main" id="{204B7C7D-D2F3-476E-8B0E-06189C8DE12A}"/>
            </a:ext>
          </a:extLst>
        </xdr:cNvPr>
        <xdr:cNvSpPr/>
      </xdr:nvSpPr>
      <xdr:spPr>
        <a:xfrm>
          <a:off x="8336280" y="1336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731</xdr:row>
      <xdr:rowOff>0</xdr:rowOff>
    </xdr:from>
    <xdr:to>
      <xdr:col>39</xdr:col>
      <xdr:colOff>83820</xdr:colOff>
      <xdr:row>731</xdr:row>
      <xdr:rowOff>114300</xdr:rowOff>
    </xdr:to>
    <xdr:sp macro="" textlink="">
      <xdr:nvSpPr>
        <xdr:cNvPr id="5533" name="Arrow: Down 5532">
          <a:extLst>
            <a:ext uri="{FF2B5EF4-FFF2-40B4-BE49-F238E27FC236}">
              <a16:creationId xmlns:a16="http://schemas.microsoft.com/office/drawing/2014/main" id="{07A23DB4-03BB-41CE-87C0-3B128FA051A5}"/>
            </a:ext>
          </a:extLst>
        </xdr:cNvPr>
        <xdr:cNvSpPr/>
      </xdr:nvSpPr>
      <xdr:spPr>
        <a:xfrm rot="10800000">
          <a:off x="11544300" y="133784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731</xdr:row>
      <xdr:rowOff>0</xdr:rowOff>
    </xdr:from>
    <xdr:to>
      <xdr:col>5</xdr:col>
      <xdr:colOff>83820</xdr:colOff>
      <xdr:row>731</xdr:row>
      <xdr:rowOff>114300</xdr:rowOff>
    </xdr:to>
    <xdr:sp macro="" textlink="">
      <xdr:nvSpPr>
        <xdr:cNvPr id="5535" name="Arrow: Down 5534">
          <a:extLst>
            <a:ext uri="{FF2B5EF4-FFF2-40B4-BE49-F238E27FC236}">
              <a16:creationId xmlns:a16="http://schemas.microsoft.com/office/drawing/2014/main" id="{B0CBA4DE-BC5D-489C-A9AF-AB4042ABC547}"/>
            </a:ext>
          </a:extLst>
        </xdr:cNvPr>
        <xdr:cNvSpPr/>
      </xdr:nvSpPr>
      <xdr:spPr>
        <a:xfrm>
          <a:off x="192786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731</xdr:row>
      <xdr:rowOff>0</xdr:rowOff>
    </xdr:from>
    <xdr:to>
      <xdr:col>11</xdr:col>
      <xdr:colOff>83820</xdr:colOff>
      <xdr:row>731</xdr:row>
      <xdr:rowOff>114300</xdr:rowOff>
    </xdr:to>
    <xdr:sp macro="" textlink="">
      <xdr:nvSpPr>
        <xdr:cNvPr id="5537" name="Arrow: Down 5536">
          <a:extLst>
            <a:ext uri="{FF2B5EF4-FFF2-40B4-BE49-F238E27FC236}">
              <a16:creationId xmlns:a16="http://schemas.microsoft.com/office/drawing/2014/main" id="{B303D572-11FC-41D3-AB33-A8CEA197BD66}"/>
            </a:ext>
          </a:extLst>
        </xdr:cNvPr>
        <xdr:cNvSpPr/>
      </xdr:nvSpPr>
      <xdr:spPr>
        <a:xfrm>
          <a:off x="369570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732</xdr:row>
      <xdr:rowOff>0</xdr:rowOff>
    </xdr:from>
    <xdr:to>
      <xdr:col>64</xdr:col>
      <xdr:colOff>83820</xdr:colOff>
      <xdr:row>732</xdr:row>
      <xdr:rowOff>114300</xdr:rowOff>
    </xdr:to>
    <xdr:sp macro="" textlink="">
      <xdr:nvSpPr>
        <xdr:cNvPr id="5551" name="Arrow: Down 5550">
          <a:extLst>
            <a:ext uri="{FF2B5EF4-FFF2-40B4-BE49-F238E27FC236}">
              <a16:creationId xmlns:a16="http://schemas.microsoft.com/office/drawing/2014/main" id="{7DCB7A09-4FB7-4A5E-9A53-5253508A7601}"/>
            </a:ext>
          </a:extLst>
        </xdr:cNvPr>
        <xdr:cNvSpPr/>
      </xdr:nvSpPr>
      <xdr:spPr>
        <a:xfrm rot="10800000">
          <a:off x="19347180" y="1337843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732</xdr:row>
      <xdr:rowOff>0</xdr:rowOff>
    </xdr:from>
    <xdr:to>
      <xdr:col>45</xdr:col>
      <xdr:colOff>83820</xdr:colOff>
      <xdr:row>732</xdr:row>
      <xdr:rowOff>114300</xdr:rowOff>
    </xdr:to>
    <xdr:sp macro="" textlink="">
      <xdr:nvSpPr>
        <xdr:cNvPr id="5559" name="Arrow: Down 5558">
          <a:extLst>
            <a:ext uri="{FF2B5EF4-FFF2-40B4-BE49-F238E27FC236}">
              <a16:creationId xmlns:a16="http://schemas.microsoft.com/office/drawing/2014/main" id="{0AB1FC2D-A8CF-41C1-B05C-F8B9BE28C28D}"/>
            </a:ext>
          </a:extLst>
        </xdr:cNvPr>
        <xdr:cNvSpPr/>
      </xdr:nvSpPr>
      <xdr:spPr>
        <a:xfrm rot="10800000">
          <a:off x="13403580" y="133784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732</xdr:row>
      <xdr:rowOff>0</xdr:rowOff>
    </xdr:from>
    <xdr:to>
      <xdr:col>71</xdr:col>
      <xdr:colOff>83820</xdr:colOff>
      <xdr:row>732</xdr:row>
      <xdr:rowOff>114300</xdr:rowOff>
    </xdr:to>
    <xdr:sp macro="" textlink="">
      <xdr:nvSpPr>
        <xdr:cNvPr id="5563" name="Arrow: Down 5562">
          <a:extLst>
            <a:ext uri="{FF2B5EF4-FFF2-40B4-BE49-F238E27FC236}">
              <a16:creationId xmlns:a16="http://schemas.microsoft.com/office/drawing/2014/main" id="{2DC08E0C-268E-4FC0-9D68-40D786705E6D}"/>
            </a:ext>
          </a:extLst>
        </xdr:cNvPr>
        <xdr:cNvSpPr/>
      </xdr:nvSpPr>
      <xdr:spPr>
        <a:xfrm>
          <a:off x="2196084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732</xdr:row>
      <xdr:rowOff>0</xdr:rowOff>
    </xdr:from>
    <xdr:to>
      <xdr:col>24</xdr:col>
      <xdr:colOff>83820</xdr:colOff>
      <xdr:row>732</xdr:row>
      <xdr:rowOff>114300</xdr:rowOff>
    </xdr:to>
    <xdr:sp macro="" textlink="">
      <xdr:nvSpPr>
        <xdr:cNvPr id="5566" name="Arrow: Down 5565">
          <a:extLst>
            <a:ext uri="{FF2B5EF4-FFF2-40B4-BE49-F238E27FC236}">
              <a16:creationId xmlns:a16="http://schemas.microsoft.com/office/drawing/2014/main" id="{7F767A92-4C57-4687-9F48-B61065608AC6}"/>
            </a:ext>
          </a:extLst>
        </xdr:cNvPr>
        <xdr:cNvSpPr/>
      </xdr:nvSpPr>
      <xdr:spPr>
        <a:xfrm>
          <a:off x="833628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732</xdr:row>
      <xdr:rowOff>0</xdr:rowOff>
    </xdr:from>
    <xdr:to>
      <xdr:col>5</xdr:col>
      <xdr:colOff>83820</xdr:colOff>
      <xdr:row>732</xdr:row>
      <xdr:rowOff>114300</xdr:rowOff>
    </xdr:to>
    <xdr:sp macro="" textlink="">
      <xdr:nvSpPr>
        <xdr:cNvPr id="5568" name="Arrow: Down 5567">
          <a:extLst>
            <a:ext uri="{FF2B5EF4-FFF2-40B4-BE49-F238E27FC236}">
              <a16:creationId xmlns:a16="http://schemas.microsoft.com/office/drawing/2014/main" id="{318F356A-A3EC-4936-A6C3-E49550B733DD}"/>
            </a:ext>
          </a:extLst>
        </xdr:cNvPr>
        <xdr:cNvSpPr/>
      </xdr:nvSpPr>
      <xdr:spPr>
        <a:xfrm>
          <a:off x="192786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732</xdr:row>
      <xdr:rowOff>0</xdr:rowOff>
    </xdr:from>
    <xdr:to>
      <xdr:col>11</xdr:col>
      <xdr:colOff>83820</xdr:colOff>
      <xdr:row>732</xdr:row>
      <xdr:rowOff>114300</xdr:rowOff>
    </xdr:to>
    <xdr:sp macro="" textlink="">
      <xdr:nvSpPr>
        <xdr:cNvPr id="5569" name="Arrow: Down 5568">
          <a:extLst>
            <a:ext uri="{FF2B5EF4-FFF2-40B4-BE49-F238E27FC236}">
              <a16:creationId xmlns:a16="http://schemas.microsoft.com/office/drawing/2014/main" id="{F67D6089-DDBF-4B87-9865-8834602F3C91}"/>
            </a:ext>
          </a:extLst>
        </xdr:cNvPr>
        <xdr:cNvSpPr/>
      </xdr:nvSpPr>
      <xdr:spPr>
        <a:xfrm>
          <a:off x="369570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732</xdr:row>
      <xdr:rowOff>0</xdr:rowOff>
    </xdr:from>
    <xdr:to>
      <xdr:col>60</xdr:col>
      <xdr:colOff>83820</xdr:colOff>
      <xdr:row>732</xdr:row>
      <xdr:rowOff>114300</xdr:rowOff>
    </xdr:to>
    <xdr:sp macro="" textlink="">
      <xdr:nvSpPr>
        <xdr:cNvPr id="5571" name="Arrow: Down 5570">
          <a:extLst>
            <a:ext uri="{FF2B5EF4-FFF2-40B4-BE49-F238E27FC236}">
              <a16:creationId xmlns:a16="http://schemas.microsoft.com/office/drawing/2014/main" id="{D21E66F2-C26B-4F19-9D27-01B2B6BCA625}"/>
            </a:ext>
          </a:extLst>
        </xdr:cNvPr>
        <xdr:cNvSpPr/>
      </xdr:nvSpPr>
      <xdr:spPr>
        <a:xfrm>
          <a:off x="19080480" y="13396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732</xdr:row>
      <xdr:rowOff>0</xdr:rowOff>
    </xdr:from>
    <xdr:to>
      <xdr:col>39</xdr:col>
      <xdr:colOff>83820</xdr:colOff>
      <xdr:row>732</xdr:row>
      <xdr:rowOff>114300</xdr:rowOff>
    </xdr:to>
    <xdr:sp macro="" textlink="">
      <xdr:nvSpPr>
        <xdr:cNvPr id="5573" name="Arrow: Down 5572">
          <a:extLst>
            <a:ext uri="{FF2B5EF4-FFF2-40B4-BE49-F238E27FC236}">
              <a16:creationId xmlns:a16="http://schemas.microsoft.com/office/drawing/2014/main" id="{0B0900FF-F512-47E5-B7B8-794F515C4CBA}"/>
            </a:ext>
          </a:extLst>
        </xdr:cNvPr>
        <xdr:cNvSpPr/>
      </xdr:nvSpPr>
      <xdr:spPr>
        <a:xfrm rot="10800000">
          <a:off x="11544300" y="1339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733</xdr:row>
      <xdr:rowOff>0</xdr:rowOff>
    </xdr:from>
    <xdr:to>
      <xdr:col>64</xdr:col>
      <xdr:colOff>83820</xdr:colOff>
      <xdr:row>733</xdr:row>
      <xdr:rowOff>114300</xdr:rowOff>
    </xdr:to>
    <xdr:sp macro="" textlink="">
      <xdr:nvSpPr>
        <xdr:cNvPr id="5582" name="Arrow: Down 5581">
          <a:extLst>
            <a:ext uri="{FF2B5EF4-FFF2-40B4-BE49-F238E27FC236}">
              <a16:creationId xmlns:a16="http://schemas.microsoft.com/office/drawing/2014/main" id="{D923CA0B-A8A3-4E0A-A130-AF03D25CDA4C}"/>
            </a:ext>
          </a:extLst>
        </xdr:cNvPr>
        <xdr:cNvSpPr/>
      </xdr:nvSpPr>
      <xdr:spPr>
        <a:xfrm rot="10800000">
          <a:off x="19347180" y="1339672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733</xdr:row>
      <xdr:rowOff>0</xdr:rowOff>
    </xdr:from>
    <xdr:to>
      <xdr:col>45</xdr:col>
      <xdr:colOff>83820</xdr:colOff>
      <xdr:row>733</xdr:row>
      <xdr:rowOff>114300</xdr:rowOff>
    </xdr:to>
    <xdr:sp macro="" textlink="">
      <xdr:nvSpPr>
        <xdr:cNvPr id="5583" name="Arrow: Down 5582">
          <a:extLst>
            <a:ext uri="{FF2B5EF4-FFF2-40B4-BE49-F238E27FC236}">
              <a16:creationId xmlns:a16="http://schemas.microsoft.com/office/drawing/2014/main" id="{01361005-CEBE-4234-B805-DCEEA2579DD1}"/>
            </a:ext>
          </a:extLst>
        </xdr:cNvPr>
        <xdr:cNvSpPr/>
      </xdr:nvSpPr>
      <xdr:spPr>
        <a:xfrm rot="10800000">
          <a:off x="13403580" y="133967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733</xdr:row>
      <xdr:rowOff>0</xdr:rowOff>
    </xdr:from>
    <xdr:to>
      <xdr:col>71</xdr:col>
      <xdr:colOff>83820</xdr:colOff>
      <xdr:row>733</xdr:row>
      <xdr:rowOff>114300</xdr:rowOff>
    </xdr:to>
    <xdr:sp macro="" textlink="">
      <xdr:nvSpPr>
        <xdr:cNvPr id="5584" name="Arrow: Down 5583">
          <a:extLst>
            <a:ext uri="{FF2B5EF4-FFF2-40B4-BE49-F238E27FC236}">
              <a16:creationId xmlns:a16="http://schemas.microsoft.com/office/drawing/2014/main" id="{B584145A-C28D-4636-B841-45C922084B1D}"/>
            </a:ext>
          </a:extLst>
        </xdr:cNvPr>
        <xdr:cNvSpPr/>
      </xdr:nvSpPr>
      <xdr:spPr>
        <a:xfrm>
          <a:off x="21960840" y="13396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733</xdr:row>
      <xdr:rowOff>0</xdr:rowOff>
    </xdr:from>
    <xdr:to>
      <xdr:col>60</xdr:col>
      <xdr:colOff>83820</xdr:colOff>
      <xdr:row>733</xdr:row>
      <xdr:rowOff>114300</xdr:rowOff>
    </xdr:to>
    <xdr:sp macro="" textlink="">
      <xdr:nvSpPr>
        <xdr:cNvPr id="5588" name="Arrow: Down 5587">
          <a:extLst>
            <a:ext uri="{FF2B5EF4-FFF2-40B4-BE49-F238E27FC236}">
              <a16:creationId xmlns:a16="http://schemas.microsoft.com/office/drawing/2014/main" id="{7A30D585-57DC-4D23-A30C-2D19202BEB33}"/>
            </a:ext>
          </a:extLst>
        </xdr:cNvPr>
        <xdr:cNvSpPr/>
      </xdr:nvSpPr>
      <xdr:spPr>
        <a:xfrm>
          <a:off x="19080480" y="13396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733</xdr:row>
      <xdr:rowOff>0</xdr:rowOff>
    </xdr:from>
    <xdr:to>
      <xdr:col>24</xdr:col>
      <xdr:colOff>83820</xdr:colOff>
      <xdr:row>733</xdr:row>
      <xdr:rowOff>114300</xdr:rowOff>
    </xdr:to>
    <xdr:sp macro="" textlink="">
      <xdr:nvSpPr>
        <xdr:cNvPr id="5591" name="Arrow: Down 5590">
          <a:extLst>
            <a:ext uri="{FF2B5EF4-FFF2-40B4-BE49-F238E27FC236}">
              <a16:creationId xmlns:a16="http://schemas.microsoft.com/office/drawing/2014/main" id="{C37D1FF0-4938-4C2E-BEFA-AB626696E033}"/>
            </a:ext>
          </a:extLst>
        </xdr:cNvPr>
        <xdr:cNvSpPr/>
      </xdr:nvSpPr>
      <xdr:spPr>
        <a:xfrm rot="10800000">
          <a:off x="8336280" y="1341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733</xdr:row>
      <xdr:rowOff>0</xdr:rowOff>
    </xdr:from>
    <xdr:to>
      <xdr:col>39</xdr:col>
      <xdr:colOff>83820</xdr:colOff>
      <xdr:row>733</xdr:row>
      <xdr:rowOff>114300</xdr:rowOff>
    </xdr:to>
    <xdr:sp macro="" textlink="">
      <xdr:nvSpPr>
        <xdr:cNvPr id="5593" name="Arrow: Down 5592">
          <a:extLst>
            <a:ext uri="{FF2B5EF4-FFF2-40B4-BE49-F238E27FC236}">
              <a16:creationId xmlns:a16="http://schemas.microsoft.com/office/drawing/2014/main" id="{B68CB494-87E3-4AA2-9A6B-CC96E5A654F9}"/>
            </a:ext>
          </a:extLst>
        </xdr:cNvPr>
        <xdr:cNvSpPr/>
      </xdr:nvSpPr>
      <xdr:spPr>
        <a:xfrm rot="10800000">
          <a:off x="11544300" y="1341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734</xdr:row>
      <xdr:rowOff>0</xdr:rowOff>
    </xdr:from>
    <xdr:to>
      <xdr:col>64</xdr:col>
      <xdr:colOff>83820</xdr:colOff>
      <xdr:row>734</xdr:row>
      <xdr:rowOff>114300</xdr:rowOff>
    </xdr:to>
    <xdr:sp macro="" textlink="">
      <xdr:nvSpPr>
        <xdr:cNvPr id="5234" name="Arrow: Down 5233">
          <a:extLst>
            <a:ext uri="{FF2B5EF4-FFF2-40B4-BE49-F238E27FC236}">
              <a16:creationId xmlns:a16="http://schemas.microsoft.com/office/drawing/2014/main" id="{689FF027-5BEB-4376-9500-63A399F2ADCE}"/>
            </a:ext>
          </a:extLst>
        </xdr:cNvPr>
        <xdr:cNvSpPr/>
      </xdr:nvSpPr>
      <xdr:spPr>
        <a:xfrm rot="10800000">
          <a:off x="19347180" y="1341501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734</xdr:row>
      <xdr:rowOff>0</xdr:rowOff>
    </xdr:from>
    <xdr:to>
      <xdr:col>45</xdr:col>
      <xdr:colOff>83820</xdr:colOff>
      <xdr:row>734</xdr:row>
      <xdr:rowOff>114300</xdr:rowOff>
    </xdr:to>
    <xdr:sp macro="" textlink="">
      <xdr:nvSpPr>
        <xdr:cNvPr id="5275" name="Arrow: Down 5274">
          <a:extLst>
            <a:ext uri="{FF2B5EF4-FFF2-40B4-BE49-F238E27FC236}">
              <a16:creationId xmlns:a16="http://schemas.microsoft.com/office/drawing/2014/main" id="{D323F68F-B35E-4C73-8873-F2DE15F7BF19}"/>
            </a:ext>
          </a:extLst>
        </xdr:cNvPr>
        <xdr:cNvSpPr/>
      </xdr:nvSpPr>
      <xdr:spPr>
        <a:xfrm rot="10800000">
          <a:off x="13403580" y="1341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734</xdr:row>
      <xdr:rowOff>0</xdr:rowOff>
    </xdr:from>
    <xdr:to>
      <xdr:col>71</xdr:col>
      <xdr:colOff>83820</xdr:colOff>
      <xdr:row>734</xdr:row>
      <xdr:rowOff>114300</xdr:rowOff>
    </xdr:to>
    <xdr:sp macro="" textlink="">
      <xdr:nvSpPr>
        <xdr:cNvPr id="5331" name="Arrow: Down 5330">
          <a:extLst>
            <a:ext uri="{FF2B5EF4-FFF2-40B4-BE49-F238E27FC236}">
              <a16:creationId xmlns:a16="http://schemas.microsoft.com/office/drawing/2014/main" id="{8EF6B6FB-D8FD-4A4F-B4AD-4D94E5D7C631}"/>
            </a:ext>
          </a:extLst>
        </xdr:cNvPr>
        <xdr:cNvSpPr/>
      </xdr:nvSpPr>
      <xdr:spPr>
        <a:xfrm>
          <a:off x="21960840" y="1341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734</xdr:row>
      <xdr:rowOff>0</xdr:rowOff>
    </xdr:from>
    <xdr:to>
      <xdr:col>24</xdr:col>
      <xdr:colOff>83820</xdr:colOff>
      <xdr:row>734</xdr:row>
      <xdr:rowOff>114300</xdr:rowOff>
    </xdr:to>
    <xdr:sp macro="" textlink="">
      <xdr:nvSpPr>
        <xdr:cNvPr id="5371" name="Arrow: Down 5370">
          <a:extLst>
            <a:ext uri="{FF2B5EF4-FFF2-40B4-BE49-F238E27FC236}">
              <a16:creationId xmlns:a16="http://schemas.microsoft.com/office/drawing/2014/main" id="{49C483DC-11E5-4DF4-BFD5-947D07B65A55}"/>
            </a:ext>
          </a:extLst>
        </xdr:cNvPr>
        <xdr:cNvSpPr/>
      </xdr:nvSpPr>
      <xdr:spPr>
        <a:xfrm rot="10800000">
          <a:off x="8336280" y="1341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733</xdr:row>
      <xdr:rowOff>0</xdr:rowOff>
    </xdr:from>
    <xdr:to>
      <xdr:col>5</xdr:col>
      <xdr:colOff>83820</xdr:colOff>
      <xdr:row>733</xdr:row>
      <xdr:rowOff>114300</xdr:rowOff>
    </xdr:to>
    <xdr:sp macro="" textlink="">
      <xdr:nvSpPr>
        <xdr:cNvPr id="5382" name="Arrow: Down 5381">
          <a:extLst>
            <a:ext uri="{FF2B5EF4-FFF2-40B4-BE49-F238E27FC236}">
              <a16:creationId xmlns:a16="http://schemas.microsoft.com/office/drawing/2014/main" id="{FCCD949A-DC73-42C2-AADE-5A951385E651}"/>
            </a:ext>
          </a:extLst>
        </xdr:cNvPr>
        <xdr:cNvSpPr/>
      </xdr:nvSpPr>
      <xdr:spPr>
        <a:xfrm rot="10800000">
          <a:off x="1927860" y="1341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733</xdr:row>
      <xdr:rowOff>0</xdr:rowOff>
    </xdr:from>
    <xdr:to>
      <xdr:col>11</xdr:col>
      <xdr:colOff>83820</xdr:colOff>
      <xdr:row>733</xdr:row>
      <xdr:rowOff>114300</xdr:rowOff>
    </xdr:to>
    <xdr:sp macro="" textlink="">
      <xdr:nvSpPr>
        <xdr:cNvPr id="5394" name="Arrow: Down 5393">
          <a:extLst>
            <a:ext uri="{FF2B5EF4-FFF2-40B4-BE49-F238E27FC236}">
              <a16:creationId xmlns:a16="http://schemas.microsoft.com/office/drawing/2014/main" id="{6EA73E40-4979-4712-AB55-7BC39936EBE1}"/>
            </a:ext>
          </a:extLst>
        </xdr:cNvPr>
        <xdr:cNvSpPr/>
      </xdr:nvSpPr>
      <xdr:spPr>
        <a:xfrm rot="10800000">
          <a:off x="3695700" y="1341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734</xdr:row>
      <xdr:rowOff>0</xdr:rowOff>
    </xdr:from>
    <xdr:to>
      <xdr:col>5</xdr:col>
      <xdr:colOff>83820</xdr:colOff>
      <xdr:row>734</xdr:row>
      <xdr:rowOff>114300</xdr:rowOff>
    </xdr:to>
    <xdr:sp macro="" textlink="">
      <xdr:nvSpPr>
        <xdr:cNvPr id="5413" name="Arrow: Down 5412">
          <a:extLst>
            <a:ext uri="{FF2B5EF4-FFF2-40B4-BE49-F238E27FC236}">
              <a16:creationId xmlns:a16="http://schemas.microsoft.com/office/drawing/2014/main" id="{884E5847-DAFE-443B-B015-BC010398CB38}"/>
            </a:ext>
          </a:extLst>
        </xdr:cNvPr>
        <xdr:cNvSpPr/>
      </xdr:nvSpPr>
      <xdr:spPr>
        <a:xfrm rot="10800000">
          <a:off x="192786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734</xdr:row>
      <xdr:rowOff>0</xdr:rowOff>
    </xdr:from>
    <xdr:to>
      <xdr:col>11</xdr:col>
      <xdr:colOff>83820</xdr:colOff>
      <xdr:row>734</xdr:row>
      <xdr:rowOff>114300</xdr:rowOff>
    </xdr:to>
    <xdr:sp macro="" textlink="">
      <xdr:nvSpPr>
        <xdr:cNvPr id="5455" name="Arrow: Down 5454">
          <a:extLst>
            <a:ext uri="{FF2B5EF4-FFF2-40B4-BE49-F238E27FC236}">
              <a16:creationId xmlns:a16="http://schemas.microsoft.com/office/drawing/2014/main" id="{B47A6507-6B93-488C-8300-C8DBBFA48AD6}"/>
            </a:ext>
          </a:extLst>
        </xdr:cNvPr>
        <xdr:cNvSpPr/>
      </xdr:nvSpPr>
      <xdr:spPr>
        <a:xfrm rot="10800000">
          <a:off x="369570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734</xdr:row>
      <xdr:rowOff>0</xdr:rowOff>
    </xdr:from>
    <xdr:to>
      <xdr:col>39</xdr:col>
      <xdr:colOff>83820</xdr:colOff>
      <xdr:row>734</xdr:row>
      <xdr:rowOff>114300</xdr:rowOff>
    </xdr:to>
    <xdr:sp macro="" textlink="">
      <xdr:nvSpPr>
        <xdr:cNvPr id="5475" name="Arrow: Down 5474">
          <a:extLst>
            <a:ext uri="{FF2B5EF4-FFF2-40B4-BE49-F238E27FC236}">
              <a16:creationId xmlns:a16="http://schemas.microsoft.com/office/drawing/2014/main" id="{19877B4F-B17B-409F-AB96-3DBC313D6244}"/>
            </a:ext>
          </a:extLst>
        </xdr:cNvPr>
        <xdr:cNvSpPr/>
      </xdr:nvSpPr>
      <xdr:spPr>
        <a:xfrm rot="10800000">
          <a:off x="1154430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734</xdr:row>
      <xdr:rowOff>0</xdr:rowOff>
    </xdr:from>
    <xdr:to>
      <xdr:col>60</xdr:col>
      <xdr:colOff>83820</xdr:colOff>
      <xdr:row>734</xdr:row>
      <xdr:rowOff>114300</xdr:rowOff>
    </xdr:to>
    <xdr:sp macro="" textlink="">
      <xdr:nvSpPr>
        <xdr:cNvPr id="5480" name="Arrow: Down 5479">
          <a:extLst>
            <a:ext uri="{FF2B5EF4-FFF2-40B4-BE49-F238E27FC236}">
              <a16:creationId xmlns:a16="http://schemas.microsoft.com/office/drawing/2014/main" id="{76D2C906-3CD9-46C1-AB76-5117111D85AE}"/>
            </a:ext>
          </a:extLst>
        </xdr:cNvPr>
        <xdr:cNvSpPr/>
      </xdr:nvSpPr>
      <xdr:spPr>
        <a:xfrm rot="10800000">
          <a:off x="1908048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735</xdr:row>
      <xdr:rowOff>0</xdr:rowOff>
    </xdr:from>
    <xdr:to>
      <xdr:col>64</xdr:col>
      <xdr:colOff>83820</xdr:colOff>
      <xdr:row>735</xdr:row>
      <xdr:rowOff>114300</xdr:rowOff>
    </xdr:to>
    <xdr:sp macro="" textlink="">
      <xdr:nvSpPr>
        <xdr:cNvPr id="5510" name="Arrow: Down 5509">
          <a:extLst>
            <a:ext uri="{FF2B5EF4-FFF2-40B4-BE49-F238E27FC236}">
              <a16:creationId xmlns:a16="http://schemas.microsoft.com/office/drawing/2014/main" id="{F3D59C94-DF4A-4E3B-A11F-BCA7A3D75A0B}"/>
            </a:ext>
          </a:extLst>
        </xdr:cNvPr>
        <xdr:cNvSpPr/>
      </xdr:nvSpPr>
      <xdr:spPr>
        <a:xfrm rot="10800000">
          <a:off x="19347180" y="1343329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735</xdr:row>
      <xdr:rowOff>0</xdr:rowOff>
    </xdr:from>
    <xdr:to>
      <xdr:col>45</xdr:col>
      <xdr:colOff>83820</xdr:colOff>
      <xdr:row>735</xdr:row>
      <xdr:rowOff>114300</xdr:rowOff>
    </xdr:to>
    <xdr:sp macro="" textlink="">
      <xdr:nvSpPr>
        <xdr:cNvPr id="5511" name="Arrow: Down 5510">
          <a:extLst>
            <a:ext uri="{FF2B5EF4-FFF2-40B4-BE49-F238E27FC236}">
              <a16:creationId xmlns:a16="http://schemas.microsoft.com/office/drawing/2014/main" id="{AC10710C-D056-4676-8845-8F1A266EEDDC}"/>
            </a:ext>
          </a:extLst>
        </xdr:cNvPr>
        <xdr:cNvSpPr/>
      </xdr:nvSpPr>
      <xdr:spPr>
        <a:xfrm rot="10800000">
          <a:off x="13403580" y="134332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735</xdr:row>
      <xdr:rowOff>0</xdr:rowOff>
    </xdr:from>
    <xdr:to>
      <xdr:col>71</xdr:col>
      <xdr:colOff>83820</xdr:colOff>
      <xdr:row>735</xdr:row>
      <xdr:rowOff>114300</xdr:rowOff>
    </xdr:to>
    <xdr:sp macro="" textlink="">
      <xdr:nvSpPr>
        <xdr:cNvPr id="5512" name="Arrow: Down 5511">
          <a:extLst>
            <a:ext uri="{FF2B5EF4-FFF2-40B4-BE49-F238E27FC236}">
              <a16:creationId xmlns:a16="http://schemas.microsoft.com/office/drawing/2014/main" id="{159FB969-AA5A-433F-A470-3C9A9CC8F356}"/>
            </a:ext>
          </a:extLst>
        </xdr:cNvPr>
        <xdr:cNvSpPr/>
      </xdr:nvSpPr>
      <xdr:spPr>
        <a:xfrm>
          <a:off x="21960840" y="13433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735</xdr:row>
      <xdr:rowOff>0</xdr:rowOff>
    </xdr:from>
    <xdr:to>
      <xdr:col>24</xdr:col>
      <xdr:colOff>83820</xdr:colOff>
      <xdr:row>735</xdr:row>
      <xdr:rowOff>114300</xdr:rowOff>
    </xdr:to>
    <xdr:sp macro="" textlink="">
      <xdr:nvSpPr>
        <xdr:cNvPr id="5518" name="Arrow: Down 5517">
          <a:extLst>
            <a:ext uri="{FF2B5EF4-FFF2-40B4-BE49-F238E27FC236}">
              <a16:creationId xmlns:a16="http://schemas.microsoft.com/office/drawing/2014/main" id="{6016CD70-A674-4139-9AD0-949EBBD98AC8}"/>
            </a:ext>
          </a:extLst>
        </xdr:cNvPr>
        <xdr:cNvSpPr/>
      </xdr:nvSpPr>
      <xdr:spPr>
        <a:xfrm rot="10800000">
          <a:off x="833628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735</xdr:row>
      <xdr:rowOff>0</xdr:rowOff>
    </xdr:from>
    <xdr:to>
      <xdr:col>5</xdr:col>
      <xdr:colOff>83820</xdr:colOff>
      <xdr:row>735</xdr:row>
      <xdr:rowOff>114300</xdr:rowOff>
    </xdr:to>
    <xdr:sp macro="" textlink="">
      <xdr:nvSpPr>
        <xdr:cNvPr id="5519" name="Arrow: Down 5518">
          <a:extLst>
            <a:ext uri="{FF2B5EF4-FFF2-40B4-BE49-F238E27FC236}">
              <a16:creationId xmlns:a16="http://schemas.microsoft.com/office/drawing/2014/main" id="{991B80D6-8609-4C5F-9E78-45631BFA7BF6}"/>
            </a:ext>
          </a:extLst>
        </xdr:cNvPr>
        <xdr:cNvSpPr/>
      </xdr:nvSpPr>
      <xdr:spPr>
        <a:xfrm rot="10800000">
          <a:off x="192786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735</xdr:row>
      <xdr:rowOff>0</xdr:rowOff>
    </xdr:from>
    <xdr:to>
      <xdr:col>11</xdr:col>
      <xdr:colOff>83820</xdr:colOff>
      <xdr:row>735</xdr:row>
      <xdr:rowOff>114300</xdr:rowOff>
    </xdr:to>
    <xdr:sp macro="" textlink="">
      <xdr:nvSpPr>
        <xdr:cNvPr id="5520" name="Arrow: Down 5519">
          <a:extLst>
            <a:ext uri="{FF2B5EF4-FFF2-40B4-BE49-F238E27FC236}">
              <a16:creationId xmlns:a16="http://schemas.microsoft.com/office/drawing/2014/main" id="{A03A8E2C-7D16-4C67-9623-755EC8780EE4}"/>
            </a:ext>
          </a:extLst>
        </xdr:cNvPr>
        <xdr:cNvSpPr/>
      </xdr:nvSpPr>
      <xdr:spPr>
        <a:xfrm rot="10800000">
          <a:off x="369570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735</xdr:row>
      <xdr:rowOff>0</xdr:rowOff>
    </xdr:from>
    <xdr:to>
      <xdr:col>60</xdr:col>
      <xdr:colOff>83820</xdr:colOff>
      <xdr:row>735</xdr:row>
      <xdr:rowOff>114300</xdr:rowOff>
    </xdr:to>
    <xdr:sp macro="" textlink="">
      <xdr:nvSpPr>
        <xdr:cNvPr id="5532" name="Arrow: Down 5531">
          <a:extLst>
            <a:ext uri="{FF2B5EF4-FFF2-40B4-BE49-F238E27FC236}">
              <a16:creationId xmlns:a16="http://schemas.microsoft.com/office/drawing/2014/main" id="{59C1F02B-1D60-48A3-80C7-4C86297E020D}"/>
            </a:ext>
          </a:extLst>
        </xdr:cNvPr>
        <xdr:cNvSpPr/>
      </xdr:nvSpPr>
      <xdr:spPr>
        <a:xfrm>
          <a:off x="19080480" y="1345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735</xdr:row>
      <xdr:rowOff>0</xdr:rowOff>
    </xdr:from>
    <xdr:to>
      <xdr:col>39</xdr:col>
      <xdr:colOff>83820</xdr:colOff>
      <xdr:row>735</xdr:row>
      <xdr:rowOff>114300</xdr:rowOff>
    </xdr:to>
    <xdr:sp macro="" textlink="">
      <xdr:nvSpPr>
        <xdr:cNvPr id="5534" name="Arrow: Down 5533">
          <a:extLst>
            <a:ext uri="{FF2B5EF4-FFF2-40B4-BE49-F238E27FC236}">
              <a16:creationId xmlns:a16="http://schemas.microsoft.com/office/drawing/2014/main" id="{FAAC069F-C58B-4A3F-8A43-E3A242215E96}"/>
            </a:ext>
          </a:extLst>
        </xdr:cNvPr>
        <xdr:cNvSpPr/>
      </xdr:nvSpPr>
      <xdr:spPr>
        <a:xfrm rot="10800000">
          <a:off x="11544300" y="134515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736</xdr:row>
      <xdr:rowOff>0</xdr:rowOff>
    </xdr:from>
    <xdr:to>
      <xdr:col>64</xdr:col>
      <xdr:colOff>83820</xdr:colOff>
      <xdr:row>736</xdr:row>
      <xdr:rowOff>114300</xdr:rowOff>
    </xdr:to>
    <xdr:sp macro="" textlink="">
      <xdr:nvSpPr>
        <xdr:cNvPr id="5549" name="Arrow: Down 5548">
          <a:extLst>
            <a:ext uri="{FF2B5EF4-FFF2-40B4-BE49-F238E27FC236}">
              <a16:creationId xmlns:a16="http://schemas.microsoft.com/office/drawing/2014/main" id="{700F0AE7-3568-4E92-B674-29E496F08189}"/>
            </a:ext>
          </a:extLst>
        </xdr:cNvPr>
        <xdr:cNvSpPr/>
      </xdr:nvSpPr>
      <xdr:spPr>
        <a:xfrm rot="10800000">
          <a:off x="19347180" y="1345158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736</xdr:row>
      <xdr:rowOff>0</xdr:rowOff>
    </xdr:from>
    <xdr:to>
      <xdr:col>45</xdr:col>
      <xdr:colOff>83820</xdr:colOff>
      <xdr:row>736</xdr:row>
      <xdr:rowOff>114300</xdr:rowOff>
    </xdr:to>
    <xdr:sp macro="" textlink="">
      <xdr:nvSpPr>
        <xdr:cNvPr id="5565" name="Arrow: Down 5564">
          <a:extLst>
            <a:ext uri="{FF2B5EF4-FFF2-40B4-BE49-F238E27FC236}">
              <a16:creationId xmlns:a16="http://schemas.microsoft.com/office/drawing/2014/main" id="{0830E453-7203-47C4-8807-B3C4A6650397}"/>
            </a:ext>
          </a:extLst>
        </xdr:cNvPr>
        <xdr:cNvSpPr/>
      </xdr:nvSpPr>
      <xdr:spPr>
        <a:xfrm rot="10800000">
          <a:off x="13403580" y="134515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736</xdr:row>
      <xdr:rowOff>0</xdr:rowOff>
    </xdr:from>
    <xdr:to>
      <xdr:col>71</xdr:col>
      <xdr:colOff>83820</xdr:colOff>
      <xdr:row>736</xdr:row>
      <xdr:rowOff>114300</xdr:rowOff>
    </xdr:to>
    <xdr:sp macro="" textlink="">
      <xdr:nvSpPr>
        <xdr:cNvPr id="5567" name="Arrow: Down 5566">
          <a:extLst>
            <a:ext uri="{FF2B5EF4-FFF2-40B4-BE49-F238E27FC236}">
              <a16:creationId xmlns:a16="http://schemas.microsoft.com/office/drawing/2014/main" id="{3C78535F-78DF-4ACB-ADF9-758876B8325E}"/>
            </a:ext>
          </a:extLst>
        </xdr:cNvPr>
        <xdr:cNvSpPr/>
      </xdr:nvSpPr>
      <xdr:spPr>
        <a:xfrm>
          <a:off x="21960840" y="1345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736</xdr:row>
      <xdr:rowOff>0</xdr:rowOff>
    </xdr:from>
    <xdr:to>
      <xdr:col>5</xdr:col>
      <xdr:colOff>83820</xdr:colOff>
      <xdr:row>736</xdr:row>
      <xdr:rowOff>114300</xdr:rowOff>
    </xdr:to>
    <xdr:sp macro="" textlink="">
      <xdr:nvSpPr>
        <xdr:cNvPr id="5572" name="Arrow: Down 5571">
          <a:extLst>
            <a:ext uri="{FF2B5EF4-FFF2-40B4-BE49-F238E27FC236}">
              <a16:creationId xmlns:a16="http://schemas.microsoft.com/office/drawing/2014/main" id="{472D55BF-EAA1-44D1-9E98-1D61E8D94A72}"/>
            </a:ext>
          </a:extLst>
        </xdr:cNvPr>
        <xdr:cNvSpPr/>
      </xdr:nvSpPr>
      <xdr:spPr>
        <a:xfrm rot="10800000">
          <a:off x="1927860" y="1345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736</xdr:row>
      <xdr:rowOff>0</xdr:rowOff>
    </xdr:from>
    <xdr:to>
      <xdr:col>11</xdr:col>
      <xdr:colOff>83820</xdr:colOff>
      <xdr:row>736</xdr:row>
      <xdr:rowOff>114300</xdr:rowOff>
    </xdr:to>
    <xdr:sp macro="" textlink="">
      <xdr:nvSpPr>
        <xdr:cNvPr id="5574" name="Arrow: Down 5573">
          <a:extLst>
            <a:ext uri="{FF2B5EF4-FFF2-40B4-BE49-F238E27FC236}">
              <a16:creationId xmlns:a16="http://schemas.microsoft.com/office/drawing/2014/main" id="{8692479D-6063-4BAE-924E-E81EA866405C}"/>
            </a:ext>
          </a:extLst>
        </xdr:cNvPr>
        <xdr:cNvSpPr/>
      </xdr:nvSpPr>
      <xdr:spPr>
        <a:xfrm rot="10800000">
          <a:off x="3695700" y="1345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736</xdr:row>
      <xdr:rowOff>0</xdr:rowOff>
    </xdr:from>
    <xdr:to>
      <xdr:col>39</xdr:col>
      <xdr:colOff>83820</xdr:colOff>
      <xdr:row>736</xdr:row>
      <xdr:rowOff>114300</xdr:rowOff>
    </xdr:to>
    <xdr:sp macro="" textlink="">
      <xdr:nvSpPr>
        <xdr:cNvPr id="5576" name="Arrow: Down 5575">
          <a:extLst>
            <a:ext uri="{FF2B5EF4-FFF2-40B4-BE49-F238E27FC236}">
              <a16:creationId xmlns:a16="http://schemas.microsoft.com/office/drawing/2014/main" id="{18573266-7A7D-472D-9E36-B96C5234D377}"/>
            </a:ext>
          </a:extLst>
        </xdr:cNvPr>
        <xdr:cNvSpPr/>
      </xdr:nvSpPr>
      <xdr:spPr>
        <a:xfrm rot="10800000">
          <a:off x="11544300" y="134515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736</xdr:row>
      <xdr:rowOff>0</xdr:rowOff>
    </xdr:from>
    <xdr:to>
      <xdr:col>60</xdr:col>
      <xdr:colOff>83820</xdr:colOff>
      <xdr:row>736</xdr:row>
      <xdr:rowOff>114300</xdr:rowOff>
    </xdr:to>
    <xdr:sp macro="" textlink="">
      <xdr:nvSpPr>
        <xdr:cNvPr id="5578" name="Arrow: Down 5577">
          <a:extLst>
            <a:ext uri="{FF2B5EF4-FFF2-40B4-BE49-F238E27FC236}">
              <a16:creationId xmlns:a16="http://schemas.microsoft.com/office/drawing/2014/main" id="{7BBEBE66-9363-4F8C-BED9-377D0A197DAE}"/>
            </a:ext>
          </a:extLst>
        </xdr:cNvPr>
        <xdr:cNvSpPr/>
      </xdr:nvSpPr>
      <xdr:spPr>
        <a:xfrm rot="10800000">
          <a:off x="19080480" y="13469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736</xdr:row>
      <xdr:rowOff>0</xdr:rowOff>
    </xdr:from>
    <xdr:to>
      <xdr:col>24</xdr:col>
      <xdr:colOff>83820</xdr:colOff>
      <xdr:row>736</xdr:row>
      <xdr:rowOff>114300</xdr:rowOff>
    </xdr:to>
    <xdr:sp macro="" textlink="">
      <xdr:nvSpPr>
        <xdr:cNvPr id="5580" name="Arrow: Down 5579">
          <a:extLst>
            <a:ext uri="{FF2B5EF4-FFF2-40B4-BE49-F238E27FC236}">
              <a16:creationId xmlns:a16="http://schemas.microsoft.com/office/drawing/2014/main" id="{AAFDAACF-1C29-48D7-B776-7A2A96529F97}"/>
            </a:ext>
          </a:extLst>
        </xdr:cNvPr>
        <xdr:cNvSpPr/>
      </xdr:nvSpPr>
      <xdr:spPr>
        <a:xfrm>
          <a:off x="8336280" y="1346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737</xdr:row>
      <xdr:rowOff>0</xdr:rowOff>
    </xdr:from>
    <xdr:to>
      <xdr:col>64</xdr:col>
      <xdr:colOff>83820</xdr:colOff>
      <xdr:row>737</xdr:row>
      <xdr:rowOff>114300</xdr:rowOff>
    </xdr:to>
    <xdr:sp macro="" textlink="">
      <xdr:nvSpPr>
        <xdr:cNvPr id="5597" name="Arrow: Down 5596">
          <a:extLst>
            <a:ext uri="{FF2B5EF4-FFF2-40B4-BE49-F238E27FC236}">
              <a16:creationId xmlns:a16="http://schemas.microsoft.com/office/drawing/2014/main" id="{3783F1E9-021E-4413-A147-C31CB1FE244F}"/>
            </a:ext>
          </a:extLst>
        </xdr:cNvPr>
        <xdr:cNvSpPr/>
      </xdr:nvSpPr>
      <xdr:spPr>
        <a:xfrm rot="10800000">
          <a:off x="19347180" y="1346987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737</xdr:row>
      <xdr:rowOff>0</xdr:rowOff>
    </xdr:from>
    <xdr:to>
      <xdr:col>45</xdr:col>
      <xdr:colOff>83820</xdr:colOff>
      <xdr:row>737</xdr:row>
      <xdr:rowOff>114300</xdr:rowOff>
    </xdr:to>
    <xdr:sp macro="" textlink="">
      <xdr:nvSpPr>
        <xdr:cNvPr id="5598" name="Arrow: Down 5597">
          <a:extLst>
            <a:ext uri="{FF2B5EF4-FFF2-40B4-BE49-F238E27FC236}">
              <a16:creationId xmlns:a16="http://schemas.microsoft.com/office/drawing/2014/main" id="{F3C830C1-FFA0-4733-BDAC-1899911F67EC}"/>
            </a:ext>
          </a:extLst>
        </xdr:cNvPr>
        <xdr:cNvSpPr/>
      </xdr:nvSpPr>
      <xdr:spPr>
        <a:xfrm rot="10800000">
          <a:off x="13403580" y="134698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737</xdr:row>
      <xdr:rowOff>0</xdr:rowOff>
    </xdr:from>
    <xdr:to>
      <xdr:col>71</xdr:col>
      <xdr:colOff>83820</xdr:colOff>
      <xdr:row>737</xdr:row>
      <xdr:rowOff>114300</xdr:rowOff>
    </xdr:to>
    <xdr:sp macro="" textlink="">
      <xdr:nvSpPr>
        <xdr:cNvPr id="5599" name="Arrow: Down 5598">
          <a:extLst>
            <a:ext uri="{FF2B5EF4-FFF2-40B4-BE49-F238E27FC236}">
              <a16:creationId xmlns:a16="http://schemas.microsoft.com/office/drawing/2014/main" id="{70544FD6-ECE1-45EB-BB3F-A619295E9607}"/>
            </a:ext>
          </a:extLst>
        </xdr:cNvPr>
        <xdr:cNvSpPr/>
      </xdr:nvSpPr>
      <xdr:spPr>
        <a:xfrm>
          <a:off x="21960840" y="1346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737</xdr:row>
      <xdr:rowOff>0</xdr:rowOff>
    </xdr:from>
    <xdr:to>
      <xdr:col>24</xdr:col>
      <xdr:colOff>83820</xdr:colOff>
      <xdr:row>737</xdr:row>
      <xdr:rowOff>114300</xdr:rowOff>
    </xdr:to>
    <xdr:sp macro="" textlink="">
      <xdr:nvSpPr>
        <xdr:cNvPr id="5604" name="Arrow: Down 5603">
          <a:extLst>
            <a:ext uri="{FF2B5EF4-FFF2-40B4-BE49-F238E27FC236}">
              <a16:creationId xmlns:a16="http://schemas.microsoft.com/office/drawing/2014/main" id="{CDA2A54F-38A3-4006-AEC4-8CAB17ED2A5C}"/>
            </a:ext>
          </a:extLst>
        </xdr:cNvPr>
        <xdr:cNvSpPr/>
      </xdr:nvSpPr>
      <xdr:spPr>
        <a:xfrm>
          <a:off x="8336280" y="1346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737</xdr:row>
      <xdr:rowOff>0</xdr:rowOff>
    </xdr:from>
    <xdr:to>
      <xdr:col>60</xdr:col>
      <xdr:colOff>83820</xdr:colOff>
      <xdr:row>737</xdr:row>
      <xdr:rowOff>114300</xdr:rowOff>
    </xdr:to>
    <xdr:sp macro="" textlink="">
      <xdr:nvSpPr>
        <xdr:cNvPr id="5606" name="Arrow: Down 5605">
          <a:extLst>
            <a:ext uri="{FF2B5EF4-FFF2-40B4-BE49-F238E27FC236}">
              <a16:creationId xmlns:a16="http://schemas.microsoft.com/office/drawing/2014/main" id="{840CC653-EECF-4390-9991-26BB630A02F6}"/>
            </a:ext>
          </a:extLst>
        </xdr:cNvPr>
        <xdr:cNvSpPr/>
      </xdr:nvSpPr>
      <xdr:spPr>
        <a:xfrm>
          <a:off x="1908048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737</xdr:row>
      <xdr:rowOff>0</xdr:rowOff>
    </xdr:from>
    <xdr:to>
      <xdr:col>39</xdr:col>
      <xdr:colOff>83820</xdr:colOff>
      <xdr:row>737</xdr:row>
      <xdr:rowOff>114300</xdr:rowOff>
    </xdr:to>
    <xdr:sp macro="" textlink="">
      <xdr:nvSpPr>
        <xdr:cNvPr id="5608" name="Arrow: Down 5607">
          <a:extLst>
            <a:ext uri="{FF2B5EF4-FFF2-40B4-BE49-F238E27FC236}">
              <a16:creationId xmlns:a16="http://schemas.microsoft.com/office/drawing/2014/main" id="{EA43AB54-784B-4515-895D-88DDE27BA0B5}"/>
            </a:ext>
          </a:extLst>
        </xdr:cNvPr>
        <xdr:cNvSpPr/>
      </xdr:nvSpPr>
      <xdr:spPr>
        <a:xfrm rot="10800000">
          <a:off x="11544300" y="1348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737</xdr:row>
      <xdr:rowOff>0</xdr:rowOff>
    </xdr:from>
    <xdr:to>
      <xdr:col>5</xdr:col>
      <xdr:colOff>83820</xdr:colOff>
      <xdr:row>737</xdr:row>
      <xdr:rowOff>114300</xdr:rowOff>
    </xdr:to>
    <xdr:sp macro="" textlink="">
      <xdr:nvSpPr>
        <xdr:cNvPr id="5610" name="Arrow: Down 5609">
          <a:extLst>
            <a:ext uri="{FF2B5EF4-FFF2-40B4-BE49-F238E27FC236}">
              <a16:creationId xmlns:a16="http://schemas.microsoft.com/office/drawing/2014/main" id="{54B66182-06A1-4BC1-A889-8AE3B4DE61BC}"/>
            </a:ext>
          </a:extLst>
        </xdr:cNvPr>
        <xdr:cNvSpPr/>
      </xdr:nvSpPr>
      <xdr:spPr>
        <a:xfrm>
          <a:off x="192786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737</xdr:row>
      <xdr:rowOff>0</xdr:rowOff>
    </xdr:from>
    <xdr:to>
      <xdr:col>11</xdr:col>
      <xdr:colOff>83820</xdr:colOff>
      <xdr:row>737</xdr:row>
      <xdr:rowOff>114300</xdr:rowOff>
    </xdr:to>
    <xdr:sp macro="" textlink="">
      <xdr:nvSpPr>
        <xdr:cNvPr id="5612" name="Arrow: Down 5611">
          <a:extLst>
            <a:ext uri="{FF2B5EF4-FFF2-40B4-BE49-F238E27FC236}">
              <a16:creationId xmlns:a16="http://schemas.microsoft.com/office/drawing/2014/main" id="{B2457671-F375-4872-903D-0A31A236E805}"/>
            </a:ext>
          </a:extLst>
        </xdr:cNvPr>
        <xdr:cNvSpPr/>
      </xdr:nvSpPr>
      <xdr:spPr>
        <a:xfrm>
          <a:off x="369570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738</xdr:row>
      <xdr:rowOff>0</xdr:rowOff>
    </xdr:from>
    <xdr:to>
      <xdr:col>64</xdr:col>
      <xdr:colOff>83820</xdr:colOff>
      <xdr:row>738</xdr:row>
      <xdr:rowOff>114300</xdr:rowOff>
    </xdr:to>
    <xdr:sp macro="" textlink="">
      <xdr:nvSpPr>
        <xdr:cNvPr id="5613" name="Arrow: Down 5612">
          <a:extLst>
            <a:ext uri="{FF2B5EF4-FFF2-40B4-BE49-F238E27FC236}">
              <a16:creationId xmlns:a16="http://schemas.microsoft.com/office/drawing/2014/main" id="{B425D4FD-541F-4644-BAE0-24971ECFDB80}"/>
            </a:ext>
          </a:extLst>
        </xdr:cNvPr>
        <xdr:cNvSpPr/>
      </xdr:nvSpPr>
      <xdr:spPr>
        <a:xfrm rot="10800000">
          <a:off x="19347180" y="1348816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738</xdr:row>
      <xdr:rowOff>0</xdr:rowOff>
    </xdr:from>
    <xdr:to>
      <xdr:col>45</xdr:col>
      <xdr:colOff>83820</xdr:colOff>
      <xdr:row>738</xdr:row>
      <xdr:rowOff>114300</xdr:rowOff>
    </xdr:to>
    <xdr:sp macro="" textlink="">
      <xdr:nvSpPr>
        <xdr:cNvPr id="5614" name="Arrow: Down 5613">
          <a:extLst>
            <a:ext uri="{FF2B5EF4-FFF2-40B4-BE49-F238E27FC236}">
              <a16:creationId xmlns:a16="http://schemas.microsoft.com/office/drawing/2014/main" id="{8A42336E-FA91-4ADB-B883-EFCC3072826A}"/>
            </a:ext>
          </a:extLst>
        </xdr:cNvPr>
        <xdr:cNvSpPr/>
      </xdr:nvSpPr>
      <xdr:spPr>
        <a:xfrm rot="10800000">
          <a:off x="13403580" y="134881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738</xdr:row>
      <xdr:rowOff>0</xdr:rowOff>
    </xdr:from>
    <xdr:to>
      <xdr:col>71</xdr:col>
      <xdr:colOff>83820</xdr:colOff>
      <xdr:row>738</xdr:row>
      <xdr:rowOff>114300</xdr:rowOff>
    </xdr:to>
    <xdr:sp macro="" textlink="">
      <xdr:nvSpPr>
        <xdr:cNvPr id="5615" name="Arrow: Down 5614">
          <a:extLst>
            <a:ext uri="{FF2B5EF4-FFF2-40B4-BE49-F238E27FC236}">
              <a16:creationId xmlns:a16="http://schemas.microsoft.com/office/drawing/2014/main" id="{5DB01923-16C8-49D5-8968-F63A751BD698}"/>
            </a:ext>
          </a:extLst>
        </xdr:cNvPr>
        <xdr:cNvSpPr/>
      </xdr:nvSpPr>
      <xdr:spPr>
        <a:xfrm>
          <a:off x="2196084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738</xdr:row>
      <xdr:rowOff>0</xdr:rowOff>
    </xdr:from>
    <xdr:to>
      <xdr:col>24</xdr:col>
      <xdr:colOff>83820</xdr:colOff>
      <xdr:row>738</xdr:row>
      <xdr:rowOff>114300</xdr:rowOff>
    </xdr:to>
    <xdr:sp macro="" textlink="">
      <xdr:nvSpPr>
        <xdr:cNvPr id="5616" name="Arrow: Down 5615">
          <a:extLst>
            <a:ext uri="{FF2B5EF4-FFF2-40B4-BE49-F238E27FC236}">
              <a16:creationId xmlns:a16="http://schemas.microsoft.com/office/drawing/2014/main" id="{8F7978F0-13FA-4B65-89FD-4643D847BA53}"/>
            </a:ext>
          </a:extLst>
        </xdr:cNvPr>
        <xdr:cNvSpPr/>
      </xdr:nvSpPr>
      <xdr:spPr>
        <a:xfrm>
          <a:off x="833628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738</xdr:row>
      <xdr:rowOff>0</xdr:rowOff>
    </xdr:from>
    <xdr:to>
      <xdr:col>39</xdr:col>
      <xdr:colOff>83820</xdr:colOff>
      <xdr:row>738</xdr:row>
      <xdr:rowOff>114300</xdr:rowOff>
    </xdr:to>
    <xdr:sp macro="" textlink="">
      <xdr:nvSpPr>
        <xdr:cNvPr id="5618" name="Arrow: Down 5617">
          <a:extLst>
            <a:ext uri="{FF2B5EF4-FFF2-40B4-BE49-F238E27FC236}">
              <a16:creationId xmlns:a16="http://schemas.microsoft.com/office/drawing/2014/main" id="{AB02AAB5-3154-4D80-98FE-26FFD6C7A3E5}"/>
            </a:ext>
          </a:extLst>
        </xdr:cNvPr>
        <xdr:cNvSpPr/>
      </xdr:nvSpPr>
      <xdr:spPr>
        <a:xfrm rot="10800000">
          <a:off x="11544300" y="1348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738</xdr:row>
      <xdr:rowOff>0</xdr:rowOff>
    </xdr:from>
    <xdr:to>
      <xdr:col>5</xdr:col>
      <xdr:colOff>83820</xdr:colOff>
      <xdr:row>738</xdr:row>
      <xdr:rowOff>114300</xdr:rowOff>
    </xdr:to>
    <xdr:sp macro="" textlink="">
      <xdr:nvSpPr>
        <xdr:cNvPr id="5619" name="Arrow: Down 5618">
          <a:extLst>
            <a:ext uri="{FF2B5EF4-FFF2-40B4-BE49-F238E27FC236}">
              <a16:creationId xmlns:a16="http://schemas.microsoft.com/office/drawing/2014/main" id="{9F65C826-22F6-4C46-8182-5E1A71B69A97}"/>
            </a:ext>
          </a:extLst>
        </xdr:cNvPr>
        <xdr:cNvSpPr/>
      </xdr:nvSpPr>
      <xdr:spPr>
        <a:xfrm>
          <a:off x="192786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738</xdr:row>
      <xdr:rowOff>0</xdr:rowOff>
    </xdr:from>
    <xdr:to>
      <xdr:col>11</xdr:col>
      <xdr:colOff>83820</xdr:colOff>
      <xdr:row>738</xdr:row>
      <xdr:rowOff>114300</xdr:rowOff>
    </xdr:to>
    <xdr:sp macro="" textlink="">
      <xdr:nvSpPr>
        <xdr:cNvPr id="5620" name="Arrow: Down 5619">
          <a:extLst>
            <a:ext uri="{FF2B5EF4-FFF2-40B4-BE49-F238E27FC236}">
              <a16:creationId xmlns:a16="http://schemas.microsoft.com/office/drawing/2014/main" id="{78FA293B-31CC-42D1-BAD1-93A338865B88}"/>
            </a:ext>
          </a:extLst>
        </xdr:cNvPr>
        <xdr:cNvSpPr/>
      </xdr:nvSpPr>
      <xdr:spPr>
        <a:xfrm>
          <a:off x="369570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738</xdr:row>
      <xdr:rowOff>0</xdr:rowOff>
    </xdr:from>
    <xdr:to>
      <xdr:col>60</xdr:col>
      <xdr:colOff>83820</xdr:colOff>
      <xdr:row>738</xdr:row>
      <xdr:rowOff>114300</xdr:rowOff>
    </xdr:to>
    <xdr:sp macro="" textlink="">
      <xdr:nvSpPr>
        <xdr:cNvPr id="5622" name="Arrow: Down 5621">
          <a:extLst>
            <a:ext uri="{FF2B5EF4-FFF2-40B4-BE49-F238E27FC236}">
              <a16:creationId xmlns:a16="http://schemas.microsoft.com/office/drawing/2014/main" id="{6CB38226-384D-4BB0-9957-F0BEA612242F}"/>
            </a:ext>
          </a:extLst>
        </xdr:cNvPr>
        <xdr:cNvSpPr/>
      </xdr:nvSpPr>
      <xdr:spPr>
        <a:xfrm rot="10800000">
          <a:off x="19080480" y="1350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739</xdr:row>
      <xdr:rowOff>0</xdr:rowOff>
    </xdr:from>
    <xdr:to>
      <xdr:col>64</xdr:col>
      <xdr:colOff>83820</xdr:colOff>
      <xdr:row>739</xdr:row>
      <xdr:rowOff>114300</xdr:rowOff>
    </xdr:to>
    <xdr:sp macro="" textlink="">
      <xdr:nvSpPr>
        <xdr:cNvPr id="5631" name="Arrow: Down 5630">
          <a:extLst>
            <a:ext uri="{FF2B5EF4-FFF2-40B4-BE49-F238E27FC236}">
              <a16:creationId xmlns:a16="http://schemas.microsoft.com/office/drawing/2014/main" id="{ED6E3443-51BD-4C2F-AC50-D6A1000F195F}"/>
            </a:ext>
          </a:extLst>
        </xdr:cNvPr>
        <xdr:cNvSpPr/>
      </xdr:nvSpPr>
      <xdr:spPr>
        <a:xfrm rot="10800000">
          <a:off x="19347180" y="1350645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739</xdr:row>
      <xdr:rowOff>0</xdr:rowOff>
    </xdr:from>
    <xdr:to>
      <xdr:col>45</xdr:col>
      <xdr:colOff>83820</xdr:colOff>
      <xdr:row>739</xdr:row>
      <xdr:rowOff>114300</xdr:rowOff>
    </xdr:to>
    <xdr:sp macro="" textlink="">
      <xdr:nvSpPr>
        <xdr:cNvPr id="5632" name="Arrow: Down 5631">
          <a:extLst>
            <a:ext uri="{FF2B5EF4-FFF2-40B4-BE49-F238E27FC236}">
              <a16:creationId xmlns:a16="http://schemas.microsoft.com/office/drawing/2014/main" id="{BAF4CB20-F44F-48BD-84B5-BDA7E6D8813B}"/>
            </a:ext>
          </a:extLst>
        </xdr:cNvPr>
        <xdr:cNvSpPr/>
      </xdr:nvSpPr>
      <xdr:spPr>
        <a:xfrm rot="10800000">
          <a:off x="13403580" y="135064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739</xdr:row>
      <xdr:rowOff>0</xdr:rowOff>
    </xdr:from>
    <xdr:to>
      <xdr:col>71</xdr:col>
      <xdr:colOff>83820</xdr:colOff>
      <xdr:row>739</xdr:row>
      <xdr:rowOff>114300</xdr:rowOff>
    </xdr:to>
    <xdr:sp macro="" textlink="">
      <xdr:nvSpPr>
        <xdr:cNvPr id="5633" name="Arrow: Down 5632">
          <a:extLst>
            <a:ext uri="{FF2B5EF4-FFF2-40B4-BE49-F238E27FC236}">
              <a16:creationId xmlns:a16="http://schemas.microsoft.com/office/drawing/2014/main" id="{6412431B-A6BC-49A2-B763-3BD3D04A1BF4}"/>
            </a:ext>
          </a:extLst>
        </xdr:cNvPr>
        <xdr:cNvSpPr/>
      </xdr:nvSpPr>
      <xdr:spPr>
        <a:xfrm>
          <a:off x="21960840" y="1350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739</xdr:row>
      <xdr:rowOff>0</xdr:rowOff>
    </xdr:from>
    <xdr:to>
      <xdr:col>24</xdr:col>
      <xdr:colOff>83820</xdr:colOff>
      <xdr:row>739</xdr:row>
      <xdr:rowOff>114300</xdr:rowOff>
    </xdr:to>
    <xdr:sp macro="" textlink="">
      <xdr:nvSpPr>
        <xdr:cNvPr id="5634" name="Arrow: Down 5633">
          <a:extLst>
            <a:ext uri="{FF2B5EF4-FFF2-40B4-BE49-F238E27FC236}">
              <a16:creationId xmlns:a16="http://schemas.microsoft.com/office/drawing/2014/main" id="{135FAD61-A574-4ED3-9E97-6D176DF87AA2}"/>
            </a:ext>
          </a:extLst>
        </xdr:cNvPr>
        <xdr:cNvSpPr/>
      </xdr:nvSpPr>
      <xdr:spPr>
        <a:xfrm>
          <a:off x="8336280" y="1350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739</xdr:row>
      <xdr:rowOff>0</xdr:rowOff>
    </xdr:from>
    <xdr:to>
      <xdr:col>5</xdr:col>
      <xdr:colOff>83820</xdr:colOff>
      <xdr:row>739</xdr:row>
      <xdr:rowOff>114300</xdr:rowOff>
    </xdr:to>
    <xdr:sp macro="" textlink="">
      <xdr:nvSpPr>
        <xdr:cNvPr id="5636" name="Arrow: Down 5635">
          <a:extLst>
            <a:ext uri="{FF2B5EF4-FFF2-40B4-BE49-F238E27FC236}">
              <a16:creationId xmlns:a16="http://schemas.microsoft.com/office/drawing/2014/main" id="{6B056C72-6080-495B-A8B8-557671EE68C1}"/>
            </a:ext>
          </a:extLst>
        </xdr:cNvPr>
        <xdr:cNvSpPr/>
      </xdr:nvSpPr>
      <xdr:spPr>
        <a:xfrm>
          <a:off x="1927860" y="1350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739</xdr:row>
      <xdr:rowOff>0</xdr:rowOff>
    </xdr:from>
    <xdr:to>
      <xdr:col>11</xdr:col>
      <xdr:colOff>83820</xdr:colOff>
      <xdr:row>739</xdr:row>
      <xdr:rowOff>114300</xdr:rowOff>
    </xdr:to>
    <xdr:sp macro="" textlink="">
      <xdr:nvSpPr>
        <xdr:cNvPr id="5637" name="Arrow: Down 5636">
          <a:extLst>
            <a:ext uri="{FF2B5EF4-FFF2-40B4-BE49-F238E27FC236}">
              <a16:creationId xmlns:a16="http://schemas.microsoft.com/office/drawing/2014/main" id="{8BB2CC40-A844-4F73-B77B-1311E1BEB7A0}"/>
            </a:ext>
          </a:extLst>
        </xdr:cNvPr>
        <xdr:cNvSpPr/>
      </xdr:nvSpPr>
      <xdr:spPr>
        <a:xfrm>
          <a:off x="3695700" y="1350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739</xdr:row>
      <xdr:rowOff>0</xdr:rowOff>
    </xdr:from>
    <xdr:to>
      <xdr:col>39</xdr:col>
      <xdr:colOff>83820</xdr:colOff>
      <xdr:row>739</xdr:row>
      <xdr:rowOff>114300</xdr:rowOff>
    </xdr:to>
    <xdr:sp macro="" textlink="">
      <xdr:nvSpPr>
        <xdr:cNvPr id="5640" name="Arrow: Down 5639">
          <a:extLst>
            <a:ext uri="{FF2B5EF4-FFF2-40B4-BE49-F238E27FC236}">
              <a16:creationId xmlns:a16="http://schemas.microsoft.com/office/drawing/2014/main" id="{476AE52C-3CD4-4596-8BA6-CDF745680288}"/>
            </a:ext>
          </a:extLst>
        </xdr:cNvPr>
        <xdr:cNvSpPr/>
      </xdr:nvSpPr>
      <xdr:spPr>
        <a:xfrm rot="10800000">
          <a:off x="11544300" y="1352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739</xdr:row>
      <xdr:rowOff>0</xdr:rowOff>
    </xdr:from>
    <xdr:to>
      <xdr:col>60</xdr:col>
      <xdr:colOff>83820</xdr:colOff>
      <xdr:row>739</xdr:row>
      <xdr:rowOff>114300</xdr:rowOff>
    </xdr:to>
    <xdr:sp macro="" textlink="">
      <xdr:nvSpPr>
        <xdr:cNvPr id="5642" name="Arrow: Down 5641">
          <a:extLst>
            <a:ext uri="{FF2B5EF4-FFF2-40B4-BE49-F238E27FC236}">
              <a16:creationId xmlns:a16="http://schemas.microsoft.com/office/drawing/2014/main" id="{2AF8F85B-5940-48EE-89C5-63183E21A5E2}"/>
            </a:ext>
          </a:extLst>
        </xdr:cNvPr>
        <xdr:cNvSpPr/>
      </xdr:nvSpPr>
      <xdr:spPr>
        <a:xfrm>
          <a:off x="19080480" y="1352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740</xdr:row>
      <xdr:rowOff>0</xdr:rowOff>
    </xdr:from>
    <xdr:to>
      <xdr:col>64</xdr:col>
      <xdr:colOff>83820</xdr:colOff>
      <xdr:row>740</xdr:row>
      <xdr:rowOff>114300</xdr:rowOff>
    </xdr:to>
    <xdr:sp macro="" textlink="">
      <xdr:nvSpPr>
        <xdr:cNvPr id="5484" name="Arrow: Down 5483">
          <a:extLst>
            <a:ext uri="{FF2B5EF4-FFF2-40B4-BE49-F238E27FC236}">
              <a16:creationId xmlns:a16="http://schemas.microsoft.com/office/drawing/2014/main" id="{F9C85BB7-CEDC-4329-BC69-6F5D89B9635B}"/>
            </a:ext>
          </a:extLst>
        </xdr:cNvPr>
        <xdr:cNvSpPr/>
      </xdr:nvSpPr>
      <xdr:spPr>
        <a:xfrm rot="10800000">
          <a:off x="19347180" y="1352473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740</xdr:row>
      <xdr:rowOff>0</xdr:rowOff>
    </xdr:from>
    <xdr:to>
      <xdr:col>45</xdr:col>
      <xdr:colOff>83820</xdr:colOff>
      <xdr:row>740</xdr:row>
      <xdr:rowOff>114300</xdr:rowOff>
    </xdr:to>
    <xdr:sp macro="" textlink="">
      <xdr:nvSpPr>
        <xdr:cNvPr id="5486" name="Arrow: Down 5485">
          <a:extLst>
            <a:ext uri="{FF2B5EF4-FFF2-40B4-BE49-F238E27FC236}">
              <a16:creationId xmlns:a16="http://schemas.microsoft.com/office/drawing/2014/main" id="{11071F68-7FD5-4D21-B213-48F25FD719A8}"/>
            </a:ext>
          </a:extLst>
        </xdr:cNvPr>
        <xdr:cNvSpPr/>
      </xdr:nvSpPr>
      <xdr:spPr>
        <a:xfrm rot="10800000">
          <a:off x="13403580" y="1352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740</xdr:row>
      <xdr:rowOff>0</xdr:rowOff>
    </xdr:from>
    <xdr:to>
      <xdr:col>71</xdr:col>
      <xdr:colOff>83820</xdr:colOff>
      <xdr:row>740</xdr:row>
      <xdr:rowOff>114300</xdr:rowOff>
    </xdr:to>
    <xdr:sp macro="" textlink="">
      <xdr:nvSpPr>
        <xdr:cNvPr id="5499" name="Arrow: Down 5498">
          <a:extLst>
            <a:ext uri="{FF2B5EF4-FFF2-40B4-BE49-F238E27FC236}">
              <a16:creationId xmlns:a16="http://schemas.microsoft.com/office/drawing/2014/main" id="{7C66E296-6C8B-4F28-8B94-A052E68FA01E}"/>
            </a:ext>
          </a:extLst>
        </xdr:cNvPr>
        <xdr:cNvSpPr/>
      </xdr:nvSpPr>
      <xdr:spPr>
        <a:xfrm>
          <a:off x="21960840" y="1352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740</xdr:row>
      <xdr:rowOff>0</xdr:rowOff>
    </xdr:from>
    <xdr:to>
      <xdr:col>60</xdr:col>
      <xdr:colOff>83820</xdr:colOff>
      <xdr:row>740</xdr:row>
      <xdr:rowOff>114300</xdr:rowOff>
    </xdr:to>
    <xdr:sp macro="" textlink="">
      <xdr:nvSpPr>
        <xdr:cNvPr id="5509" name="Arrow: Down 5508">
          <a:extLst>
            <a:ext uri="{FF2B5EF4-FFF2-40B4-BE49-F238E27FC236}">
              <a16:creationId xmlns:a16="http://schemas.microsoft.com/office/drawing/2014/main" id="{39E57C4E-9564-4E0D-A00C-5D5C58CFE25B}"/>
            </a:ext>
          </a:extLst>
        </xdr:cNvPr>
        <xdr:cNvSpPr/>
      </xdr:nvSpPr>
      <xdr:spPr>
        <a:xfrm>
          <a:off x="19080480" y="1352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740</xdr:row>
      <xdr:rowOff>0</xdr:rowOff>
    </xdr:from>
    <xdr:to>
      <xdr:col>5</xdr:col>
      <xdr:colOff>83820</xdr:colOff>
      <xdr:row>740</xdr:row>
      <xdr:rowOff>114300</xdr:rowOff>
    </xdr:to>
    <xdr:sp macro="" textlink="">
      <xdr:nvSpPr>
        <xdr:cNvPr id="5528" name="Arrow: Down 5527">
          <a:extLst>
            <a:ext uri="{FF2B5EF4-FFF2-40B4-BE49-F238E27FC236}">
              <a16:creationId xmlns:a16="http://schemas.microsoft.com/office/drawing/2014/main" id="{45DC28D7-5869-460A-BCAF-230DABF26653}"/>
            </a:ext>
          </a:extLst>
        </xdr:cNvPr>
        <xdr:cNvSpPr/>
      </xdr:nvSpPr>
      <xdr:spPr>
        <a:xfrm rot="10800000">
          <a:off x="192786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740</xdr:row>
      <xdr:rowOff>0</xdr:rowOff>
    </xdr:from>
    <xdr:to>
      <xdr:col>11</xdr:col>
      <xdr:colOff>83820</xdr:colOff>
      <xdr:row>740</xdr:row>
      <xdr:rowOff>114300</xdr:rowOff>
    </xdr:to>
    <xdr:sp macro="" textlink="">
      <xdr:nvSpPr>
        <xdr:cNvPr id="5531" name="Arrow: Down 5530">
          <a:extLst>
            <a:ext uri="{FF2B5EF4-FFF2-40B4-BE49-F238E27FC236}">
              <a16:creationId xmlns:a16="http://schemas.microsoft.com/office/drawing/2014/main" id="{5BA21413-37EC-4E66-BC72-39E7FEF36DD4}"/>
            </a:ext>
          </a:extLst>
        </xdr:cNvPr>
        <xdr:cNvSpPr/>
      </xdr:nvSpPr>
      <xdr:spPr>
        <a:xfrm rot="10800000">
          <a:off x="369570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740</xdr:row>
      <xdr:rowOff>0</xdr:rowOff>
    </xdr:from>
    <xdr:to>
      <xdr:col>24</xdr:col>
      <xdr:colOff>83820</xdr:colOff>
      <xdr:row>740</xdr:row>
      <xdr:rowOff>114300</xdr:rowOff>
    </xdr:to>
    <xdr:sp macro="" textlink="">
      <xdr:nvSpPr>
        <xdr:cNvPr id="5538" name="Arrow: Down 5537">
          <a:extLst>
            <a:ext uri="{FF2B5EF4-FFF2-40B4-BE49-F238E27FC236}">
              <a16:creationId xmlns:a16="http://schemas.microsoft.com/office/drawing/2014/main" id="{464B184D-E687-4505-8418-0550A0DB681A}"/>
            </a:ext>
          </a:extLst>
        </xdr:cNvPr>
        <xdr:cNvSpPr/>
      </xdr:nvSpPr>
      <xdr:spPr>
        <a:xfrm rot="10800000">
          <a:off x="833628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741</xdr:row>
      <xdr:rowOff>0</xdr:rowOff>
    </xdr:from>
    <xdr:to>
      <xdr:col>64</xdr:col>
      <xdr:colOff>83820</xdr:colOff>
      <xdr:row>741</xdr:row>
      <xdr:rowOff>114300</xdr:rowOff>
    </xdr:to>
    <xdr:sp macro="" textlink="">
      <xdr:nvSpPr>
        <xdr:cNvPr id="5581" name="Arrow: Down 5580">
          <a:extLst>
            <a:ext uri="{FF2B5EF4-FFF2-40B4-BE49-F238E27FC236}">
              <a16:creationId xmlns:a16="http://schemas.microsoft.com/office/drawing/2014/main" id="{6B93D047-F482-4E2D-ABBD-6EBB93C262F0}"/>
            </a:ext>
          </a:extLst>
        </xdr:cNvPr>
        <xdr:cNvSpPr/>
      </xdr:nvSpPr>
      <xdr:spPr>
        <a:xfrm rot="10800000">
          <a:off x="19347180" y="1354302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741</xdr:row>
      <xdr:rowOff>0</xdr:rowOff>
    </xdr:from>
    <xdr:to>
      <xdr:col>45</xdr:col>
      <xdr:colOff>83820</xdr:colOff>
      <xdr:row>741</xdr:row>
      <xdr:rowOff>114300</xdr:rowOff>
    </xdr:to>
    <xdr:sp macro="" textlink="">
      <xdr:nvSpPr>
        <xdr:cNvPr id="5585" name="Arrow: Down 5584">
          <a:extLst>
            <a:ext uri="{FF2B5EF4-FFF2-40B4-BE49-F238E27FC236}">
              <a16:creationId xmlns:a16="http://schemas.microsoft.com/office/drawing/2014/main" id="{3963121E-431A-43F5-A58B-DBBAE3117DD3}"/>
            </a:ext>
          </a:extLst>
        </xdr:cNvPr>
        <xdr:cNvSpPr/>
      </xdr:nvSpPr>
      <xdr:spPr>
        <a:xfrm rot="10800000">
          <a:off x="13403580" y="135430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741</xdr:row>
      <xdr:rowOff>0</xdr:rowOff>
    </xdr:from>
    <xdr:to>
      <xdr:col>71</xdr:col>
      <xdr:colOff>83820</xdr:colOff>
      <xdr:row>741</xdr:row>
      <xdr:rowOff>114300</xdr:rowOff>
    </xdr:to>
    <xdr:sp macro="" textlink="">
      <xdr:nvSpPr>
        <xdr:cNvPr id="5586" name="Arrow: Down 5585">
          <a:extLst>
            <a:ext uri="{FF2B5EF4-FFF2-40B4-BE49-F238E27FC236}">
              <a16:creationId xmlns:a16="http://schemas.microsoft.com/office/drawing/2014/main" id="{F87F5087-0C2A-4960-8CA6-94534402747A}"/>
            </a:ext>
          </a:extLst>
        </xdr:cNvPr>
        <xdr:cNvSpPr/>
      </xdr:nvSpPr>
      <xdr:spPr>
        <a:xfrm>
          <a:off x="21960840" y="1354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741</xdr:row>
      <xdr:rowOff>0</xdr:rowOff>
    </xdr:from>
    <xdr:to>
      <xdr:col>5</xdr:col>
      <xdr:colOff>83820</xdr:colOff>
      <xdr:row>741</xdr:row>
      <xdr:rowOff>114300</xdr:rowOff>
    </xdr:to>
    <xdr:sp macro="" textlink="">
      <xdr:nvSpPr>
        <xdr:cNvPr id="5589" name="Arrow: Down 5588">
          <a:extLst>
            <a:ext uri="{FF2B5EF4-FFF2-40B4-BE49-F238E27FC236}">
              <a16:creationId xmlns:a16="http://schemas.microsoft.com/office/drawing/2014/main" id="{B851E479-0C5E-41B5-B1C2-3ED6C540C6B2}"/>
            </a:ext>
          </a:extLst>
        </xdr:cNvPr>
        <xdr:cNvSpPr/>
      </xdr:nvSpPr>
      <xdr:spPr>
        <a:xfrm rot="10800000">
          <a:off x="192786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741</xdr:row>
      <xdr:rowOff>0</xdr:rowOff>
    </xdr:from>
    <xdr:to>
      <xdr:col>11</xdr:col>
      <xdr:colOff>83820</xdr:colOff>
      <xdr:row>741</xdr:row>
      <xdr:rowOff>114300</xdr:rowOff>
    </xdr:to>
    <xdr:sp macro="" textlink="">
      <xdr:nvSpPr>
        <xdr:cNvPr id="5590" name="Arrow: Down 5589">
          <a:extLst>
            <a:ext uri="{FF2B5EF4-FFF2-40B4-BE49-F238E27FC236}">
              <a16:creationId xmlns:a16="http://schemas.microsoft.com/office/drawing/2014/main" id="{DDB650AB-A879-45D8-9CBC-CDBC06B3D2A6}"/>
            </a:ext>
          </a:extLst>
        </xdr:cNvPr>
        <xdr:cNvSpPr/>
      </xdr:nvSpPr>
      <xdr:spPr>
        <a:xfrm rot="10800000">
          <a:off x="369570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741</xdr:row>
      <xdr:rowOff>0</xdr:rowOff>
    </xdr:from>
    <xdr:to>
      <xdr:col>24</xdr:col>
      <xdr:colOff>83820</xdr:colOff>
      <xdr:row>741</xdr:row>
      <xdr:rowOff>114300</xdr:rowOff>
    </xdr:to>
    <xdr:sp macro="" textlink="">
      <xdr:nvSpPr>
        <xdr:cNvPr id="5592" name="Arrow: Down 5591">
          <a:extLst>
            <a:ext uri="{FF2B5EF4-FFF2-40B4-BE49-F238E27FC236}">
              <a16:creationId xmlns:a16="http://schemas.microsoft.com/office/drawing/2014/main" id="{C1FAFF84-9381-4AFD-867B-7133CADF8CDE}"/>
            </a:ext>
          </a:extLst>
        </xdr:cNvPr>
        <xdr:cNvSpPr/>
      </xdr:nvSpPr>
      <xdr:spPr>
        <a:xfrm rot="10800000">
          <a:off x="833628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741</xdr:row>
      <xdr:rowOff>0</xdr:rowOff>
    </xdr:from>
    <xdr:to>
      <xdr:col>60</xdr:col>
      <xdr:colOff>83820</xdr:colOff>
      <xdr:row>741</xdr:row>
      <xdr:rowOff>114300</xdr:rowOff>
    </xdr:to>
    <xdr:sp macro="" textlink="">
      <xdr:nvSpPr>
        <xdr:cNvPr id="5595" name="Arrow: Down 5594">
          <a:extLst>
            <a:ext uri="{FF2B5EF4-FFF2-40B4-BE49-F238E27FC236}">
              <a16:creationId xmlns:a16="http://schemas.microsoft.com/office/drawing/2014/main" id="{20E95DEB-3404-4401-91E7-FB1270865E8E}"/>
            </a:ext>
          </a:extLst>
        </xdr:cNvPr>
        <xdr:cNvSpPr/>
      </xdr:nvSpPr>
      <xdr:spPr>
        <a:xfrm rot="10800000">
          <a:off x="19080480" y="13561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742</xdr:row>
      <xdr:rowOff>0</xdr:rowOff>
    </xdr:from>
    <xdr:to>
      <xdr:col>64</xdr:col>
      <xdr:colOff>83820</xdr:colOff>
      <xdr:row>742</xdr:row>
      <xdr:rowOff>114300</xdr:rowOff>
    </xdr:to>
    <xdr:sp macro="" textlink="">
      <xdr:nvSpPr>
        <xdr:cNvPr id="5596" name="Arrow: Down 5595">
          <a:extLst>
            <a:ext uri="{FF2B5EF4-FFF2-40B4-BE49-F238E27FC236}">
              <a16:creationId xmlns:a16="http://schemas.microsoft.com/office/drawing/2014/main" id="{B75F7B47-8DAE-4DDC-B788-C9E5D9022771}"/>
            </a:ext>
          </a:extLst>
        </xdr:cNvPr>
        <xdr:cNvSpPr/>
      </xdr:nvSpPr>
      <xdr:spPr>
        <a:xfrm rot="10800000">
          <a:off x="19347180" y="1356131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742</xdr:row>
      <xdr:rowOff>0</xdr:rowOff>
    </xdr:from>
    <xdr:to>
      <xdr:col>45</xdr:col>
      <xdr:colOff>83820</xdr:colOff>
      <xdr:row>742</xdr:row>
      <xdr:rowOff>114300</xdr:rowOff>
    </xdr:to>
    <xdr:sp macro="" textlink="">
      <xdr:nvSpPr>
        <xdr:cNvPr id="5600" name="Arrow: Down 5599">
          <a:extLst>
            <a:ext uri="{FF2B5EF4-FFF2-40B4-BE49-F238E27FC236}">
              <a16:creationId xmlns:a16="http://schemas.microsoft.com/office/drawing/2014/main" id="{F38C9D67-2FBD-4FED-83CA-7C9CC23625DC}"/>
            </a:ext>
          </a:extLst>
        </xdr:cNvPr>
        <xdr:cNvSpPr/>
      </xdr:nvSpPr>
      <xdr:spPr>
        <a:xfrm rot="10800000">
          <a:off x="13403580" y="135613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742</xdr:row>
      <xdr:rowOff>0</xdr:rowOff>
    </xdr:from>
    <xdr:to>
      <xdr:col>71</xdr:col>
      <xdr:colOff>83820</xdr:colOff>
      <xdr:row>742</xdr:row>
      <xdr:rowOff>114300</xdr:rowOff>
    </xdr:to>
    <xdr:sp macro="" textlink="">
      <xdr:nvSpPr>
        <xdr:cNvPr id="5601" name="Arrow: Down 5600">
          <a:extLst>
            <a:ext uri="{FF2B5EF4-FFF2-40B4-BE49-F238E27FC236}">
              <a16:creationId xmlns:a16="http://schemas.microsoft.com/office/drawing/2014/main" id="{4A720DA6-FFEA-4EF4-92EE-3610EA3C97C2}"/>
            </a:ext>
          </a:extLst>
        </xdr:cNvPr>
        <xdr:cNvSpPr/>
      </xdr:nvSpPr>
      <xdr:spPr>
        <a:xfrm>
          <a:off x="21960840" y="1356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742</xdr:row>
      <xdr:rowOff>0</xdr:rowOff>
    </xdr:from>
    <xdr:to>
      <xdr:col>5</xdr:col>
      <xdr:colOff>83820</xdr:colOff>
      <xdr:row>742</xdr:row>
      <xdr:rowOff>114300</xdr:rowOff>
    </xdr:to>
    <xdr:sp macro="" textlink="">
      <xdr:nvSpPr>
        <xdr:cNvPr id="5602" name="Arrow: Down 5601">
          <a:extLst>
            <a:ext uri="{FF2B5EF4-FFF2-40B4-BE49-F238E27FC236}">
              <a16:creationId xmlns:a16="http://schemas.microsoft.com/office/drawing/2014/main" id="{F2DF404A-CDF9-4585-804A-07BF1DF02D07}"/>
            </a:ext>
          </a:extLst>
        </xdr:cNvPr>
        <xdr:cNvSpPr/>
      </xdr:nvSpPr>
      <xdr:spPr>
        <a:xfrm rot="10800000">
          <a:off x="1927860" y="13561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742</xdr:row>
      <xdr:rowOff>0</xdr:rowOff>
    </xdr:from>
    <xdr:to>
      <xdr:col>11</xdr:col>
      <xdr:colOff>83820</xdr:colOff>
      <xdr:row>742</xdr:row>
      <xdr:rowOff>114300</xdr:rowOff>
    </xdr:to>
    <xdr:sp macro="" textlink="">
      <xdr:nvSpPr>
        <xdr:cNvPr id="5603" name="Arrow: Down 5602">
          <a:extLst>
            <a:ext uri="{FF2B5EF4-FFF2-40B4-BE49-F238E27FC236}">
              <a16:creationId xmlns:a16="http://schemas.microsoft.com/office/drawing/2014/main" id="{62F84693-4A93-444F-95AB-B0B67FC04CB9}"/>
            </a:ext>
          </a:extLst>
        </xdr:cNvPr>
        <xdr:cNvSpPr/>
      </xdr:nvSpPr>
      <xdr:spPr>
        <a:xfrm rot="10800000">
          <a:off x="3695700" y="13561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742</xdr:row>
      <xdr:rowOff>0</xdr:rowOff>
    </xdr:from>
    <xdr:to>
      <xdr:col>60</xdr:col>
      <xdr:colOff>83820</xdr:colOff>
      <xdr:row>742</xdr:row>
      <xdr:rowOff>114300</xdr:rowOff>
    </xdr:to>
    <xdr:sp macro="" textlink="">
      <xdr:nvSpPr>
        <xdr:cNvPr id="5609" name="Arrow: Down 5608">
          <a:extLst>
            <a:ext uri="{FF2B5EF4-FFF2-40B4-BE49-F238E27FC236}">
              <a16:creationId xmlns:a16="http://schemas.microsoft.com/office/drawing/2014/main" id="{E3049E80-8084-4A01-B10B-154333B3E82D}"/>
            </a:ext>
          </a:extLst>
        </xdr:cNvPr>
        <xdr:cNvSpPr/>
      </xdr:nvSpPr>
      <xdr:spPr>
        <a:xfrm rot="10800000">
          <a:off x="19080480" y="13561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742</xdr:row>
      <xdr:rowOff>0</xdr:rowOff>
    </xdr:from>
    <xdr:to>
      <xdr:col>24</xdr:col>
      <xdr:colOff>83820</xdr:colOff>
      <xdr:row>742</xdr:row>
      <xdr:rowOff>114300</xdr:rowOff>
    </xdr:to>
    <xdr:sp macro="" textlink="">
      <xdr:nvSpPr>
        <xdr:cNvPr id="5611" name="Arrow: Down 5610">
          <a:extLst>
            <a:ext uri="{FF2B5EF4-FFF2-40B4-BE49-F238E27FC236}">
              <a16:creationId xmlns:a16="http://schemas.microsoft.com/office/drawing/2014/main" id="{854FF682-EAD8-4C10-9061-47ADB9463913}"/>
            </a:ext>
          </a:extLst>
        </xdr:cNvPr>
        <xdr:cNvSpPr/>
      </xdr:nvSpPr>
      <xdr:spPr>
        <a:xfrm>
          <a:off x="8336280" y="1357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743</xdr:row>
      <xdr:rowOff>0</xdr:rowOff>
    </xdr:from>
    <xdr:to>
      <xdr:col>64</xdr:col>
      <xdr:colOff>83820</xdr:colOff>
      <xdr:row>743</xdr:row>
      <xdr:rowOff>114300</xdr:rowOff>
    </xdr:to>
    <xdr:sp macro="" textlink="">
      <xdr:nvSpPr>
        <xdr:cNvPr id="5629" name="Arrow: Down 5628">
          <a:extLst>
            <a:ext uri="{FF2B5EF4-FFF2-40B4-BE49-F238E27FC236}">
              <a16:creationId xmlns:a16="http://schemas.microsoft.com/office/drawing/2014/main" id="{188293DE-170D-4AB9-9FAC-F9A17D5E8583}"/>
            </a:ext>
          </a:extLst>
        </xdr:cNvPr>
        <xdr:cNvSpPr/>
      </xdr:nvSpPr>
      <xdr:spPr>
        <a:xfrm rot="10800000">
          <a:off x="19347180" y="1357960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743</xdr:row>
      <xdr:rowOff>0</xdr:rowOff>
    </xdr:from>
    <xdr:to>
      <xdr:col>45</xdr:col>
      <xdr:colOff>83820</xdr:colOff>
      <xdr:row>743</xdr:row>
      <xdr:rowOff>114300</xdr:rowOff>
    </xdr:to>
    <xdr:sp macro="" textlink="">
      <xdr:nvSpPr>
        <xdr:cNvPr id="5630" name="Arrow: Down 5629">
          <a:extLst>
            <a:ext uri="{FF2B5EF4-FFF2-40B4-BE49-F238E27FC236}">
              <a16:creationId xmlns:a16="http://schemas.microsoft.com/office/drawing/2014/main" id="{114981A5-1229-4C19-B767-ADF34A08955B}"/>
            </a:ext>
          </a:extLst>
        </xdr:cNvPr>
        <xdr:cNvSpPr/>
      </xdr:nvSpPr>
      <xdr:spPr>
        <a:xfrm rot="10800000">
          <a:off x="13403580" y="135796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743</xdr:row>
      <xdr:rowOff>0</xdr:rowOff>
    </xdr:from>
    <xdr:to>
      <xdr:col>71</xdr:col>
      <xdr:colOff>83820</xdr:colOff>
      <xdr:row>743</xdr:row>
      <xdr:rowOff>114300</xdr:rowOff>
    </xdr:to>
    <xdr:sp macro="" textlink="">
      <xdr:nvSpPr>
        <xdr:cNvPr id="5635" name="Arrow: Down 5634">
          <a:extLst>
            <a:ext uri="{FF2B5EF4-FFF2-40B4-BE49-F238E27FC236}">
              <a16:creationId xmlns:a16="http://schemas.microsoft.com/office/drawing/2014/main" id="{5D28B076-9982-47FE-B76E-D84C0B72F5C8}"/>
            </a:ext>
          </a:extLst>
        </xdr:cNvPr>
        <xdr:cNvSpPr/>
      </xdr:nvSpPr>
      <xdr:spPr>
        <a:xfrm>
          <a:off x="21960840" y="1357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743</xdr:row>
      <xdr:rowOff>0</xdr:rowOff>
    </xdr:from>
    <xdr:to>
      <xdr:col>5</xdr:col>
      <xdr:colOff>83820</xdr:colOff>
      <xdr:row>743</xdr:row>
      <xdr:rowOff>114300</xdr:rowOff>
    </xdr:to>
    <xdr:sp macro="" textlink="">
      <xdr:nvSpPr>
        <xdr:cNvPr id="5638" name="Arrow: Down 5637">
          <a:extLst>
            <a:ext uri="{FF2B5EF4-FFF2-40B4-BE49-F238E27FC236}">
              <a16:creationId xmlns:a16="http://schemas.microsoft.com/office/drawing/2014/main" id="{20CEF2BB-7694-47CF-80DD-96FDAAA93FC5}"/>
            </a:ext>
          </a:extLst>
        </xdr:cNvPr>
        <xdr:cNvSpPr/>
      </xdr:nvSpPr>
      <xdr:spPr>
        <a:xfrm rot="10800000">
          <a:off x="1927860" y="1357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743</xdr:row>
      <xdr:rowOff>0</xdr:rowOff>
    </xdr:from>
    <xdr:to>
      <xdr:col>11</xdr:col>
      <xdr:colOff>83820</xdr:colOff>
      <xdr:row>743</xdr:row>
      <xdr:rowOff>114300</xdr:rowOff>
    </xdr:to>
    <xdr:sp macro="" textlink="">
      <xdr:nvSpPr>
        <xdr:cNvPr id="5639" name="Arrow: Down 5638">
          <a:extLst>
            <a:ext uri="{FF2B5EF4-FFF2-40B4-BE49-F238E27FC236}">
              <a16:creationId xmlns:a16="http://schemas.microsoft.com/office/drawing/2014/main" id="{DD431F66-93D2-48F0-9BE0-514CE9386AA3}"/>
            </a:ext>
          </a:extLst>
        </xdr:cNvPr>
        <xdr:cNvSpPr/>
      </xdr:nvSpPr>
      <xdr:spPr>
        <a:xfrm rot="10800000">
          <a:off x="3695700" y="1357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743</xdr:row>
      <xdr:rowOff>0</xdr:rowOff>
    </xdr:from>
    <xdr:to>
      <xdr:col>60</xdr:col>
      <xdr:colOff>83820</xdr:colOff>
      <xdr:row>743</xdr:row>
      <xdr:rowOff>114300</xdr:rowOff>
    </xdr:to>
    <xdr:sp macro="" textlink="">
      <xdr:nvSpPr>
        <xdr:cNvPr id="5643" name="Arrow: Down 5642">
          <a:extLst>
            <a:ext uri="{FF2B5EF4-FFF2-40B4-BE49-F238E27FC236}">
              <a16:creationId xmlns:a16="http://schemas.microsoft.com/office/drawing/2014/main" id="{21E2BBA6-4D59-41C5-9F6F-347106C5E265}"/>
            </a:ext>
          </a:extLst>
        </xdr:cNvPr>
        <xdr:cNvSpPr/>
      </xdr:nvSpPr>
      <xdr:spPr>
        <a:xfrm rot="10800000">
          <a:off x="19080480" y="1357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743</xdr:row>
      <xdr:rowOff>0</xdr:rowOff>
    </xdr:from>
    <xdr:to>
      <xdr:col>24</xdr:col>
      <xdr:colOff>83820</xdr:colOff>
      <xdr:row>743</xdr:row>
      <xdr:rowOff>114300</xdr:rowOff>
    </xdr:to>
    <xdr:sp macro="" textlink="">
      <xdr:nvSpPr>
        <xdr:cNvPr id="5644" name="Arrow: Down 5643">
          <a:extLst>
            <a:ext uri="{FF2B5EF4-FFF2-40B4-BE49-F238E27FC236}">
              <a16:creationId xmlns:a16="http://schemas.microsoft.com/office/drawing/2014/main" id="{92E04837-04D9-4316-9C59-58C54184678D}"/>
            </a:ext>
          </a:extLst>
        </xdr:cNvPr>
        <xdr:cNvSpPr/>
      </xdr:nvSpPr>
      <xdr:spPr>
        <a:xfrm>
          <a:off x="8336280" y="1357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743</xdr:row>
      <xdr:rowOff>0</xdr:rowOff>
    </xdr:from>
    <xdr:to>
      <xdr:col>39</xdr:col>
      <xdr:colOff>83820</xdr:colOff>
      <xdr:row>743</xdr:row>
      <xdr:rowOff>114300</xdr:rowOff>
    </xdr:to>
    <xdr:sp macro="" textlink="">
      <xdr:nvSpPr>
        <xdr:cNvPr id="5646" name="Arrow: Down 5645">
          <a:extLst>
            <a:ext uri="{FF2B5EF4-FFF2-40B4-BE49-F238E27FC236}">
              <a16:creationId xmlns:a16="http://schemas.microsoft.com/office/drawing/2014/main" id="{06342161-40B1-4606-B7B1-ED26243DD4BB}"/>
            </a:ext>
          </a:extLst>
        </xdr:cNvPr>
        <xdr:cNvSpPr/>
      </xdr:nvSpPr>
      <xdr:spPr>
        <a:xfrm rot="10800000">
          <a:off x="11544300" y="135978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744</xdr:row>
      <xdr:rowOff>0</xdr:rowOff>
    </xdr:from>
    <xdr:to>
      <xdr:col>64</xdr:col>
      <xdr:colOff>83820</xdr:colOff>
      <xdr:row>744</xdr:row>
      <xdr:rowOff>114300</xdr:rowOff>
    </xdr:to>
    <xdr:sp macro="" textlink="">
      <xdr:nvSpPr>
        <xdr:cNvPr id="5647" name="Arrow: Down 5646">
          <a:extLst>
            <a:ext uri="{FF2B5EF4-FFF2-40B4-BE49-F238E27FC236}">
              <a16:creationId xmlns:a16="http://schemas.microsoft.com/office/drawing/2014/main" id="{4DCE9D43-C37D-4922-AF6B-D098B5A40D40}"/>
            </a:ext>
          </a:extLst>
        </xdr:cNvPr>
        <xdr:cNvSpPr/>
      </xdr:nvSpPr>
      <xdr:spPr>
        <a:xfrm rot="10800000">
          <a:off x="19347180" y="1359789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744</xdr:row>
      <xdr:rowOff>0</xdr:rowOff>
    </xdr:from>
    <xdr:to>
      <xdr:col>45</xdr:col>
      <xdr:colOff>83820</xdr:colOff>
      <xdr:row>744</xdr:row>
      <xdr:rowOff>114300</xdr:rowOff>
    </xdr:to>
    <xdr:sp macro="" textlink="">
      <xdr:nvSpPr>
        <xdr:cNvPr id="5648" name="Arrow: Down 5647">
          <a:extLst>
            <a:ext uri="{FF2B5EF4-FFF2-40B4-BE49-F238E27FC236}">
              <a16:creationId xmlns:a16="http://schemas.microsoft.com/office/drawing/2014/main" id="{396EA81E-33ED-42CB-BBAA-899201DAB3FE}"/>
            </a:ext>
          </a:extLst>
        </xdr:cNvPr>
        <xdr:cNvSpPr/>
      </xdr:nvSpPr>
      <xdr:spPr>
        <a:xfrm rot="10800000">
          <a:off x="13403580" y="135978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744</xdr:row>
      <xdr:rowOff>0</xdr:rowOff>
    </xdr:from>
    <xdr:to>
      <xdr:col>71</xdr:col>
      <xdr:colOff>83820</xdr:colOff>
      <xdr:row>744</xdr:row>
      <xdr:rowOff>114300</xdr:rowOff>
    </xdr:to>
    <xdr:sp macro="" textlink="">
      <xdr:nvSpPr>
        <xdr:cNvPr id="5649" name="Arrow: Down 5648">
          <a:extLst>
            <a:ext uri="{FF2B5EF4-FFF2-40B4-BE49-F238E27FC236}">
              <a16:creationId xmlns:a16="http://schemas.microsoft.com/office/drawing/2014/main" id="{4DD6B503-E934-4D81-BC7D-8A67CBAD717C}"/>
            </a:ext>
          </a:extLst>
        </xdr:cNvPr>
        <xdr:cNvSpPr/>
      </xdr:nvSpPr>
      <xdr:spPr>
        <a:xfrm>
          <a:off x="21960840" y="13597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744</xdr:row>
      <xdr:rowOff>0</xdr:rowOff>
    </xdr:from>
    <xdr:to>
      <xdr:col>5</xdr:col>
      <xdr:colOff>83820</xdr:colOff>
      <xdr:row>744</xdr:row>
      <xdr:rowOff>114300</xdr:rowOff>
    </xdr:to>
    <xdr:sp macro="" textlink="">
      <xdr:nvSpPr>
        <xdr:cNvPr id="5650" name="Arrow: Down 5649">
          <a:extLst>
            <a:ext uri="{FF2B5EF4-FFF2-40B4-BE49-F238E27FC236}">
              <a16:creationId xmlns:a16="http://schemas.microsoft.com/office/drawing/2014/main" id="{2A8924BC-7695-4074-9CFA-1CCF2FFB8700}"/>
            </a:ext>
          </a:extLst>
        </xdr:cNvPr>
        <xdr:cNvSpPr/>
      </xdr:nvSpPr>
      <xdr:spPr>
        <a:xfrm rot="10800000">
          <a:off x="1927860" y="1359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744</xdr:row>
      <xdr:rowOff>0</xdr:rowOff>
    </xdr:from>
    <xdr:to>
      <xdr:col>11</xdr:col>
      <xdr:colOff>83820</xdr:colOff>
      <xdr:row>744</xdr:row>
      <xdr:rowOff>114300</xdr:rowOff>
    </xdr:to>
    <xdr:sp macro="" textlink="">
      <xdr:nvSpPr>
        <xdr:cNvPr id="5651" name="Arrow: Down 5650">
          <a:extLst>
            <a:ext uri="{FF2B5EF4-FFF2-40B4-BE49-F238E27FC236}">
              <a16:creationId xmlns:a16="http://schemas.microsoft.com/office/drawing/2014/main" id="{A69EAF8A-0923-405C-B41F-7ACB284DEB2E}"/>
            </a:ext>
          </a:extLst>
        </xdr:cNvPr>
        <xdr:cNvSpPr/>
      </xdr:nvSpPr>
      <xdr:spPr>
        <a:xfrm rot="10800000">
          <a:off x="3695700" y="1359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744</xdr:row>
      <xdr:rowOff>0</xdr:rowOff>
    </xdr:from>
    <xdr:to>
      <xdr:col>39</xdr:col>
      <xdr:colOff>83820</xdr:colOff>
      <xdr:row>744</xdr:row>
      <xdr:rowOff>114300</xdr:rowOff>
    </xdr:to>
    <xdr:sp macro="" textlink="">
      <xdr:nvSpPr>
        <xdr:cNvPr id="5654" name="Arrow: Down 5653">
          <a:extLst>
            <a:ext uri="{FF2B5EF4-FFF2-40B4-BE49-F238E27FC236}">
              <a16:creationId xmlns:a16="http://schemas.microsoft.com/office/drawing/2014/main" id="{AD786469-DDA3-4922-B184-A9CCA7554E8F}"/>
            </a:ext>
          </a:extLst>
        </xdr:cNvPr>
        <xdr:cNvSpPr/>
      </xdr:nvSpPr>
      <xdr:spPr>
        <a:xfrm rot="10800000">
          <a:off x="11544300" y="135978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744</xdr:row>
      <xdr:rowOff>0</xdr:rowOff>
    </xdr:from>
    <xdr:to>
      <xdr:col>60</xdr:col>
      <xdr:colOff>83820</xdr:colOff>
      <xdr:row>744</xdr:row>
      <xdr:rowOff>114300</xdr:rowOff>
    </xdr:to>
    <xdr:sp macro="" textlink="">
      <xdr:nvSpPr>
        <xdr:cNvPr id="5656" name="Arrow: Down 5655">
          <a:extLst>
            <a:ext uri="{FF2B5EF4-FFF2-40B4-BE49-F238E27FC236}">
              <a16:creationId xmlns:a16="http://schemas.microsoft.com/office/drawing/2014/main" id="{C297934D-CDCF-43EB-AD14-D29BE80A10CA}"/>
            </a:ext>
          </a:extLst>
        </xdr:cNvPr>
        <xdr:cNvSpPr/>
      </xdr:nvSpPr>
      <xdr:spPr>
        <a:xfrm>
          <a:off x="19080480" y="1361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744</xdr:row>
      <xdr:rowOff>0</xdr:rowOff>
    </xdr:from>
    <xdr:to>
      <xdr:col>24</xdr:col>
      <xdr:colOff>83820</xdr:colOff>
      <xdr:row>744</xdr:row>
      <xdr:rowOff>114300</xdr:rowOff>
    </xdr:to>
    <xdr:sp macro="" textlink="">
      <xdr:nvSpPr>
        <xdr:cNvPr id="5658" name="Arrow: Down 5657">
          <a:extLst>
            <a:ext uri="{FF2B5EF4-FFF2-40B4-BE49-F238E27FC236}">
              <a16:creationId xmlns:a16="http://schemas.microsoft.com/office/drawing/2014/main" id="{2BFE1E00-2D72-4223-BE4F-C0F633AF26B9}"/>
            </a:ext>
          </a:extLst>
        </xdr:cNvPr>
        <xdr:cNvSpPr/>
      </xdr:nvSpPr>
      <xdr:spPr>
        <a:xfrm rot="10800000">
          <a:off x="8336280" y="13616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745</xdr:row>
      <xdr:rowOff>0</xdr:rowOff>
    </xdr:from>
    <xdr:to>
      <xdr:col>64</xdr:col>
      <xdr:colOff>83820</xdr:colOff>
      <xdr:row>745</xdr:row>
      <xdr:rowOff>114300</xdr:rowOff>
    </xdr:to>
    <xdr:sp macro="" textlink="">
      <xdr:nvSpPr>
        <xdr:cNvPr id="5659" name="Arrow: Down 5658">
          <a:extLst>
            <a:ext uri="{FF2B5EF4-FFF2-40B4-BE49-F238E27FC236}">
              <a16:creationId xmlns:a16="http://schemas.microsoft.com/office/drawing/2014/main" id="{F6432D8C-E9DC-4DFB-8784-A8400554B21A}"/>
            </a:ext>
          </a:extLst>
        </xdr:cNvPr>
        <xdr:cNvSpPr/>
      </xdr:nvSpPr>
      <xdr:spPr>
        <a:xfrm rot="10800000">
          <a:off x="19347180" y="1361617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745</xdr:row>
      <xdr:rowOff>0</xdr:rowOff>
    </xdr:from>
    <xdr:to>
      <xdr:col>45</xdr:col>
      <xdr:colOff>83820</xdr:colOff>
      <xdr:row>745</xdr:row>
      <xdr:rowOff>114300</xdr:rowOff>
    </xdr:to>
    <xdr:sp macro="" textlink="">
      <xdr:nvSpPr>
        <xdr:cNvPr id="5660" name="Arrow: Down 5659">
          <a:extLst>
            <a:ext uri="{FF2B5EF4-FFF2-40B4-BE49-F238E27FC236}">
              <a16:creationId xmlns:a16="http://schemas.microsoft.com/office/drawing/2014/main" id="{F816B398-871D-4D24-BF7C-81B32664CF24}"/>
            </a:ext>
          </a:extLst>
        </xdr:cNvPr>
        <xdr:cNvSpPr/>
      </xdr:nvSpPr>
      <xdr:spPr>
        <a:xfrm rot="10800000">
          <a:off x="13403580" y="136161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745</xdr:row>
      <xdr:rowOff>0</xdr:rowOff>
    </xdr:from>
    <xdr:to>
      <xdr:col>71</xdr:col>
      <xdr:colOff>83820</xdr:colOff>
      <xdr:row>745</xdr:row>
      <xdr:rowOff>114300</xdr:rowOff>
    </xdr:to>
    <xdr:sp macro="" textlink="">
      <xdr:nvSpPr>
        <xdr:cNvPr id="5661" name="Arrow: Down 5660">
          <a:extLst>
            <a:ext uri="{FF2B5EF4-FFF2-40B4-BE49-F238E27FC236}">
              <a16:creationId xmlns:a16="http://schemas.microsoft.com/office/drawing/2014/main" id="{71F2E424-FF00-4D13-B2E3-3B2A290448D3}"/>
            </a:ext>
          </a:extLst>
        </xdr:cNvPr>
        <xdr:cNvSpPr/>
      </xdr:nvSpPr>
      <xdr:spPr>
        <a:xfrm>
          <a:off x="21960840" y="1361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745</xdr:row>
      <xdr:rowOff>0</xdr:rowOff>
    </xdr:from>
    <xdr:to>
      <xdr:col>60</xdr:col>
      <xdr:colOff>83820</xdr:colOff>
      <xdr:row>745</xdr:row>
      <xdr:rowOff>114300</xdr:rowOff>
    </xdr:to>
    <xdr:sp macro="" textlink="">
      <xdr:nvSpPr>
        <xdr:cNvPr id="5667" name="Arrow: Down 5666">
          <a:extLst>
            <a:ext uri="{FF2B5EF4-FFF2-40B4-BE49-F238E27FC236}">
              <a16:creationId xmlns:a16="http://schemas.microsoft.com/office/drawing/2014/main" id="{DBBF8AB1-6CE1-4B61-99DF-54E65BE013FB}"/>
            </a:ext>
          </a:extLst>
        </xdr:cNvPr>
        <xdr:cNvSpPr/>
      </xdr:nvSpPr>
      <xdr:spPr>
        <a:xfrm rot="10800000">
          <a:off x="19080480" y="1363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745</xdr:row>
      <xdr:rowOff>0</xdr:rowOff>
    </xdr:from>
    <xdr:to>
      <xdr:col>39</xdr:col>
      <xdr:colOff>83820</xdr:colOff>
      <xdr:row>745</xdr:row>
      <xdr:rowOff>114300</xdr:rowOff>
    </xdr:to>
    <xdr:sp macro="" textlink="">
      <xdr:nvSpPr>
        <xdr:cNvPr id="5669" name="Arrow: Down 5668">
          <a:extLst>
            <a:ext uri="{FF2B5EF4-FFF2-40B4-BE49-F238E27FC236}">
              <a16:creationId xmlns:a16="http://schemas.microsoft.com/office/drawing/2014/main" id="{506B4E3D-6DA4-4688-A10E-EFBF385B4ED7}"/>
            </a:ext>
          </a:extLst>
        </xdr:cNvPr>
        <xdr:cNvSpPr/>
      </xdr:nvSpPr>
      <xdr:spPr>
        <a:xfrm>
          <a:off x="11544300" y="1363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740</xdr:row>
      <xdr:rowOff>0</xdr:rowOff>
    </xdr:from>
    <xdr:to>
      <xdr:col>39</xdr:col>
      <xdr:colOff>83820</xdr:colOff>
      <xdr:row>740</xdr:row>
      <xdr:rowOff>114300</xdr:rowOff>
    </xdr:to>
    <xdr:sp macro="" textlink="">
      <xdr:nvSpPr>
        <xdr:cNvPr id="5671" name="Arrow: Down 5670">
          <a:extLst>
            <a:ext uri="{FF2B5EF4-FFF2-40B4-BE49-F238E27FC236}">
              <a16:creationId xmlns:a16="http://schemas.microsoft.com/office/drawing/2014/main" id="{B316558B-48A8-49FC-8E74-D23D82D92B8F}"/>
            </a:ext>
          </a:extLst>
        </xdr:cNvPr>
        <xdr:cNvSpPr/>
      </xdr:nvSpPr>
      <xdr:spPr>
        <a:xfrm>
          <a:off x="1154430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741</xdr:row>
      <xdr:rowOff>0</xdr:rowOff>
    </xdr:from>
    <xdr:to>
      <xdr:col>39</xdr:col>
      <xdr:colOff>83820</xdr:colOff>
      <xdr:row>741</xdr:row>
      <xdr:rowOff>114300</xdr:rowOff>
    </xdr:to>
    <xdr:sp macro="" textlink="">
      <xdr:nvSpPr>
        <xdr:cNvPr id="5672" name="Arrow: Down 5671">
          <a:extLst>
            <a:ext uri="{FF2B5EF4-FFF2-40B4-BE49-F238E27FC236}">
              <a16:creationId xmlns:a16="http://schemas.microsoft.com/office/drawing/2014/main" id="{25B44702-34E4-4D14-9A77-103E9C46966D}"/>
            </a:ext>
          </a:extLst>
        </xdr:cNvPr>
        <xdr:cNvSpPr/>
      </xdr:nvSpPr>
      <xdr:spPr>
        <a:xfrm>
          <a:off x="11544300" y="13561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742</xdr:row>
      <xdr:rowOff>0</xdr:rowOff>
    </xdr:from>
    <xdr:to>
      <xdr:col>39</xdr:col>
      <xdr:colOff>83820</xdr:colOff>
      <xdr:row>742</xdr:row>
      <xdr:rowOff>114300</xdr:rowOff>
    </xdr:to>
    <xdr:sp macro="" textlink="">
      <xdr:nvSpPr>
        <xdr:cNvPr id="5673" name="Arrow: Down 5672">
          <a:extLst>
            <a:ext uri="{FF2B5EF4-FFF2-40B4-BE49-F238E27FC236}">
              <a16:creationId xmlns:a16="http://schemas.microsoft.com/office/drawing/2014/main" id="{24CFA465-9EA7-44FC-9178-417054FF8D21}"/>
            </a:ext>
          </a:extLst>
        </xdr:cNvPr>
        <xdr:cNvSpPr/>
      </xdr:nvSpPr>
      <xdr:spPr>
        <a:xfrm>
          <a:off x="11544300" y="1357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746</xdr:row>
      <xdr:rowOff>0</xdr:rowOff>
    </xdr:from>
    <xdr:to>
      <xdr:col>64</xdr:col>
      <xdr:colOff>83820</xdr:colOff>
      <xdr:row>746</xdr:row>
      <xdr:rowOff>114300</xdr:rowOff>
    </xdr:to>
    <xdr:sp macro="" textlink="">
      <xdr:nvSpPr>
        <xdr:cNvPr id="5682" name="Arrow: Down 5681">
          <a:extLst>
            <a:ext uri="{FF2B5EF4-FFF2-40B4-BE49-F238E27FC236}">
              <a16:creationId xmlns:a16="http://schemas.microsoft.com/office/drawing/2014/main" id="{D2A5F8ED-AB1B-42EA-84D3-51A78D8CF53F}"/>
            </a:ext>
          </a:extLst>
        </xdr:cNvPr>
        <xdr:cNvSpPr/>
      </xdr:nvSpPr>
      <xdr:spPr>
        <a:xfrm rot="10800000">
          <a:off x="19347180" y="1363446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746</xdr:row>
      <xdr:rowOff>0</xdr:rowOff>
    </xdr:from>
    <xdr:to>
      <xdr:col>45</xdr:col>
      <xdr:colOff>83820</xdr:colOff>
      <xdr:row>746</xdr:row>
      <xdr:rowOff>114300</xdr:rowOff>
    </xdr:to>
    <xdr:sp macro="" textlink="">
      <xdr:nvSpPr>
        <xdr:cNvPr id="5683" name="Arrow: Down 5682">
          <a:extLst>
            <a:ext uri="{FF2B5EF4-FFF2-40B4-BE49-F238E27FC236}">
              <a16:creationId xmlns:a16="http://schemas.microsoft.com/office/drawing/2014/main" id="{7455BB1D-18AA-4389-8CFE-04109351DAD4}"/>
            </a:ext>
          </a:extLst>
        </xdr:cNvPr>
        <xdr:cNvSpPr/>
      </xdr:nvSpPr>
      <xdr:spPr>
        <a:xfrm rot="10800000">
          <a:off x="13403580" y="1363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746</xdr:row>
      <xdr:rowOff>0</xdr:rowOff>
    </xdr:from>
    <xdr:to>
      <xdr:col>71</xdr:col>
      <xdr:colOff>83820</xdr:colOff>
      <xdr:row>746</xdr:row>
      <xdr:rowOff>114300</xdr:rowOff>
    </xdr:to>
    <xdr:sp macro="" textlink="">
      <xdr:nvSpPr>
        <xdr:cNvPr id="5684" name="Arrow: Down 5683">
          <a:extLst>
            <a:ext uri="{FF2B5EF4-FFF2-40B4-BE49-F238E27FC236}">
              <a16:creationId xmlns:a16="http://schemas.microsoft.com/office/drawing/2014/main" id="{B1DE375F-FE5A-4F85-9E23-877DCED8B40D}"/>
            </a:ext>
          </a:extLst>
        </xdr:cNvPr>
        <xdr:cNvSpPr/>
      </xdr:nvSpPr>
      <xdr:spPr>
        <a:xfrm>
          <a:off x="21960840" y="1363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746</xdr:row>
      <xdr:rowOff>0</xdr:rowOff>
    </xdr:from>
    <xdr:to>
      <xdr:col>39</xdr:col>
      <xdr:colOff>83820</xdr:colOff>
      <xdr:row>746</xdr:row>
      <xdr:rowOff>114300</xdr:rowOff>
    </xdr:to>
    <xdr:sp macro="" textlink="">
      <xdr:nvSpPr>
        <xdr:cNvPr id="5689" name="Arrow: Down 5688">
          <a:extLst>
            <a:ext uri="{FF2B5EF4-FFF2-40B4-BE49-F238E27FC236}">
              <a16:creationId xmlns:a16="http://schemas.microsoft.com/office/drawing/2014/main" id="{472DB59A-E75E-4FA7-9863-392CB0D4AEB6}"/>
            </a:ext>
          </a:extLst>
        </xdr:cNvPr>
        <xdr:cNvSpPr/>
      </xdr:nvSpPr>
      <xdr:spPr>
        <a:xfrm>
          <a:off x="11544300" y="1363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746</xdr:row>
      <xdr:rowOff>0</xdr:rowOff>
    </xdr:from>
    <xdr:to>
      <xdr:col>60</xdr:col>
      <xdr:colOff>83820</xdr:colOff>
      <xdr:row>746</xdr:row>
      <xdr:rowOff>114300</xdr:rowOff>
    </xdr:to>
    <xdr:sp macro="" textlink="">
      <xdr:nvSpPr>
        <xdr:cNvPr id="5692" name="Arrow: Down 5691">
          <a:extLst>
            <a:ext uri="{FF2B5EF4-FFF2-40B4-BE49-F238E27FC236}">
              <a16:creationId xmlns:a16="http://schemas.microsoft.com/office/drawing/2014/main" id="{F2E2F2AE-BC05-47DC-B272-726517228667}"/>
            </a:ext>
          </a:extLst>
        </xdr:cNvPr>
        <xdr:cNvSpPr/>
      </xdr:nvSpPr>
      <xdr:spPr>
        <a:xfrm>
          <a:off x="1908048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745</xdr:row>
      <xdr:rowOff>0</xdr:rowOff>
    </xdr:from>
    <xdr:to>
      <xdr:col>24</xdr:col>
      <xdr:colOff>83820</xdr:colOff>
      <xdr:row>745</xdr:row>
      <xdr:rowOff>114300</xdr:rowOff>
    </xdr:to>
    <xdr:sp macro="" textlink="">
      <xdr:nvSpPr>
        <xdr:cNvPr id="5694" name="Arrow: Down 5693">
          <a:extLst>
            <a:ext uri="{FF2B5EF4-FFF2-40B4-BE49-F238E27FC236}">
              <a16:creationId xmlns:a16="http://schemas.microsoft.com/office/drawing/2014/main" id="{64440CDB-A698-4F0E-9E2F-D39284BBB817}"/>
            </a:ext>
          </a:extLst>
        </xdr:cNvPr>
        <xdr:cNvSpPr/>
      </xdr:nvSpPr>
      <xdr:spPr>
        <a:xfrm>
          <a:off x="8336280" y="1363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746</xdr:row>
      <xdr:rowOff>0</xdr:rowOff>
    </xdr:from>
    <xdr:to>
      <xdr:col>24</xdr:col>
      <xdr:colOff>83820</xdr:colOff>
      <xdr:row>746</xdr:row>
      <xdr:rowOff>114300</xdr:rowOff>
    </xdr:to>
    <xdr:sp macro="" textlink="">
      <xdr:nvSpPr>
        <xdr:cNvPr id="5696" name="Arrow: Down 5695">
          <a:extLst>
            <a:ext uri="{FF2B5EF4-FFF2-40B4-BE49-F238E27FC236}">
              <a16:creationId xmlns:a16="http://schemas.microsoft.com/office/drawing/2014/main" id="{D0E5A30B-FCBE-46FC-B05B-29AC47054868}"/>
            </a:ext>
          </a:extLst>
        </xdr:cNvPr>
        <xdr:cNvSpPr/>
      </xdr:nvSpPr>
      <xdr:spPr>
        <a:xfrm>
          <a:off x="833628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745</xdr:row>
      <xdr:rowOff>0</xdr:rowOff>
    </xdr:from>
    <xdr:to>
      <xdr:col>11</xdr:col>
      <xdr:colOff>83820</xdr:colOff>
      <xdr:row>745</xdr:row>
      <xdr:rowOff>114300</xdr:rowOff>
    </xdr:to>
    <xdr:sp macro="" textlink="">
      <xdr:nvSpPr>
        <xdr:cNvPr id="5697" name="Arrow: Down 5696">
          <a:extLst>
            <a:ext uri="{FF2B5EF4-FFF2-40B4-BE49-F238E27FC236}">
              <a16:creationId xmlns:a16="http://schemas.microsoft.com/office/drawing/2014/main" id="{3C681A0D-C1D5-4E87-BAAD-EB7CB3D76CEA}"/>
            </a:ext>
          </a:extLst>
        </xdr:cNvPr>
        <xdr:cNvSpPr/>
      </xdr:nvSpPr>
      <xdr:spPr>
        <a:xfrm>
          <a:off x="3695700" y="1363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745</xdr:row>
      <xdr:rowOff>0</xdr:rowOff>
    </xdr:from>
    <xdr:to>
      <xdr:col>5</xdr:col>
      <xdr:colOff>83820</xdr:colOff>
      <xdr:row>745</xdr:row>
      <xdr:rowOff>114300</xdr:rowOff>
    </xdr:to>
    <xdr:sp macro="" textlink="">
      <xdr:nvSpPr>
        <xdr:cNvPr id="5699" name="Arrow: Down 5698">
          <a:extLst>
            <a:ext uri="{FF2B5EF4-FFF2-40B4-BE49-F238E27FC236}">
              <a16:creationId xmlns:a16="http://schemas.microsoft.com/office/drawing/2014/main" id="{AE177889-CF10-4B03-A54C-B246BAB953AE}"/>
            </a:ext>
          </a:extLst>
        </xdr:cNvPr>
        <xdr:cNvSpPr/>
      </xdr:nvSpPr>
      <xdr:spPr>
        <a:xfrm>
          <a:off x="1927860" y="1363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746</xdr:row>
      <xdr:rowOff>0</xdr:rowOff>
    </xdr:from>
    <xdr:to>
      <xdr:col>5</xdr:col>
      <xdr:colOff>83820</xdr:colOff>
      <xdr:row>746</xdr:row>
      <xdr:rowOff>114300</xdr:rowOff>
    </xdr:to>
    <xdr:sp macro="" textlink="">
      <xdr:nvSpPr>
        <xdr:cNvPr id="5700" name="Arrow: Down 5699">
          <a:extLst>
            <a:ext uri="{FF2B5EF4-FFF2-40B4-BE49-F238E27FC236}">
              <a16:creationId xmlns:a16="http://schemas.microsoft.com/office/drawing/2014/main" id="{B2F5962F-BE43-4B75-9C60-B03D23F8796C}"/>
            </a:ext>
          </a:extLst>
        </xdr:cNvPr>
        <xdr:cNvSpPr/>
      </xdr:nvSpPr>
      <xdr:spPr>
        <a:xfrm>
          <a:off x="192786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746</xdr:row>
      <xdr:rowOff>0</xdr:rowOff>
    </xdr:from>
    <xdr:to>
      <xdr:col>11</xdr:col>
      <xdr:colOff>83820</xdr:colOff>
      <xdr:row>746</xdr:row>
      <xdr:rowOff>114300</xdr:rowOff>
    </xdr:to>
    <xdr:sp macro="" textlink="">
      <xdr:nvSpPr>
        <xdr:cNvPr id="5702" name="Arrow: Down 5701">
          <a:extLst>
            <a:ext uri="{FF2B5EF4-FFF2-40B4-BE49-F238E27FC236}">
              <a16:creationId xmlns:a16="http://schemas.microsoft.com/office/drawing/2014/main" id="{03D77A61-BBB1-496E-92B2-F3AB33BD7537}"/>
            </a:ext>
          </a:extLst>
        </xdr:cNvPr>
        <xdr:cNvSpPr/>
      </xdr:nvSpPr>
      <xdr:spPr>
        <a:xfrm>
          <a:off x="369570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747</xdr:row>
      <xdr:rowOff>0</xdr:rowOff>
    </xdr:from>
    <xdr:to>
      <xdr:col>64</xdr:col>
      <xdr:colOff>83820</xdr:colOff>
      <xdr:row>747</xdr:row>
      <xdr:rowOff>114300</xdr:rowOff>
    </xdr:to>
    <xdr:sp macro="" textlink="">
      <xdr:nvSpPr>
        <xdr:cNvPr id="5703" name="Arrow: Down 5702">
          <a:extLst>
            <a:ext uri="{FF2B5EF4-FFF2-40B4-BE49-F238E27FC236}">
              <a16:creationId xmlns:a16="http://schemas.microsoft.com/office/drawing/2014/main" id="{296BF1D3-DD90-44D6-B524-80225A188D22}"/>
            </a:ext>
          </a:extLst>
        </xdr:cNvPr>
        <xdr:cNvSpPr/>
      </xdr:nvSpPr>
      <xdr:spPr>
        <a:xfrm rot="10800000">
          <a:off x="19347180" y="1365275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747</xdr:row>
      <xdr:rowOff>0</xdr:rowOff>
    </xdr:from>
    <xdr:to>
      <xdr:col>45</xdr:col>
      <xdr:colOff>83820</xdr:colOff>
      <xdr:row>747</xdr:row>
      <xdr:rowOff>114300</xdr:rowOff>
    </xdr:to>
    <xdr:sp macro="" textlink="">
      <xdr:nvSpPr>
        <xdr:cNvPr id="5704" name="Arrow: Down 5703">
          <a:extLst>
            <a:ext uri="{FF2B5EF4-FFF2-40B4-BE49-F238E27FC236}">
              <a16:creationId xmlns:a16="http://schemas.microsoft.com/office/drawing/2014/main" id="{9B6F8B76-18C0-481E-A018-C9BB2830598F}"/>
            </a:ext>
          </a:extLst>
        </xdr:cNvPr>
        <xdr:cNvSpPr/>
      </xdr:nvSpPr>
      <xdr:spPr>
        <a:xfrm rot="10800000">
          <a:off x="13403580" y="136527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747</xdr:row>
      <xdr:rowOff>0</xdr:rowOff>
    </xdr:from>
    <xdr:to>
      <xdr:col>71</xdr:col>
      <xdr:colOff>83820</xdr:colOff>
      <xdr:row>747</xdr:row>
      <xdr:rowOff>114300</xdr:rowOff>
    </xdr:to>
    <xdr:sp macro="" textlink="">
      <xdr:nvSpPr>
        <xdr:cNvPr id="5705" name="Arrow: Down 5704">
          <a:extLst>
            <a:ext uri="{FF2B5EF4-FFF2-40B4-BE49-F238E27FC236}">
              <a16:creationId xmlns:a16="http://schemas.microsoft.com/office/drawing/2014/main" id="{2FCFBA7F-90A8-47FC-A3AA-43A8CE2F2680}"/>
            </a:ext>
          </a:extLst>
        </xdr:cNvPr>
        <xdr:cNvSpPr/>
      </xdr:nvSpPr>
      <xdr:spPr>
        <a:xfrm>
          <a:off x="2196084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747</xdr:row>
      <xdr:rowOff>0</xdr:rowOff>
    </xdr:from>
    <xdr:to>
      <xdr:col>60</xdr:col>
      <xdr:colOff>83820</xdr:colOff>
      <xdr:row>747</xdr:row>
      <xdr:rowOff>114300</xdr:rowOff>
    </xdr:to>
    <xdr:sp macro="" textlink="">
      <xdr:nvSpPr>
        <xdr:cNvPr id="5707" name="Arrow: Down 5706">
          <a:extLst>
            <a:ext uri="{FF2B5EF4-FFF2-40B4-BE49-F238E27FC236}">
              <a16:creationId xmlns:a16="http://schemas.microsoft.com/office/drawing/2014/main" id="{6BD5FDB7-88AC-4108-994D-7D0C2C4214F5}"/>
            </a:ext>
          </a:extLst>
        </xdr:cNvPr>
        <xdr:cNvSpPr/>
      </xdr:nvSpPr>
      <xdr:spPr>
        <a:xfrm>
          <a:off x="1908048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747</xdr:row>
      <xdr:rowOff>0</xdr:rowOff>
    </xdr:from>
    <xdr:to>
      <xdr:col>39</xdr:col>
      <xdr:colOff>83820</xdr:colOff>
      <xdr:row>747</xdr:row>
      <xdr:rowOff>114300</xdr:rowOff>
    </xdr:to>
    <xdr:sp macro="" textlink="">
      <xdr:nvSpPr>
        <xdr:cNvPr id="5712" name="Arrow: Down 5711">
          <a:extLst>
            <a:ext uri="{FF2B5EF4-FFF2-40B4-BE49-F238E27FC236}">
              <a16:creationId xmlns:a16="http://schemas.microsoft.com/office/drawing/2014/main" id="{17FF1846-13FC-4916-BFF6-45A9EF09A084}"/>
            </a:ext>
          </a:extLst>
        </xdr:cNvPr>
        <xdr:cNvSpPr/>
      </xdr:nvSpPr>
      <xdr:spPr>
        <a:xfrm rot="10800000">
          <a:off x="11544300" y="1367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747</xdr:row>
      <xdr:rowOff>0</xdr:rowOff>
    </xdr:from>
    <xdr:to>
      <xdr:col>24</xdr:col>
      <xdr:colOff>83820</xdr:colOff>
      <xdr:row>747</xdr:row>
      <xdr:rowOff>114300</xdr:rowOff>
    </xdr:to>
    <xdr:sp macro="" textlink="">
      <xdr:nvSpPr>
        <xdr:cNvPr id="5714" name="Arrow: Down 5713">
          <a:extLst>
            <a:ext uri="{FF2B5EF4-FFF2-40B4-BE49-F238E27FC236}">
              <a16:creationId xmlns:a16="http://schemas.microsoft.com/office/drawing/2014/main" id="{A0DA1AC9-E415-428C-B427-F72B7682A009}"/>
            </a:ext>
          </a:extLst>
        </xdr:cNvPr>
        <xdr:cNvSpPr/>
      </xdr:nvSpPr>
      <xdr:spPr>
        <a:xfrm rot="10800000">
          <a:off x="833628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747</xdr:row>
      <xdr:rowOff>0</xdr:rowOff>
    </xdr:from>
    <xdr:to>
      <xdr:col>11</xdr:col>
      <xdr:colOff>83820</xdr:colOff>
      <xdr:row>747</xdr:row>
      <xdr:rowOff>114300</xdr:rowOff>
    </xdr:to>
    <xdr:sp macro="" textlink="">
      <xdr:nvSpPr>
        <xdr:cNvPr id="5716" name="Arrow: Down 5715">
          <a:extLst>
            <a:ext uri="{FF2B5EF4-FFF2-40B4-BE49-F238E27FC236}">
              <a16:creationId xmlns:a16="http://schemas.microsoft.com/office/drawing/2014/main" id="{CE5A684A-308C-4084-8564-F213F1F59179}"/>
            </a:ext>
          </a:extLst>
        </xdr:cNvPr>
        <xdr:cNvSpPr/>
      </xdr:nvSpPr>
      <xdr:spPr>
        <a:xfrm rot="10800000">
          <a:off x="369570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747</xdr:row>
      <xdr:rowOff>0</xdr:rowOff>
    </xdr:from>
    <xdr:to>
      <xdr:col>5</xdr:col>
      <xdr:colOff>83820</xdr:colOff>
      <xdr:row>747</xdr:row>
      <xdr:rowOff>114300</xdr:rowOff>
    </xdr:to>
    <xdr:sp macro="" textlink="">
      <xdr:nvSpPr>
        <xdr:cNvPr id="5718" name="Arrow: Down 5717">
          <a:extLst>
            <a:ext uri="{FF2B5EF4-FFF2-40B4-BE49-F238E27FC236}">
              <a16:creationId xmlns:a16="http://schemas.microsoft.com/office/drawing/2014/main" id="{0A8761CD-409C-4181-BF98-A00E8809E5CE}"/>
            </a:ext>
          </a:extLst>
        </xdr:cNvPr>
        <xdr:cNvSpPr/>
      </xdr:nvSpPr>
      <xdr:spPr>
        <a:xfrm rot="10800000">
          <a:off x="192786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748</xdr:row>
      <xdr:rowOff>0</xdr:rowOff>
    </xdr:from>
    <xdr:to>
      <xdr:col>64</xdr:col>
      <xdr:colOff>83820</xdr:colOff>
      <xdr:row>748</xdr:row>
      <xdr:rowOff>114300</xdr:rowOff>
    </xdr:to>
    <xdr:sp macro="" textlink="">
      <xdr:nvSpPr>
        <xdr:cNvPr id="5727" name="Arrow: Down 5726">
          <a:extLst>
            <a:ext uri="{FF2B5EF4-FFF2-40B4-BE49-F238E27FC236}">
              <a16:creationId xmlns:a16="http://schemas.microsoft.com/office/drawing/2014/main" id="{2E416ED5-392C-48C3-B82D-C84D1549F540}"/>
            </a:ext>
          </a:extLst>
        </xdr:cNvPr>
        <xdr:cNvSpPr/>
      </xdr:nvSpPr>
      <xdr:spPr>
        <a:xfrm rot="10800000">
          <a:off x="19347180" y="1367104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748</xdr:row>
      <xdr:rowOff>0</xdr:rowOff>
    </xdr:from>
    <xdr:to>
      <xdr:col>45</xdr:col>
      <xdr:colOff>83820</xdr:colOff>
      <xdr:row>748</xdr:row>
      <xdr:rowOff>114300</xdr:rowOff>
    </xdr:to>
    <xdr:sp macro="" textlink="">
      <xdr:nvSpPr>
        <xdr:cNvPr id="5728" name="Arrow: Down 5727">
          <a:extLst>
            <a:ext uri="{FF2B5EF4-FFF2-40B4-BE49-F238E27FC236}">
              <a16:creationId xmlns:a16="http://schemas.microsoft.com/office/drawing/2014/main" id="{810BC575-F601-42CA-A2A9-75AA5210DEC3}"/>
            </a:ext>
          </a:extLst>
        </xdr:cNvPr>
        <xdr:cNvSpPr/>
      </xdr:nvSpPr>
      <xdr:spPr>
        <a:xfrm rot="10800000">
          <a:off x="13403580" y="1367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748</xdr:row>
      <xdr:rowOff>0</xdr:rowOff>
    </xdr:from>
    <xdr:to>
      <xdr:col>71</xdr:col>
      <xdr:colOff>83820</xdr:colOff>
      <xdr:row>748</xdr:row>
      <xdr:rowOff>114300</xdr:rowOff>
    </xdr:to>
    <xdr:sp macro="" textlink="">
      <xdr:nvSpPr>
        <xdr:cNvPr id="5729" name="Arrow: Down 5728">
          <a:extLst>
            <a:ext uri="{FF2B5EF4-FFF2-40B4-BE49-F238E27FC236}">
              <a16:creationId xmlns:a16="http://schemas.microsoft.com/office/drawing/2014/main" id="{CDB13656-9D9A-4FAB-A13B-B2CD35FEAE13}"/>
            </a:ext>
          </a:extLst>
        </xdr:cNvPr>
        <xdr:cNvSpPr/>
      </xdr:nvSpPr>
      <xdr:spPr>
        <a:xfrm>
          <a:off x="21960840" y="1367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748</xdr:row>
      <xdr:rowOff>0</xdr:rowOff>
    </xdr:from>
    <xdr:to>
      <xdr:col>24</xdr:col>
      <xdr:colOff>83820</xdr:colOff>
      <xdr:row>748</xdr:row>
      <xdr:rowOff>114300</xdr:rowOff>
    </xdr:to>
    <xdr:sp macro="" textlink="">
      <xdr:nvSpPr>
        <xdr:cNvPr id="5732" name="Arrow: Down 5731">
          <a:extLst>
            <a:ext uri="{FF2B5EF4-FFF2-40B4-BE49-F238E27FC236}">
              <a16:creationId xmlns:a16="http://schemas.microsoft.com/office/drawing/2014/main" id="{78E2CA00-A191-4032-BAC9-852FD451C97D}"/>
            </a:ext>
          </a:extLst>
        </xdr:cNvPr>
        <xdr:cNvSpPr/>
      </xdr:nvSpPr>
      <xdr:spPr>
        <a:xfrm rot="10800000">
          <a:off x="833628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748</xdr:row>
      <xdr:rowOff>0</xdr:rowOff>
    </xdr:from>
    <xdr:to>
      <xdr:col>11</xdr:col>
      <xdr:colOff>83820</xdr:colOff>
      <xdr:row>748</xdr:row>
      <xdr:rowOff>114300</xdr:rowOff>
    </xdr:to>
    <xdr:sp macro="" textlink="">
      <xdr:nvSpPr>
        <xdr:cNvPr id="5733" name="Arrow: Down 5732">
          <a:extLst>
            <a:ext uri="{FF2B5EF4-FFF2-40B4-BE49-F238E27FC236}">
              <a16:creationId xmlns:a16="http://schemas.microsoft.com/office/drawing/2014/main" id="{239B7AB3-29D0-46C4-A8C6-03282B8784CE}"/>
            </a:ext>
          </a:extLst>
        </xdr:cNvPr>
        <xdr:cNvSpPr/>
      </xdr:nvSpPr>
      <xdr:spPr>
        <a:xfrm rot="10800000">
          <a:off x="369570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748</xdr:row>
      <xdr:rowOff>0</xdr:rowOff>
    </xdr:from>
    <xdr:to>
      <xdr:col>5</xdr:col>
      <xdr:colOff>83820</xdr:colOff>
      <xdr:row>748</xdr:row>
      <xdr:rowOff>114300</xdr:rowOff>
    </xdr:to>
    <xdr:sp macro="" textlink="">
      <xdr:nvSpPr>
        <xdr:cNvPr id="5734" name="Arrow: Down 5733">
          <a:extLst>
            <a:ext uri="{FF2B5EF4-FFF2-40B4-BE49-F238E27FC236}">
              <a16:creationId xmlns:a16="http://schemas.microsoft.com/office/drawing/2014/main" id="{F8AE4E44-6DB5-44D3-86B0-58A0DC8932CD}"/>
            </a:ext>
          </a:extLst>
        </xdr:cNvPr>
        <xdr:cNvSpPr/>
      </xdr:nvSpPr>
      <xdr:spPr>
        <a:xfrm rot="10800000">
          <a:off x="192786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748</xdr:row>
      <xdr:rowOff>0</xdr:rowOff>
    </xdr:from>
    <xdr:to>
      <xdr:col>39</xdr:col>
      <xdr:colOff>83820</xdr:colOff>
      <xdr:row>748</xdr:row>
      <xdr:rowOff>114300</xdr:rowOff>
    </xdr:to>
    <xdr:sp macro="" textlink="">
      <xdr:nvSpPr>
        <xdr:cNvPr id="5738" name="Arrow: Down 5737">
          <a:extLst>
            <a:ext uri="{FF2B5EF4-FFF2-40B4-BE49-F238E27FC236}">
              <a16:creationId xmlns:a16="http://schemas.microsoft.com/office/drawing/2014/main" id="{8B820AA4-1BED-4512-88E5-91DD12115E5E}"/>
            </a:ext>
          </a:extLst>
        </xdr:cNvPr>
        <xdr:cNvSpPr/>
      </xdr:nvSpPr>
      <xdr:spPr>
        <a:xfrm>
          <a:off x="11544300" y="1368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748</xdr:row>
      <xdr:rowOff>0</xdr:rowOff>
    </xdr:from>
    <xdr:to>
      <xdr:col>60</xdr:col>
      <xdr:colOff>83820</xdr:colOff>
      <xdr:row>748</xdr:row>
      <xdr:rowOff>114300</xdr:rowOff>
    </xdr:to>
    <xdr:sp macro="" textlink="">
      <xdr:nvSpPr>
        <xdr:cNvPr id="5740" name="Arrow: Down 5739">
          <a:extLst>
            <a:ext uri="{FF2B5EF4-FFF2-40B4-BE49-F238E27FC236}">
              <a16:creationId xmlns:a16="http://schemas.microsoft.com/office/drawing/2014/main" id="{C120E964-0AB6-4974-86C3-5FBB48406E6F}"/>
            </a:ext>
          </a:extLst>
        </xdr:cNvPr>
        <xdr:cNvSpPr/>
      </xdr:nvSpPr>
      <xdr:spPr>
        <a:xfrm rot="10800000">
          <a:off x="19080480" y="1368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749</xdr:row>
      <xdr:rowOff>0</xdr:rowOff>
    </xdr:from>
    <xdr:to>
      <xdr:col>64</xdr:col>
      <xdr:colOff>83820</xdr:colOff>
      <xdr:row>749</xdr:row>
      <xdr:rowOff>114300</xdr:rowOff>
    </xdr:to>
    <xdr:sp macro="" textlink="">
      <xdr:nvSpPr>
        <xdr:cNvPr id="5749" name="Arrow: Down 5748">
          <a:extLst>
            <a:ext uri="{FF2B5EF4-FFF2-40B4-BE49-F238E27FC236}">
              <a16:creationId xmlns:a16="http://schemas.microsoft.com/office/drawing/2014/main" id="{73FC150A-F3B8-4CFB-B25C-F88ADDDBD440}"/>
            </a:ext>
          </a:extLst>
        </xdr:cNvPr>
        <xdr:cNvSpPr/>
      </xdr:nvSpPr>
      <xdr:spPr>
        <a:xfrm rot="10800000">
          <a:off x="19347180" y="1368933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749</xdr:row>
      <xdr:rowOff>0</xdr:rowOff>
    </xdr:from>
    <xdr:to>
      <xdr:col>45</xdr:col>
      <xdr:colOff>83820</xdr:colOff>
      <xdr:row>749</xdr:row>
      <xdr:rowOff>114300</xdr:rowOff>
    </xdr:to>
    <xdr:sp macro="" textlink="">
      <xdr:nvSpPr>
        <xdr:cNvPr id="5750" name="Arrow: Down 5749">
          <a:extLst>
            <a:ext uri="{FF2B5EF4-FFF2-40B4-BE49-F238E27FC236}">
              <a16:creationId xmlns:a16="http://schemas.microsoft.com/office/drawing/2014/main" id="{EBCE407C-2C9F-459C-B314-EE7E63D7C034}"/>
            </a:ext>
          </a:extLst>
        </xdr:cNvPr>
        <xdr:cNvSpPr/>
      </xdr:nvSpPr>
      <xdr:spPr>
        <a:xfrm rot="10800000">
          <a:off x="13403580" y="136893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749</xdr:row>
      <xdr:rowOff>0</xdr:rowOff>
    </xdr:from>
    <xdr:to>
      <xdr:col>71</xdr:col>
      <xdr:colOff>83820</xdr:colOff>
      <xdr:row>749</xdr:row>
      <xdr:rowOff>114300</xdr:rowOff>
    </xdr:to>
    <xdr:sp macro="" textlink="">
      <xdr:nvSpPr>
        <xdr:cNvPr id="5751" name="Arrow: Down 5750">
          <a:extLst>
            <a:ext uri="{FF2B5EF4-FFF2-40B4-BE49-F238E27FC236}">
              <a16:creationId xmlns:a16="http://schemas.microsoft.com/office/drawing/2014/main" id="{BB922B07-15DE-4EB1-8467-BC82FE61F73A}"/>
            </a:ext>
          </a:extLst>
        </xdr:cNvPr>
        <xdr:cNvSpPr/>
      </xdr:nvSpPr>
      <xdr:spPr>
        <a:xfrm>
          <a:off x="21960840" y="13689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749</xdr:row>
      <xdr:rowOff>0</xdr:rowOff>
    </xdr:from>
    <xdr:to>
      <xdr:col>24</xdr:col>
      <xdr:colOff>83820</xdr:colOff>
      <xdr:row>749</xdr:row>
      <xdr:rowOff>114300</xdr:rowOff>
    </xdr:to>
    <xdr:sp macro="" textlink="">
      <xdr:nvSpPr>
        <xdr:cNvPr id="5752" name="Arrow: Down 5751">
          <a:extLst>
            <a:ext uri="{FF2B5EF4-FFF2-40B4-BE49-F238E27FC236}">
              <a16:creationId xmlns:a16="http://schemas.microsoft.com/office/drawing/2014/main" id="{A37E543F-5120-45B9-BAB3-CDAE7E4E7A78}"/>
            </a:ext>
          </a:extLst>
        </xdr:cNvPr>
        <xdr:cNvSpPr/>
      </xdr:nvSpPr>
      <xdr:spPr>
        <a:xfrm rot="10800000">
          <a:off x="8336280" y="1368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749</xdr:row>
      <xdr:rowOff>0</xdr:rowOff>
    </xdr:from>
    <xdr:to>
      <xdr:col>11</xdr:col>
      <xdr:colOff>83820</xdr:colOff>
      <xdr:row>749</xdr:row>
      <xdr:rowOff>114300</xdr:rowOff>
    </xdr:to>
    <xdr:sp macro="" textlink="">
      <xdr:nvSpPr>
        <xdr:cNvPr id="5753" name="Arrow: Down 5752">
          <a:extLst>
            <a:ext uri="{FF2B5EF4-FFF2-40B4-BE49-F238E27FC236}">
              <a16:creationId xmlns:a16="http://schemas.microsoft.com/office/drawing/2014/main" id="{11C3201F-77EB-479A-82AA-463299BE0771}"/>
            </a:ext>
          </a:extLst>
        </xdr:cNvPr>
        <xdr:cNvSpPr/>
      </xdr:nvSpPr>
      <xdr:spPr>
        <a:xfrm rot="10800000">
          <a:off x="3695700" y="1368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749</xdr:row>
      <xdr:rowOff>0</xdr:rowOff>
    </xdr:from>
    <xdr:to>
      <xdr:col>5</xdr:col>
      <xdr:colOff>83820</xdr:colOff>
      <xdr:row>749</xdr:row>
      <xdr:rowOff>114300</xdr:rowOff>
    </xdr:to>
    <xdr:sp macro="" textlink="">
      <xdr:nvSpPr>
        <xdr:cNvPr id="5754" name="Arrow: Down 5753">
          <a:extLst>
            <a:ext uri="{FF2B5EF4-FFF2-40B4-BE49-F238E27FC236}">
              <a16:creationId xmlns:a16="http://schemas.microsoft.com/office/drawing/2014/main" id="{D399B636-BF60-4B34-9016-82B2DDCB784D}"/>
            </a:ext>
          </a:extLst>
        </xdr:cNvPr>
        <xdr:cNvSpPr/>
      </xdr:nvSpPr>
      <xdr:spPr>
        <a:xfrm rot="10800000">
          <a:off x="1927860" y="1368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749</xdr:row>
      <xdr:rowOff>0</xdr:rowOff>
    </xdr:from>
    <xdr:to>
      <xdr:col>39</xdr:col>
      <xdr:colOff>83820</xdr:colOff>
      <xdr:row>749</xdr:row>
      <xdr:rowOff>114300</xdr:rowOff>
    </xdr:to>
    <xdr:sp macro="" textlink="">
      <xdr:nvSpPr>
        <xdr:cNvPr id="5757" name="Arrow: Down 5756">
          <a:extLst>
            <a:ext uri="{FF2B5EF4-FFF2-40B4-BE49-F238E27FC236}">
              <a16:creationId xmlns:a16="http://schemas.microsoft.com/office/drawing/2014/main" id="{12C5346E-B53E-405E-A412-CBC9D03A189A}"/>
            </a:ext>
          </a:extLst>
        </xdr:cNvPr>
        <xdr:cNvSpPr/>
      </xdr:nvSpPr>
      <xdr:spPr>
        <a:xfrm rot="10800000">
          <a:off x="11544300" y="137076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749</xdr:row>
      <xdr:rowOff>0</xdr:rowOff>
    </xdr:from>
    <xdr:to>
      <xdr:col>60</xdr:col>
      <xdr:colOff>83820</xdr:colOff>
      <xdr:row>749</xdr:row>
      <xdr:rowOff>114300</xdr:rowOff>
    </xdr:to>
    <xdr:sp macro="" textlink="">
      <xdr:nvSpPr>
        <xdr:cNvPr id="5759" name="Arrow: Down 5758">
          <a:extLst>
            <a:ext uri="{FF2B5EF4-FFF2-40B4-BE49-F238E27FC236}">
              <a16:creationId xmlns:a16="http://schemas.microsoft.com/office/drawing/2014/main" id="{D429B520-1263-48F2-8066-D86B69E89706}"/>
            </a:ext>
          </a:extLst>
        </xdr:cNvPr>
        <xdr:cNvSpPr/>
      </xdr:nvSpPr>
      <xdr:spPr>
        <a:xfrm>
          <a:off x="19080480" y="1370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750</xdr:row>
      <xdr:rowOff>0</xdr:rowOff>
    </xdr:from>
    <xdr:to>
      <xdr:col>64</xdr:col>
      <xdr:colOff>83820</xdr:colOff>
      <xdr:row>750</xdr:row>
      <xdr:rowOff>114300</xdr:rowOff>
    </xdr:to>
    <xdr:sp macro="" textlink="">
      <xdr:nvSpPr>
        <xdr:cNvPr id="5768" name="Arrow: Down 5767">
          <a:extLst>
            <a:ext uri="{FF2B5EF4-FFF2-40B4-BE49-F238E27FC236}">
              <a16:creationId xmlns:a16="http://schemas.microsoft.com/office/drawing/2014/main" id="{3F88C10C-398A-4C2D-AE9E-224AEB62A236}"/>
            </a:ext>
          </a:extLst>
        </xdr:cNvPr>
        <xdr:cNvSpPr/>
      </xdr:nvSpPr>
      <xdr:spPr>
        <a:xfrm rot="10800000">
          <a:off x="19347180" y="1370761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750</xdr:row>
      <xdr:rowOff>0</xdr:rowOff>
    </xdr:from>
    <xdr:to>
      <xdr:col>45</xdr:col>
      <xdr:colOff>83820</xdr:colOff>
      <xdr:row>750</xdr:row>
      <xdr:rowOff>114300</xdr:rowOff>
    </xdr:to>
    <xdr:sp macro="" textlink="">
      <xdr:nvSpPr>
        <xdr:cNvPr id="5769" name="Arrow: Down 5768">
          <a:extLst>
            <a:ext uri="{FF2B5EF4-FFF2-40B4-BE49-F238E27FC236}">
              <a16:creationId xmlns:a16="http://schemas.microsoft.com/office/drawing/2014/main" id="{EF814CCE-C57F-4802-A814-9870FF69E136}"/>
            </a:ext>
          </a:extLst>
        </xdr:cNvPr>
        <xdr:cNvSpPr/>
      </xdr:nvSpPr>
      <xdr:spPr>
        <a:xfrm rot="10800000">
          <a:off x="13403580" y="137076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750</xdr:row>
      <xdr:rowOff>0</xdr:rowOff>
    </xdr:from>
    <xdr:to>
      <xdr:col>71</xdr:col>
      <xdr:colOff>83820</xdr:colOff>
      <xdr:row>750</xdr:row>
      <xdr:rowOff>114300</xdr:rowOff>
    </xdr:to>
    <xdr:sp macro="" textlink="">
      <xdr:nvSpPr>
        <xdr:cNvPr id="5770" name="Arrow: Down 5769">
          <a:extLst>
            <a:ext uri="{FF2B5EF4-FFF2-40B4-BE49-F238E27FC236}">
              <a16:creationId xmlns:a16="http://schemas.microsoft.com/office/drawing/2014/main" id="{FC828C0A-AB23-41F3-86E2-E3AB48D70740}"/>
            </a:ext>
          </a:extLst>
        </xdr:cNvPr>
        <xdr:cNvSpPr/>
      </xdr:nvSpPr>
      <xdr:spPr>
        <a:xfrm>
          <a:off x="21960840" y="1370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750</xdr:row>
      <xdr:rowOff>0</xdr:rowOff>
    </xdr:from>
    <xdr:to>
      <xdr:col>11</xdr:col>
      <xdr:colOff>83820</xdr:colOff>
      <xdr:row>750</xdr:row>
      <xdr:rowOff>114300</xdr:rowOff>
    </xdr:to>
    <xdr:sp macro="" textlink="">
      <xdr:nvSpPr>
        <xdr:cNvPr id="5772" name="Arrow: Down 5771">
          <a:extLst>
            <a:ext uri="{FF2B5EF4-FFF2-40B4-BE49-F238E27FC236}">
              <a16:creationId xmlns:a16="http://schemas.microsoft.com/office/drawing/2014/main" id="{6A87CBD4-ADEF-45DD-9FF4-4DB7FD4069A1}"/>
            </a:ext>
          </a:extLst>
        </xdr:cNvPr>
        <xdr:cNvSpPr/>
      </xdr:nvSpPr>
      <xdr:spPr>
        <a:xfrm rot="10800000">
          <a:off x="3695700" y="1370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750</xdr:row>
      <xdr:rowOff>0</xdr:rowOff>
    </xdr:from>
    <xdr:to>
      <xdr:col>5</xdr:col>
      <xdr:colOff>83820</xdr:colOff>
      <xdr:row>750</xdr:row>
      <xdr:rowOff>114300</xdr:rowOff>
    </xdr:to>
    <xdr:sp macro="" textlink="">
      <xdr:nvSpPr>
        <xdr:cNvPr id="5773" name="Arrow: Down 5772">
          <a:extLst>
            <a:ext uri="{FF2B5EF4-FFF2-40B4-BE49-F238E27FC236}">
              <a16:creationId xmlns:a16="http://schemas.microsoft.com/office/drawing/2014/main" id="{9749DCCB-DE06-4C31-8483-1B0502A938B7}"/>
            </a:ext>
          </a:extLst>
        </xdr:cNvPr>
        <xdr:cNvSpPr/>
      </xdr:nvSpPr>
      <xdr:spPr>
        <a:xfrm rot="10800000">
          <a:off x="1927860" y="1370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750</xdr:row>
      <xdr:rowOff>0</xdr:rowOff>
    </xdr:from>
    <xdr:to>
      <xdr:col>24</xdr:col>
      <xdr:colOff>83820</xdr:colOff>
      <xdr:row>750</xdr:row>
      <xdr:rowOff>114300</xdr:rowOff>
    </xdr:to>
    <xdr:sp macro="" textlink="">
      <xdr:nvSpPr>
        <xdr:cNvPr id="5777" name="Arrow: Down 5776">
          <a:extLst>
            <a:ext uri="{FF2B5EF4-FFF2-40B4-BE49-F238E27FC236}">
              <a16:creationId xmlns:a16="http://schemas.microsoft.com/office/drawing/2014/main" id="{F5138D44-C204-4475-81EB-29EBAACCD102}"/>
            </a:ext>
          </a:extLst>
        </xdr:cNvPr>
        <xdr:cNvSpPr/>
      </xdr:nvSpPr>
      <xdr:spPr>
        <a:xfrm>
          <a:off x="8336280" y="13725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750</xdr:row>
      <xdr:rowOff>0</xdr:rowOff>
    </xdr:from>
    <xdr:to>
      <xdr:col>39</xdr:col>
      <xdr:colOff>83820</xdr:colOff>
      <xdr:row>750</xdr:row>
      <xdr:rowOff>114300</xdr:rowOff>
    </xdr:to>
    <xdr:sp macro="" textlink="">
      <xdr:nvSpPr>
        <xdr:cNvPr id="5779" name="Arrow: Down 5778">
          <a:extLst>
            <a:ext uri="{FF2B5EF4-FFF2-40B4-BE49-F238E27FC236}">
              <a16:creationId xmlns:a16="http://schemas.microsoft.com/office/drawing/2014/main" id="{BFB91782-5FEE-4396-8E2B-47A3B95DF002}"/>
            </a:ext>
          </a:extLst>
        </xdr:cNvPr>
        <xdr:cNvSpPr/>
      </xdr:nvSpPr>
      <xdr:spPr>
        <a:xfrm>
          <a:off x="11544300" y="1372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750</xdr:row>
      <xdr:rowOff>0</xdr:rowOff>
    </xdr:from>
    <xdr:to>
      <xdr:col>60</xdr:col>
      <xdr:colOff>83820</xdr:colOff>
      <xdr:row>750</xdr:row>
      <xdr:rowOff>114300</xdr:rowOff>
    </xdr:to>
    <xdr:sp macro="" textlink="">
      <xdr:nvSpPr>
        <xdr:cNvPr id="5782" name="Arrow: Down 5781">
          <a:extLst>
            <a:ext uri="{FF2B5EF4-FFF2-40B4-BE49-F238E27FC236}">
              <a16:creationId xmlns:a16="http://schemas.microsoft.com/office/drawing/2014/main" id="{6BE6A1F2-F431-4ED6-99A2-46777088F078}"/>
            </a:ext>
          </a:extLst>
        </xdr:cNvPr>
        <xdr:cNvSpPr/>
      </xdr:nvSpPr>
      <xdr:spPr>
        <a:xfrm rot="10800000">
          <a:off x="19080480" y="1372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751</xdr:row>
      <xdr:rowOff>0</xdr:rowOff>
    </xdr:from>
    <xdr:to>
      <xdr:col>64</xdr:col>
      <xdr:colOff>83820</xdr:colOff>
      <xdr:row>751</xdr:row>
      <xdr:rowOff>114300</xdr:rowOff>
    </xdr:to>
    <xdr:sp macro="" textlink="">
      <xdr:nvSpPr>
        <xdr:cNvPr id="5791" name="Arrow: Down 5790">
          <a:extLst>
            <a:ext uri="{FF2B5EF4-FFF2-40B4-BE49-F238E27FC236}">
              <a16:creationId xmlns:a16="http://schemas.microsoft.com/office/drawing/2014/main" id="{AECC44C3-5CFE-4E52-818C-D329D44BA8F2}"/>
            </a:ext>
          </a:extLst>
        </xdr:cNvPr>
        <xdr:cNvSpPr/>
      </xdr:nvSpPr>
      <xdr:spPr>
        <a:xfrm rot="10800000">
          <a:off x="19347180" y="1372590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751</xdr:row>
      <xdr:rowOff>0</xdr:rowOff>
    </xdr:from>
    <xdr:to>
      <xdr:col>45</xdr:col>
      <xdr:colOff>83820</xdr:colOff>
      <xdr:row>751</xdr:row>
      <xdr:rowOff>114300</xdr:rowOff>
    </xdr:to>
    <xdr:sp macro="" textlink="">
      <xdr:nvSpPr>
        <xdr:cNvPr id="5792" name="Arrow: Down 5791">
          <a:extLst>
            <a:ext uri="{FF2B5EF4-FFF2-40B4-BE49-F238E27FC236}">
              <a16:creationId xmlns:a16="http://schemas.microsoft.com/office/drawing/2014/main" id="{5A65AF3D-6B61-4683-B47C-31ED9B56BD67}"/>
            </a:ext>
          </a:extLst>
        </xdr:cNvPr>
        <xdr:cNvSpPr/>
      </xdr:nvSpPr>
      <xdr:spPr>
        <a:xfrm rot="10800000">
          <a:off x="13403580" y="137259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751</xdr:row>
      <xdr:rowOff>0</xdr:rowOff>
    </xdr:from>
    <xdr:to>
      <xdr:col>71</xdr:col>
      <xdr:colOff>83820</xdr:colOff>
      <xdr:row>751</xdr:row>
      <xdr:rowOff>114300</xdr:rowOff>
    </xdr:to>
    <xdr:sp macro="" textlink="">
      <xdr:nvSpPr>
        <xdr:cNvPr id="5793" name="Arrow: Down 5792">
          <a:extLst>
            <a:ext uri="{FF2B5EF4-FFF2-40B4-BE49-F238E27FC236}">
              <a16:creationId xmlns:a16="http://schemas.microsoft.com/office/drawing/2014/main" id="{89F30498-6C26-4714-BC97-6D9B7C01063A}"/>
            </a:ext>
          </a:extLst>
        </xdr:cNvPr>
        <xdr:cNvSpPr/>
      </xdr:nvSpPr>
      <xdr:spPr>
        <a:xfrm>
          <a:off x="21960840" y="13725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751</xdr:row>
      <xdr:rowOff>0</xdr:rowOff>
    </xdr:from>
    <xdr:to>
      <xdr:col>39</xdr:col>
      <xdr:colOff>83820</xdr:colOff>
      <xdr:row>751</xdr:row>
      <xdr:rowOff>114300</xdr:rowOff>
    </xdr:to>
    <xdr:sp macro="" textlink="">
      <xdr:nvSpPr>
        <xdr:cNvPr id="5797" name="Arrow: Down 5796">
          <a:extLst>
            <a:ext uri="{FF2B5EF4-FFF2-40B4-BE49-F238E27FC236}">
              <a16:creationId xmlns:a16="http://schemas.microsoft.com/office/drawing/2014/main" id="{D5010FB3-064F-461A-AAF3-3AA75EF31C58}"/>
            </a:ext>
          </a:extLst>
        </xdr:cNvPr>
        <xdr:cNvSpPr/>
      </xdr:nvSpPr>
      <xdr:spPr>
        <a:xfrm>
          <a:off x="11544300" y="1372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751</xdr:row>
      <xdr:rowOff>0</xdr:rowOff>
    </xdr:from>
    <xdr:to>
      <xdr:col>60</xdr:col>
      <xdr:colOff>83820</xdr:colOff>
      <xdr:row>751</xdr:row>
      <xdr:rowOff>114300</xdr:rowOff>
    </xdr:to>
    <xdr:sp macro="" textlink="">
      <xdr:nvSpPr>
        <xdr:cNvPr id="5798" name="Arrow: Down 5797">
          <a:extLst>
            <a:ext uri="{FF2B5EF4-FFF2-40B4-BE49-F238E27FC236}">
              <a16:creationId xmlns:a16="http://schemas.microsoft.com/office/drawing/2014/main" id="{D3B5C179-EF78-4A72-A967-BA36FA12BDCE}"/>
            </a:ext>
          </a:extLst>
        </xdr:cNvPr>
        <xdr:cNvSpPr/>
      </xdr:nvSpPr>
      <xdr:spPr>
        <a:xfrm rot="10800000">
          <a:off x="19080480" y="1372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751</xdr:row>
      <xdr:rowOff>0</xdr:rowOff>
    </xdr:from>
    <xdr:to>
      <xdr:col>5</xdr:col>
      <xdr:colOff>83820</xdr:colOff>
      <xdr:row>751</xdr:row>
      <xdr:rowOff>114300</xdr:rowOff>
    </xdr:to>
    <xdr:sp macro="" textlink="">
      <xdr:nvSpPr>
        <xdr:cNvPr id="5800" name="Arrow: Down 5799">
          <a:extLst>
            <a:ext uri="{FF2B5EF4-FFF2-40B4-BE49-F238E27FC236}">
              <a16:creationId xmlns:a16="http://schemas.microsoft.com/office/drawing/2014/main" id="{0A592F99-0113-4F9F-926C-9CA021631A53}"/>
            </a:ext>
          </a:extLst>
        </xdr:cNvPr>
        <xdr:cNvSpPr/>
      </xdr:nvSpPr>
      <xdr:spPr>
        <a:xfrm>
          <a:off x="1927860" y="1374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751</xdr:row>
      <xdr:rowOff>0</xdr:rowOff>
    </xdr:from>
    <xdr:to>
      <xdr:col>11</xdr:col>
      <xdr:colOff>83820</xdr:colOff>
      <xdr:row>751</xdr:row>
      <xdr:rowOff>114300</xdr:rowOff>
    </xdr:to>
    <xdr:sp macro="" textlink="">
      <xdr:nvSpPr>
        <xdr:cNvPr id="5802" name="Arrow: Down 5801">
          <a:extLst>
            <a:ext uri="{FF2B5EF4-FFF2-40B4-BE49-F238E27FC236}">
              <a16:creationId xmlns:a16="http://schemas.microsoft.com/office/drawing/2014/main" id="{5DEE3F5C-E31B-4B70-9812-7CC825EE733F}"/>
            </a:ext>
          </a:extLst>
        </xdr:cNvPr>
        <xdr:cNvSpPr/>
      </xdr:nvSpPr>
      <xdr:spPr>
        <a:xfrm>
          <a:off x="3695700" y="1374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751</xdr:row>
      <xdr:rowOff>0</xdr:rowOff>
    </xdr:from>
    <xdr:to>
      <xdr:col>24</xdr:col>
      <xdr:colOff>83820</xdr:colOff>
      <xdr:row>751</xdr:row>
      <xdr:rowOff>114300</xdr:rowOff>
    </xdr:to>
    <xdr:sp macro="" textlink="">
      <xdr:nvSpPr>
        <xdr:cNvPr id="5804" name="Arrow: Down 5803">
          <a:extLst>
            <a:ext uri="{FF2B5EF4-FFF2-40B4-BE49-F238E27FC236}">
              <a16:creationId xmlns:a16="http://schemas.microsoft.com/office/drawing/2014/main" id="{66F1E0DD-8F97-4875-99A6-360B85109555}"/>
            </a:ext>
          </a:extLst>
        </xdr:cNvPr>
        <xdr:cNvSpPr/>
      </xdr:nvSpPr>
      <xdr:spPr>
        <a:xfrm rot="10800000">
          <a:off x="8336280" y="1374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752</xdr:row>
      <xdr:rowOff>0</xdr:rowOff>
    </xdr:from>
    <xdr:to>
      <xdr:col>64</xdr:col>
      <xdr:colOff>83820</xdr:colOff>
      <xdr:row>752</xdr:row>
      <xdr:rowOff>114300</xdr:rowOff>
    </xdr:to>
    <xdr:sp macro="" textlink="">
      <xdr:nvSpPr>
        <xdr:cNvPr id="5813" name="Arrow: Down 5812">
          <a:extLst>
            <a:ext uri="{FF2B5EF4-FFF2-40B4-BE49-F238E27FC236}">
              <a16:creationId xmlns:a16="http://schemas.microsoft.com/office/drawing/2014/main" id="{471D1365-C142-4E16-804E-90A05E3EE77E}"/>
            </a:ext>
          </a:extLst>
        </xdr:cNvPr>
        <xdr:cNvSpPr/>
      </xdr:nvSpPr>
      <xdr:spPr>
        <a:xfrm rot="10800000">
          <a:off x="19347180" y="1374419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752</xdr:row>
      <xdr:rowOff>0</xdr:rowOff>
    </xdr:from>
    <xdr:to>
      <xdr:col>45</xdr:col>
      <xdr:colOff>83820</xdr:colOff>
      <xdr:row>752</xdr:row>
      <xdr:rowOff>114300</xdr:rowOff>
    </xdr:to>
    <xdr:sp macro="" textlink="">
      <xdr:nvSpPr>
        <xdr:cNvPr id="5814" name="Arrow: Down 5813">
          <a:extLst>
            <a:ext uri="{FF2B5EF4-FFF2-40B4-BE49-F238E27FC236}">
              <a16:creationId xmlns:a16="http://schemas.microsoft.com/office/drawing/2014/main" id="{5D0ADE34-B828-45A8-B17F-691EC9EF6D8C}"/>
            </a:ext>
          </a:extLst>
        </xdr:cNvPr>
        <xdr:cNvSpPr/>
      </xdr:nvSpPr>
      <xdr:spPr>
        <a:xfrm rot="10800000">
          <a:off x="13403580" y="137441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752</xdr:row>
      <xdr:rowOff>0</xdr:rowOff>
    </xdr:from>
    <xdr:to>
      <xdr:col>71</xdr:col>
      <xdr:colOff>83820</xdr:colOff>
      <xdr:row>752</xdr:row>
      <xdr:rowOff>114300</xdr:rowOff>
    </xdr:to>
    <xdr:sp macro="" textlink="">
      <xdr:nvSpPr>
        <xdr:cNvPr id="5815" name="Arrow: Down 5814">
          <a:extLst>
            <a:ext uri="{FF2B5EF4-FFF2-40B4-BE49-F238E27FC236}">
              <a16:creationId xmlns:a16="http://schemas.microsoft.com/office/drawing/2014/main" id="{5290A2FB-245B-45F8-8802-4BCACF78E143}"/>
            </a:ext>
          </a:extLst>
        </xdr:cNvPr>
        <xdr:cNvSpPr/>
      </xdr:nvSpPr>
      <xdr:spPr>
        <a:xfrm>
          <a:off x="21960840" y="1374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752</xdr:row>
      <xdr:rowOff>0</xdr:rowOff>
    </xdr:from>
    <xdr:to>
      <xdr:col>39</xdr:col>
      <xdr:colOff>83820</xdr:colOff>
      <xdr:row>752</xdr:row>
      <xdr:rowOff>114300</xdr:rowOff>
    </xdr:to>
    <xdr:sp macro="" textlink="">
      <xdr:nvSpPr>
        <xdr:cNvPr id="5816" name="Arrow: Down 5815">
          <a:extLst>
            <a:ext uri="{FF2B5EF4-FFF2-40B4-BE49-F238E27FC236}">
              <a16:creationId xmlns:a16="http://schemas.microsoft.com/office/drawing/2014/main" id="{FD11647B-D3A7-442F-AB64-FB1367BB1903}"/>
            </a:ext>
          </a:extLst>
        </xdr:cNvPr>
        <xdr:cNvSpPr/>
      </xdr:nvSpPr>
      <xdr:spPr>
        <a:xfrm>
          <a:off x="11544300" y="1374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752</xdr:row>
      <xdr:rowOff>0</xdr:rowOff>
    </xdr:from>
    <xdr:to>
      <xdr:col>60</xdr:col>
      <xdr:colOff>83820</xdr:colOff>
      <xdr:row>752</xdr:row>
      <xdr:rowOff>114300</xdr:rowOff>
    </xdr:to>
    <xdr:sp macro="" textlink="">
      <xdr:nvSpPr>
        <xdr:cNvPr id="5817" name="Arrow: Down 5816">
          <a:extLst>
            <a:ext uri="{FF2B5EF4-FFF2-40B4-BE49-F238E27FC236}">
              <a16:creationId xmlns:a16="http://schemas.microsoft.com/office/drawing/2014/main" id="{71E278CF-E2A4-487C-B0FB-B181BC306FF1}"/>
            </a:ext>
          </a:extLst>
        </xdr:cNvPr>
        <xdr:cNvSpPr/>
      </xdr:nvSpPr>
      <xdr:spPr>
        <a:xfrm rot="10800000">
          <a:off x="19080480" y="1374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752</xdr:row>
      <xdr:rowOff>0</xdr:rowOff>
    </xdr:from>
    <xdr:to>
      <xdr:col>5</xdr:col>
      <xdr:colOff>83820</xdr:colOff>
      <xdr:row>752</xdr:row>
      <xdr:rowOff>114300</xdr:rowOff>
    </xdr:to>
    <xdr:sp macro="" textlink="">
      <xdr:nvSpPr>
        <xdr:cNvPr id="5818" name="Arrow: Down 5817">
          <a:extLst>
            <a:ext uri="{FF2B5EF4-FFF2-40B4-BE49-F238E27FC236}">
              <a16:creationId xmlns:a16="http://schemas.microsoft.com/office/drawing/2014/main" id="{F139862C-2639-4FA9-924B-6283EAE44C5A}"/>
            </a:ext>
          </a:extLst>
        </xdr:cNvPr>
        <xdr:cNvSpPr/>
      </xdr:nvSpPr>
      <xdr:spPr>
        <a:xfrm>
          <a:off x="1927860" y="1374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752</xdr:row>
      <xdr:rowOff>0</xdr:rowOff>
    </xdr:from>
    <xdr:to>
      <xdr:col>11</xdr:col>
      <xdr:colOff>83820</xdr:colOff>
      <xdr:row>752</xdr:row>
      <xdr:rowOff>114300</xdr:rowOff>
    </xdr:to>
    <xdr:sp macro="" textlink="">
      <xdr:nvSpPr>
        <xdr:cNvPr id="5819" name="Arrow: Down 5818">
          <a:extLst>
            <a:ext uri="{FF2B5EF4-FFF2-40B4-BE49-F238E27FC236}">
              <a16:creationId xmlns:a16="http://schemas.microsoft.com/office/drawing/2014/main" id="{9382475A-C7E2-45DE-896A-C98D28BB0FE4}"/>
            </a:ext>
          </a:extLst>
        </xdr:cNvPr>
        <xdr:cNvSpPr/>
      </xdr:nvSpPr>
      <xdr:spPr>
        <a:xfrm>
          <a:off x="3695700" y="1374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752</xdr:row>
      <xdr:rowOff>0</xdr:rowOff>
    </xdr:from>
    <xdr:to>
      <xdr:col>24</xdr:col>
      <xdr:colOff>83820</xdr:colOff>
      <xdr:row>752</xdr:row>
      <xdr:rowOff>114300</xdr:rowOff>
    </xdr:to>
    <xdr:sp macro="" textlink="">
      <xdr:nvSpPr>
        <xdr:cNvPr id="5822" name="Arrow: Down 5821">
          <a:extLst>
            <a:ext uri="{FF2B5EF4-FFF2-40B4-BE49-F238E27FC236}">
              <a16:creationId xmlns:a16="http://schemas.microsoft.com/office/drawing/2014/main" id="{67C6EABD-A446-4E34-A534-BB17C7D68502}"/>
            </a:ext>
          </a:extLst>
        </xdr:cNvPr>
        <xdr:cNvSpPr/>
      </xdr:nvSpPr>
      <xdr:spPr>
        <a:xfrm>
          <a:off x="8336280" y="1376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753</xdr:row>
      <xdr:rowOff>0</xdr:rowOff>
    </xdr:from>
    <xdr:to>
      <xdr:col>64</xdr:col>
      <xdr:colOff>83820</xdr:colOff>
      <xdr:row>753</xdr:row>
      <xdr:rowOff>114300</xdr:rowOff>
    </xdr:to>
    <xdr:sp macro="" textlink="">
      <xdr:nvSpPr>
        <xdr:cNvPr id="5831" name="Arrow: Down 5830">
          <a:extLst>
            <a:ext uri="{FF2B5EF4-FFF2-40B4-BE49-F238E27FC236}">
              <a16:creationId xmlns:a16="http://schemas.microsoft.com/office/drawing/2014/main" id="{8436CC36-2E0D-45B4-9845-669A72EA78EF}"/>
            </a:ext>
          </a:extLst>
        </xdr:cNvPr>
        <xdr:cNvSpPr/>
      </xdr:nvSpPr>
      <xdr:spPr>
        <a:xfrm rot="10800000">
          <a:off x="19347180" y="1376248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753</xdr:row>
      <xdr:rowOff>0</xdr:rowOff>
    </xdr:from>
    <xdr:to>
      <xdr:col>45</xdr:col>
      <xdr:colOff>83820</xdr:colOff>
      <xdr:row>753</xdr:row>
      <xdr:rowOff>114300</xdr:rowOff>
    </xdr:to>
    <xdr:sp macro="" textlink="">
      <xdr:nvSpPr>
        <xdr:cNvPr id="5832" name="Arrow: Down 5831">
          <a:extLst>
            <a:ext uri="{FF2B5EF4-FFF2-40B4-BE49-F238E27FC236}">
              <a16:creationId xmlns:a16="http://schemas.microsoft.com/office/drawing/2014/main" id="{F50355DF-2B91-4F3B-AF8F-2B606DF21CC3}"/>
            </a:ext>
          </a:extLst>
        </xdr:cNvPr>
        <xdr:cNvSpPr/>
      </xdr:nvSpPr>
      <xdr:spPr>
        <a:xfrm rot="10800000">
          <a:off x="13403580" y="137624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753</xdr:row>
      <xdr:rowOff>0</xdr:rowOff>
    </xdr:from>
    <xdr:to>
      <xdr:col>71</xdr:col>
      <xdr:colOff>83820</xdr:colOff>
      <xdr:row>753</xdr:row>
      <xdr:rowOff>114300</xdr:rowOff>
    </xdr:to>
    <xdr:sp macro="" textlink="">
      <xdr:nvSpPr>
        <xdr:cNvPr id="5833" name="Arrow: Down 5832">
          <a:extLst>
            <a:ext uri="{FF2B5EF4-FFF2-40B4-BE49-F238E27FC236}">
              <a16:creationId xmlns:a16="http://schemas.microsoft.com/office/drawing/2014/main" id="{C0BA1705-59F4-4F21-B8CF-976FC63C56D2}"/>
            </a:ext>
          </a:extLst>
        </xdr:cNvPr>
        <xdr:cNvSpPr/>
      </xdr:nvSpPr>
      <xdr:spPr>
        <a:xfrm>
          <a:off x="21960840" y="1376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753</xdr:row>
      <xdr:rowOff>0</xdr:rowOff>
    </xdr:from>
    <xdr:to>
      <xdr:col>5</xdr:col>
      <xdr:colOff>83820</xdr:colOff>
      <xdr:row>753</xdr:row>
      <xdr:rowOff>114300</xdr:rowOff>
    </xdr:to>
    <xdr:sp macro="" textlink="">
      <xdr:nvSpPr>
        <xdr:cNvPr id="5836" name="Arrow: Down 5835">
          <a:extLst>
            <a:ext uri="{FF2B5EF4-FFF2-40B4-BE49-F238E27FC236}">
              <a16:creationId xmlns:a16="http://schemas.microsoft.com/office/drawing/2014/main" id="{402277D9-BA87-48AC-8C5D-1F049925467C}"/>
            </a:ext>
          </a:extLst>
        </xdr:cNvPr>
        <xdr:cNvSpPr/>
      </xdr:nvSpPr>
      <xdr:spPr>
        <a:xfrm>
          <a:off x="1927860" y="1376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753</xdr:row>
      <xdr:rowOff>0</xdr:rowOff>
    </xdr:from>
    <xdr:to>
      <xdr:col>11</xdr:col>
      <xdr:colOff>83820</xdr:colOff>
      <xdr:row>753</xdr:row>
      <xdr:rowOff>114300</xdr:rowOff>
    </xdr:to>
    <xdr:sp macro="" textlink="">
      <xdr:nvSpPr>
        <xdr:cNvPr id="5837" name="Arrow: Down 5836">
          <a:extLst>
            <a:ext uri="{FF2B5EF4-FFF2-40B4-BE49-F238E27FC236}">
              <a16:creationId xmlns:a16="http://schemas.microsoft.com/office/drawing/2014/main" id="{391109F3-B20A-40B2-8A47-BA871F1C6A33}"/>
            </a:ext>
          </a:extLst>
        </xdr:cNvPr>
        <xdr:cNvSpPr/>
      </xdr:nvSpPr>
      <xdr:spPr>
        <a:xfrm>
          <a:off x="3695700" y="1376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753</xdr:row>
      <xdr:rowOff>0</xdr:rowOff>
    </xdr:from>
    <xdr:to>
      <xdr:col>24</xdr:col>
      <xdr:colOff>83820</xdr:colOff>
      <xdr:row>753</xdr:row>
      <xdr:rowOff>114300</xdr:rowOff>
    </xdr:to>
    <xdr:sp macro="" textlink="">
      <xdr:nvSpPr>
        <xdr:cNvPr id="5838" name="Arrow: Down 5837">
          <a:extLst>
            <a:ext uri="{FF2B5EF4-FFF2-40B4-BE49-F238E27FC236}">
              <a16:creationId xmlns:a16="http://schemas.microsoft.com/office/drawing/2014/main" id="{4E016FDB-D25E-4C66-88DD-ECCBCE618B04}"/>
            </a:ext>
          </a:extLst>
        </xdr:cNvPr>
        <xdr:cNvSpPr/>
      </xdr:nvSpPr>
      <xdr:spPr>
        <a:xfrm>
          <a:off x="8336280" y="1376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753</xdr:row>
      <xdr:rowOff>0</xdr:rowOff>
    </xdr:from>
    <xdr:to>
      <xdr:col>39</xdr:col>
      <xdr:colOff>83820</xdr:colOff>
      <xdr:row>753</xdr:row>
      <xdr:rowOff>114300</xdr:rowOff>
    </xdr:to>
    <xdr:sp macro="" textlink="">
      <xdr:nvSpPr>
        <xdr:cNvPr id="5840" name="Arrow: Down 5839">
          <a:extLst>
            <a:ext uri="{FF2B5EF4-FFF2-40B4-BE49-F238E27FC236}">
              <a16:creationId xmlns:a16="http://schemas.microsoft.com/office/drawing/2014/main" id="{8122D2E2-7E5D-4458-819B-64855D729C1F}"/>
            </a:ext>
          </a:extLst>
        </xdr:cNvPr>
        <xdr:cNvSpPr/>
      </xdr:nvSpPr>
      <xdr:spPr>
        <a:xfrm rot="10800000">
          <a:off x="11544300" y="137807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754</xdr:row>
      <xdr:rowOff>0</xdr:rowOff>
    </xdr:from>
    <xdr:to>
      <xdr:col>64</xdr:col>
      <xdr:colOff>83820</xdr:colOff>
      <xdr:row>754</xdr:row>
      <xdr:rowOff>114300</xdr:rowOff>
    </xdr:to>
    <xdr:sp macro="" textlink="">
      <xdr:nvSpPr>
        <xdr:cNvPr id="5849" name="Arrow: Down 5848">
          <a:extLst>
            <a:ext uri="{FF2B5EF4-FFF2-40B4-BE49-F238E27FC236}">
              <a16:creationId xmlns:a16="http://schemas.microsoft.com/office/drawing/2014/main" id="{C2538BCC-3E2A-4AA9-B1C7-7EA7727D7EA5}"/>
            </a:ext>
          </a:extLst>
        </xdr:cNvPr>
        <xdr:cNvSpPr/>
      </xdr:nvSpPr>
      <xdr:spPr>
        <a:xfrm rot="10800000">
          <a:off x="19347180" y="1378077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754</xdr:row>
      <xdr:rowOff>0</xdr:rowOff>
    </xdr:from>
    <xdr:to>
      <xdr:col>45</xdr:col>
      <xdr:colOff>83820</xdr:colOff>
      <xdr:row>754</xdr:row>
      <xdr:rowOff>114300</xdr:rowOff>
    </xdr:to>
    <xdr:sp macro="" textlink="">
      <xdr:nvSpPr>
        <xdr:cNvPr id="5850" name="Arrow: Down 5849">
          <a:extLst>
            <a:ext uri="{FF2B5EF4-FFF2-40B4-BE49-F238E27FC236}">
              <a16:creationId xmlns:a16="http://schemas.microsoft.com/office/drawing/2014/main" id="{3428C5F1-0710-4E13-8821-755567E8D58B}"/>
            </a:ext>
          </a:extLst>
        </xdr:cNvPr>
        <xdr:cNvSpPr/>
      </xdr:nvSpPr>
      <xdr:spPr>
        <a:xfrm rot="10800000">
          <a:off x="13403580" y="137807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754</xdr:row>
      <xdr:rowOff>0</xdr:rowOff>
    </xdr:from>
    <xdr:to>
      <xdr:col>71</xdr:col>
      <xdr:colOff>83820</xdr:colOff>
      <xdr:row>754</xdr:row>
      <xdr:rowOff>114300</xdr:rowOff>
    </xdr:to>
    <xdr:sp macro="" textlink="">
      <xdr:nvSpPr>
        <xdr:cNvPr id="5851" name="Arrow: Down 5850">
          <a:extLst>
            <a:ext uri="{FF2B5EF4-FFF2-40B4-BE49-F238E27FC236}">
              <a16:creationId xmlns:a16="http://schemas.microsoft.com/office/drawing/2014/main" id="{38839432-9E16-4CC7-8CC8-1BA9B495D3E5}"/>
            </a:ext>
          </a:extLst>
        </xdr:cNvPr>
        <xdr:cNvSpPr/>
      </xdr:nvSpPr>
      <xdr:spPr>
        <a:xfrm>
          <a:off x="21960840" y="1378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754</xdr:row>
      <xdr:rowOff>0</xdr:rowOff>
    </xdr:from>
    <xdr:to>
      <xdr:col>39</xdr:col>
      <xdr:colOff>83820</xdr:colOff>
      <xdr:row>754</xdr:row>
      <xdr:rowOff>114300</xdr:rowOff>
    </xdr:to>
    <xdr:sp macro="" textlink="">
      <xdr:nvSpPr>
        <xdr:cNvPr id="5856" name="Arrow: Down 5855">
          <a:extLst>
            <a:ext uri="{FF2B5EF4-FFF2-40B4-BE49-F238E27FC236}">
              <a16:creationId xmlns:a16="http://schemas.microsoft.com/office/drawing/2014/main" id="{2A70EAA5-3B13-48B1-90CE-C8DC1FA28C23}"/>
            </a:ext>
          </a:extLst>
        </xdr:cNvPr>
        <xdr:cNvSpPr/>
      </xdr:nvSpPr>
      <xdr:spPr>
        <a:xfrm rot="10800000">
          <a:off x="11544300" y="137807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755</xdr:row>
      <xdr:rowOff>0</xdr:rowOff>
    </xdr:from>
    <xdr:to>
      <xdr:col>64</xdr:col>
      <xdr:colOff>83820</xdr:colOff>
      <xdr:row>755</xdr:row>
      <xdr:rowOff>114300</xdr:rowOff>
    </xdr:to>
    <xdr:sp macro="" textlink="">
      <xdr:nvSpPr>
        <xdr:cNvPr id="5865" name="Arrow: Down 5864">
          <a:extLst>
            <a:ext uri="{FF2B5EF4-FFF2-40B4-BE49-F238E27FC236}">
              <a16:creationId xmlns:a16="http://schemas.microsoft.com/office/drawing/2014/main" id="{0A105257-0596-4CFC-919B-058132689528}"/>
            </a:ext>
          </a:extLst>
        </xdr:cNvPr>
        <xdr:cNvSpPr/>
      </xdr:nvSpPr>
      <xdr:spPr>
        <a:xfrm rot="10800000">
          <a:off x="19347180" y="1379905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755</xdr:row>
      <xdr:rowOff>0</xdr:rowOff>
    </xdr:from>
    <xdr:to>
      <xdr:col>45</xdr:col>
      <xdr:colOff>83820</xdr:colOff>
      <xdr:row>755</xdr:row>
      <xdr:rowOff>114300</xdr:rowOff>
    </xdr:to>
    <xdr:sp macro="" textlink="">
      <xdr:nvSpPr>
        <xdr:cNvPr id="5866" name="Arrow: Down 5865">
          <a:extLst>
            <a:ext uri="{FF2B5EF4-FFF2-40B4-BE49-F238E27FC236}">
              <a16:creationId xmlns:a16="http://schemas.microsoft.com/office/drawing/2014/main" id="{51A61FA9-4C5F-4C70-83F6-C0F9089A277D}"/>
            </a:ext>
          </a:extLst>
        </xdr:cNvPr>
        <xdr:cNvSpPr/>
      </xdr:nvSpPr>
      <xdr:spPr>
        <a:xfrm rot="10800000">
          <a:off x="13403580" y="137990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755</xdr:row>
      <xdr:rowOff>0</xdr:rowOff>
    </xdr:from>
    <xdr:to>
      <xdr:col>71</xdr:col>
      <xdr:colOff>83820</xdr:colOff>
      <xdr:row>755</xdr:row>
      <xdr:rowOff>114300</xdr:rowOff>
    </xdr:to>
    <xdr:sp macro="" textlink="">
      <xdr:nvSpPr>
        <xdr:cNvPr id="5867" name="Arrow: Down 5866">
          <a:extLst>
            <a:ext uri="{FF2B5EF4-FFF2-40B4-BE49-F238E27FC236}">
              <a16:creationId xmlns:a16="http://schemas.microsoft.com/office/drawing/2014/main" id="{35A0E4DF-1584-4E13-80E4-41B0BBDB1340}"/>
            </a:ext>
          </a:extLst>
        </xdr:cNvPr>
        <xdr:cNvSpPr/>
      </xdr:nvSpPr>
      <xdr:spPr>
        <a:xfrm>
          <a:off x="21960840" y="13799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755</xdr:row>
      <xdr:rowOff>0</xdr:rowOff>
    </xdr:from>
    <xdr:to>
      <xdr:col>60</xdr:col>
      <xdr:colOff>83820</xdr:colOff>
      <xdr:row>755</xdr:row>
      <xdr:rowOff>114300</xdr:rowOff>
    </xdr:to>
    <xdr:sp macro="" textlink="">
      <xdr:nvSpPr>
        <xdr:cNvPr id="5868" name="Arrow: Down 5867">
          <a:extLst>
            <a:ext uri="{FF2B5EF4-FFF2-40B4-BE49-F238E27FC236}">
              <a16:creationId xmlns:a16="http://schemas.microsoft.com/office/drawing/2014/main" id="{68FC5896-F8AD-4A50-89A3-46FB5AE28557}"/>
            </a:ext>
          </a:extLst>
        </xdr:cNvPr>
        <xdr:cNvSpPr/>
      </xdr:nvSpPr>
      <xdr:spPr>
        <a:xfrm rot="10800000">
          <a:off x="19080480" y="1379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753</xdr:row>
      <xdr:rowOff>0</xdr:rowOff>
    </xdr:from>
    <xdr:to>
      <xdr:col>60</xdr:col>
      <xdr:colOff>83820</xdr:colOff>
      <xdr:row>753</xdr:row>
      <xdr:rowOff>114300</xdr:rowOff>
    </xdr:to>
    <xdr:sp macro="" textlink="">
      <xdr:nvSpPr>
        <xdr:cNvPr id="5874" name="Arrow: Down 5873">
          <a:extLst>
            <a:ext uri="{FF2B5EF4-FFF2-40B4-BE49-F238E27FC236}">
              <a16:creationId xmlns:a16="http://schemas.microsoft.com/office/drawing/2014/main" id="{0D584577-F6E2-47F2-A67F-7540F622A4F4}"/>
            </a:ext>
          </a:extLst>
        </xdr:cNvPr>
        <xdr:cNvSpPr/>
      </xdr:nvSpPr>
      <xdr:spPr>
        <a:xfrm>
          <a:off x="19080480" y="1378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754</xdr:row>
      <xdr:rowOff>0</xdr:rowOff>
    </xdr:from>
    <xdr:to>
      <xdr:col>60</xdr:col>
      <xdr:colOff>83820</xdr:colOff>
      <xdr:row>754</xdr:row>
      <xdr:rowOff>114300</xdr:rowOff>
    </xdr:to>
    <xdr:sp macro="" textlink="">
      <xdr:nvSpPr>
        <xdr:cNvPr id="5876" name="Arrow: Down 5875">
          <a:extLst>
            <a:ext uri="{FF2B5EF4-FFF2-40B4-BE49-F238E27FC236}">
              <a16:creationId xmlns:a16="http://schemas.microsoft.com/office/drawing/2014/main" id="{9CF28F43-1EE5-45A1-BA18-8E87718EFEDA}"/>
            </a:ext>
          </a:extLst>
        </xdr:cNvPr>
        <xdr:cNvSpPr/>
      </xdr:nvSpPr>
      <xdr:spPr>
        <a:xfrm>
          <a:off x="19080480" y="13799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755</xdr:row>
      <xdr:rowOff>0</xdr:rowOff>
    </xdr:from>
    <xdr:to>
      <xdr:col>39</xdr:col>
      <xdr:colOff>83820</xdr:colOff>
      <xdr:row>755</xdr:row>
      <xdr:rowOff>114300</xdr:rowOff>
    </xdr:to>
    <xdr:sp macro="" textlink="">
      <xdr:nvSpPr>
        <xdr:cNvPr id="5879" name="Arrow: Down 5878">
          <a:extLst>
            <a:ext uri="{FF2B5EF4-FFF2-40B4-BE49-F238E27FC236}">
              <a16:creationId xmlns:a16="http://schemas.microsoft.com/office/drawing/2014/main" id="{85F3B7A2-B84A-41AD-901B-132B47441C7F}"/>
            </a:ext>
          </a:extLst>
        </xdr:cNvPr>
        <xdr:cNvSpPr/>
      </xdr:nvSpPr>
      <xdr:spPr>
        <a:xfrm>
          <a:off x="1154430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754</xdr:row>
      <xdr:rowOff>0</xdr:rowOff>
    </xdr:from>
    <xdr:to>
      <xdr:col>24</xdr:col>
      <xdr:colOff>83820</xdr:colOff>
      <xdr:row>754</xdr:row>
      <xdr:rowOff>114300</xdr:rowOff>
    </xdr:to>
    <xdr:sp macro="" textlink="">
      <xdr:nvSpPr>
        <xdr:cNvPr id="5881" name="Arrow: Down 5880">
          <a:extLst>
            <a:ext uri="{FF2B5EF4-FFF2-40B4-BE49-F238E27FC236}">
              <a16:creationId xmlns:a16="http://schemas.microsoft.com/office/drawing/2014/main" id="{C5FF967E-70C3-4F4B-B82C-34AE19B66012}"/>
            </a:ext>
          </a:extLst>
        </xdr:cNvPr>
        <xdr:cNvSpPr/>
      </xdr:nvSpPr>
      <xdr:spPr>
        <a:xfrm rot="10800000">
          <a:off x="8336280" y="1379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755</xdr:row>
      <xdr:rowOff>0</xdr:rowOff>
    </xdr:from>
    <xdr:to>
      <xdr:col>24</xdr:col>
      <xdr:colOff>83820</xdr:colOff>
      <xdr:row>755</xdr:row>
      <xdr:rowOff>114300</xdr:rowOff>
    </xdr:to>
    <xdr:sp macro="" textlink="">
      <xdr:nvSpPr>
        <xdr:cNvPr id="5883" name="Arrow: Down 5882">
          <a:extLst>
            <a:ext uri="{FF2B5EF4-FFF2-40B4-BE49-F238E27FC236}">
              <a16:creationId xmlns:a16="http://schemas.microsoft.com/office/drawing/2014/main" id="{9A65FB9D-6DC2-4FA4-A47F-9A9E54F75614}"/>
            </a:ext>
          </a:extLst>
        </xdr:cNvPr>
        <xdr:cNvSpPr/>
      </xdr:nvSpPr>
      <xdr:spPr>
        <a:xfrm rot="10800000">
          <a:off x="833628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754</xdr:row>
      <xdr:rowOff>0</xdr:rowOff>
    </xdr:from>
    <xdr:to>
      <xdr:col>5</xdr:col>
      <xdr:colOff>83820</xdr:colOff>
      <xdr:row>754</xdr:row>
      <xdr:rowOff>114300</xdr:rowOff>
    </xdr:to>
    <xdr:sp macro="" textlink="">
      <xdr:nvSpPr>
        <xdr:cNvPr id="5884" name="Arrow: Down 5883">
          <a:extLst>
            <a:ext uri="{FF2B5EF4-FFF2-40B4-BE49-F238E27FC236}">
              <a16:creationId xmlns:a16="http://schemas.microsoft.com/office/drawing/2014/main" id="{63F57CE6-D8F7-4DAB-AD7D-CB89A1A43375}"/>
            </a:ext>
          </a:extLst>
        </xdr:cNvPr>
        <xdr:cNvSpPr/>
      </xdr:nvSpPr>
      <xdr:spPr>
        <a:xfrm rot="10800000">
          <a:off x="1927860" y="1379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754</xdr:row>
      <xdr:rowOff>0</xdr:rowOff>
    </xdr:from>
    <xdr:to>
      <xdr:col>11</xdr:col>
      <xdr:colOff>83820</xdr:colOff>
      <xdr:row>754</xdr:row>
      <xdr:rowOff>114300</xdr:rowOff>
    </xdr:to>
    <xdr:sp macro="" textlink="">
      <xdr:nvSpPr>
        <xdr:cNvPr id="5886" name="Arrow: Down 5885">
          <a:extLst>
            <a:ext uri="{FF2B5EF4-FFF2-40B4-BE49-F238E27FC236}">
              <a16:creationId xmlns:a16="http://schemas.microsoft.com/office/drawing/2014/main" id="{C3BB7867-7CDA-45C4-B86A-CB2C1BA5B196}"/>
            </a:ext>
          </a:extLst>
        </xdr:cNvPr>
        <xdr:cNvSpPr/>
      </xdr:nvSpPr>
      <xdr:spPr>
        <a:xfrm rot="10800000">
          <a:off x="3695700" y="1379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755</xdr:row>
      <xdr:rowOff>0</xdr:rowOff>
    </xdr:from>
    <xdr:to>
      <xdr:col>5</xdr:col>
      <xdr:colOff>83820</xdr:colOff>
      <xdr:row>755</xdr:row>
      <xdr:rowOff>114300</xdr:rowOff>
    </xdr:to>
    <xdr:sp macro="" textlink="">
      <xdr:nvSpPr>
        <xdr:cNvPr id="5889" name="Arrow: Down 5888">
          <a:extLst>
            <a:ext uri="{FF2B5EF4-FFF2-40B4-BE49-F238E27FC236}">
              <a16:creationId xmlns:a16="http://schemas.microsoft.com/office/drawing/2014/main" id="{EFE3AE4A-5AE5-49F8-A1DC-EE067B97B77D}"/>
            </a:ext>
          </a:extLst>
        </xdr:cNvPr>
        <xdr:cNvSpPr/>
      </xdr:nvSpPr>
      <xdr:spPr>
        <a:xfrm rot="10800000">
          <a:off x="192786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755</xdr:row>
      <xdr:rowOff>0</xdr:rowOff>
    </xdr:from>
    <xdr:to>
      <xdr:col>11</xdr:col>
      <xdr:colOff>83820</xdr:colOff>
      <xdr:row>755</xdr:row>
      <xdr:rowOff>114300</xdr:rowOff>
    </xdr:to>
    <xdr:sp macro="" textlink="">
      <xdr:nvSpPr>
        <xdr:cNvPr id="5891" name="Arrow: Down 5890">
          <a:extLst>
            <a:ext uri="{FF2B5EF4-FFF2-40B4-BE49-F238E27FC236}">
              <a16:creationId xmlns:a16="http://schemas.microsoft.com/office/drawing/2014/main" id="{5F40BBB4-5B33-406E-9E50-98C5EFAEC2CA}"/>
            </a:ext>
          </a:extLst>
        </xdr:cNvPr>
        <xdr:cNvSpPr/>
      </xdr:nvSpPr>
      <xdr:spPr>
        <a:xfrm rot="10800000">
          <a:off x="369570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756</xdr:row>
      <xdr:rowOff>0</xdr:rowOff>
    </xdr:from>
    <xdr:to>
      <xdr:col>64</xdr:col>
      <xdr:colOff>83820</xdr:colOff>
      <xdr:row>756</xdr:row>
      <xdr:rowOff>114300</xdr:rowOff>
    </xdr:to>
    <xdr:sp macro="" textlink="">
      <xdr:nvSpPr>
        <xdr:cNvPr id="5900" name="Arrow: Down 5899">
          <a:extLst>
            <a:ext uri="{FF2B5EF4-FFF2-40B4-BE49-F238E27FC236}">
              <a16:creationId xmlns:a16="http://schemas.microsoft.com/office/drawing/2014/main" id="{2F940512-F282-42AD-B860-392030A602C8}"/>
            </a:ext>
          </a:extLst>
        </xdr:cNvPr>
        <xdr:cNvSpPr/>
      </xdr:nvSpPr>
      <xdr:spPr>
        <a:xfrm rot="10800000">
          <a:off x="19347180" y="1381734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756</xdr:row>
      <xdr:rowOff>0</xdr:rowOff>
    </xdr:from>
    <xdr:to>
      <xdr:col>45</xdr:col>
      <xdr:colOff>83820</xdr:colOff>
      <xdr:row>756</xdr:row>
      <xdr:rowOff>114300</xdr:rowOff>
    </xdr:to>
    <xdr:sp macro="" textlink="">
      <xdr:nvSpPr>
        <xdr:cNvPr id="5901" name="Arrow: Down 5900">
          <a:extLst>
            <a:ext uri="{FF2B5EF4-FFF2-40B4-BE49-F238E27FC236}">
              <a16:creationId xmlns:a16="http://schemas.microsoft.com/office/drawing/2014/main" id="{AC4935FC-858B-47C8-A082-6D8FA4EB5749}"/>
            </a:ext>
          </a:extLst>
        </xdr:cNvPr>
        <xdr:cNvSpPr/>
      </xdr:nvSpPr>
      <xdr:spPr>
        <a:xfrm rot="10800000">
          <a:off x="13403580" y="138173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756</xdr:row>
      <xdr:rowOff>0</xdr:rowOff>
    </xdr:from>
    <xdr:to>
      <xdr:col>71</xdr:col>
      <xdr:colOff>83820</xdr:colOff>
      <xdr:row>756</xdr:row>
      <xdr:rowOff>114300</xdr:rowOff>
    </xdr:to>
    <xdr:sp macro="" textlink="">
      <xdr:nvSpPr>
        <xdr:cNvPr id="5902" name="Arrow: Down 5901">
          <a:extLst>
            <a:ext uri="{FF2B5EF4-FFF2-40B4-BE49-F238E27FC236}">
              <a16:creationId xmlns:a16="http://schemas.microsoft.com/office/drawing/2014/main" id="{E148E7FB-E875-4B94-AC00-75B70FDD92D1}"/>
            </a:ext>
          </a:extLst>
        </xdr:cNvPr>
        <xdr:cNvSpPr/>
      </xdr:nvSpPr>
      <xdr:spPr>
        <a:xfrm>
          <a:off x="21960840" y="13817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756</xdr:row>
      <xdr:rowOff>0</xdr:rowOff>
    </xdr:from>
    <xdr:to>
      <xdr:col>60</xdr:col>
      <xdr:colOff>83820</xdr:colOff>
      <xdr:row>756</xdr:row>
      <xdr:rowOff>114300</xdr:rowOff>
    </xdr:to>
    <xdr:sp macro="" textlink="">
      <xdr:nvSpPr>
        <xdr:cNvPr id="5903" name="Arrow: Down 5902">
          <a:extLst>
            <a:ext uri="{FF2B5EF4-FFF2-40B4-BE49-F238E27FC236}">
              <a16:creationId xmlns:a16="http://schemas.microsoft.com/office/drawing/2014/main" id="{9B5F6C5E-2477-4AA1-BDAB-2FD08F2C0204}"/>
            </a:ext>
          </a:extLst>
        </xdr:cNvPr>
        <xdr:cNvSpPr/>
      </xdr:nvSpPr>
      <xdr:spPr>
        <a:xfrm rot="10800000">
          <a:off x="1908048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756</xdr:row>
      <xdr:rowOff>0</xdr:rowOff>
    </xdr:from>
    <xdr:to>
      <xdr:col>39</xdr:col>
      <xdr:colOff>83820</xdr:colOff>
      <xdr:row>756</xdr:row>
      <xdr:rowOff>114300</xdr:rowOff>
    </xdr:to>
    <xdr:sp macro="" textlink="">
      <xdr:nvSpPr>
        <xdr:cNvPr id="5904" name="Arrow: Down 5903">
          <a:extLst>
            <a:ext uri="{FF2B5EF4-FFF2-40B4-BE49-F238E27FC236}">
              <a16:creationId xmlns:a16="http://schemas.microsoft.com/office/drawing/2014/main" id="{337A1E0B-D67E-49E0-8A97-0B1B9F5B90F9}"/>
            </a:ext>
          </a:extLst>
        </xdr:cNvPr>
        <xdr:cNvSpPr/>
      </xdr:nvSpPr>
      <xdr:spPr>
        <a:xfrm>
          <a:off x="1154430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756</xdr:row>
      <xdr:rowOff>0</xdr:rowOff>
    </xdr:from>
    <xdr:to>
      <xdr:col>24</xdr:col>
      <xdr:colOff>83820</xdr:colOff>
      <xdr:row>756</xdr:row>
      <xdr:rowOff>114300</xdr:rowOff>
    </xdr:to>
    <xdr:sp macro="" textlink="">
      <xdr:nvSpPr>
        <xdr:cNvPr id="5905" name="Arrow: Down 5904">
          <a:extLst>
            <a:ext uri="{FF2B5EF4-FFF2-40B4-BE49-F238E27FC236}">
              <a16:creationId xmlns:a16="http://schemas.microsoft.com/office/drawing/2014/main" id="{CB91F52F-A389-40E7-88B8-630B796D7095}"/>
            </a:ext>
          </a:extLst>
        </xdr:cNvPr>
        <xdr:cNvSpPr/>
      </xdr:nvSpPr>
      <xdr:spPr>
        <a:xfrm rot="10800000">
          <a:off x="833628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756</xdr:row>
      <xdr:rowOff>0</xdr:rowOff>
    </xdr:from>
    <xdr:to>
      <xdr:col>5</xdr:col>
      <xdr:colOff>83820</xdr:colOff>
      <xdr:row>756</xdr:row>
      <xdr:rowOff>114300</xdr:rowOff>
    </xdr:to>
    <xdr:sp macro="" textlink="">
      <xdr:nvSpPr>
        <xdr:cNvPr id="5906" name="Arrow: Down 5905">
          <a:extLst>
            <a:ext uri="{FF2B5EF4-FFF2-40B4-BE49-F238E27FC236}">
              <a16:creationId xmlns:a16="http://schemas.microsoft.com/office/drawing/2014/main" id="{D6269FEF-1269-40D0-8807-9ECCB5F9B38A}"/>
            </a:ext>
          </a:extLst>
        </xdr:cNvPr>
        <xdr:cNvSpPr/>
      </xdr:nvSpPr>
      <xdr:spPr>
        <a:xfrm rot="10800000">
          <a:off x="192786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756</xdr:row>
      <xdr:rowOff>0</xdr:rowOff>
    </xdr:from>
    <xdr:to>
      <xdr:col>11</xdr:col>
      <xdr:colOff>83820</xdr:colOff>
      <xdr:row>756</xdr:row>
      <xdr:rowOff>114300</xdr:rowOff>
    </xdr:to>
    <xdr:sp macro="" textlink="">
      <xdr:nvSpPr>
        <xdr:cNvPr id="5907" name="Arrow: Down 5906">
          <a:extLst>
            <a:ext uri="{FF2B5EF4-FFF2-40B4-BE49-F238E27FC236}">
              <a16:creationId xmlns:a16="http://schemas.microsoft.com/office/drawing/2014/main" id="{EF05F1BB-122E-4DFA-A3F0-AA6AC135E1D1}"/>
            </a:ext>
          </a:extLst>
        </xdr:cNvPr>
        <xdr:cNvSpPr/>
      </xdr:nvSpPr>
      <xdr:spPr>
        <a:xfrm rot="10800000">
          <a:off x="369570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757</xdr:row>
      <xdr:rowOff>0</xdr:rowOff>
    </xdr:from>
    <xdr:to>
      <xdr:col>64</xdr:col>
      <xdr:colOff>83820</xdr:colOff>
      <xdr:row>757</xdr:row>
      <xdr:rowOff>114300</xdr:rowOff>
    </xdr:to>
    <xdr:sp macro="" textlink="">
      <xdr:nvSpPr>
        <xdr:cNvPr id="5916" name="Arrow: Down 5915">
          <a:extLst>
            <a:ext uri="{FF2B5EF4-FFF2-40B4-BE49-F238E27FC236}">
              <a16:creationId xmlns:a16="http://schemas.microsoft.com/office/drawing/2014/main" id="{4ED4B2F1-388E-402A-8B14-17C8C5C00724}"/>
            </a:ext>
          </a:extLst>
        </xdr:cNvPr>
        <xdr:cNvSpPr/>
      </xdr:nvSpPr>
      <xdr:spPr>
        <a:xfrm rot="10800000">
          <a:off x="19347180" y="1383563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757</xdr:row>
      <xdr:rowOff>0</xdr:rowOff>
    </xdr:from>
    <xdr:to>
      <xdr:col>45</xdr:col>
      <xdr:colOff>83820</xdr:colOff>
      <xdr:row>757</xdr:row>
      <xdr:rowOff>114300</xdr:rowOff>
    </xdr:to>
    <xdr:sp macro="" textlink="">
      <xdr:nvSpPr>
        <xdr:cNvPr id="5917" name="Arrow: Down 5916">
          <a:extLst>
            <a:ext uri="{FF2B5EF4-FFF2-40B4-BE49-F238E27FC236}">
              <a16:creationId xmlns:a16="http://schemas.microsoft.com/office/drawing/2014/main" id="{18203A0F-BFEF-4327-8C9F-E8A82D514970}"/>
            </a:ext>
          </a:extLst>
        </xdr:cNvPr>
        <xdr:cNvSpPr/>
      </xdr:nvSpPr>
      <xdr:spPr>
        <a:xfrm rot="10800000">
          <a:off x="13403580" y="138356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757</xdr:row>
      <xdr:rowOff>0</xdr:rowOff>
    </xdr:from>
    <xdr:to>
      <xdr:col>71</xdr:col>
      <xdr:colOff>83820</xdr:colOff>
      <xdr:row>757</xdr:row>
      <xdr:rowOff>114300</xdr:rowOff>
    </xdr:to>
    <xdr:sp macro="" textlink="">
      <xdr:nvSpPr>
        <xdr:cNvPr id="5918" name="Arrow: Down 5917">
          <a:extLst>
            <a:ext uri="{FF2B5EF4-FFF2-40B4-BE49-F238E27FC236}">
              <a16:creationId xmlns:a16="http://schemas.microsoft.com/office/drawing/2014/main" id="{1103404F-36CB-4BB7-98D1-688D97094910}"/>
            </a:ext>
          </a:extLst>
        </xdr:cNvPr>
        <xdr:cNvSpPr/>
      </xdr:nvSpPr>
      <xdr:spPr>
        <a:xfrm>
          <a:off x="21960840" y="1383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757</xdr:row>
      <xdr:rowOff>0</xdr:rowOff>
    </xdr:from>
    <xdr:to>
      <xdr:col>60</xdr:col>
      <xdr:colOff>83820</xdr:colOff>
      <xdr:row>757</xdr:row>
      <xdr:rowOff>114300</xdr:rowOff>
    </xdr:to>
    <xdr:sp macro="" textlink="">
      <xdr:nvSpPr>
        <xdr:cNvPr id="5919" name="Arrow: Down 5918">
          <a:extLst>
            <a:ext uri="{FF2B5EF4-FFF2-40B4-BE49-F238E27FC236}">
              <a16:creationId xmlns:a16="http://schemas.microsoft.com/office/drawing/2014/main" id="{D40CE55F-584F-4D01-ADA4-47DE10AED369}"/>
            </a:ext>
          </a:extLst>
        </xdr:cNvPr>
        <xdr:cNvSpPr/>
      </xdr:nvSpPr>
      <xdr:spPr>
        <a:xfrm rot="10800000">
          <a:off x="19080480" y="1383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757</xdr:row>
      <xdr:rowOff>0</xdr:rowOff>
    </xdr:from>
    <xdr:to>
      <xdr:col>24</xdr:col>
      <xdr:colOff>83820</xdr:colOff>
      <xdr:row>757</xdr:row>
      <xdr:rowOff>114300</xdr:rowOff>
    </xdr:to>
    <xdr:sp macro="" textlink="">
      <xdr:nvSpPr>
        <xdr:cNvPr id="5921" name="Arrow: Down 5920">
          <a:extLst>
            <a:ext uri="{FF2B5EF4-FFF2-40B4-BE49-F238E27FC236}">
              <a16:creationId xmlns:a16="http://schemas.microsoft.com/office/drawing/2014/main" id="{DEB2EB8F-97F1-4A76-A953-1A366D9D1847}"/>
            </a:ext>
          </a:extLst>
        </xdr:cNvPr>
        <xdr:cNvSpPr/>
      </xdr:nvSpPr>
      <xdr:spPr>
        <a:xfrm rot="10800000">
          <a:off x="8336280" y="1383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757</xdr:row>
      <xdr:rowOff>0</xdr:rowOff>
    </xdr:from>
    <xdr:to>
      <xdr:col>5</xdr:col>
      <xdr:colOff>83820</xdr:colOff>
      <xdr:row>757</xdr:row>
      <xdr:rowOff>114300</xdr:rowOff>
    </xdr:to>
    <xdr:sp macro="" textlink="">
      <xdr:nvSpPr>
        <xdr:cNvPr id="5922" name="Arrow: Down 5921">
          <a:extLst>
            <a:ext uri="{FF2B5EF4-FFF2-40B4-BE49-F238E27FC236}">
              <a16:creationId xmlns:a16="http://schemas.microsoft.com/office/drawing/2014/main" id="{1EE6728F-FDD0-4271-9914-EAC4EE75D2A7}"/>
            </a:ext>
          </a:extLst>
        </xdr:cNvPr>
        <xdr:cNvSpPr/>
      </xdr:nvSpPr>
      <xdr:spPr>
        <a:xfrm rot="10800000">
          <a:off x="1927860" y="1383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757</xdr:row>
      <xdr:rowOff>0</xdr:rowOff>
    </xdr:from>
    <xdr:to>
      <xdr:col>11</xdr:col>
      <xdr:colOff>83820</xdr:colOff>
      <xdr:row>757</xdr:row>
      <xdr:rowOff>114300</xdr:rowOff>
    </xdr:to>
    <xdr:sp macro="" textlink="">
      <xdr:nvSpPr>
        <xdr:cNvPr id="5923" name="Arrow: Down 5922">
          <a:extLst>
            <a:ext uri="{FF2B5EF4-FFF2-40B4-BE49-F238E27FC236}">
              <a16:creationId xmlns:a16="http://schemas.microsoft.com/office/drawing/2014/main" id="{56734511-8B74-49A8-AA2C-D68781EDCF90}"/>
            </a:ext>
          </a:extLst>
        </xdr:cNvPr>
        <xdr:cNvSpPr/>
      </xdr:nvSpPr>
      <xdr:spPr>
        <a:xfrm rot="10800000">
          <a:off x="3695700" y="1383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757</xdr:row>
      <xdr:rowOff>0</xdr:rowOff>
    </xdr:from>
    <xdr:to>
      <xdr:col>39</xdr:col>
      <xdr:colOff>83820</xdr:colOff>
      <xdr:row>757</xdr:row>
      <xdr:rowOff>114300</xdr:rowOff>
    </xdr:to>
    <xdr:sp macro="" textlink="">
      <xdr:nvSpPr>
        <xdr:cNvPr id="5924" name="Arrow: Down 5923">
          <a:extLst>
            <a:ext uri="{FF2B5EF4-FFF2-40B4-BE49-F238E27FC236}">
              <a16:creationId xmlns:a16="http://schemas.microsoft.com/office/drawing/2014/main" id="{B155E37D-A6C7-4F71-B620-20A97756E461}"/>
            </a:ext>
          </a:extLst>
        </xdr:cNvPr>
        <xdr:cNvSpPr/>
      </xdr:nvSpPr>
      <xdr:spPr>
        <a:xfrm rot="10800000">
          <a:off x="11544300" y="138539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758</xdr:row>
      <xdr:rowOff>0</xdr:rowOff>
    </xdr:from>
    <xdr:to>
      <xdr:col>64</xdr:col>
      <xdr:colOff>83820</xdr:colOff>
      <xdr:row>758</xdr:row>
      <xdr:rowOff>114300</xdr:rowOff>
    </xdr:to>
    <xdr:sp macro="" textlink="">
      <xdr:nvSpPr>
        <xdr:cNvPr id="5925" name="Arrow: Down 5924">
          <a:extLst>
            <a:ext uri="{FF2B5EF4-FFF2-40B4-BE49-F238E27FC236}">
              <a16:creationId xmlns:a16="http://schemas.microsoft.com/office/drawing/2014/main" id="{4DA5E583-F3D6-48A0-AE31-8A42DD223052}"/>
            </a:ext>
          </a:extLst>
        </xdr:cNvPr>
        <xdr:cNvSpPr/>
      </xdr:nvSpPr>
      <xdr:spPr>
        <a:xfrm rot="10800000">
          <a:off x="19347180" y="1385392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758</xdr:row>
      <xdr:rowOff>0</xdr:rowOff>
    </xdr:from>
    <xdr:to>
      <xdr:col>45</xdr:col>
      <xdr:colOff>83820</xdr:colOff>
      <xdr:row>758</xdr:row>
      <xdr:rowOff>114300</xdr:rowOff>
    </xdr:to>
    <xdr:sp macro="" textlink="">
      <xdr:nvSpPr>
        <xdr:cNvPr id="5926" name="Arrow: Down 5925">
          <a:extLst>
            <a:ext uri="{FF2B5EF4-FFF2-40B4-BE49-F238E27FC236}">
              <a16:creationId xmlns:a16="http://schemas.microsoft.com/office/drawing/2014/main" id="{0F4A6861-EE4A-40D3-994A-84B1938D1FB1}"/>
            </a:ext>
          </a:extLst>
        </xdr:cNvPr>
        <xdr:cNvSpPr/>
      </xdr:nvSpPr>
      <xdr:spPr>
        <a:xfrm rot="10800000">
          <a:off x="13403580" y="138539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758</xdr:row>
      <xdr:rowOff>0</xdr:rowOff>
    </xdr:from>
    <xdr:to>
      <xdr:col>71</xdr:col>
      <xdr:colOff>83820</xdr:colOff>
      <xdr:row>758</xdr:row>
      <xdr:rowOff>114300</xdr:rowOff>
    </xdr:to>
    <xdr:sp macro="" textlink="">
      <xdr:nvSpPr>
        <xdr:cNvPr id="5927" name="Arrow: Down 5926">
          <a:extLst>
            <a:ext uri="{FF2B5EF4-FFF2-40B4-BE49-F238E27FC236}">
              <a16:creationId xmlns:a16="http://schemas.microsoft.com/office/drawing/2014/main" id="{ABC68B54-BA2D-4CEC-8165-9F3FB98CCF0A}"/>
            </a:ext>
          </a:extLst>
        </xdr:cNvPr>
        <xdr:cNvSpPr/>
      </xdr:nvSpPr>
      <xdr:spPr>
        <a:xfrm>
          <a:off x="21960840" y="13853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758</xdr:row>
      <xdr:rowOff>0</xdr:rowOff>
    </xdr:from>
    <xdr:to>
      <xdr:col>5</xdr:col>
      <xdr:colOff>83820</xdr:colOff>
      <xdr:row>758</xdr:row>
      <xdr:rowOff>114300</xdr:rowOff>
    </xdr:to>
    <xdr:sp macro="" textlink="">
      <xdr:nvSpPr>
        <xdr:cNvPr id="5930" name="Arrow: Down 5929">
          <a:extLst>
            <a:ext uri="{FF2B5EF4-FFF2-40B4-BE49-F238E27FC236}">
              <a16:creationId xmlns:a16="http://schemas.microsoft.com/office/drawing/2014/main" id="{087D8C80-8557-4B90-B7C0-069FED68777E}"/>
            </a:ext>
          </a:extLst>
        </xdr:cNvPr>
        <xdr:cNvSpPr/>
      </xdr:nvSpPr>
      <xdr:spPr>
        <a:xfrm rot="10800000">
          <a:off x="1927860" y="1385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758</xdr:row>
      <xdr:rowOff>0</xdr:rowOff>
    </xdr:from>
    <xdr:to>
      <xdr:col>11</xdr:col>
      <xdr:colOff>83820</xdr:colOff>
      <xdr:row>758</xdr:row>
      <xdr:rowOff>114300</xdr:rowOff>
    </xdr:to>
    <xdr:sp macro="" textlink="">
      <xdr:nvSpPr>
        <xdr:cNvPr id="5931" name="Arrow: Down 5930">
          <a:extLst>
            <a:ext uri="{FF2B5EF4-FFF2-40B4-BE49-F238E27FC236}">
              <a16:creationId xmlns:a16="http://schemas.microsoft.com/office/drawing/2014/main" id="{7F386562-D3AE-442E-86F9-3C0256E47DC1}"/>
            </a:ext>
          </a:extLst>
        </xdr:cNvPr>
        <xdr:cNvSpPr/>
      </xdr:nvSpPr>
      <xdr:spPr>
        <a:xfrm rot="10800000">
          <a:off x="3695700" y="1385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758</xdr:row>
      <xdr:rowOff>0</xdr:rowOff>
    </xdr:from>
    <xdr:to>
      <xdr:col>24</xdr:col>
      <xdr:colOff>83820</xdr:colOff>
      <xdr:row>758</xdr:row>
      <xdr:rowOff>114300</xdr:rowOff>
    </xdr:to>
    <xdr:sp macro="" textlink="">
      <xdr:nvSpPr>
        <xdr:cNvPr id="5934" name="Arrow: Down 5933">
          <a:extLst>
            <a:ext uri="{FF2B5EF4-FFF2-40B4-BE49-F238E27FC236}">
              <a16:creationId xmlns:a16="http://schemas.microsoft.com/office/drawing/2014/main" id="{80E02421-00CA-4A79-906C-49EB68322EA5}"/>
            </a:ext>
          </a:extLst>
        </xdr:cNvPr>
        <xdr:cNvSpPr/>
      </xdr:nvSpPr>
      <xdr:spPr>
        <a:xfrm>
          <a:off x="8336280" y="1387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758</xdr:row>
      <xdr:rowOff>0</xdr:rowOff>
    </xdr:from>
    <xdr:to>
      <xdr:col>39</xdr:col>
      <xdr:colOff>83820</xdr:colOff>
      <xdr:row>758</xdr:row>
      <xdr:rowOff>114300</xdr:rowOff>
    </xdr:to>
    <xdr:sp macro="" textlink="">
      <xdr:nvSpPr>
        <xdr:cNvPr id="5936" name="Arrow: Down 5935">
          <a:extLst>
            <a:ext uri="{FF2B5EF4-FFF2-40B4-BE49-F238E27FC236}">
              <a16:creationId xmlns:a16="http://schemas.microsoft.com/office/drawing/2014/main" id="{3EAC254B-635B-4C03-90C3-186AB52ED8B2}"/>
            </a:ext>
          </a:extLst>
        </xdr:cNvPr>
        <xdr:cNvSpPr/>
      </xdr:nvSpPr>
      <xdr:spPr>
        <a:xfrm>
          <a:off x="11544300" y="13872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758</xdr:row>
      <xdr:rowOff>0</xdr:rowOff>
    </xdr:from>
    <xdr:to>
      <xdr:col>60</xdr:col>
      <xdr:colOff>83820</xdr:colOff>
      <xdr:row>758</xdr:row>
      <xdr:rowOff>114300</xdr:rowOff>
    </xdr:to>
    <xdr:sp macro="" textlink="">
      <xdr:nvSpPr>
        <xdr:cNvPr id="5938" name="Arrow: Down 5937">
          <a:extLst>
            <a:ext uri="{FF2B5EF4-FFF2-40B4-BE49-F238E27FC236}">
              <a16:creationId xmlns:a16="http://schemas.microsoft.com/office/drawing/2014/main" id="{C7DCABF3-1AF3-430E-8E25-3C8942099F6C}"/>
            </a:ext>
          </a:extLst>
        </xdr:cNvPr>
        <xdr:cNvSpPr/>
      </xdr:nvSpPr>
      <xdr:spPr>
        <a:xfrm>
          <a:off x="19080480" y="1387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759</xdr:row>
      <xdr:rowOff>0</xdr:rowOff>
    </xdr:from>
    <xdr:to>
      <xdr:col>64</xdr:col>
      <xdr:colOff>83820</xdr:colOff>
      <xdr:row>759</xdr:row>
      <xdr:rowOff>114300</xdr:rowOff>
    </xdr:to>
    <xdr:sp macro="" textlink="">
      <xdr:nvSpPr>
        <xdr:cNvPr id="5947" name="Arrow: Down 5946">
          <a:extLst>
            <a:ext uri="{FF2B5EF4-FFF2-40B4-BE49-F238E27FC236}">
              <a16:creationId xmlns:a16="http://schemas.microsoft.com/office/drawing/2014/main" id="{E6393A2E-CAD7-4F25-8B7C-B114E32E1F35}"/>
            </a:ext>
          </a:extLst>
        </xdr:cNvPr>
        <xdr:cNvSpPr/>
      </xdr:nvSpPr>
      <xdr:spPr>
        <a:xfrm rot="10800000">
          <a:off x="19347180" y="1387221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759</xdr:row>
      <xdr:rowOff>0</xdr:rowOff>
    </xdr:from>
    <xdr:to>
      <xdr:col>45</xdr:col>
      <xdr:colOff>83820</xdr:colOff>
      <xdr:row>759</xdr:row>
      <xdr:rowOff>114300</xdr:rowOff>
    </xdr:to>
    <xdr:sp macro="" textlink="">
      <xdr:nvSpPr>
        <xdr:cNvPr id="5948" name="Arrow: Down 5947">
          <a:extLst>
            <a:ext uri="{FF2B5EF4-FFF2-40B4-BE49-F238E27FC236}">
              <a16:creationId xmlns:a16="http://schemas.microsoft.com/office/drawing/2014/main" id="{27EFB22A-6589-4F1F-A139-669DA43FD473}"/>
            </a:ext>
          </a:extLst>
        </xdr:cNvPr>
        <xdr:cNvSpPr/>
      </xdr:nvSpPr>
      <xdr:spPr>
        <a:xfrm rot="10800000">
          <a:off x="13403580" y="138722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759</xdr:row>
      <xdr:rowOff>0</xdr:rowOff>
    </xdr:from>
    <xdr:to>
      <xdr:col>71</xdr:col>
      <xdr:colOff>83820</xdr:colOff>
      <xdr:row>759</xdr:row>
      <xdr:rowOff>114300</xdr:rowOff>
    </xdr:to>
    <xdr:sp macro="" textlink="">
      <xdr:nvSpPr>
        <xdr:cNvPr id="5949" name="Arrow: Down 5948">
          <a:extLst>
            <a:ext uri="{FF2B5EF4-FFF2-40B4-BE49-F238E27FC236}">
              <a16:creationId xmlns:a16="http://schemas.microsoft.com/office/drawing/2014/main" id="{F4F31805-3AE5-4992-83A6-8E20A209F3D9}"/>
            </a:ext>
          </a:extLst>
        </xdr:cNvPr>
        <xdr:cNvSpPr/>
      </xdr:nvSpPr>
      <xdr:spPr>
        <a:xfrm>
          <a:off x="21960840" y="1387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759</xdr:row>
      <xdr:rowOff>0</xdr:rowOff>
    </xdr:from>
    <xdr:to>
      <xdr:col>24</xdr:col>
      <xdr:colOff>83820</xdr:colOff>
      <xdr:row>759</xdr:row>
      <xdr:rowOff>114300</xdr:rowOff>
    </xdr:to>
    <xdr:sp macro="" textlink="">
      <xdr:nvSpPr>
        <xdr:cNvPr id="5952" name="Arrow: Down 5951">
          <a:extLst>
            <a:ext uri="{FF2B5EF4-FFF2-40B4-BE49-F238E27FC236}">
              <a16:creationId xmlns:a16="http://schemas.microsoft.com/office/drawing/2014/main" id="{AB32B470-184A-4AFE-A21E-0D71BEDD1327}"/>
            </a:ext>
          </a:extLst>
        </xdr:cNvPr>
        <xdr:cNvSpPr/>
      </xdr:nvSpPr>
      <xdr:spPr>
        <a:xfrm>
          <a:off x="8336280" y="1387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759</xdr:row>
      <xdr:rowOff>0</xdr:rowOff>
    </xdr:from>
    <xdr:to>
      <xdr:col>39</xdr:col>
      <xdr:colOff>83820</xdr:colOff>
      <xdr:row>759</xdr:row>
      <xdr:rowOff>114300</xdr:rowOff>
    </xdr:to>
    <xdr:sp macro="" textlink="">
      <xdr:nvSpPr>
        <xdr:cNvPr id="5956" name="Arrow: Down 5955">
          <a:extLst>
            <a:ext uri="{FF2B5EF4-FFF2-40B4-BE49-F238E27FC236}">
              <a16:creationId xmlns:a16="http://schemas.microsoft.com/office/drawing/2014/main" id="{9380F99A-AEE6-4518-B730-2D60573B96FF}"/>
            </a:ext>
          </a:extLst>
        </xdr:cNvPr>
        <xdr:cNvSpPr/>
      </xdr:nvSpPr>
      <xdr:spPr>
        <a:xfrm rot="10800000">
          <a:off x="11544300" y="1389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759</xdr:row>
      <xdr:rowOff>0</xdr:rowOff>
    </xdr:from>
    <xdr:to>
      <xdr:col>11</xdr:col>
      <xdr:colOff>83820</xdr:colOff>
      <xdr:row>759</xdr:row>
      <xdr:rowOff>114300</xdr:rowOff>
    </xdr:to>
    <xdr:sp macro="" textlink="">
      <xdr:nvSpPr>
        <xdr:cNvPr id="5958" name="Arrow: Down 5957">
          <a:extLst>
            <a:ext uri="{FF2B5EF4-FFF2-40B4-BE49-F238E27FC236}">
              <a16:creationId xmlns:a16="http://schemas.microsoft.com/office/drawing/2014/main" id="{778C05BE-0620-42C1-8665-6A1FB8B02575}"/>
            </a:ext>
          </a:extLst>
        </xdr:cNvPr>
        <xdr:cNvSpPr/>
      </xdr:nvSpPr>
      <xdr:spPr>
        <a:xfrm>
          <a:off x="369570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759</xdr:row>
      <xdr:rowOff>0</xdr:rowOff>
    </xdr:from>
    <xdr:to>
      <xdr:col>5</xdr:col>
      <xdr:colOff>83820</xdr:colOff>
      <xdr:row>759</xdr:row>
      <xdr:rowOff>114300</xdr:rowOff>
    </xdr:to>
    <xdr:sp macro="" textlink="">
      <xdr:nvSpPr>
        <xdr:cNvPr id="5960" name="Arrow: Down 5959">
          <a:extLst>
            <a:ext uri="{FF2B5EF4-FFF2-40B4-BE49-F238E27FC236}">
              <a16:creationId xmlns:a16="http://schemas.microsoft.com/office/drawing/2014/main" id="{339701A2-8786-4A4A-913E-CD0EBA386C37}"/>
            </a:ext>
          </a:extLst>
        </xdr:cNvPr>
        <xdr:cNvSpPr/>
      </xdr:nvSpPr>
      <xdr:spPr>
        <a:xfrm>
          <a:off x="192786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759</xdr:row>
      <xdr:rowOff>0</xdr:rowOff>
    </xdr:from>
    <xdr:to>
      <xdr:col>60</xdr:col>
      <xdr:colOff>83820</xdr:colOff>
      <xdr:row>759</xdr:row>
      <xdr:rowOff>114300</xdr:rowOff>
    </xdr:to>
    <xdr:sp macro="" textlink="">
      <xdr:nvSpPr>
        <xdr:cNvPr id="5962" name="Arrow: Down 5961">
          <a:extLst>
            <a:ext uri="{FF2B5EF4-FFF2-40B4-BE49-F238E27FC236}">
              <a16:creationId xmlns:a16="http://schemas.microsoft.com/office/drawing/2014/main" id="{60DF836E-4A9A-41CC-80D0-136765479428}"/>
            </a:ext>
          </a:extLst>
        </xdr:cNvPr>
        <xdr:cNvSpPr/>
      </xdr:nvSpPr>
      <xdr:spPr>
        <a:xfrm rot="10800000">
          <a:off x="19080480" y="13890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760</xdr:row>
      <xdr:rowOff>0</xdr:rowOff>
    </xdr:from>
    <xdr:to>
      <xdr:col>64</xdr:col>
      <xdr:colOff>83820</xdr:colOff>
      <xdr:row>760</xdr:row>
      <xdr:rowOff>114300</xdr:rowOff>
    </xdr:to>
    <xdr:sp macro="" textlink="">
      <xdr:nvSpPr>
        <xdr:cNvPr id="5963" name="Arrow: Down 5962">
          <a:extLst>
            <a:ext uri="{FF2B5EF4-FFF2-40B4-BE49-F238E27FC236}">
              <a16:creationId xmlns:a16="http://schemas.microsoft.com/office/drawing/2014/main" id="{47CBDCEB-220F-459F-BD8B-6379E3B80E99}"/>
            </a:ext>
          </a:extLst>
        </xdr:cNvPr>
        <xdr:cNvSpPr/>
      </xdr:nvSpPr>
      <xdr:spPr>
        <a:xfrm rot="10800000">
          <a:off x="19347180" y="1389049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760</xdr:row>
      <xdr:rowOff>0</xdr:rowOff>
    </xdr:from>
    <xdr:to>
      <xdr:col>45</xdr:col>
      <xdr:colOff>83820</xdr:colOff>
      <xdr:row>760</xdr:row>
      <xdr:rowOff>114300</xdr:rowOff>
    </xdr:to>
    <xdr:sp macro="" textlink="">
      <xdr:nvSpPr>
        <xdr:cNvPr id="5964" name="Arrow: Down 5963">
          <a:extLst>
            <a:ext uri="{FF2B5EF4-FFF2-40B4-BE49-F238E27FC236}">
              <a16:creationId xmlns:a16="http://schemas.microsoft.com/office/drawing/2014/main" id="{5E555B44-08D0-45A8-8A4A-565F939657E0}"/>
            </a:ext>
          </a:extLst>
        </xdr:cNvPr>
        <xdr:cNvSpPr/>
      </xdr:nvSpPr>
      <xdr:spPr>
        <a:xfrm rot="10800000">
          <a:off x="13403580" y="1389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760</xdr:row>
      <xdr:rowOff>0</xdr:rowOff>
    </xdr:from>
    <xdr:to>
      <xdr:col>71</xdr:col>
      <xdr:colOff>83820</xdr:colOff>
      <xdr:row>760</xdr:row>
      <xdr:rowOff>114300</xdr:rowOff>
    </xdr:to>
    <xdr:sp macro="" textlink="">
      <xdr:nvSpPr>
        <xdr:cNvPr id="5965" name="Arrow: Down 5964">
          <a:extLst>
            <a:ext uri="{FF2B5EF4-FFF2-40B4-BE49-F238E27FC236}">
              <a16:creationId xmlns:a16="http://schemas.microsoft.com/office/drawing/2014/main" id="{E8A849BA-5E91-436B-AC8D-763E677C93AE}"/>
            </a:ext>
          </a:extLst>
        </xdr:cNvPr>
        <xdr:cNvSpPr/>
      </xdr:nvSpPr>
      <xdr:spPr>
        <a:xfrm>
          <a:off x="2196084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760</xdr:row>
      <xdr:rowOff>0</xdr:rowOff>
    </xdr:from>
    <xdr:to>
      <xdr:col>24</xdr:col>
      <xdr:colOff>83820</xdr:colOff>
      <xdr:row>760</xdr:row>
      <xdr:rowOff>114300</xdr:rowOff>
    </xdr:to>
    <xdr:sp macro="" textlink="">
      <xdr:nvSpPr>
        <xdr:cNvPr id="5966" name="Arrow: Down 5965">
          <a:extLst>
            <a:ext uri="{FF2B5EF4-FFF2-40B4-BE49-F238E27FC236}">
              <a16:creationId xmlns:a16="http://schemas.microsoft.com/office/drawing/2014/main" id="{384422F4-AE99-4CC1-A058-1390811892B5}"/>
            </a:ext>
          </a:extLst>
        </xdr:cNvPr>
        <xdr:cNvSpPr/>
      </xdr:nvSpPr>
      <xdr:spPr>
        <a:xfrm>
          <a:off x="833628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760</xdr:row>
      <xdr:rowOff>0</xdr:rowOff>
    </xdr:from>
    <xdr:to>
      <xdr:col>39</xdr:col>
      <xdr:colOff>83820</xdr:colOff>
      <xdr:row>760</xdr:row>
      <xdr:rowOff>114300</xdr:rowOff>
    </xdr:to>
    <xdr:sp macro="" textlink="">
      <xdr:nvSpPr>
        <xdr:cNvPr id="5967" name="Arrow: Down 5966">
          <a:extLst>
            <a:ext uri="{FF2B5EF4-FFF2-40B4-BE49-F238E27FC236}">
              <a16:creationId xmlns:a16="http://schemas.microsoft.com/office/drawing/2014/main" id="{61000687-3042-469F-8E25-D69AC1C9DF00}"/>
            </a:ext>
          </a:extLst>
        </xdr:cNvPr>
        <xdr:cNvSpPr/>
      </xdr:nvSpPr>
      <xdr:spPr>
        <a:xfrm rot="10800000">
          <a:off x="11544300" y="1389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760</xdr:row>
      <xdr:rowOff>0</xdr:rowOff>
    </xdr:from>
    <xdr:to>
      <xdr:col>11</xdr:col>
      <xdr:colOff>83820</xdr:colOff>
      <xdr:row>760</xdr:row>
      <xdr:rowOff>114300</xdr:rowOff>
    </xdr:to>
    <xdr:sp macro="" textlink="">
      <xdr:nvSpPr>
        <xdr:cNvPr id="5968" name="Arrow: Down 5967">
          <a:extLst>
            <a:ext uri="{FF2B5EF4-FFF2-40B4-BE49-F238E27FC236}">
              <a16:creationId xmlns:a16="http://schemas.microsoft.com/office/drawing/2014/main" id="{56E6FAB6-DE14-4FAE-A954-3547ED5C29BE}"/>
            </a:ext>
          </a:extLst>
        </xdr:cNvPr>
        <xdr:cNvSpPr/>
      </xdr:nvSpPr>
      <xdr:spPr>
        <a:xfrm>
          <a:off x="369570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760</xdr:row>
      <xdr:rowOff>0</xdr:rowOff>
    </xdr:from>
    <xdr:to>
      <xdr:col>5</xdr:col>
      <xdr:colOff>83820</xdr:colOff>
      <xdr:row>760</xdr:row>
      <xdr:rowOff>114300</xdr:rowOff>
    </xdr:to>
    <xdr:sp macro="" textlink="">
      <xdr:nvSpPr>
        <xdr:cNvPr id="5969" name="Arrow: Down 5968">
          <a:extLst>
            <a:ext uri="{FF2B5EF4-FFF2-40B4-BE49-F238E27FC236}">
              <a16:creationId xmlns:a16="http://schemas.microsoft.com/office/drawing/2014/main" id="{C3CD8E6B-461F-4E74-BDF0-29E673A5728B}"/>
            </a:ext>
          </a:extLst>
        </xdr:cNvPr>
        <xdr:cNvSpPr/>
      </xdr:nvSpPr>
      <xdr:spPr>
        <a:xfrm>
          <a:off x="192786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760</xdr:row>
      <xdr:rowOff>0</xdr:rowOff>
    </xdr:from>
    <xdr:to>
      <xdr:col>60</xdr:col>
      <xdr:colOff>83820</xdr:colOff>
      <xdr:row>760</xdr:row>
      <xdr:rowOff>114300</xdr:rowOff>
    </xdr:to>
    <xdr:sp macro="" textlink="">
      <xdr:nvSpPr>
        <xdr:cNvPr id="5971" name="Arrow: Down 5970">
          <a:extLst>
            <a:ext uri="{FF2B5EF4-FFF2-40B4-BE49-F238E27FC236}">
              <a16:creationId xmlns:a16="http://schemas.microsoft.com/office/drawing/2014/main" id="{915672D3-A02B-4D90-954C-69B4E8F11641}"/>
            </a:ext>
          </a:extLst>
        </xdr:cNvPr>
        <xdr:cNvSpPr/>
      </xdr:nvSpPr>
      <xdr:spPr>
        <a:xfrm>
          <a:off x="19080480" y="1390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0.22538</cdr:x>
      <cdr:y>0.21395</cdr:y>
    </cdr:from>
    <cdr:to>
      <cdr:x>0.47579</cdr:x>
      <cdr:y>0.62093</cdr:y>
    </cdr:to>
    <cdr:cxnSp macro="">
      <cdr:nvCxnSpPr>
        <cdr:cNvPr id="5" name="Straight Arrow Connector 4">
          <a:extLst xmlns:a="http://schemas.openxmlformats.org/drawingml/2006/main">
            <a:ext uri="{FF2B5EF4-FFF2-40B4-BE49-F238E27FC236}">
              <a16:creationId xmlns:a16="http://schemas.microsoft.com/office/drawing/2014/main" id="{1238F2D0-5CC7-44BA-808D-8EEC52658841}"/>
            </a:ext>
          </a:extLst>
        </cdr:cNvPr>
        <cdr:cNvCxnSpPr/>
      </cdr:nvCxnSpPr>
      <cdr:spPr>
        <a:xfrm xmlns:a="http://schemas.openxmlformats.org/drawingml/2006/main">
          <a:off x="1028700" y="701040"/>
          <a:ext cx="1143000" cy="1333500"/>
        </a:xfrm>
        <a:prstGeom xmlns:a="http://schemas.openxmlformats.org/drawingml/2006/main" prst="straightConnector1">
          <a:avLst/>
        </a:prstGeom>
        <a:ln xmlns:a="http://schemas.openxmlformats.org/drawingml/2006/main" w="38100">
          <a:solidFill>
            <a:srgbClr val="00B05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0.21202</cdr:x>
      <cdr:y>0.54651</cdr:y>
    </cdr:from>
    <cdr:to>
      <cdr:x>0.93322</cdr:x>
      <cdr:y>0.54884</cdr:y>
    </cdr:to>
    <cdr:cxnSp macro="">
      <cdr:nvCxnSpPr>
        <cdr:cNvPr id="3" name="Straight Arrow Connector 2">
          <a:extLst xmlns:a="http://schemas.openxmlformats.org/drawingml/2006/main">
            <a:ext uri="{FF2B5EF4-FFF2-40B4-BE49-F238E27FC236}">
              <a16:creationId xmlns:a16="http://schemas.microsoft.com/office/drawing/2014/main" id="{9AECD84D-B6B4-481F-8328-4743898E587F}"/>
            </a:ext>
          </a:extLst>
        </cdr:cNvPr>
        <cdr:cNvCxnSpPr/>
      </cdr:nvCxnSpPr>
      <cdr:spPr>
        <a:xfrm xmlns:a="http://schemas.openxmlformats.org/drawingml/2006/main">
          <a:off x="967740" y="1790700"/>
          <a:ext cx="3291840" cy="7620"/>
        </a:xfrm>
        <a:prstGeom xmlns:a="http://schemas.openxmlformats.org/drawingml/2006/main" prst="straightConnector1">
          <a:avLst/>
        </a:prstGeom>
        <a:ln xmlns:a="http://schemas.openxmlformats.org/drawingml/2006/main" w="38100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30</xdr:row>
      <xdr:rowOff>0</xdr:rowOff>
    </xdr:from>
    <xdr:to>
      <xdr:col>14</xdr:col>
      <xdr:colOff>83820</xdr:colOff>
      <xdr:row>30</xdr:row>
      <xdr:rowOff>114300</xdr:rowOff>
    </xdr:to>
    <xdr:sp macro="" textlink="">
      <xdr:nvSpPr>
        <xdr:cNvPr id="24" name="Arrow: Down 23">
          <a:extLst>
            <a:ext uri="{FF2B5EF4-FFF2-40B4-BE49-F238E27FC236}">
              <a16:creationId xmlns:a16="http://schemas.microsoft.com/office/drawing/2014/main" id="{1983AC3C-9CA2-41A7-8D48-A39E250C7E83}"/>
            </a:ext>
          </a:extLst>
        </xdr:cNvPr>
        <xdr:cNvSpPr/>
      </xdr:nvSpPr>
      <xdr:spPr>
        <a:xfrm>
          <a:off x="17023080" y="5204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</xdr:row>
      <xdr:rowOff>0</xdr:rowOff>
    </xdr:from>
    <xdr:to>
      <xdr:col>14</xdr:col>
      <xdr:colOff>83820</xdr:colOff>
      <xdr:row>32</xdr:row>
      <xdr:rowOff>114300</xdr:rowOff>
    </xdr:to>
    <xdr:sp macro="" textlink="">
      <xdr:nvSpPr>
        <xdr:cNvPr id="25" name="Arrow: Down 24">
          <a:extLst>
            <a:ext uri="{FF2B5EF4-FFF2-40B4-BE49-F238E27FC236}">
              <a16:creationId xmlns:a16="http://schemas.microsoft.com/office/drawing/2014/main" id="{07D9F6C5-B683-43C3-880E-06C1D173BC1B}"/>
            </a:ext>
          </a:extLst>
        </xdr:cNvPr>
        <xdr:cNvSpPr/>
      </xdr:nvSpPr>
      <xdr:spPr>
        <a:xfrm>
          <a:off x="1702308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</xdr:row>
      <xdr:rowOff>0</xdr:rowOff>
    </xdr:from>
    <xdr:to>
      <xdr:col>14</xdr:col>
      <xdr:colOff>83820</xdr:colOff>
      <xdr:row>31</xdr:row>
      <xdr:rowOff>114300</xdr:rowOff>
    </xdr:to>
    <xdr:sp macro="" textlink="">
      <xdr:nvSpPr>
        <xdr:cNvPr id="26" name="Arrow: Down 25">
          <a:extLst>
            <a:ext uri="{FF2B5EF4-FFF2-40B4-BE49-F238E27FC236}">
              <a16:creationId xmlns:a16="http://schemas.microsoft.com/office/drawing/2014/main" id="{6E49546C-C0EA-420B-8024-D78AC32B8AF4}"/>
            </a:ext>
          </a:extLst>
        </xdr:cNvPr>
        <xdr:cNvSpPr/>
      </xdr:nvSpPr>
      <xdr:spPr>
        <a:xfrm rot="10800000">
          <a:off x="17023080" y="5387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</xdr:row>
      <xdr:rowOff>0</xdr:rowOff>
    </xdr:from>
    <xdr:to>
      <xdr:col>14</xdr:col>
      <xdr:colOff>83820</xdr:colOff>
      <xdr:row>33</xdr:row>
      <xdr:rowOff>114300</xdr:rowOff>
    </xdr:to>
    <xdr:sp macro="" textlink="">
      <xdr:nvSpPr>
        <xdr:cNvPr id="27" name="Arrow: Down 26">
          <a:extLst>
            <a:ext uri="{FF2B5EF4-FFF2-40B4-BE49-F238E27FC236}">
              <a16:creationId xmlns:a16="http://schemas.microsoft.com/office/drawing/2014/main" id="{6297D24F-5474-4C82-B89D-73F408EF397A}"/>
            </a:ext>
          </a:extLst>
        </xdr:cNvPr>
        <xdr:cNvSpPr/>
      </xdr:nvSpPr>
      <xdr:spPr>
        <a:xfrm>
          <a:off x="1702308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</xdr:row>
      <xdr:rowOff>0</xdr:rowOff>
    </xdr:from>
    <xdr:to>
      <xdr:col>14</xdr:col>
      <xdr:colOff>83820</xdr:colOff>
      <xdr:row>34</xdr:row>
      <xdr:rowOff>114300</xdr:rowOff>
    </xdr:to>
    <xdr:sp macro="" textlink="">
      <xdr:nvSpPr>
        <xdr:cNvPr id="28" name="Arrow: Down 27">
          <a:extLst>
            <a:ext uri="{FF2B5EF4-FFF2-40B4-BE49-F238E27FC236}">
              <a16:creationId xmlns:a16="http://schemas.microsoft.com/office/drawing/2014/main" id="{46C91321-B3A4-4C15-A120-B93967060E24}"/>
            </a:ext>
          </a:extLst>
        </xdr:cNvPr>
        <xdr:cNvSpPr/>
      </xdr:nvSpPr>
      <xdr:spPr>
        <a:xfrm>
          <a:off x="1702308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</xdr:row>
      <xdr:rowOff>0</xdr:rowOff>
    </xdr:from>
    <xdr:to>
      <xdr:col>14</xdr:col>
      <xdr:colOff>83820</xdr:colOff>
      <xdr:row>35</xdr:row>
      <xdr:rowOff>114300</xdr:rowOff>
    </xdr:to>
    <xdr:sp macro="" textlink="">
      <xdr:nvSpPr>
        <xdr:cNvPr id="29" name="Arrow: Down 28">
          <a:extLst>
            <a:ext uri="{FF2B5EF4-FFF2-40B4-BE49-F238E27FC236}">
              <a16:creationId xmlns:a16="http://schemas.microsoft.com/office/drawing/2014/main" id="{97A2EC70-28D8-4E49-9157-703F37C9A0C7}"/>
            </a:ext>
          </a:extLst>
        </xdr:cNvPr>
        <xdr:cNvSpPr/>
      </xdr:nvSpPr>
      <xdr:spPr>
        <a:xfrm>
          <a:off x="17023080" y="6118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</xdr:row>
      <xdr:rowOff>0</xdr:rowOff>
    </xdr:from>
    <xdr:to>
      <xdr:col>14</xdr:col>
      <xdr:colOff>83820</xdr:colOff>
      <xdr:row>37</xdr:row>
      <xdr:rowOff>114300</xdr:rowOff>
    </xdr:to>
    <xdr:sp macro="" textlink="">
      <xdr:nvSpPr>
        <xdr:cNvPr id="31" name="Arrow: Down 30">
          <a:extLst>
            <a:ext uri="{FF2B5EF4-FFF2-40B4-BE49-F238E27FC236}">
              <a16:creationId xmlns:a16="http://schemas.microsoft.com/office/drawing/2014/main" id="{6363B554-3BF0-4F45-86D3-F2C50D27E40D}"/>
            </a:ext>
          </a:extLst>
        </xdr:cNvPr>
        <xdr:cNvSpPr/>
      </xdr:nvSpPr>
      <xdr:spPr>
        <a:xfrm rot="10800000">
          <a:off x="17023080" y="6484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</xdr:row>
      <xdr:rowOff>0</xdr:rowOff>
    </xdr:from>
    <xdr:to>
      <xdr:col>14</xdr:col>
      <xdr:colOff>83820</xdr:colOff>
      <xdr:row>38</xdr:row>
      <xdr:rowOff>114300</xdr:rowOff>
    </xdr:to>
    <xdr:sp macro="" textlink="">
      <xdr:nvSpPr>
        <xdr:cNvPr id="32" name="Arrow: Down 31">
          <a:extLst>
            <a:ext uri="{FF2B5EF4-FFF2-40B4-BE49-F238E27FC236}">
              <a16:creationId xmlns:a16="http://schemas.microsoft.com/office/drawing/2014/main" id="{D2A414C5-D1D9-4E71-AC01-FFE4FC38EB16}"/>
            </a:ext>
          </a:extLst>
        </xdr:cNvPr>
        <xdr:cNvSpPr/>
      </xdr:nvSpPr>
      <xdr:spPr>
        <a:xfrm>
          <a:off x="17023080" y="6667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</xdr:row>
      <xdr:rowOff>0</xdr:rowOff>
    </xdr:from>
    <xdr:to>
      <xdr:col>14</xdr:col>
      <xdr:colOff>83820</xdr:colOff>
      <xdr:row>39</xdr:row>
      <xdr:rowOff>114300</xdr:rowOff>
    </xdr:to>
    <xdr:sp macro="" textlink="">
      <xdr:nvSpPr>
        <xdr:cNvPr id="33" name="Arrow: Down 32">
          <a:extLst>
            <a:ext uri="{FF2B5EF4-FFF2-40B4-BE49-F238E27FC236}">
              <a16:creationId xmlns:a16="http://schemas.microsoft.com/office/drawing/2014/main" id="{05E73E91-0D5F-493E-A83F-36157500AED9}"/>
            </a:ext>
          </a:extLst>
        </xdr:cNvPr>
        <xdr:cNvSpPr/>
      </xdr:nvSpPr>
      <xdr:spPr>
        <a:xfrm>
          <a:off x="1702308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</xdr:row>
      <xdr:rowOff>0</xdr:rowOff>
    </xdr:from>
    <xdr:to>
      <xdr:col>14</xdr:col>
      <xdr:colOff>83820</xdr:colOff>
      <xdr:row>40</xdr:row>
      <xdr:rowOff>114300</xdr:rowOff>
    </xdr:to>
    <xdr:sp macro="" textlink="">
      <xdr:nvSpPr>
        <xdr:cNvPr id="34" name="Arrow: Down 33">
          <a:extLst>
            <a:ext uri="{FF2B5EF4-FFF2-40B4-BE49-F238E27FC236}">
              <a16:creationId xmlns:a16="http://schemas.microsoft.com/office/drawing/2014/main" id="{DF26BA0C-6076-4A90-8D13-399AE38A84AA}"/>
            </a:ext>
          </a:extLst>
        </xdr:cNvPr>
        <xdr:cNvSpPr/>
      </xdr:nvSpPr>
      <xdr:spPr>
        <a:xfrm>
          <a:off x="1702308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</xdr:row>
      <xdr:rowOff>0</xdr:rowOff>
    </xdr:from>
    <xdr:to>
      <xdr:col>14</xdr:col>
      <xdr:colOff>83820</xdr:colOff>
      <xdr:row>41</xdr:row>
      <xdr:rowOff>114300</xdr:rowOff>
    </xdr:to>
    <xdr:sp macro="" textlink="">
      <xdr:nvSpPr>
        <xdr:cNvPr id="35" name="Arrow: Down 34">
          <a:extLst>
            <a:ext uri="{FF2B5EF4-FFF2-40B4-BE49-F238E27FC236}">
              <a16:creationId xmlns:a16="http://schemas.microsoft.com/office/drawing/2014/main" id="{E4D8F7C4-C006-4D8F-B6C1-D5F44AEE7B6E}"/>
            </a:ext>
          </a:extLst>
        </xdr:cNvPr>
        <xdr:cNvSpPr/>
      </xdr:nvSpPr>
      <xdr:spPr>
        <a:xfrm rot="10800000">
          <a:off x="1702308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</xdr:row>
      <xdr:rowOff>0</xdr:rowOff>
    </xdr:from>
    <xdr:to>
      <xdr:col>14</xdr:col>
      <xdr:colOff>83820</xdr:colOff>
      <xdr:row>42</xdr:row>
      <xdr:rowOff>114300</xdr:rowOff>
    </xdr:to>
    <xdr:sp macro="" textlink="">
      <xdr:nvSpPr>
        <xdr:cNvPr id="36" name="Arrow: Down 35">
          <a:extLst>
            <a:ext uri="{FF2B5EF4-FFF2-40B4-BE49-F238E27FC236}">
              <a16:creationId xmlns:a16="http://schemas.microsoft.com/office/drawing/2014/main" id="{AA032B6C-FC87-4670-AF6C-2DAACCCED197}"/>
            </a:ext>
          </a:extLst>
        </xdr:cNvPr>
        <xdr:cNvSpPr/>
      </xdr:nvSpPr>
      <xdr:spPr>
        <a:xfrm>
          <a:off x="1702308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</xdr:row>
      <xdr:rowOff>0</xdr:rowOff>
    </xdr:from>
    <xdr:to>
      <xdr:col>14</xdr:col>
      <xdr:colOff>83820</xdr:colOff>
      <xdr:row>45</xdr:row>
      <xdr:rowOff>114300</xdr:rowOff>
    </xdr:to>
    <xdr:sp macro="" textlink="">
      <xdr:nvSpPr>
        <xdr:cNvPr id="39" name="Arrow: Down 38">
          <a:extLst>
            <a:ext uri="{FF2B5EF4-FFF2-40B4-BE49-F238E27FC236}">
              <a16:creationId xmlns:a16="http://schemas.microsoft.com/office/drawing/2014/main" id="{788634B2-961C-4ECD-93B4-5801A5A44508}"/>
            </a:ext>
          </a:extLst>
        </xdr:cNvPr>
        <xdr:cNvSpPr/>
      </xdr:nvSpPr>
      <xdr:spPr>
        <a:xfrm>
          <a:off x="1702308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</xdr:row>
      <xdr:rowOff>0</xdr:rowOff>
    </xdr:from>
    <xdr:to>
      <xdr:col>14</xdr:col>
      <xdr:colOff>83820</xdr:colOff>
      <xdr:row>46</xdr:row>
      <xdr:rowOff>114300</xdr:rowOff>
    </xdr:to>
    <xdr:sp macro="" textlink="">
      <xdr:nvSpPr>
        <xdr:cNvPr id="40" name="Arrow: Down 39">
          <a:extLst>
            <a:ext uri="{FF2B5EF4-FFF2-40B4-BE49-F238E27FC236}">
              <a16:creationId xmlns:a16="http://schemas.microsoft.com/office/drawing/2014/main" id="{53CA52F2-EAE2-442B-8270-C021CBD9F500}"/>
            </a:ext>
          </a:extLst>
        </xdr:cNvPr>
        <xdr:cNvSpPr/>
      </xdr:nvSpPr>
      <xdr:spPr>
        <a:xfrm rot="10800000">
          <a:off x="1702308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</xdr:row>
      <xdr:rowOff>0</xdr:rowOff>
    </xdr:from>
    <xdr:to>
      <xdr:col>14</xdr:col>
      <xdr:colOff>83820</xdr:colOff>
      <xdr:row>47</xdr:row>
      <xdr:rowOff>114300</xdr:rowOff>
    </xdr:to>
    <xdr:sp macro="" textlink="">
      <xdr:nvSpPr>
        <xdr:cNvPr id="41" name="Arrow: Down 40">
          <a:extLst>
            <a:ext uri="{FF2B5EF4-FFF2-40B4-BE49-F238E27FC236}">
              <a16:creationId xmlns:a16="http://schemas.microsoft.com/office/drawing/2014/main" id="{72B0904D-606E-4F9C-AC72-FC26E7307A27}"/>
            </a:ext>
          </a:extLst>
        </xdr:cNvPr>
        <xdr:cNvSpPr/>
      </xdr:nvSpPr>
      <xdr:spPr>
        <a:xfrm>
          <a:off x="1702308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</xdr:row>
      <xdr:rowOff>0</xdr:rowOff>
    </xdr:from>
    <xdr:to>
      <xdr:col>14</xdr:col>
      <xdr:colOff>83820</xdr:colOff>
      <xdr:row>48</xdr:row>
      <xdr:rowOff>114300</xdr:rowOff>
    </xdr:to>
    <xdr:sp macro="" textlink="">
      <xdr:nvSpPr>
        <xdr:cNvPr id="42" name="Arrow: Down 41">
          <a:extLst>
            <a:ext uri="{FF2B5EF4-FFF2-40B4-BE49-F238E27FC236}">
              <a16:creationId xmlns:a16="http://schemas.microsoft.com/office/drawing/2014/main" id="{032F7ED6-4341-45E2-9285-FC326C982A06}"/>
            </a:ext>
          </a:extLst>
        </xdr:cNvPr>
        <xdr:cNvSpPr/>
      </xdr:nvSpPr>
      <xdr:spPr>
        <a:xfrm>
          <a:off x="1702308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</xdr:row>
      <xdr:rowOff>0</xdr:rowOff>
    </xdr:from>
    <xdr:to>
      <xdr:col>14</xdr:col>
      <xdr:colOff>83820</xdr:colOff>
      <xdr:row>36</xdr:row>
      <xdr:rowOff>114300</xdr:rowOff>
    </xdr:to>
    <xdr:sp macro="" textlink="">
      <xdr:nvSpPr>
        <xdr:cNvPr id="46" name="Arrow: Down 45">
          <a:extLst>
            <a:ext uri="{FF2B5EF4-FFF2-40B4-BE49-F238E27FC236}">
              <a16:creationId xmlns:a16="http://schemas.microsoft.com/office/drawing/2014/main" id="{6A934176-8C05-4209-9F5A-75EA64C22B5E}"/>
            </a:ext>
          </a:extLst>
        </xdr:cNvPr>
        <xdr:cNvSpPr/>
      </xdr:nvSpPr>
      <xdr:spPr>
        <a:xfrm rot="10800000">
          <a:off x="4114800" y="661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</xdr:row>
      <xdr:rowOff>0</xdr:rowOff>
    </xdr:from>
    <xdr:to>
      <xdr:col>14</xdr:col>
      <xdr:colOff>83820</xdr:colOff>
      <xdr:row>44</xdr:row>
      <xdr:rowOff>114300</xdr:rowOff>
    </xdr:to>
    <xdr:sp macro="" textlink="">
      <xdr:nvSpPr>
        <xdr:cNvPr id="47" name="Arrow: Down 46">
          <a:extLst>
            <a:ext uri="{FF2B5EF4-FFF2-40B4-BE49-F238E27FC236}">
              <a16:creationId xmlns:a16="http://schemas.microsoft.com/office/drawing/2014/main" id="{7C84EEE8-B7B1-4D0C-B192-D01206857E05}"/>
            </a:ext>
          </a:extLst>
        </xdr:cNvPr>
        <xdr:cNvSpPr/>
      </xdr:nvSpPr>
      <xdr:spPr>
        <a:xfrm rot="10800000">
          <a:off x="4114800" y="8077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</xdr:row>
      <xdr:rowOff>0</xdr:rowOff>
    </xdr:from>
    <xdr:to>
      <xdr:col>14</xdr:col>
      <xdr:colOff>83820</xdr:colOff>
      <xdr:row>43</xdr:row>
      <xdr:rowOff>114300</xdr:rowOff>
    </xdr:to>
    <xdr:sp macro="" textlink="">
      <xdr:nvSpPr>
        <xdr:cNvPr id="48" name="Arrow: Down 47">
          <a:extLst>
            <a:ext uri="{FF2B5EF4-FFF2-40B4-BE49-F238E27FC236}">
              <a16:creationId xmlns:a16="http://schemas.microsoft.com/office/drawing/2014/main" id="{B6EADC19-448B-4E38-9AB3-E176D63A6131}"/>
            </a:ext>
          </a:extLst>
        </xdr:cNvPr>
        <xdr:cNvSpPr/>
      </xdr:nvSpPr>
      <xdr:spPr>
        <a:xfrm rot="10800000">
          <a:off x="4114800" y="7894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</xdr:row>
      <xdr:rowOff>0</xdr:rowOff>
    </xdr:from>
    <xdr:to>
      <xdr:col>14</xdr:col>
      <xdr:colOff>83820</xdr:colOff>
      <xdr:row>49</xdr:row>
      <xdr:rowOff>114300</xdr:rowOff>
    </xdr:to>
    <xdr:sp macro="" textlink="">
      <xdr:nvSpPr>
        <xdr:cNvPr id="49" name="Arrow: Down 48">
          <a:extLst>
            <a:ext uri="{FF2B5EF4-FFF2-40B4-BE49-F238E27FC236}">
              <a16:creationId xmlns:a16="http://schemas.microsoft.com/office/drawing/2014/main" id="{7427C568-A74D-4E06-9A7B-75915CFDC823}"/>
            </a:ext>
          </a:extLst>
        </xdr:cNvPr>
        <xdr:cNvSpPr/>
      </xdr:nvSpPr>
      <xdr:spPr>
        <a:xfrm rot="10800000">
          <a:off x="4114800" y="8991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</xdr:row>
      <xdr:rowOff>0</xdr:rowOff>
    </xdr:from>
    <xdr:to>
      <xdr:col>14</xdr:col>
      <xdr:colOff>83820</xdr:colOff>
      <xdr:row>50</xdr:row>
      <xdr:rowOff>114300</xdr:rowOff>
    </xdr:to>
    <xdr:sp macro="" textlink="">
      <xdr:nvSpPr>
        <xdr:cNvPr id="51" name="Arrow: Down 50">
          <a:extLst>
            <a:ext uri="{FF2B5EF4-FFF2-40B4-BE49-F238E27FC236}">
              <a16:creationId xmlns:a16="http://schemas.microsoft.com/office/drawing/2014/main" id="{62985D1F-A1AA-48AB-B6F6-61270AF6A5D1}"/>
            </a:ext>
          </a:extLst>
        </xdr:cNvPr>
        <xdr:cNvSpPr/>
      </xdr:nvSpPr>
      <xdr:spPr>
        <a:xfrm rot="10800000">
          <a:off x="4114800" y="9174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</xdr:row>
      <xdr:rowOff>0</xdr:rowOff>
    </xdr:from>
    <xdr:to>
      <xdr:col>14</xdr:col>
      <xdr:colOff>83820</xdr:colOff>
      <xdr:row>51</xdr:row>
      <xdr:rowOff>114300</xdr:rowOff>
    </xdr:to>
    <xdr:sp macro="" textlink="">
      <xdr:nvSpPr>
        <xdr:cNvPr id="30" name="Arrow: Down 29">
          <a:extLst>
            <a:ext uri="{FF2B5EF4-FFF2-40B4-BE49-F238E27FC236}">
              <a16:creationId xmlns:a16="http://schemas.microsoft.com/office/drawing/2014/main" id="{9D88C378-147A-4BF3-8ED7-1EA8F609C676}"/>
            </a:ext>
          </a:extLst>
        </xdr:cNvPr>
        <xdr:cNvSpPr/>
      </xdr:nvSpPr>
      <xdr:spPr>
        <a:xfrm rot="10800000">
          <a:off x="5013960" y="951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</xdr:row>
      <xdr:rowOff>0</xdr:rowOff>
    </xdr:from>
    <xdr:to>
      <xdr:col>14</xdr:col>
      <xdr:colOff>83820</xdr:colOff>
      <xdr:row>52</xdr:row>
      <xdr:rowOff>114300</xdr:rowOff>
    </xdr:to>
    <xdr:sp macro="" textlink="">
      <xdr:nvSpPr>
        <xdr:cNvPr id="37" name="Arrow: Down 36">
          <a:extLst>
            <a:ext uri="{FF2B5EF4-FFF2-40B4-BE49-F238E27FC236}">
              <a16:creationId xmlns:a16="http://schemas.microsoft.com/office/drawing/2014/main" id="{481EEE6D-E93B-48C4-8C99-A2DF34507B22}"/>
            </a:ext>
          </a:extLst>
        </xdr:cNvPr>
        <xdr:cNvSpPr/>
      </xdr:nvSpPr>
      <xdr:spPr>
        <a:xfrm>
          <a:off x="5006340" y="970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</xdr:row>
      <xdr:rowOff>0</xdr:rowOff>
    </xdr:from>
    <xdr:to>
      <xdr:col>14</xdr:col>
      <xdr:colOff>160020</xdr:colOff>
      <xdr:row>53</xdr:row>
      <xdr:rowOff>167640</xdr:rowOff>
    </xdr:to>
    <xdr:sp macro="" textlink="">
      <xdr:nvSpPr>
        <xdr:cNvPr id="43" name="Minus Sign 42">
          <a:extLst>
            <a:ext uri="{FF2B5EF4-FFF2-40B4-BE49-F238E27FC236}">
              <a16:creationId xmlns:a16="http://schemas.microsoft.com/office/drawing/2014/main" id="{1881015E-5248-46A2-AD55-D88AEAAC02C0}"/>
            </a:ext>
          </a:extLst>
        </xdr:cNvPr>
        <xdr:cNvSpPr/>
      </xdr:nvSpPr>
      <xdr:spPr>
        <a:xfrm>
          <a:off x="5006340" y="98831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14</xdr:col>
      <xdr:colOff>0</xdr:colOff>
      <xdr:row>54</xdr:row>
      <xdr:rowOff>0</xdr:rowOff>
    </xdr:from>
    <xdr:to>
      <xdr:col>14</xdr:col>
      <xdr:colOff>83820</xdr:colOff>
      <xdr:row>54</xdr:row>
      <xdr:rowOff>114300</xdr:rowOff>
    </xdr:to>
    <xdr:sp macro="" textlink="">
      <xdr:nvSpPr>
        <xdr:cNvPr id="44" name="Arrow: Down 43">
          <a:extLst>
            <a:ext uri="{FF2B5EF4-FFF2-40B4-BE49-F238E27FC236}">
              <a16:creationId xmlns:a16="http://schemas.microsoft.com/office/drawing/2014/main" id="{4711DCAF-E866-4519-A92F-0612D34498C5}"/>
            </a:ext>
          </a:extLst>
        </xdr:cNvPr>
        <xdr:cNvSpPr/>
      </xdr:nvSpPr>
      <xdr:spPr>
        <a:xfrm>
          <a:off x="5006340" y="1006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</xdr:row>
      <xdr:rowOff>0</xdr:rowOff>
    </xdr:from>
    <xdr:to>
      <xdr:col>14</xdr:col>
      <xdr:colOff>83820</xdr:colOff>
      <xdr:row>55</xdr:row>
      <xdr:rowOff>114300</xdr:rowOff>
    </xdr:to>
    <xdr:sp macro="" textlink="">
      <xdr:nvSpPr>
        <xdr:cNvPr id="45" name="Arrow: Down 44">
          <a:extLst>
            <a:ext uri="{FF2B5EF4-FFF2-40B4-BE49-F238E27FC236}">
              <a16:creationId xmlns:a16="http://schemas.microsoft.com/office/drawing/2014/main" id="{8D4EF902-F217-47B8-81BA-2460CD50ED20}"/>
            </a:ext>
          </a:extLst>
        </xdr:cNvPr>
        <xdr:cNvSpPr/>
      </xdr:nvSpPr>
      <xdr:spPr>
        <a:xfrm>
          <a:off x="5006340" y="10073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</xdr:row>
      <xdr:rowOff>0</xdr:rowOff>
    </xdr:from>
    <xdr:to>
      <xdr:col>14</xdr:col>
      <xdr:colOff>83820</xdr:colOff>
      <xdr:row>56</xdr:row>
      <xdr:rowOff>114300</xdr:rowOff>
    </xdr:to>
    <xdr:sp macro="" textlink="">
      <xdr:nvSpPr>
        <xdr:cNvPr id="52" name="Arrow: Down 51">
          <a:extLst>
            <a:ext uri="{FF2B5EF4-FFF2-40B4-BE49-F238E27FC236}">
              <a16:creationId xmlns:a16="http://schemas.microsoft.com/office/drawing/2014/main" id="{157BE38E-631F-4C40-9FFD-35E34E39E383}"/>
            </a:ext>
          </a:extLst>
        </xdr:cNvPr>
        <xdr:cNvSpPr/>
      </xdr:nvSpPr>
      <xdr:spPr>
        <a:xfrm rot="10800000">
          <a:off x="5006340" y="10439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</xdr:row>
      <xdr:rowOff>0</xdr:rowOff>
    </xdr:from>
    <xdr:to>
      <xdr:col>14</xdr:col>
      <xdr:colOff>83820</xdr:colOff>
      <xdr:row>57</xdr:row>
      <xdr:rowOff>114300</xdr:rowOff>
    </xdr:to>
    <xdr:sp macro="" textlink="">
      <xdr:nvSpPr>
        <xdr:cNvPr id="53" name="Arrow: Down 52">
          <a:extLst>
            <a:ext uri="{FF2B5EF4-FFF2-40B4-BE49-F238E27FC236}">
              <a16:creationId xmlns:a16="http://schemas.microsoft.com/office/drawing/2014/main" id="{13EF766C-6378-4A4F-9C56-B92F7371596F}"/>
            </a:ext>
          </a:extLst>
        </xdr:cNvPr>
        <xdr:cNvSpPr/>
      </xdr:nvSpPr>
      <xdr:spPr>
        <a:xfrm>
          <a:off x="5006340" y="1062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</xdr:row>
      <xdr:rowOff>0</xdr:rowOff>
    </xdr:from>
    <xdr:to>
      <xdr:col>14</xdr:col>
      <xdr:colOff>83820</xdr:colOff>
      <xdr:row>58</xdr:row>
      <xdr:rowOff>114300</xdr:rowOff>
    </xdr:to>
    <xdr:sp macro="" textlink="">
      <xdr:nvSpPr>
        <xdr:cNvPr id="55" name="Arrow: Down 54">
          <a:extLst>
            <a:ext uri="{FF2B5EF4-FFF2-40B4-BE49-F238E27FC236}">
              <a16:creationId xmlns:a16="http://schemas.microsoft.com/office/drawing/2014/main" id="{01264505-DEA8-4DFF-96D3-8A297D8DF541}"/>
            </a:ext>
          </a:extLst>
        </xdr:cNvPr>
        <xdr:cNvSpPr/>
      </xdr:nvSpPr>
      <xdr:spPr>
        <a:xfrm rot="10800000">
          <a:off x="5006340" y="10805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</xdr:row>
      <xdr:rowOff>0</xdr:rowOff>
    </xdr:from>
    <xdr:to>
      <xdr:col>14</xdr:col>
      <xdr:colOff>83820</xdr:colOff>
      <xdr:row>59</xdr:row>
      <xdr:rowOff>114300</xdr:rowOff>
    </xdr:to>
    <xdr:sp macro="" textlink="">
      <xdr:nvSpPr>
        <xdr:cNvPr id="54" name="Arrow: Down 53">
          <a:extLst>
            <a:ext uri="{FF2B5EF4-FFF2-40B4-BE49-F238E27FC236}">
              <a16:creationId xmlns:a16="http://schemas.microsoft.com/office/drawing/2014/main" id="{2519D918-43BE-4897-AB65-9C0931A9E0F4}"/>
            </a:ext>
          </a:extLst>
        </xdr:cNvPr>
        <xdr:cNvSpPr/>
      </xdr:nvSpPr>
      <xdr:spPr>
        <a:xfrm>
          <a:off x="5006340" y="10988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</xdr:row>
      <xdr:rowOff>0</xdr:rowOff>
    </xdr:from>
    <xdr:to>
      <xdr:col>14</xdr:col>
      <xdr:colOff>83820</xdr:colOff>
      <xdr:row>60</xdr:row>
      <xdr:rowOff>114300</xdr:rowOff>
    </xdr:to>
    <xdr:sp macro="" textlink="">
      <xdr:nvSpPr>
        <xdr:cNvPr id="38" name="Arrow: Down 37">
          <a:extLst>
            <a:ext uri="{FF2B5EF4-FFF2-40B4-BE49-F238E27FC236}">
              <a16:creationId xmlns:a16="http://schemas.microsoft.com/office/drawing/2014/main" id="{26BC2468-B871-46D0-827B-D3F733B4421D}"/>
            </a:ext>
          </a:extLst>
        </xdr:cNvPr>
        <xdr:cNvSpPr/>
      </xdr:nvSpPr>
      <xdr:spPr>
        <a:xfrm>
          <a:off x="5006340" y="10988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83820</xdr:colOff>
      <xdr:row>61</xdr:row>
      <xdr:rowOff>114300</xdr:rowOff>
    </xdr:to>
    <xdr:sp macro="" textlink="">
      <xdr:nvSpPr>
        <xdr:cNvPr id="56" name="Arrow: Down 55">
          <a:extLst>
            <a:ext uri="{FF2B5EF4-FFF2-40B4-BE49-F238E27FC236}">
              <a16:creationId xmlns:a16="http://schemas.microsoft.com/office/drawing/2014/main" id="{21B96964-1BA0-4633-9467-B26CA1BB036C}"/>
            </a:ext>
          </a:extLst>
        </xdr:cNvPr>
        <xdr:cNvSpPr/>
      </xdr:nvSpPr>
      <xdr:spPr>
        <a:xfrm>
          <a:off x="5006340" y="1117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</xdr:row>
      <xdr:rowOff>0</xdr:rowOff>
    </xdr:from>
    <xdr:to>
      <xdr:col>14</xdr:col>
      <xdr:colOff>83820</xdr:colOff>
      <xdr:row>62</xdr:row>
      <xdr:rowOff>114300</xdr:rowOff>
    </xdr:to>
    <xdr:sp macro="" textlink="">
      <xdr:nvSpPr>
        <xdr:cNvPr id="50" name="Arrow: Down 49">
          <a:extLst>
            <a:ext uri="{FF2B5EF4-FFF2-40B4-BE49-F238E27FC236}">
              <a16:creationId xmlns:a16="http://schemas.microsoft.com/office/drawing/2014/main" id="{61CC480B-AE91-4DBF-A733-0F8A31E99597}"/>
            </a:ext>
          </a:extLst>
        </xdr:cNvPr>
        <xdr:cNvSpPr/>
      </xdr:nvSpPr>
      <xdr:spPr>
        <a:xfrm>
          <a:off x="5082540" y="1135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</xdr:row>
      <xdr:rowOff>0</xdr:rowOff>
    </xdr:from>
    <xdr:to>
      <xdr:col>14</xdr:col>
      <xdr:colOff>83820</xdr:colOff>
      <xdr:row>63</xdr:row>
      <xdr:rowOff>114300</xdr:rowOff>
    </xdr:to>
    <xdr:sp macro="" textlink="">
      <xdr:nvSpPr>
        <xdr:cNvPr id="58" name="Arrow: Down 57">
          <a:extLst>
            <a:ext uri="{FF2B5EF4-FFF2-40B4-BE49-F238E27FC236}">
              <a16:creationId xmlns:a16="http://schemas.microsoft.com/office/drawing/2014/main" id="{2FC1A549-DB0F-487C-9DF0-55126AAB853F}"/>
            </a:ext>
          </a:extLst>
        </xdr:cNvPr>
        <xdr:cNvSpPr/>
      </xdr:nvSpPr>
      <xdr:spPr>
        <a:xfrm>
          <a:off x="5082540" y="1153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83820</xdr:colOff>
      <xdr:row>64</xdr:row>
      <xdr:rowOff>114300</xdr:rowOff>
    </xdr:to>
    <xdr:sp macro="" textlink="">
      <xdr:nvSpPr>
        <xdr:cNvPr id="61" name="Arrow: Down 60">
          <a:extLst>
            <a:ext uri="{FF2B5EF4-FFF2-40B4-BE49-F238E27FC236}">
              <a16:creationId xmlns:a16="http://schemas.microsoft.com/office/drawing/2014/main" id="{54BB3E82-36C5-49EF-AD45-FCBB78447340}"/>
            </a:ext>
          </a:extLst>
        </xdr:cNvPr>
        <xdr:cNvSpPr/>
      </xdr:nvSpPr>
      <xdr:spPr>
        <a:xfrm rot="10800000">
          <a:off x="5082540" y="1190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</xdr:row>
      <xdr:rowOff>0</xdr:rowOff>
    </xdr:from>
    <xdr:to>
      <xdr:col>14</xdr:col>
      <xdr:colOff>83820</xdr:colOff>
      <xdr:row>65</xdr:row>
      <xdr:rowOff>114300</xdr:rowOff>
    </xdr:to>
    <xdr:sp macro="" textlink="">
      <xdr:nvSpPr>
        <xdr:cNvPr id="59" name="Arrow: Down 58">
          <a:extLst>
            <a:ext uri="{FF2B5EF4-FFF2-40B4-BE49-F238E27FC236}">
              <a16:creationId xmlns:a16="http://schemas.microsoft.com/office/drawing/2014/main" id="{5EBF3AD6-9370-4041-9940-B1725AA2AC07}"/>
            </a:ext>
          </a:extLst>
        </xdr:cNvPr>
        <xdr:cNvSpPr/>
      </xdr:nvSpPr>
      <xdr:spPr>
        <a:xfrm rot="10800000">
          <a:off x="5082540" y="1190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</xdr:row>
      <xdr:rowOff>0</xdr:rowOff>
    </xdr:from>
    <xdr:to>
      <xdr:col>14</xdr:col>
      <xdr:colOff>83820</xdr:colOff>
      <xdr:row>66</xdr:row>
      <xdr:rowOff>114300</xdr:rowOff>
    </xdr:to>
    <xdr:sp macro="" textlink="">
      <xdr:nvSpPr>
        <xdr:cNvPr id="57" name="Arrow: Down 56">
          <a:extLst>
            <a:ext uri="{FF2B5EF4-FFF2-40B4-BE49-F238E27FC236}">
              <a16:creationId xmlns:a16="http://schemas.microsoft.com/office/drawing/2014/main" id="{307B6ECF-BD13-44E5-9CE2-A9B5FE29CA76}"/>
            </a:ext>
          </a:extLst>
        </xdr:cNvPr>
        <xdr:cNvSpPr/>
      </xdr:nvSpPr>
      <xdr:spPr>
        <a:xfrm rot="10800000">
          <a:off x="5082540" y="1208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</xdr:row>
      <xdr:rowOff>0</xdr:rowOff>
    </xdr:from>
    <xdr:to>
      <xdr:col>14</xdr:col>
      <xdr:colOff>83820</xdr:colOff>
      <xdr:row>67</xdr:row>
      <xdr:rowOff>114300</xdr:rowOff>
    </xdr:to>
    <xdr:sp macro="" textlink="">
      <xdr:nvSpPr>
        <xdr:cNvPr id="63" name="Arrow: Down 62">
          <a:extLst>
            <a:ext uri="{FF2B5EF4-FFF2-40B4-BE49-F238E27FC236}">
              <a16:creationId xmlns:a16="http://schemas.microsoft.com/office/drawing/2014/main" id="{7F810F10-CF2E-4DC7-9003-C701F8E957C3}"/>
            </a:ext>
          </a:extLst>
        </xdr:cNvPr>
        <xdr:cNvSpPr/>
      </xdr:nvSpPr>
      <xdr:spPr>
        <a:xfrm>
          <a:off x="5082540" y="1245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</xdr:row>
      <xdr:rowOff>0</xdr:rowOff>
    </xdr:from>
    <xdr:to>
      <xdr:col>14</xdr:col>
      <xdr:colOff>83820</xdr:colOff>
      <xdr:row>68</xdr:row>
      <xdr:rowOff>114300</xdr:rowOff>
    </xdr:to>
    <xdr:sp macro="" textlink="">
      <xdr:nvSpPr>
        <xdr:cNvPr id="64" name="Arrow: Down 63">
          <a:extLst>
            <a:ext uri="{FF2B5EF4-FFF2-40B4-BE49-F238E27FC236}">
              <a16:creationId xmlns:a16="http://schemas.microsoft.com/office/drawing/2014/main" id="{23AEE374-7E45-441F-AFAD-F8EBCBD99530}"/>
            </a:ext>
          </a:extLst>
        </xdr:cNvPr>
        <xdr:cNvSpPr/>
      </xdr:nvSpPr>
      <xdr:spPr>
        <a:xfrm rot="10800000">
          <a:off x="5082540" y="1263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</xdr:row>
      <xdr:rowOff>0</xdr:rowOff>
    </xdr:from>
    <xdr:to>
      <xdr:col>14</xdr:col>
      <xdr:colOff>83820</xdr:colOff>
      <xdr:row>69</xdr:row>
      <xdr:rowOff>114300</xdr:rowOff>
    </xdr:to>
    <xdr:sp macro="" textlink="">
      <xdr:nvSpPr>
        <xdr:cNvPr id="66" name="Arrow: Down 65">
          <a:extLst>
            <a:ext uri="{FF2B5EF4-FFF2-40B4-BE49-F238E27FC236}">
              <a16:creationId xmlns:a16="http://schemas.microsoft.com/office/drawing/2014/main" id="{BC3AEB07-4654-4C4A-AF6E-A5321D8955F2}"/>
            </a:ext>
          </a:extLst>
        </xdr:cNvPr>
        <xdr:cNvSpPr/>
      </xdr:nvSpPr>
      <xdr:spPr>
        <a:xfrm>
          <a:off x="5082540" y="1281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83820</xdr:colOff>
      <xdr:row>70</xdr:row>
      <xdr:rowOff>114300</xdr:rowOff>
    </xdr:to>
    <xdr:sp macro="" textlink="">
      <xdr:nvSpPr>
        <xdr:cNvPr id="60" name="Arrow: Down 59">
          <a:extLst>
            <a:ext uri="{FF2B5EF4-FFF2-40B4-BE49-F238E27FC236}">
              <a16:creationId xmlns:a16="http://schemas.microsoft.com/office/drawing/2014/main" id="{D705722B-9E53-435B-BD5A-96948BEA050C}"/>
            </a:ext>
          </a:extLst>
        </xdr:cNvPr>
        <xdr:cNvSpPr/>
      </xdr:nvSpPr>
      <xdr:spPr>
        <a:xfrm>
          <a:off x="5082540" y="1281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</xdr:row>
      <xdr:rowOff>0</xdr:rowOff>
    </xdr:from>
    <xdr:to>
      <xdr:col>14</xdr:col>
      <xdr:colOff>83820</xdr:colOff>
      <xdr:row>71</xdr:row>
      <xdr:rowOff>114300</xdr:rowOff>
    </xdr:to>
    <xdr:sp macro="" textlink="">
      <xdr:nvSpPr>
        <xdr:cNvPr id="62" name="Arrow: Down 61">
          <a:extLst>
            <a:ext uri="{FF2B5EF4-FFF2-40B4-BE49-F238E27FC236}">
              <a16:creationId xmlns:a16="http://schemas.microsoft.com/office/drawing/2014/main" id="{C28CD217-6925-4407-BDD6-164027085198}"/>
            </a:ext>
          </a:extLst>
        </xdr:cNvPr>
        <xdr:cNvSpPr/>
      </xdr:nvSpPr>
      <xdr:spPr>
        <a:xfrm rot="10800000">
          <a:off x="5082540" y="13182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</xdr:row>
      <xdr:rowOff>0</xdr:rowOff>
    </xdr:from>
    <xdr:to>
      <xdr:col>14</xdr:col>
      <xdr:colOff>83820</xdr:colOff>
      <xdr:row>72</xdr:row>
      <xdr:rowOff>114300</xdr:rowOff>
    </xdr:to>
    <xdr:sp macro="" textlink="">
      <xdr:nvSpPr>
        <xdr:cNvPr id="68" name="Arrow: Down 67">
          <a:extLst>
            <a:ext uri="{FF2B5EF4-FFF2-40B4-BE49-F238E27FC236}">
              <a16:creationId xmlns:a16="http://schemas.microsoft.com/office/drawing/2014/main" id="{6FF394F2-45BE-4EDD-A497-3532F732A6FC}"/>
            </a:ext>
          </a:extLst>
        </xdr:cNvPr>
        <xdr:cNvSpPr/>
      </xdr:nvSpPr>
      <xdr:spPr>
        <a:xfrm>
          <a:off x="5082540" y="13365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</xdr:row>
      <xdr:rowOff>0</xdr:rowOff>
    </xdr:from>
    <xdr:to>
      <xdr:col>14</xdr:col>
      <xdr:colOff>160020</xdr:colOff>
      <xdr:row>73</xdr:row>
      <xdr:rowOff>99060</xdr:rowOff>
    </xdr:to>
    <xdr:sp macro="" textlink="">
      <xdr:nvSpPr>
        <xdr:cNvPr id="69" name="Minus Sign 68">
          <a:extLst>
            <a:ext uri="{FF2B5EF4-FFF2-40B4-BE49-F238E27FC236}">
              <a16:creationId xmlns:a16="http://schemas.microsoft.com/office/drawing/2014/main" id="{E72BD40E-7465-4A80-975A-01813230B197}"/>
            </a:ext>
          </a:extLst>
        </xdr:cNvPr>
        <xdr:cNvSpPr/>
      </xdr:nvSpPr>
      <xdr:spPr>
        <a:xfrm>
          <a:off x="5082540" y="1354836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14</xdr:col>
      <xdr:colOff>0</xdr:colOff>
      <xdr:row>74</xdr:row>
      <xdr:rowOff>0</xdr:rowOff>
    </xdr:from>
    <xdr:to>
      <xdr:col>14</xdr:col>
      <xdr:colOff>83820</xdr:colOff>
      <xdr:row>74</xdr:row>
      <xdr:rowOff>114300</xdr:rowOff>
    </xdr:to>
    <xdr:sp macro="" textlink="">
      <xdr:nvSpPr>
        <xdr:cNvPr id="70" name="Arrow: Down 69">
          <a:extLst>
            <a:ext uri="{FF2B5EF4-FFF2-40B4-BE49-F238E27FC236}">
              <a16:creationId xmlns:a16="http://schemas.microsoft.com/office/drawing/2014/main" id="{C4492DE6-98F2-496A-AFC8-5BA216A28394}"/>
            </a:ext>
          </a:extLst>
        </xdr:cNvPr>
        <xdr:cNvSpPr/>
      </xdr:nvSpPr>
      <xdr:spPr>
        <a:xfrm>
          <a:off x="5082540" y="1373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</xdr:row>
      <xdr:rowOff>0</xdr:rowOff>
    </xdr:from>
    <xdr:to>
      <xdr:col>14</xdr:col>
      <xdr:colOff>83820</xdr:colOff>
      <xdr:row>75</xdr:row>
      <xdr:rowOff>114300</xdr:rowOff>
    </xdr:to>
    <xdr:sp macro="" textlink="">
      <xdr:nvSpPr>
        <xdr:cNvPr id="71" name="Arrow: Down 70">
          <a:extLst>
            <a:ext uri="{FF2B5EF4-FFF2-40B4-BE49-F238E27FC236}">
              <a16:creationId xmlns:a16="http://schemas.microsoft.com/office/drawing/2014/main" id="{3FC724EE-FCB6-44F4-948F-A6AAD484196B}"/>
            </a:ext>
          </a:extLst>
        </xdr:cNvPr>
        <xdr:cNvSpPr/>
      </xdr:nvSpPr>
      <xdr:spPr>
        <a:xfrm rot="10800000">
          <a:off x="5082540" y="1391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</xdr:row>
      <xdr:rowOff>0</xdr:rowOff>
    </xdr:from>
    <xdr:to>
      <xdr:col>14</xdr:col>
      <xdr:colOff>83820</xdr:colOff>
      <xdr:row>76</xdr:row>
      <xdr:rowOff>114300</xdr:rowOff>
    </xdr:to>
    <xdr:sp macro="" textlink="">
      <xdr:nvSpPr>
        <xdr:cNvPr id="73" name="Arrow: Down 72">
          <a:extLst>
            <a:ext uri="{FF2B5EF4-FFF2-40B4-BE49-F238E27FC236}">
              <a16:creationId xmlns:a16="http://schemas.microsoft.com/office/drawing/2014/main" id="{FAC249DF-B675-42AA-A69C-1F5A5FE7F45B}"/>
            </a:ext>
          </a:extLst>
        </xdr:cNvPr>
        <xdr:cNvSpPr/>
      </xdr:nvSpPr>
      <xdr:spPr>
        <a:xfrm>
          <a:off x="50825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</xdr:row>
      <xdr:rowOff>0</xdr:rowOff>
    </xdr:from>
    <xdr:to>
      <xdr:col>14</xdr:col>
      <xdr:colOff>83820</xdr:colOff>
      <xdr:row>77</xdr:row>
      <xdr:rowOff>114300</xdr:rowOff>
    </xdr:to>
    <xdr:sp macro="" textlink="">
      <xdr:nvSpPr>
        <xdr:cNvPr id="67" name="Arrow: Down 66">
          <a:extLst>
            <a:ext uri="{FF2B5EF4-FFF2-40B4-BE49-F238E27FC236}">
              <a16:creationId xmlns:a16="http://schemas.microsoft.com/office/drawing/2014/main" id="{F7AA644C-D224-4FA7-8C90-9552BF85A043}"/>
            </a:ext>
          </a:extLst>
        </xdr:cNvPr>
        <xdr:cNvSpPr/>
      </xdr:nvSpPr>
      <xdr:spPr>
        <a:xfrm>
          <a:off x="50825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</xdr:row>
      <xdr:rowOff>0</xdr:rowOff>
    </xdr:from>
    <xdr:to>
      <xdr:col>14</xdr:col>
      <xdr:colOff>83820</xdr:colOff>
      <xdr:row>78</xdr:row>
      <xdr:rowOff>114300</xdr:rowOff>
    </xdr:to>
    <xdr:sp macro="" textlink="">
      <xdr:nvSpPr>
        <xdr:cNvPr id="72" name="Arrow: Down 71">
          <a:extLst>
            <a:ext uri="{FF2B5EF4-FFF2-40B4-BE49-F238E27FC236}">
              <a16:creationId xmlns:a16="http://schemas.microsoft.com/office/drawing/2014/main" id="{618C9C22-0379-4049-99FB-B8113314C760}"/>
            </a:ext>
          </a:extLst>
        </xdr:cNvPr>
        <xdr:cNvSpPr/>
      </xdr:nvSpPr>
      <xdr:spPr>
        <a:xfrm>
          <a:off x="5082540" y="14279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</xdr:row>
      <xdr:rowOff>0</xdr:rowOff>
    </xdr:from>
    <xdr:to>
      <xdr:col>14</xdr:col>
      <xdr:colOff>83820</xdr:colOff>
      <xdr:row>79</xdr:row>
      <xdr:rowOff>114300</xdr:rowOff>
    </xdr:to>
    <xdr:sp macro="" textlink="">
      <xdr:nvSpPr>
        <xdr:cNvPr id="74" name="Arrow: Down 73">
          <a:extLst>
            <a:ext uri="{FF2B5EF4-FFF2-40B4-BE49-F238E27FC236}">
              <a16:creationId xmlns:a16="http://schemas.microsoft.com/office/drawing/2014/main" id="{DFCA3371-94B9-47BB-9CA4-5ACADA0B9C72}"/>
            </a:ext>
          </a:extLst>
        </xdr:cNvPr>
        <xdr:cNvSpPr/>
      </xdr:nvSpPr>
      <xdr:spPr>
        <a:xfrm rot="10800000">
          <a:off x="5082540" y="1464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</xdr:row>
      <xdr:rowOff>0</xdr:rowOff>
    </xdr:from>
    <xdr:to>
      <xdr:col>14</xdr:col>
      <xdr:colOff>83820</xdr:colOff>
      <xdr:row>80</xdr:row>
      <xdr:rowOff>114300</xdr:rowOff>
    </xdr:to>
    <xdr:sp macro="" textlink="">
      <xdr:nvSpPr>
        <xdr:cNvPr id="65" name="Arrow: Down 64">
          <a:extLst>
            <a:ext uri="{FF2B5EF4-FFF2-40B4-BE49-F238E27FC236}">
              <a16:creationId xmlns:a16="http://schemas.microsoft.com/office/drawing/2014/main" id="{715CB796-F244-423A-B531-7FEB6D2A31BC}"/>
            </a:ext>
          </a:extLst>
        </xdr:cNvPr>
        <xdr:cNvSpPr/>
      </xdr:nvSpPr>
      <xdr:spPr>
        <a:xfrm rot="10800000">
          <a:off x="5082540" y="1482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</xdr:row>
      <xdr:rowOff>0</xdr:rowOff>
    </xdr:from>
    <xdr:to>
      <xdr:col>14</xdr:col>
      <xdr:colOff>83820</xdr:colOff>
      <xdr:row>81</xdr:row>
      <xdr:rowOff>114300</xdr:rowOff>
    </xdr:to>
    <xdr:sp macro="" textlink="">
      <xdr:nvSpPr>
        <xdr:cNvPr id="79" name="Arrow: Down 78">
          <a:extLst>
            <a:ext uri="{FF2B5EF4-FFF2-40B4-BE49-F238E27FC236}">
              <a16:creationId xmlns:a16="http://schemas.microsoft.com/office/drawing/2014/main" id="{54A7C60E-6C90-488A-81C8-03E887264E90}"/>
            </a:ext>
          </a:extLst>
        </xdr:cNvPr>
        <xdr:cNvSpPr/>
      </xdr:nvSpPr>
      <xdr:spPr>
        <a:xfrm>
          <a:off x="5082540" y="1501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</xdr:row>
      <xdr:rowOff>0</xdr:rowOff>
    </xdr:from>
    <xdr:to>
      <xdr:col>14</xdr:col>
      <xdr:colOff>83820</xdr:colOff>
      <xdr:row>82</xdr:row>
      <xdr:rowOff>114300</xdr:rowOff>
    </xdr:to>
    <xdr:sp macro="" textlink="">
      <xdr:nvSpPr>
        <xdr:cNvPr id="80" name="Arrow: Down 79">
          <a:extLst>
            <a:ext uri="{FF2B5EF4-FFF2-40B4-BE49-F238E27FC236}">
              <a16:creationId xmlns:a16="http://schemas.microsoft.com/office/drawing/2014/main" id="{EE82C698-C11E-4701-840F-D41BA0A394D1}"/>
            </a:ext>
          </a:extLst>
        </xdr:cNvPr>
        <xdr:cNvSpPr/>
      </xdr:nvSpPr>
      <xdr:spPr>
        <a:xfrm>
          <a:off x="5082540" y="1501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</xdr:row>
      <xdr:rowOff>0</xdr:rowOff>
    </xdr:from>
    <xdr:to>
      <xdr:col>14</xdr:col>
      <xdr:colOff>83820</xdr:colOff>
      <xdr:row>83</xdr:row>
      <xdr:rowOff>114300</xdr:rowOff>
    </xdr:to>
    <xdr:sp macro="" textlink="">
      <xdr:nvSpPr>
        <xdr:cNvPr id="81" name="Arrow: Down 80">
          <a:extLst>
            <a:ext uri="{FF2B5EF4-FFF2-40B4-BE49-F238E27FC236}">
              <a16:creationId xmlns:a16="http://schemas.microsoft.com/office/drawing/2014/main" id="{31817C29-0A4C-42C8-A80E-5526D5EB0467}"/>
            </a:ext>
          </a:extLst>
        </xdr:cNvPr>
        <xdr:cNvSpPr/>
      </xdr:nvSpPr>
      <xdr:spPr>
        <a:xfrm>
          <a:off x="5082540" y="1519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</xdr:row>
      <xdr:rowOff>0</xdr:rowOff>
    </xdr:from>
    <xdr:to>
      <xdr:col>14</xdr:col>
      <xdr:colOff>83820</xdr:colOff>
      <xdr:row>84</xdr:row>
      <xdr:rowOff>114300</xdr:rowOff>
    </xdr:to>
    <xdr:sp macro="" textlink="">
      <xdr:nvSpPr>
        <xdr:cNvPr id="75" name="Arrow: Down 74">
          <a:extLst>
            <a:ext uri="{FF2B5EF4-FFF2-40B4-BE49-F238E27FC236}">
              <a16:creationId xmlns:a16="http://schemas.microsoft.com/office/drawing/2014/main" id="{787FA6AC-8298-4CD3-A286-249E411F2AEB}"/>
            </a:ext>
          </a:extLst>
        </xdr:cNvPr>
        <xdr:cNvSpPr/>
      </xdr:nvSpPr>
      <xdr:spPr>
        <a:xfrm rot="10800000">
          <a:off x="5082540" y="15560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</xdr:row>
      <xdr:rowOff>0</xdr:rowOff>
    </xdr:from>
    <xdr:to>
      <xdr:col>14</xdr:col>
      <xdr:colOff>83820</xdr:colOff>
      <xdr:row>85</xdr:row>
      <xdr:rowOff>114300</xdr:rowOff>
    </xdr:to>
    <xdr:sp macro="" textlink="">
      <xdr:nvSpPr>
        <xdr:cNvPr id="78" name="Arrow: Down 77">
          <a:extLst>
            <a:ext uri="{FF2B5EF4-FFF2-40B4-BE49-F238E27FC236}">
              <a16:creationId xmlns:a16="http://schemas.microsoft.com/office/drawing/2014/main" id="{BB160FA1-8782-48B1-8749-74A69A37655D}"/>
            </a:ext>
          </a:extLst>
        </xdr:cNvPr>
        <xdr:cNvSpPr/>
      </xdr:nvSpPr>
      <xdr:spPr>
        <a:xfrm>
          <a:off x="5082540" y="15742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86</xdr:row>
      <xdr:rowOff>0</xdr:rowOff>
    </xdr:from>
    <xdr:to>
      <xdr:col>14</xdr:col>
      <xdr:colOff>83820</xdr:colOff>
      <xdr:row>86</xdr:row>
      <xdr:rowOff>114300</xdr:rowOff>
    </xdr:to>
    <xdr:sp macro="" textlink="">
      <xdr:nvSpPr>
        <xdr:cNvPr id="77" name="Arrow: Down 76">
          <a:extLst>
            <a:ext uri="{FF2B5EF4-FFF2-40B4-BE49-F238E27FC236}">
              <a16:creationId xmlns:a16="http://schemas.microsoft.com/office/drawing/2014/main" id="{7634BCDA-2B24-45FB-BE50-E96898DCF855}"/>
            </a:ext>
          </a:extLst>
        </xdr:cNvPr>
        <xdr:cNvSpPr/>
      </xdr:nvSpPr>
      <xdr:spPr>
        <a:xfrm>
          <a:off x="5082540" y="15742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87</xdr:row>
      <xdr:rowOff>0</xdr:rowOff>
    </xdr:from>
    <xdr:to>
      <xdr:col>14</xdr:col>
      <xdr:colOff>83820</xdr:colOff>
      <xdr:row>87</xdr:row>
      <xdr:rowOff>114300</xdr:rowOff>
    </xdr:to>
    <xdr:sp macro="" textlink="">
      <xdr:nvSpPr>
        <xdr:cNvPr id="76" name="Arrow: Down 75">
          <a:extLst>
            <a:ext uri="{FF2B5EF4-FFF2-40B4-BE49-F238E27FC236}">
              <a16:creationId xmlns:a16="http://schemas.microsoft.com/office/drawing/2014/main" id="{C03C094C-01DF-4258-BA84-DC0FD49CB1AF}"/>
            </a:ext>
          </a:extLst>
        </xdr:cNvPr>
        <xdr:cNvSpPr/>
      </xdr:nvSpPr>
      <xdr:spPr>
        <a:xfrm rot="10800000">
          <a:off x="5082540" y="1610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88</xdr:row>
      <xdr:rowOff>0</xdr:rowOff>
    </xdr:from>
    <xdr:to>
      <xdr:col>14</xdr:col>
      <xdr:colOff>83820</xdr:colOff>
      <xdr:row>88</xdr:row>
      <xdr:rowOff>114300</xdr:rowOff>
    </xdr:to>
    <xdr:sp macro="" textlink="">
      <xdr:nvSpPr>
        <xdr:cNvPr id="86" name="Arrow: Down 85">
          <a:extLst>
            <a:ext uri="{FF2B5EF4-FFF2-40B4-BE49-F238E27FC236}">
              <a16:creationId xmlns:a16="http://schemas.microsoft.com/office/drawing/2014/main" id="{CB9B1833-EAE2-4F17-BA0E-54D23E6464B4}"/>
            </a:ext>
          </a:extLst>
        </xdr:cNvPr>
        <xdr:cNvSpPr/>
      </xdr:nvSpPr>
      <xdr:spPr>
        <a:xfrm>
          <a:off x="5082540" y="1629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89</xdr:row>
      <xdr:rowOff>0</xdr:rowOff>
    </xdr:from>
    <xdr:to>
      <xdr:col>14</xdr:col>
      <xdr:colOff>83820</xdr:colOff>
      <xdr:row>89</xdr:row>
      <xdr:rowOff>114300</xdr:rowOff>
    </xdr:to>
    <xdr:sp macro="" textlink="">
      <xdr:nvSpPr>
        <xdr:cNvPr id="87" name="Arrow: Down 86">
          <a:extLst>
            <a:ext uri="{FF2B5EF4-FFF2-40B4-BE49-F238E27FC236}">
              <a16:creationId xmlns:a16="http://schemas.microsoft.com/office/drawing/2014/main" id="{8941EFDA-7BBB-4E48-AB77-E4A36FD1982A}"/>
            </a:ext>
          </a:extLst>
        </xdr:cNvPr>
        <xdr:cNvSpPr/>
      </xdr:nvSpPr>
      <xdr:spPr>
        <a:xfrm>
          <a:off x="5082540" y="1647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90</xdr:row>
      <xdr:rowOff>0</xdr:rowOff>
    </xdr:from>
    <xdr:to>
      <xdr:col>14</xdr:col>
      <xdr:colOff>83820</xdr:colOff>
      <xdr:row>90</xdr:row>
      <xdr:rowOff>114300</xdr:rowOff>
    </xdr:to>
    <xdr:sp macro="" textlink="">
      <xdr:nvSpPr>
        <xdr:cNvPr id="83" name="Arrow: Down 82">
          <a:extLst>
            <a:ext uri="{FF2B5EF4-FFF2-40B4-BE49-F238E27FC236}">
              <a16:creationId xmlns:a16="http://schemas.microsoft.com/office/drawing/2014/main" id="{BBFFDB97-553B-42F0-85C7-FCC2F9FDDF32}"/>
            </a:ext>
          </a:extLst>
        </xdr:cNvPr>
        <xdr:cNvSpPr/>
      </xdr:nvSpPr>
      <xdr:spPr>
        <a:xfrm>
          <a:off x="5082540" y="1647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91</xdr:row>
      <xdr:rowOff>0</xdr:rowOff>
    </xdr:from>
    <xdr:to>
      <xdr:col>14</xdr:col>
      <xdr:colOff>83820</xdr:colOff>
      <xdr:row>91</xdr:row>
      <xdr:rowOff>114300</xdr:rowOff>
    </xdr:to>
    <xdr:sp macro="" textlink="">
      <xdr:nvSpPr>
        <xdr:cNvPr id="82" name="Arrow: Down 81">
          <a:extLst>
            <a:ext uri="{FF2B5EF4-FFF2-40B4-BE49-F238E27FC236}">
              <a16:creationId xmlns:a16="http://schemas.microsoft.com/office/drawing/2014/main" id="{1B9F9666-7C48-4BFF-87A7-B4E500D4F13C}"/>
            </a:ext>
          </a:extLst>
        </xdr:cNvPr>
        <xdr:cNvSpPr/>
      </xdr:nvSpPr>
      <xdr:spPr>
        <a:xfrm>
          <a:off x="5082540" y="1665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92</xdr:row>
      <xdr:rowOff>0</xdr:rowOff>
    </xdr:from>
    <xdr:to>
      <xdr:col>14</xdr:col>
      <xdr:colOff>83820</xdr:colOff>
      <xdr:row>92</xdr:row>
      <xdr:rowOff>114300</xdr:rowOff>
    </xdr:to>
    <xdr:sp macro="" textlink="">
      <xdr:nvSpPr>
        <xdr:cNvPr id="88" name="Arrow: Down 87">
          <a:extLst>
            <a:ext uri="{FF2B5EF4-FFF2-40B4-BE49-F238E27FC236}">
              <a16:creationId xmlns:a16="http://schemas.microsoft.com/office/drawing/2014/main" id="{277261AC-317B-4110-AC25-09461968121A}"/>
            </a:ext>
          </a:extLst>
        </xdr:cNvPr>
        <xdr:cNvSpPr/>
      </xdr:nvSpPr>
      <xdr:spPr>
        <a:xfrm rot="10800000">
          <a:off x="5082540" y="17023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93</xdr:row>
      <xdr:rowOff>0</xdr:rowOff>
    </xdr:from>
    <xdr:to>
      <xdr:col>14</xdr:col>
      <xdr:colOff>83820</xdr:colOff>
      <xdr:row>93</xdr:row>
      <xdr:rowOff>114300</xdr:rowOff>
    </xdr:to>
    <xdr:sp macro="" textlink="">
      <xdr:nvSpPr>
        <xdr:cNvPr id="85" name="Arrow: Down 84">
          <a:extLst>
            <a:ext uri="{FF2B5EF4-FFF2-40B4-BE49-F238E27FC236}">
              <a16:creationId xmlns:a16="http://schemas.microsoft.com/office/drawing/2014/main" id="{36D99E6E-DBF7-4527-9F53-EA05BD2DB7BC}"/>
            </a:ext>
          </a:extLst>
        </xdr:cNvPr>
        <xdr:cNvSpPr/>
      </xdr:nvSpPr>
      <xdr:spPr>
        <a:xfrm>
          <a:off x="5082540" y="1720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94</xdr:row>
      <xdr:rowOff>0</xdr:rowOff>
    </xdr:from>
    <xdr:to>
      <xdr:col>14</xdr:col>
      <xdr:colOff>83820</xdr:colOff>
      <xdr:row>94</xdr:row>
      <xdr:rowOff>114300</xdr:rowOff>
    </xdr:to>
    <xdr:sp macro="" textlink="">
      <xdr:nvSpPr>
        <xdr:cNvPr id="89" name="Arrow: Down 88">
          <a:extLst>
            <a:ext uri="{FF2B5EF4-FFF2-40B4-BE49-F238E27FC236}">
              <a16:creationId xmlns:a16="http://schemas.microsoft.com/office/drawing/2014/main" id="{A107EF32-21D2-4F2E-9FD0-28117DB8E476}"/>
            </a:ext>
          </a:extLst>
        </xdr:cNvPr>
        <xdr:cNvSpPr/>
      </xdr:nvSpPr>
      <xdr:spPr>
        <a:xfrm>
          <a:off x="5082540" y="17388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95</xdr:row>
      <xdr:rowOff>0</xdr:rowOff>
    </xdr:from>
    <xdr:to>
      <xdr:col>14</xdr:col>
      <xdr:colOff>83820</xdr:colOff>
      <xdr:row>95</xdr:row>
      <xdr:rowOff>114300</xdr:rowOff>
    </xdr:to>
    <xdr:sp macro="" textlink="">
      <xdr:nvSpPr>
        <xdr:cNvPr id="91" name="Arrow: Down 90">
          <a:extLst>
            <a:ext uri="{FF2B5EF4-FFF2-40B4-BE49-F238E27FC236}">
              <a16:creationId xmlns:a16="http://schemas.microsoft.com/office/drawing/2014/main" id="{07AAC6AB-90EF-4F61-8480-BBD5FC83C023}"/>
            </a:ext>
          </a:extLst>
        </xdr:cNvPr>
        <xdr:cNvSpPr/>
      </xdr:nvSpPr>
      <xdr:spPr>
        <a:xfrm rot="10800000">
          <a:off x="5082540" y="1757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96</xdr:row>
      <xdr:rowOff>0</xdr:rowOff>
    </xdr:from>
    <xdr:to>
      <xdr:col>14</xdr:col>
      <xdr:colOff>83820</xdr:colOff>
      <xdr:row>96</xdr:row>
      <xdr:rowOff>114300</xdr:rowOff>
    </xdr:to>
    <xdr:sp macro="" textlink="">
      <xdr:nvSpPr>
        <xdr:cNvPr id="93" name="Arrow: Down 92">
          <a:extLst>
            <a:ext uri="{FF2B5EF4-FFF2-40B4-BE49-F238E27FC236}">
              <a16:creationId xmlns:a16="http://schemas.microsoft.com/office/drawing/2014/main" id="{1AD402FA-539A-4F7B-B08B-A13AB48BBD16}"/>
            </a:ext>
          </a:extLst>
        </xdr:cNvPr>
        <xdr:cNvSpPr/>
      </xdr:nvSpPr>
      <xdr:spPr>
        <a:xfrm>
          <a:off x="5082540" y="1775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97</xdr:row>
      <xdr:rowOff>0</xdr:rowOff>
    </xdr:from>
    <xdr:to>
      <xdr:col>14</xdr:col>
      <xdr:colOff>83820</xdr:colOff>
      <xdr:row>97</xdr:row>
      <xdr:rowOff>114300</xdr:rowOff>
    </xdr:to>
    <xdr:sp macro="" textlink="">
      <xdr:nvSpPr>
        <xdr:cNvPr id="84" name="Arrow: Down 83">
          <a:extLst>
            <a:ext uri="{FF2B5EF4-FFF2-40B4-BE49-F238E27FC236}">
              <a16:creationId xmlns:a16="http://schemas.microsoft.com/office/drawing/2014/main" id="{1DADD566-91C1-4A58-B0D0-C6E2F0192EC0}"/>
            </a:ext>
          </a:extLst>
        </xdr:cNvPr>
        <xdr:cNvSpPr/>
      </xdr:nvSpPr>
      <xdr:spPr>
        <a:xfrm>
          <a:off x="5082540" y="1775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98</xdr:row>
      <xdr:rowOff>0</xdr:rowOff>
    </xdr:from>
    <xdr:to>
      <xdr:col>14</xdr:col>
      <xdr:colOff>83820</xdr:colOff>
      <xdr:row>98</xdr:row>
      <xdr:rowOff>114300</xdr:rowOff>
    </xdr:to>
    <xdr:sp macro="" textlink="">
      <xdr:nvSpPr>
        <xdr:cNvPr id="95" name="Arrow: Down 94">
          <a:extLst>
            <a:ext uri="{FF2B5EF4-FFF2-40B4-BE49-F238E27FC236}">
              <a16:creationId xmlns:a16="http://schemas.microsoft.com/office/drawing/2014/main" id="{D6FFD4B5-DEB3-4B72-8F9E-10F29BE3452E}"/>
            </a:ext>
          </a:extLst>
        </xdr:cNvPr>
        <xdr:cNvSpPr/>
      </xdr:nvSpPr>
      <xdr:spPr>
        <a:xfrm>
          <a:off x="5082540" y="18120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99</xdr:row>
      <xdr:rowOff>0</xdr:rowOff>
    </xdr:from>
    <xdr:to>
      <xdr:col>14</xdr:col>
      <xdr:colOff>83820</xdr:colOff>
      <xdr:row>99</xdr:row>
      <xdr:rowOff>114300</xdr:rowOff>
    </xdr:to>
    <xdr:sp macro="" textlink="">
      <xdr:nvSpPr>
        <xdr:cNvPr id="97" name="Arrow: Down 96">
          <a:extLst>
            <a:ext uri="{FF2B5EF4-FFF2-40B4-BE49-F238E27FC236}">
              <a16:creationId xmlns:a16="http://schemas.microsoft.com/office/drawing/2014/main" id="{EDD53DE7-D9F0-42D6-AA3E-097FB7C0839D}"/>
            </a:ext>
          </a:extLst>
        </xdr:cNvPr>
        <xdr:cNvSpPr/>
      </xdr:nvSpPr>
      <xdr:spPr>
        <a:xfrm>
          <a:off x="5082540" y="18120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100</xdr:row>
      <xdr:rowOff>0</xdr:rowOff>
    </xdr:from>
    <xdr:to>
      <xdr:col>14</xdr:col>
      <xdr:colOff>83820</xdr:colOff>
      <xdr:row>100</xdr:row>
      <xdr:rowOff>114300</xdr:rowOff>
    </xdr:to>
    <xdr:sp macro="" textlink="">
      <xdr:nvSpPr>
        <xdr:cNvPr id="100" name="Arrow: Down 99">
          <a:extLst>
            <a:ext uri="{FF2B5EF4-FFF2-40B4-BE49-F238E27FC236}">
              <a16:creationId xmlns:a16="http://schemas.microsoft.com/office/drawing/2014/main" id="{AB388407-0DA7-49FA-9E7F-86EE4D8FD10F}"/>
            </a:ext>
          </a:extLst>
        </xdr:cNvPr>
        <xdr:cNvSpPr/>
      </xdr:nvSpPr>
      <xdr:spPr>
        <a:xfrm rot="10800000">
          <a:off x="5082540" y="1848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101</xdr:row>
      <xdr:rowOff>0</xdr:rowOff>
    </xdr:from>
    <xdr:to>
      <xdr:col>14</xdr:col>
      <xdr:colOff>83820</xdr:colOff>
      <xdr:row>101</xdr:row>
      <xdr:rowOff>114300</xdr:rowOff>
    </xdr:to>
    <xdr:sp macro="" textlink="">
      <xdr:nvSpPr>
        <xdr:cNvPr id="90" name="Arrow: Down 89">
          <a:extLst>
            <a:ext uri="{FF2B5EF4-FFF2-40B4-BE49-F238E27FC236}">
              <a16:creationId xmlns:a16="http://schemas.microsoft.com/office/drawing/2014/main" id="{DF937C85-1CFA-4D1D-ABC1-BE5ED4111A9A}"/>
            </a:ext>
          </a:extLst>
        </xdr:cNvPr>
        <xdr:cNvSpPr/>
      </xdr:nvSpPr>
      <xdr:spPr>
        <a:xfrm rot="10800000">
          <a:off x="5158740" y="1848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102</xdr:row>
      <xdr:rowOff>0</xdr:rowOff>
    </xdr:from>
    <xdr:to>
      <xdr:col>14</xdr:col>
      <xdr:colOff>83820</xdr:colOff>
      <xdr:row>102</xdr:row>
      <xdr:rowOff>114300</xdr:rowOff>
    </xdr:to>
    <xdr:sp macro="" textlink="">
      <xdr:nvSpPr>
        <xdr:cNvPr id="94" name="Arrow: Down 93">
          <a:extLst>
            <a:ext uri="{FF2B5EF4-FFF2-40B4-BE49-F238E27FC236}">
              <a16:creationId xmlns:a16="http://schemas.microsoft.com/office/drawing/2014/main" id="{FA62DC81-AA8E-45C9-9EF8-487D5A5E80CE}"/>
            </a:ext>
          </a:extLst>
        </xdr:cNvPr>
        <xdr:cNvSpPr/>
      </xdr:nvSpPr>
      <xdr:spPr>
        <a:xfrm>
          <a:off x="5158740" y="18851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103</xdr:row>
      <xdr:rowOff>0</xdr:rowOff>
    </xdr:from>
    <xdr:to>
      <xdr:col>14</xdr:col>
      <xdr:colOff>83820</xdr:colOff>
      <xdr:row>103</xdr:row>
      <xdr:rowOff>114300</xdr:rowOff>
    </xdr:to>
    <xdr:sp macro="" textlink="">
      <xdr:nvSpPr>
        <xdr:cNvPr id="96" name="Arrow: Down 95">
          <a:extLst>
            <a:ext uri="{FF2B5EF4-FFF2-40B4-BE49-F238E27FC236}">
              <a16:creationId xmlns:a16="http://schemas.microsoft.com/office/drawing/2014/main" id="{E2198E63-B681-4AF2-9CBF-CD3508440130}"/>
            </a:ext>
          </a:extLst>
        </xdr:cNvPr>
        <xdr:cNvSpPr/>
      </xdr:nvSpPr>
      <xdr:spPr>
        <a:xfrm>
          <a:off x="5158740" y="18851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104</xdr:row>
      <xdr:rowOff>0</xdr:rowOff>
    </xdr:from>
    <xdr:to>
      <xdr:col>14</xdr:col>
      <xdr:colOff>83820</xdr:colOff>
      <xdr:row>104</xdr:row>
      <xdr:rowOff>114300</xdr:rowOff>
    </xdr:to>
    <xdr:sp macro="" textlink="">
      <xdr:nvSpPr>
        <xdr:cNvPr id="98" name="Arrow: Down 97">
          <a:extLst>
            <a:ext uri="{FF2B5EF4-FFF2-40B4-BE49-F238E27FC236}">
              <a16:creationId xmlns:a16="http://schemas.microsoft.com/office/drawing/2014/main" id="{EFA8F11D-1F24-4B40-AB03-1BFE283469B7}"/>
            </a:ext>
          </a:extLst>
        </xdr:cNvPr>
        <xdr:cNvSpPr/>
      </xdr:nvSpPr>
      <xdr:spPr>
        <a:xfrm>
          <a:off x="5158740" y="19034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105</xdr:row>
      <xdr:rowOff>7620</xdr:rowOff>
    </xdr:from>
    <xdr:to>
      <xdr:col>14</xdr:col>
      <xdr:colOff>83820</xdr:colOff>
      <xdr:row>105</xdr:row>
      <xdr:rowOff>114300</xdr:rowOff>
    </xdr:to>
    <xdr:sp macro="" textlink="">
      <xdr:nvSpPr>
        <xdr:cNvPr id="101" name="Arrow: Down 100">
          <a:extLst>
            <a:ext uri="{FF2B5EF4-FFF2-40B4-BE49-F238E27FC236}">
              <a16:creationId xmlns:a16="http://schemas.microsoft.com/office/drawing/2014/main" id="{76BE8343-2EE7-4A7D-91B3-7951AD754447}"/>
            </a:ext>
          </a:extLst>
        </xdr:cNvPr>
        <xdr:cNvSpPr/>
      </xdr:nvSpPr>
      <xdr:spPr>
        <a:xfrm rot="10800000">
          <a:off x="5158740" y="194081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106</xdr:row>
      <xdr:rowOff>0</xdr:rowOff>
    </xdr:from>
    <xdr:to>
      <xdr:col>14</xdr:col>
      <xdr:colOff>83820</xdr:colOff>
      <xdr:row>106</xdr:row>
      <xdr:rowOff>114300</xdr:rowOff>
    </xdr:to>
    <xdr:sp macro="" textlink="">
      <xdr:nvSpPr>
        <xdr:cNvPr id="104" name="Arrow: Down 103">
          <a:extLst>
            <a:ext uri="{FF2B5EF4-FFF2-40B4-BE49-F238E27FC236}">
              <a16:creationId xmlns:a16="http://schemas.microsoft.com/office/drawing/2014/main" id="{0FBD3FE6-74A9-43E5-AD70-226D01B883D8}"/>
            </a:ext>
          </a:extLst>
        </xdr:cNvPr>
        <xdr:cNvSpPr/>
      </xdr:nvSpPr>
      <xdr:spPr>
        <a:xfrm>
          <a:off x="5158740" y="1958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107</xdr:row>
      <xdr:rowOff>0</xdr:rowOff>
    </xdr:from>
    <xdr:to>
      <xdr:col>14</xdr:col>
      <xdr:colOff>83820</xdr:colOff>
      <xdr:row>107</xdr:row>
      <xdr:rowOff>106680</xdr:rowOff>
    </xdr:to>
    <xdr:sp macro="" textlink="">
      <xdr:nvSpPr>
        <xdr:cNvPr id="107" name="Arrow: Down 106">
          <a:extLst>
            <a:ext uri="{FF2B5EF4-FFF2-40B4-BE49-F238E27FC236}">
              <a16:creationId xmlns:a16="http://schemas.microsoft.com/office/drawing/2014/main" id="{91BDE189-10DF-4868-BDED-90554109F461}"/>
            </a:ext>
          </a:extLst>
        </xdr:cNvPr>
        <xdr:cNvSpPr/>
      </xdr:nvSpPr>
      <xdr:spPr>
        <a:xfrm rot="10800000">
          <a:off x="5158740" y="19766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108</xdr:row>
      <xdr:rowOff>0</xdr:rowOff>
    </xdr:from>
    <xdr:to>
      <xdr:col>14</xdr:col>
      <xdr:colOff>83820</xdr:colOff>
      <xdr:row>108</xdr:row>
      <xdr:rowOff>106680</xdr:rowOff>
    </xdr:to>
    <xdr:sp macro="" textlink="">
      <xdr:nvSpPr>
        <xdr:cNvPr id="92" name="Arrow: Down 91">
          <a:extLst>
            <a:ext uri="{FF2B5EF4-FFF2-40B4-BE49-F238E27FC236}">
              <a16:creationId xmlns:a16="http://schemas.microsoft.com/office/drawing/2014/main" id="{56A0AD15-0EA9-434D-8A74-345C2A50898F}"/>
            </a:ext>
          </a:extLst>
        </xdr:cNvPr>
        <xdr:cNvSpPr/>
      </xdr:nvSpPr>
      <xdr:spPr>
        <a:xfrm rot="10800000">
          <a:off x="5158740" y="19766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109</xdr:row>
      <xdr:rowOff>0</xdr:rowOff>
    </xdr:from>
    <xdr:to>
      <xdr:col>14</xdr:col>
      <xdr:colOff>83820</xdr:colOff>
      <xdr:row>109</xdr:row>
      <xdr:rowOff>114300</xdr:rowOff>
    </xdr:to>
    <xdr:sp macro="" textlink="">
      <xdr:nvSpPr>
        <xdr:cNvPr id="103" name="Arrow: Down 102">
          <a:extLst>
            <a:ext uri="{FF2B5EF4-FFF2-40B4-BE49-F238E27FC236}">
              <a16:creationId xmlns:a16="http://schemas.microsoft.com/office/drawing/2014/main" id="{4C3CC9B9-9520-4860-9FB5-888DBE991D18}"/>
            </a:ext>
          </a:extLst>
        </xdr:cNvPr>
        <xdr:cNvSpPr/>
      </xdr:nvSpPr>
      <xdr:spPr>
        <a:xfrm>
          <a:off x="5158740" y="20132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110</xdr:row>
      <xdr:rowOff>0</xdr:rowOff>
    </xdr:from>
    <xdr:to>
      <xdr:col>14</xdr:col>
      <xdr:colOff>83820</xdr:colOff>
      <xdr:row>110</xdr:row>
      <xdr:rowOff>106680</xdr:rowOff>
    </xdr:to>
    <xdr:sp macro="" textlink="">
      <xdr:nvSpPr>
        <xdr:cNvPr id="106" name="Arrow: Down 105">
          <a:extLst>
            <a:ext uri="{FF2B5EF4-FFF2-40B4-BE49-F238E27FC236}">
              <a16:creationId xmlns:a16="http://schemas.microsoft.com/office/drawing/2014/main" id="{B4436ACF-0653-4C1D-9136-9067C0CFB6E0}"/>
            </a:ext>
          </a:extLst>
        </xdr:cNvPr>
        <xdr:cNvSpPr/>
      </xdr:nvSpPr>
      <xdr:spPr>
        <a:xfrm rot="10800000">
          <a:off x="5158740" y="203149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111</xdr:row>
      <xdr:rowOff>0</xdr:rowOff>
    </xdr:from>
    <xdr:to>
      <xdr:col>14</xdr:col>
      <xdr:colOff>83820</xdr:colOff>
      <xdr:row>111</xdr:row>
      <xdr:rowOff>114300</xdr:rowOff>
    </xdr:to>
    <xdr:sp macro="" textlink="">
      <xdr:nvSpPr>
        <xdr:cNvPr id="102" name="Arrow: Down 101">
          <a:extLst>
            <a:ext uri="{FF2B5EF4-FFF2-40B4-BE49-F238E27FC236}">
              <a16:creationId xmlns:a16="http://schemas.microsoft.com/office/drawing/2014/main" id="{63F0651F-B0F7-4119-9CBD-DC1C8FFD9A8D}"/>
            </a:ext>
          </a:extLst>
        </xdr:cNvPr>
        <xdr:cNvSpPr/>
      </xdr:nvSpPr>
      <xdr:spPr>
        <a:xfrm>
          <a:off x="5158740" y="2049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112</xdr:row>
      <xdr:rowOff>0</xdr:rowOff>
    </xdr:from>
    <xdr:to>
      <xdr:col>14</xdr:col>
      <xdr:colOff>83820</xdr:colOff>
      <xdr:row>112</xdr:row>
      <xdr:rowOff>114300</xdr:rowOff>
    </xdr:to>
    <xdr:sp macro="" textlink="">
      <xdr:nvSpPr>
        <xdr:cNvPr id="99" name="Arrow: Down 98">
          <a:extLst>
            <a:ext uri="{FF2B5EF4-FFF2-40B4-BE49-F238E27FC236}">
              <a16:creationId xmlns:a16="http://schemas.microsoft.com/office/drawing/2014/main" id="{84EA86D9-5A57-4084-8E2C-9903C1532CCF}"/>
            </a:ext>
          </a:extLst>
        </xdr:cNvPr>
        <xdr:cNvSpPr/>
      </xdr:nvSpPr>
      <xdr:spPr>
        <a:xfrm>
          <a:off x="5158740" y="2049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113</xdr:row>
      <xdr:rowOff>0</xdr:rowOff>
    </xdr:from>
    <xdr:to>
      <xdr:col>14</xdr:col>
      <xdr:colOff>83820</xdr:colOff>
      <xdr:row>113</xdr:row>
      <xdr:rowOff>106680</xdr:rowOff>
    </xdr:to>
    <xdr:sp macro="" textlink="">
      <xdr:nvSpPr>
        <xdr:cNvPr id="124" name="Arrow: Down 123">
          <a:extLst>
            <a:ext uri="{FF2B5EF4-FFF2-40B4-BE49-F238E27FC236}">
              <a16:creationId xmlns:a16="http://schemas.microsoft.com/office/drawing/2014/main" id="{D580A448-4E00-427E-A72E-740CC3A35FBD}"/>
            </a:ext>
          </a:extLst>
        </xdr:cNvPr>
        <xdr:cNvSpPr/>
      </xdr:nvSpPr>
      <xdr:spPr>
        <a:xfrm rot="10800000">
          <a:off x="5158740" y="208635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114</xdr:row>
      <xdr:rowOff>0</xdr:rowOff>
    </xdr:from>
    <xdr:to>
      <xdr:col>14</xdr:col>
      <xdr:colOff>83820</xdr:colOff>
      <xdr:row>114</xdr:row>
      <xdr:rowOff>106680</xdr:rowOff>
    </xdr:to>
    <xdr:sp macro="" textlink="">
      <xdr:nvSpPr>
        <xdr:cNvPr id="126" name="Arrow: Down 125">
          <a:extLst>
            <a:ext uri="{FF2B5EF4-FFF2-40B4-BE49-F238E27FC236}">
              <a16:creationId xmlns:a16="http://schemas.microsoft.com/office/drawing/2014/main" id="{9827D83B-5FE2-4D79-BA7F-33F33394AEA8}"/>
            </a:ext>
          </a:extLst>
        </xdr:cNvPr>
        <xdr:cNvSpPr/>
      </xdr:nvSpPr>
      <xdr:spPr>
        <a:xfrm rot="10800000">
          <a:off x="5158740" y="210464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115</xdr:row>
      <xdr:rowOff>0</xdr:rowOff>
    </xdr:from>
    <xdr:to>
      <xdr:col>14</xdr:col>
      <xdr:colOff>83820</xdr:colOff>
      <xdr:row>115</xdr:row>
      <xdr:rowOff>114300</xdr:rowOff>
    </xdr:to>
    <xdr:sp macro="" textlink="">
      <xdr:nvSpPr>
        <xdr:cNvPr id="128" name="Arrow: Down 127">
          <a:extLst>
            <a:ext uri="{FF2B5EF4-FFF2-40B4-BE49-F238E27FC236}">
              <a16:creationId xmlns:a16="http://schemas.microsoft.com/office/drawing/2014/main" id="{E42D6F89-84AB-4364-B045-2AC353C5DF2E}"/>
            </a:ext>
          </a:extLst>
        </xdr:cNvPr>
        <xdr:cNvSpPr/>
      </xdr:nvSpPr>
      <xdr:spPr>
        <a:xfrm>
          <a:off x="5158740" y="2122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116</xdr:row>
      <xdr:rowOff>0</xdr:rowOff>
    </xdr:from>
    <xdr:to>
      <xdr:col>14</xdr:col>
      <xdr:colOff>83820</xdr:colOff>
      <xdr:row>116</xdr:row>
      <xdr:rowOff>114300</xdr:rowOff>
    </xdr:to>
    <xdr:sp macro="" textlink="">
      <xdr:nvSpPr>
        <xdr:cNvPr id="129" name="Arrow: Down 128">
          <a:extLst>
            <a:ext uri="{FF2B5EF4-FFF2-40B4-BE49-F238E27FC236}">
              <a16:creationId xmlns:a16="http://schemas.microsoft.com/office/drawing/2014/main" id="{74A48665-B129-4919-9C2A-53BCA977B06E}"/>
            </a:ext>
          </a:extLst>
        </xdr:cNvPr>
        <xdr:cNvSpPr/>
      </xdr:nvSpPr>
      <xdr:spPr>
        <a:xfrm>
          <a:off x="5158740" y="2122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117</xdr:row>
      <xdr:rowOff>0</xdr:rowOff>
    </xdr:from>
    <xdr:to>
      <xdr:col>14</xdr:col>
      <xdr:colOff>83820</xdr:colOff>
      <xdr:row>117</xdr:row>
      <xdr:rowOff>106680</xdr:rowOff>
    </xdr:to>
    <xdr:sp macro="" textlink="">
      <xdr:nvSpPr>
        <xdr:cNvPr id="131" name="Arrow: Down 130">
          <a:extLst>
            <a:ext uri="{FF2B5EF4-FFF2-40B4-BE49-F238E27FC236}">
              <a16:creationId xmlns:a16="http://schemas.microsoft.com/office/drawing/2014/main" id="{43E7F4AD-B4CA-4C70-BC66-3FCBA45A6D95}"/>
            </a:ext>
          </a:extLst>
        </xdr:cNvPr>
        <xdr:cNvSpPr/>
      </xdr:nvSpPr>
      <xdr:spPr>
        <a:xfrm rot="10800000">
          <a:off x="5158740" y="215950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118</xdr:row>
      <xdr:rowOff>0</xdr:rowOff>
    </xdr:from>
    <xdr:to>
      <xdr:col>14</xdr:col>
      <xdr:colOff>83820</xdr:colOff>
      <xdr:row>118</xdr:row>
      <xdr:rowOff>114300</xdr:rowOff>
    </xdr:to>
    <xdr:sp macro="" textlink="">
      <xdr:nvSpPr>
        <xdr:cNvPr id="133" name="Arrow: Down 132">
          <a:extLst>
            <a:ext uri="{FF2B5EF4-FFF2-40B4-BE49-F238E27FC236}">
              <a16:creationId xmlns:a16="http://schemas.microsoft.com/office/drawing/2014/main" id="{172E9803-D878-4ADD-A69F-CE2A15CCAC1D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119</xdr:row>
      <xdr:rowOff>0</xdr:rowOff>
    </xdr:from>
    <xdr:to>
      <xdr:col>14</xdr:col>
      <xdr:colOff>83820</xdr:colOff>
      <xdr:row>119</xdr:row>
      <xdr:rowOff>114300</xdr:rowOff>
    </xdr:to>
    <xdr:sp macro="" textlink="">
      <xdr:nvSpPr>
        <xdr:cNvPr id="105" name="Arrow: Down 104">
          <a:extLst>
            <a:ext uri="{FF2B5EF4-FFF2-40B4-BE49-F238E27FC236}">
              <a16:creationId xmlns:a16="http://schemas.microsoft.com/office/drawing/2014/main" id="{F493B878-4B0F-4756-AB9F-4B28A96F81BF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120</xdr:row>
      <xdr:rowOff>0</xdr:rowOff>
    </xdr:from>
    <xdr:to>
      <xdr:col>14</xdr:col>
      <xdr:colOff>83820</xdr:colOff>
      <xdr:row>120</xdr:row>
      <xdr:rowOff>114300</xdr:rowOff>
    </xdr:to>
    <xdr:sp macro="" textlink="">
      <xdr:nvSpPr>
        <xdr:cNvPr id="112" name="Arrow: Down 111">
          <a:extLst>
            <a:ext uri="{FF2B5EF4-FFF2-40B4-BE49-F238E27FC236}">
              <a16:creationId xmlns:a16="http://schemas.microsoft.com/office/drawing/2014/main" id="{0E5191D3-238B-4908-A8A0-4499EAFAD4CF}"/>
            </a:ext>
          </a:extLst>
        </xdr:cNvPr>
        <xdr:cNvSpPr/>
      </xdr:nvSpPr>
      <xdr:spPr>
        <a:xfrm>
          <a:off x="5158740" y="22143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121</xdr:row>
      <xdr:rowOff>0</xdr:rowOff>
    </xdr:from>
    <xdr:to>
      <xdr:col>14</xdr:col>
      <xdr:colOff>83820</xdr:colOff>
      <xdr:row>121</xdr:row>
      <xdr:rowOff>114300</xdr:rowOff>
    </xdr:to>
    <xdr:sp macro="" textlink="">
      <xdr:nvSpPr>
        <xdr:cNvPr id="115" name="Arrow: Down 114">
          <a:extLst>
            <a:ext uri="{FF2B5EF4-FFF2-40B4-BE49-F238E27FC236}">
              <a16:creationId xmlns:a16="http://schemas.microsoft.com/office/drawing/2014/main" id="{DBFDC0D2-A286-4A11-A264-595E9BAB904A}"/>
            </a:ext>
          </a:extLst>
        </xdr:cNvPr>
        <xdr:cNvSpPr/>
      </xdr:nvSpPr>
      <xdr:spPr>
        <a:xfrm>
          <a:off x="5158740" y="22326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122</xdr:row>
      <xdr:rowOff>0</xdr:rowOff>
    </xdr:from>
    <xdr:to>
      <xdr:col>14</xdr:col>
      <xdr:colOff>83820</xdr:colOff>
      <xdr:row>122</xdr:row>
      <xdr:rowOff>106680</xdr:rowOff>
    </xdr:to>
    <xdr:sp macro="" textlink="">
      <xdr:nvSpPr>
        <xdr:cNvPr id="117" name="Arrow: Down 116">
          <a:extLst>
            <a:ext uri="{FF2B5EF4-FFF2-40B4-BE49-F238E27FC236}">
              <a16:creationId xmlns:a16="http://schemas.microsoft.com/office/drawing/2014/main" id="{6392B6D0-CE3C-46B7-A61C-C14B5C17A0EF}"/>
            </a:ext>
          </a:extLst>
        </xdr:cNvPr>
        <xdr:cNvSpPr/>
      </xdr:nvSpPr>
      <xdr:spPr>
        <a:xfrm rot="10800000">
          <a:off x="5158740" y="225094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123</xdr:row>
      <xdr:rowOff>0</xdr:rowOff>
    </xdr:from>
    <xdr:to>
      <xdr:col>14</xdr:col>
      <xdr:colOff>83820</xdr:colOff>
      <xdr:row>123</xdr:row>
      <xdr:rowOff>114300</xdr:rowOff>
    </xdr:to>
    <xdr:sp macro="" textlink="">
      <xdr:nvSpPr>
        <xdr:cNvPr id="111" name="Arrow: Down 110">
          <a:extLst>
            <a:ext uri="{FF2B5EF4-FFF2-40B4-BE49-F238E27FC236}">
              <a16:creationId xmlns:a16="http://schemas.microsoft.com/office/drawing/2014/main" id="{56B5A93C-D1EB-4424-B28D-64463C11AAD3}"/>
            </a:ext>
          </a:extLst>
        </xdr:cNvPr>
        <xdr:cNvSpPr/>
      </xdr:nvSpPr>
      <xdr:spPr>
        <a:xfrm>
          <a:off x="5158740" y="22692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124</xdr:row>
      <xdr:rowOff>0</xdr:rowOff>
    </xdr:from>
    <xdr:to>
      <xdr:col>14</xdr:col>
      <xdr:colOff>83820</xdr:colOff>
      <xdr:row>124</xdr:row>
      <xdr:rowOff>114300</xdr:rowOff>
    </xdr:to>
    <xdr:sp macro="" textlink="">
      <xdr:nvSpPr>
        <xdr:cNvPr id="113" name="Arrow: Down 112">
          <a:extLst>
            <a:ext uri="{FF2B5EF4-FFF2-40B4-BE49-F238E27FC236}">
              <a16:creationId xmlns:a16="http://schemas.microsoft.com/office/drawing/2014/main" id="{3494FB12-9F44-4C93-B953-5E744E56E395}"/>
            </a:ext>
          </a:extLst>
        </xdr:cNvPr>
        <xdr:cNvSpPr/>
      </xdr:nvSpPr>
      <xdr:spPr>
        <a:xfrm>
          <a:off x="5158740" y="22692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125</xdr:row>
      <xdr:rowOff>0</xdr:rowOff>
    </xdr:from>
    <xdr:to>
      <xdr:col>14</xdr:col>
      <xdr:colOff>83820</xdr:colOff>
      <xdr:row>125</xdr:row>
      <xdr:rowOff>106680</xdr:rowOff>
    </xdr:to>
    <xdr:sp macro="" textlink="">
      <xdr:nvSpPr>
        <xdr:cNvPr id="119" name="Arrow: Down 118">
          <a:extLst>
            <a:ext uri="{FF2B5EF4-FFF2-40B4-BE49-F238E27FC236}">
              <a16:creationId xmlns:a16="http://schemas.microsoft.com/office/drawing/2014/main" id="{0500F4BF-7C74-4757-AF04-06611CAD9ADE}"/>
            </a:ext>
          </a:extLst>
        </xdr:cNvPr>
        <xdr:cNvSpPr/>
      </xdr:nvSpPr>
      <xdr:spPr>
        <a:xfrm rot="10800000">
          <a:off x="5158740" y="230581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126</xdr:row>
      <xdr:rowOff>0</xdr:rowOff>
    </xdr:from>
    <xdr:to>
      <xdr:col>14</xdr:col>
      <xdr:colOff>83820</xdr:colOff>
      <xdr:row>126</xdr:row>
      <xdr:rowOff>106680</xdr:rowOff>
    </xdr:to>
    <xdr:sp macro="" textlink="">
      <xdr:nvSpPr>
        <xdr:cNvPr id="108" name="Arrow: Down 107">
          <a:extLst>
            <a:ext uri="{FF2B5EF4-FFF2-40B4-BE49-F238E27FC236}">
              <a16:creationId xmlns:a16="http://schemas.microsoft.com/office/drawing/2014/main" id="{3FFA67C6-A879-42B2-98B5-191183626840}"/>
            </a:ext>
          </a:extLst>
        </xdr:cNvPr>
        <xdr:cNvSpPr/>
      </xdr:nvSpPr>
      <xdr:spPr>
        <a:xfrm rot="10800000">
          <a:off x="5158740" y="232410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127</xdr:row>
      <xdr:rowOff>0</xdr:rowOff>
    </xdr:from>
    <xdr:to>
      <xdr:col>14</xdr:col>
      <xdr:colOff>83820</xdr:colOff>
      <xdr:row>127</xdr:row>
      <xdr:rowOff>106680</xdr:rowOff>
    </xdr:to>
    <xdr:sp macro="" textlink="">
      <xdr:nvSpPr>
        <xdr:cNvPr id="116" name="Arrow: Down 115">
          <a:extLst>
            <a:ext uri="{FF2B5EF4-FFF2-40B4-BE49-F238E27FC236}">
              <a16:creationId xmlns:a16="http://schemas.microsoft.com/office/drawing/2014/main" id="{E39B9FCB-ABA8-44F5-96EE-C6C08C848D48}"/>
            </a:ext>
          </a:extLst>
        </xdr:cNvPr>
        <xdr:cNvSpPr/>
      </xdr:nvSpPr>
      <xdr:spPr>
        <a:xfrm rot="10800000">
          <a:off x="5158740" y="234238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128</xdr:row>
      <xdr:rowOff>0</xdr:rowOff>
    </xdr:from>
    <xdr:to>
      <xdr:col>14</xdr:col>
      <xdr:colOff>83820</xdr:colOff>
      <xdr:row>128</xdr:row>
      <xdr:rowOff>106680</xdr:rowOff>
    </xdr:to>
    <xdr:sp macro="" textlink="">
      <xdr:nvSpPr>
        <xdr:cNvPr id="109" name="Arrow: Down 108">
          <a:extLst>
            <a:ext uri="{FF2B5EF4-FFF2-40B4-BE49-F238E27FC236}">
              <a16:creationId xmlns:a16="http://schemas.microsoft.com/office/drawing/2014/main" id="{AD8D530B-1014-4000-8E43-850CFD9156BF}"/>
            </a:ext>
          </a:extLst>
        </xdr:cNvPr>
        <xdr:cNvSpPr/>
      </xdr:nvSpPr>
      <xdr:spPr>
        <a:xfrm rot="10800000">
          <a:off x="5158740" y="234238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130</xdr:row>
      <xdr:rowOff>0</xdr:rowOff>
    </xdr:from>
    <xdr:to>
      <xdr:col>14</xdr:col>
      <xdr:colOff>83820</xdr:colOff>
      <xdr:row>130</xdr:row>
      <xdr:rowOff>106680</xdr:rowOff>
    </xdr:to>
    <xdr:sp macro="" textlink="">
      <xdr:nvSpPr>
        <xdr:cNvPr id="114" name="Arrow: Down 113">
          <a:extLst>
            <a:ext uri="{FF2B5EF4-FFF2-40B4-BE49-F238E27FC236}">
              <a16:creationId xmlns:a16="http://schemas.microsoft.com/office/drawing/2014/main" id="{56C90FFF-E144-4A5F-B680-18FBBC253A3A}"/>
            </a:ext>
          </a:extLst>
        </xdr:cNvPr>
        <xdr:cNvSpPr/>
      </xdr:nvSpPr>
      <xdr:spPr>
        <a:xfrm rot="10800000">
          <a:off x="5158740" y="237896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129</xdr:row>
      <xdr:rowOff>0</xdr:rowOff>
    </xdr:from>
    <xdr:to>
      <xdr:col>14</xdr:col>
      <xdr:colOff>83820</xdr:colOff>
      <xdr:row>129</xdr:row>
      <xdr:rowOff>114300</xdr:rowOff>
    </xdr:to>
    <xdr:sp macro="" textlink="">
      <xdr:nvSpPr>
        <xdr:cNvPr id="118" name="Arrow: Down 117">
          <a:extLst>
            <a:ext uri="{FF2B5EF4-FFF2-40B4-BE49-F238E27FC236}">
              <a16:creationId xmlns:a16="http://schemas.microsoft.com/office/drawing/2014/main" id="{0EE7A466-D247-4B24-ABCC-520B0DEE8D55}"/>
            </a:ext>
          </a:extLst>
        </xdr:cNvPr>
        <xdr:cNvSpPr/>
      </xdr:nvSpPr>
      <xdr:spPr>
        <a:xfrm>
          <a:off x="5158740" y="23789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131</xdr:row>
      <xdr:rowOff>0</xdr:rowOff>
    </xdr:from>
    <xdr:to>
      <xdr:col>14</xdr:col>
      <xdr:colOff>83820</xdr:colOff>
      <xdr:row>131</xdr:row>
      <xdr:rowOff>114300</xdr:rowOff>
    </xdr:to>
    <xdr:sp macro="" textlink="">
      <xdr:nvSpPr>
        <xdr:cNvPr id="121" name="Arrow: Down 120">
          <a:extLst>
            <a:ext uri="{FF2B5EF4-FFF2-40B4-BE49-F238E27FC236}">
              <a16:creationId xmlns:a16="http://schemas.microsoft.com/office/drawing/2014/main" id="{62E90C99-C367-4E2A-BDF6-D2A9708511ED}"/>
            </a:ext>
          </a:extLst>
        </xdr:cNvPr>
        <xdr:cNvSpPr/>
      </xdr:nvSpPr>
      <xdr:spPr>
        <a:xfrm>
          <a:off x="5158740" y="2415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132</xdr:row>
      <xdr:rowOff>0</xdr:rowOff>
    </xdr:from>
    <xdr:to>
      <xdr:col>14</xdr:col>
      <xdr:colOff>83820</xdr:colOff>
      <xdr:row>132</xdr:row>
      <xdr:rowOff>106680</xdr:rowOff>
    </xdr:to>
    <xdr:sp macro="" textlink="">
      <xdr:nvSpPr>
        <xdr:cNvPr id="134" name="Arrow: Down 133">
          <a:extLst>
            <a:ext uri="{FF2B5EF4-FFF2-40B4-BE49-F238E27FC236}">
              <a16:creationId xmlns:a16="http://schemas.microsoft.com/office/drawing/2014/main" id="{C492A977-746E-49C1-9B01-734CF8C8D1C7}"/>
            </a:ext>
          </a:extLst>
        </xdr:cNvPr>
        <xdr:cNvSpPr/>
      </xdr:nvSpPr>
      <xdr:spPr>
        <a:xfrm rot="10800000">
          <a:off x="5158740" y="24338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133</xdr:row>
      <xdr:rowOff>0</xdr:rowOff>
    </xdr:from>
    <xdr:to>
      <xdr:col>14</xdr:col>
      <xdr:colOff>83820</xdr:colOff>
      <xdr:row>133</xdr:row>
      <xdr:rowOff>114300</xdr:rowOff>
    </xdr:to>
    <xdr:sp macro="" textlink="">
      <xdr:nvSpPr>
        <xdr:cNvPr id="120" name="Arrow: Down 119">
          <a:extLst>
            <a:ext uri="{FF2B5EF4-FFF2-40B4-BE49-F238E27FC236}">
              <a16:creationId xmlns:a16="http://schemas.microsoft.com/office/drawing/2014/main" id="{D0B1C446-9DB0-46F1-A12E-45FD1939F0C0}"/>
            </a:ext>
          </a:extLst>
        </xdr:cNvPr>
        <xdr:cNvSpPr/>
      </xdr:nvSpPr>
      <xdr:spPr>
        <a:xfrm>
          <a:off x="5158740" y="24521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134</xdr:row>
      <xdr:rowOff>0</xdr:rowOff>
    </xdr:from>
    <xdr:to>
      <xdr:col>14</xdr:col>
      <xdr:colOff>83820</xdr:colOff>
      <xdr:row>134</xdr:row>
      <xdr:rowOff>106680</xdr:rowOff>
    </xdr:to>
    <xdr:sp macro="" textlink="">
      <xdr:nvSpPr>
        <xdr:cNvPr id="122" name="Arrow: Down 121">
          <a:extLst>
            <a:ext uri="{FF2B5EF4-FFF2-40B4-BE49-F238E27FC236}">
              <a16:creationId xmlns:a16="http://schemas.microsoft.com/office/drawing/2014/main" id="{BC244D08-593A-408E-B723-287FEAA915C1}"/>
            </a:ext>
          </a:extLst>
        </xdr:cNvPr>
        <xdr:cNvSpPr/>
      </xdr:nvSpPr>
      <xdr:spPr>
        <a:xfrm rot="10800000">
          <a:off x="5158740" y="247040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135</xdr:row>
      <xdr:rowOff>0</xdr:rowOff>
    </xdr:from>
    <xdr:to>
      <xdr:col>14</xdr:col>
      <xdr:colOff>83820</xdr:colOff>
      <xdr:row>135</xdr:row>
      <xdr:rowOff>114300</xdr:rowOff>
    </xdr:to>
    <xdr:sp macro="" textlink="">
      <xdr:nvSpPr>
        <xdr:cNvPr id="125" name="Arrow: Down 124">
          <a:extLst>
            <a:ext uri="{FF2B5EF4-FFF2-40B4-BE49-F238E27FC236}">
              <a16:creationId xmlns:a16="http://schemas.microsoft.com/office/drawing/2014/main" id="{FF66B8B8-8A79-42D3-AD28-DFAC85131088}"/>
            </a:ext>
          </a:extLst>
        </xdr:cNvPr>
        <xdr:cNvSpPr/>
      </xdr:nvSpPr>
      <xdr:spPr>
        <a:xfrm>
          <a:off x="5158740" y="2488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136</xdr:row>
      <xdr:rowOff>0</xdr:rowOff>
    </xdr:from>
    <xdr:to>
      <xdr:col>14</xdr:col>
      <xdr:colOff>83820</xdr:colOff>
      <xdr:row>136</xdr:row>
      <xdr:rowOff>106680</xdr:rowOff>
    </xdr:to>
    <xdr:sp macro="" textlink="">
      <xdr:nvSpPr>
        <xdr:cNvPr id="130" name="Arrow: Down 129">
          <a:extLst>
            <a:ext uri="{FF2B5EF4-FFF2-40B4-BE49-F238E27FC236}">
              <a16:creationId xmlns:a16="http://schemas.microsoft.com/office/drawing/2014/main" id="{12C28A4A-2328-442F-A71D-3F6B05D5DCB4}"/>
            </a:ext>
          </a:extLst>
        </xdr:cNvPr>
        <xdr:cNvSpPr/>
      </xdr:nvSpPr>
      <xdr:spPr>
        <a:xfrm rot="10800000">
          <a:off x="5158740" y="250698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137</xdr:row>
      <xdr:rowOff>0</xdr:rowOff>
    </xdr:from>
    <xdr:to>
      <xdr:col>14</xdr:col>
      <xdr:colOff>83820</xdr:colOff>
      <xdr:row>137</xdr:row>
      <xdr:rowOff>114300</xdr:rowOff>
    </xdr:to>
    <xdr:sp macro="" textlink="">
      <xdr:nvSpPr>
        <xdr:cNvPr id="135" name="Arrow: Down 134">
          <a:extLst>
            <a:ext uri="{FF2B5EF4-FFF2-40B4-BE49-F238E27FC236}">
              <a16:creationId xmlns:a16="http://schemas.microsoft.com/office/drawing/2014/main" id="{C865E383-DE38-42C5-8698-B8EE40DB471D}"/>
            </a:ext>
          </a:extLst>
        </xdr:cNvPr>
        <xdr:cNvSpPr/>
      </xdr:nvSpPr>
      <xdr:spPr>
        <a:xfrm>
          <a:off x="5158740" y="2525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138</xdr:row>
      <xdr:rowOff>0</xdr:rowOff>
    </xdr:from>
    <xdr:to>
      <xdr:col>14</xdr:col>
      <xdr:colOff>83820</xdr:colOff>
      <xdr:row>138</xdr:row>
      <xdr:rowOff>114300</xdr:rowOff>
    </xdr:to>
    <xdr:sp macro="" textlink="">
      <xdr:nvSpPr>
        <xdr:cNvPr id="137" name="Arrow: Down 136">
          <a:extLst>
            <a:ext uri="{FF2B5EF4-FFF2-40B4-BE49-F238E27FC236}">
              <a16:creationId xmlns:a16="http://schemas.microsoft.com/office/drawing/2014/main" id="{E98166D0-C5F7-4B67-BAA5-4C65FD6062B5}"/>
            </a:ext>
          </a:extLst>
        </xdr:cNvPr>
        <xdr:cNvSpPr/>
      </xdr:nvSpPr>
      <xdr:spPr>
        <a:xfrm>
          <a:off x="5158740" y="2525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139</xdr:row>
      <xdr:rowOff>0</xdr:rowOff>
    </xdr:from>
    <xdr:to>
      <xdr:col>14</xdr:col>
      <xdr:colOff>83820</xdr:colOff>
      <xdr:row>139</xdr:row>
      <xdr:rowOff>106680</xdr:rowOff>
    </xdr:to>
    <xdr:sp macro="" textlink="">
      <xdr:nvSpPr>
        <xdr:cNvPr id="139" name="Arrow: Down 138">
          <a:extLst>
            <a:ext uri="{FF2B5EF4-FFF2-40B4-BE49-F238E27FC236}">
              <a16:creationId xmlns:a16="http://schemas.microsoft.com/office/drawing/2014/main" id="{93147313-B904-443D-BB3C-ABAC7E8AD0EE}"/>
            </a:ext>
          </a:extLst>
        </xdr:cNvPr>
        <xdr:cNvSpPr/>
      </xdr:nvSpPr>
      <xdr:spPr>
        <a:xfrm rot="10800000">
          <a:off x="5158740" y="256184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140</xdr:row>
      <xdr:rowOff>0</xdr:rowOff>
    </xdr:from>
    <xdr:to>
      <xdr:col>14</xdr:col>
      <xdr:colOff>83820</xdr:colOff>
      <xdr:row>140</xdr:row>
      <xdr:rowOff>114300</xdr:rowOff>
    </xdr:to>
    <xdr:sp macro="" textlink="">
      <xdr:nvSpPr>
        <xdr:cNvPr id="127" name="Arrow: Down 126">
          <a:extLst>
            <a:ext uri="{FF2B5EF4-FFF2-40B4-BE49-F238E27FC236}">
              <a16:creationId xmlns:a16="http://schemas.microsoft.com/office/drawing/2014/main" id="{63D5775A-996D-477A-AC03-41AD7DA2578D}"/>
            </a:ext>
          </a:extLst>
        </xdr:cNvPr>
        <xdr:cNvSpPr/>
      </xdr:nvSpPr>
      <xdr:spPr>
        <a:xfrm>
          <a:off x="5158740" y="25801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141</xdr:row>
      <xdr:rowOff>0</xdr:rowOff>
    </xdr:from>
    <xdr:to>
      <xdr:col>14</xdr:col>
      <xdr:colOff>83820</xdr:colOff>
      <xdr:row>141</xdr:row>
      <xdr:rowOff>106680</xdr:rowOff>
    </xdr:to>
    <xdr:sp macro="" textlink="">
      <xdr:nvSpPr>
        <xdr:cNvPr id="141" name="Arrow: Down 140">
          <a:extLst>
            <a:ext uri="{FF2B5EF4-FFF2-40B4-BE49-F238E27FC236}">
              <a16:creationId xmlns:a16="http://schemas.microsoft.com/office/drawing/2014/main" id="{493CA8B5-EB76-4F73-B10E-C377B4F4A422}"/>
            </a:ext>
          </a:extLst>
        </xdr:cNvPr>
        <xdr:cNvSpPr/>
      </xdr:nvSpPr>
      <xdr:spPr>
        <a:xfrm rot="10800000">
          <a:off x="5158740" y="259842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142</xdr:row>
      <xdr:rowOff>0</xdr:rowOff>
    </xdr:from>
    <xdr:to>
      <xdr:col>14</xdr:col>
      <xdr:colOff>83820</xdr:colOff>
      <xdr:row>142</xdr:row>
      <xdr:rowOff>114300</xdr:rowOff>
    </xdr:to>
    <xdr:sp macro="" textlink="">
      <xdr:nvSpPr>
        <xdr:cNvPr id="143" name="Arrow: Down 142">
          <a:extLst>
            <a:ext uri="{FF2B5EF4-FFF2-40B4-BE49-F238E27FC236}">
              <a16:creationId xmlns:a16="http://schemas.microsoft.com/office/drawing/2014/main" id="{C8A5454B-5E27-4C3C-ADA3-5C526FCE8327}"/>
            </a:ext>
          </a:extLst>
        </xdr:cNvPr>
        <xdr:cNvSpPr/>
      </xdr:nvSpPr>
      <xdr:spPr>
        <a:xfrm>
          <a:off x="5158740" y="2616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143</xdr:row>
      <xdr:rowOff>0</xdr:rowOff>
    </xdr:from>
    <xdr:to>
      <xdr:col>14</xdr:col>
      <xdr:colOff>83820</xdr:colOff>
      <xdr:row>143</xdr:row>
      <xdr:rowOff>106680</xdr:rowOff>
    </xdr:to>
    <xdr:sp macro="" textlink="">
      <xdr:nvSpPr>
        <xdr:cNvPr id="146" name="Arrow: Down 145">
          <a:extLst>
            <a:ext uri="{FF2B5EF4-FFF2-40B4-BE49-F238E27FC236}">
              <a16:creationId xmlns:a16="http://schemas.microsoft.com/office/drawing/2014/main" id="{84DB2A74-F2E5-4F41-A85B-33F1F0721E55}"/>
            </a:ext>
          </a:extLst>
        </xdr:cNvPr>
        <xdr:cNvSpPr/>
      </xdr:nvSpPr>
      <xdr:spPr>
        <a:xfrm rot="10800000">
          <a:off x="5158740" y="263499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144</xdr:row>
      <xdr:rowOff>0</xdr:rowOff>
    </xdr:from>
    <xdr:to>
      <xdr:col>14</xdr:col>
      <xdr:colOff>83820</xdr:colOff>
      <xdr:row>144</xdr:row>
      <xdr:rowOff>114300</xdr:rowOff>
    </xdr:to>
    <xdr:sp macro="" textlink="">
      <xdr:nvSpPr>
        <xdr:cNvPr id="149" name="Arrow: Down 148">
          <a:extLst>
            <a:ext uri="{FF2B5EF4-FFF2-40B4-BE49-F238E27FC236}">
              <a16:creationId xmlns:a16="http://schemas.microsoft.com/office/drawing/2014/main" id="{47C47B60-28C8-440F-A197-466A75CECC6A}"/>
            </a:ext>
          </a:extLst>
        </xdr:cNvPr>
        <xdr:cNvSpPr/>
      </xdr:nvSpPr>
      <xdr:spPr>
        <a:xfrm>
          <a:off x="5158740" y="2653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145</xdr:row>
      <xdr:rowOff>0</xdr:rowOff>
    </xdr:from>
    <xdr:to>
      <xdr:col>14</xdr:col>
      <xdr:colOff>83820</xdr:colOff>
      <xdr:row>145</xdr:row>
      <xdr:rowOff>106680</xdr:rowOff>
    </xdr:to>
    <xdr:sp macro="" textlink="">
      <xdr:nvSpPr>
        <xdr:cNvPr id="151" name="Arrow: Down 150">
          <a:extLst>
            <a:ext uri="{FF2B5EF4-FFF2-40B4-BE49-F238E27FC236}">
              <a16:creationId xmlns:a16="http://schemas.microsoft.com/office/drawing/2014/main" id="{CFE3979E-0D29-44FC-BB57-065C5529D0F0}"/>
            </a:ext>
          </a:extLst>
        </xdr:cNvPr>
        <xdr:cNvSpPr/>
      </xdr:nvSpPr>
      <xdr:spPr>
        <a:xfrm rot="10800000">
          <a:off x="5158740" y="267157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146</xdr:row>
      <xdr:rowOff>0</xdr:rowOff>
    </xdr:from>
    <xdr:to>
      <xdr:col>14</xdr:col>
      <xdr:colOff>83820</xdr:colOff>
      <xdr:row>146</xdr:row>
      <xdr:rowOff>114300</xdr:rowOff>
    </xdr:to>
    <xdr:sp macro="" textlink="">
      <xdr:nvSpPr>
        <xdr:cNvPr id="123" name="Arrow: Down 122">
          <a:extLst>
            <a:ext uri="{FF2B5EF4-FFF2-40B4-BE49-F238E27FC236}">
              <a16:creationId xmlns:a16="http://schemas.microsoft.com/office/drawing/2014/main" id="{9502C296-0D87-4277-BFA5-0B5233685F8D}"/>
            </a:ext>
          </a:extLst>
        </xdr:cNvPr>
        <xdr:cNvSpPr/>
      </xdr:nvSpPr>
      <xdr:spPr>
        <a:xfrm>
          <a:off x="5158740" y="2689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147</xdr:row>
      <xdr:rowOff>0</xdr:rowOff>
    </xdr:from>
    <xdr:to>
      <xdr:col>14</xdr:col>
      <xdr:colOff>83820</xdr:colOff>
      <xdr:row>147</xdr:row>
      <xdr:rowOff>114300</xdr:rowOff>
    </xdr:to>
    <xdr:sp macro="" textlink="">
      <xdr:nvSpPr>
        <xdr:cNvPr id="136" name="Arrow: Down 135">
          <a:extLst>
            <a:ext uri="{FF2B5EF4-FFF2-40B4-BE49-F238E27FC236}">
              <a16:creationId xmlns:a16="http://schemas.microsoft.com/office/drawing/2014/main" id="{516ACED6-BFF0-406D-B664-169EC0F1937F}"/>
            </a:ext>
          </a:extLst>
        </xdr:cNvPr>
        <xdr:cNvSpPr/>
      </xdr:nvSpPr>
      <xdr:spPr>
        <a:xfrm>
          <a:off x="5158740" y="2689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148</xdr:row>
      <xdr:rowOff>0</xdr:rowOff>
    </xdr:from>
    <xdr:to>
      <xdr:col>14</xdr:col>
      <xdr:colOff>83820</xdr:colOff>
      <xdr:row>148</xdr:row>
      <xdr:rowOff>106680</xdr:rowOff>
    </xdr:to>
    <xdr:sp macro="" textlink="">
      <xdr:nvSpPr>
        <xdr:cNvPr id="138" name="Arrow: Down 137">
          <a:extLst>
            <a:ext uri="{FF2B5EF4-FFF2-40B4-BE49-F238E27FC236}">
              <a16:creationId xmlns:a16="http://schemas.microsoft.com/office/drawing/2014/main" id="{9ED87667-DDC8-4EAE-92AA-F5DD0A0A29D2}"/>
            </a:ext>
          </a:extLst>
        </xdr:cNvPr>
        <xdr:cNvSpPr/>
      </xdr:nvSpPr>
      <xdr:spPr>
        <a:xfrm rot="10800000">
          <a:off x="5158740" y="272643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149</xdr:row>
      <xdr:rowOff>0</xdr:rowOff>
    </xdr:from>
    <xdr:to>
      <xdr:col>14</xdr:col>
      <xdr:colOff>83820</xdr:colOff>
      <xdr:row>149</xdr:row>
      <xdr:rowOff>114300</xdr:rowOff>
    </xdr:to>
    <xdr:sp macro="" textlink="">
      <xdr:nvSpPr>
        <xdr:cNvPr id="142" name="Arrow: Down 141">
          <a:extLst>
            <a:ext uri="{FF2B5EF4-FFF2-40B4-BE49-F238E27FC236}">
              <a16:creationId xmlns:a16="http://schemas.microsoft.com/office/drawing/2014/main" id="{28F8B4B3-9D66-4F41-A3BF-5D5F1BDDA80F}"/>
            </a:ext>
          </a:extLst>
        </xdr:cNvPr>
        <xdr:cNvSpPr/>
      </xdr:nvSpPr>
      <xdr:spPr>
        <a:xfrm>
          <a:off x="5158740" y="2744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150</xdr:row>
      <xdr:rowOff>0</xdr:rowOff>
    </xdr:from>
    <xdr:to>
      <xdr:col>14</xdr:col>
      <xdr:colOff>83820</xdr:colOff>
      <xdr:row>150</xdr:row>
      <xdr:rowOff>106680</xdr:rowOff>
    </xdr:to>
    <xdr:sp macro="" textlink="">
      <xdr:nvSpPr>
        <xdr:cNvPr id="145" name="Arrow: Down 144">
          <a:extLst>
            <a:ext uri="{FF2B5EF4-FFF2-40B4-BE49-F238E27FC236}">
              <a16:creationId xmlns:a16="http://schemas.microsoft.com/office/drawing/2014/main" id="{28E706FB-DBCE-4A18-8C52-947CD0390502}"/>
            </a:ext>
          </a:extLst>
        </xdr:cNvPr>
        <xdr:cNvSpPr/>
      </xdr:nvSpPr>
      <xdr:spPr>
        <a:xfrm rot="10800000">
          <a:off x="5158740" y="276301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151</xdr:row>
      <xdr:rowOff>0</xdr:rowOff>
    </xdr:from>
    <xdr:to>
      <xdr:col>14</xdr:col>
      <xdr:colOff>83820</xdr:colOff>
      <xdr:row>151</xdr:row>
      <xdr:rowOff>114300</xdr:rowOff>
    </xdr:to>
    <xdr:sp macro="" textlink="">
      <xdr:nvSpPr>
        <xdr:cNvPr id="140" name="Arrow: Down 139">
          <a:extLst>
            <a:ext uri="{FF2B5EF4-FFF2-40B4-BE49-F238E27FC236}">
              <a16:creationId xmlns:a16="http://schemas.microsoft.com/office/drawing/2014/main" id="{4FE82227-58A4-47DB-905B-95E84C022E2C}"/>
            </a:ext>
          </a:extLst>
        </xdr:cNvPr>
        <xdr:cNvSpPr/>
      </xdr:nvSpPr>
      <xdr:spPr>
        <a:xfrm>
          <a:off x="5158740" y="2781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152</xdr:row>
      <xdr:rowOff>0</xdr:rowOff>
    </xdr:from>
    <xdr:to>
      <xdr:col>14</xdr:col>
      <xdr:colOff>83820</xdr:colOff>
      <xdr:row>152</xdr:row>
      <xdr:rowOff>114300</xdr:rowOff>
    </xdr:to>
    <xdr:sp macro="" textlink="">
      <xdr:nvSpPr>
        <xdr:cNvPr id="144" name="Arrow: Down 143">
          <a:extLst>
            <a:ext uri="{FF2B5EF4-FFF2-40B4-BE49-F238E27FC236}">
              <a16:creationId xmlns:a16="http://schemas.microsoft.com/office/drawing/2014/main" id="{D8A09293-B671-4A31-8E65-22CF7FEBA569}"/>
            </a:ext>
          </a:extLst>
        </xdr:cNvPr>
        <xdr:cNvSpPr/>
      </xdr:nvSpPr>
      <xdr:spPr>
        <a:xfrm>
          <a:off x="5158740" y="2781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153</xdr:row>
      <xdr:rowOff>0</xdr:rowOff>
    </xdr:from>
    <xdr:to>
      <xdr:col>14</xdr:col>
      <xdr:colOff>83820</xdr:colOff>
      <xdr:row>153</xdr:row>
      <xdr:rowOff>106680</xdr:rowOff>
    </xdr:to>
    <xdr:sp macro="" textlink="">
      <xdr:nvSpPr>
        <xdr:cNvPr id="148" name="Arrow: Down 147">
          <a:extLst>
            <a:ext uri="{FF2B5EF4-FFF2-40B4-BE49-F238E27FC236}">
              <a16:creationId xmlns:a16="http://schemas.microsoft.com/office/drawing/2014/main" id="{523E66BC-7E5F-4C5D-BEC9-6ED7861BE0CB}"/>
            </a:ext>
          </a:extLst>
        </xdr:cNvPr>
        <xdr:cNvSpPr/>
      </xdr:nvSpPr>
      <xdr:spPr>
        <a:xfrm rot="10800000">
          <a:off x="5158740" y="281787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154</xdr:row>
      <xdr:rowOff>0</xdr:rowOff>
    </xdr:from>
    <xdr:to>
      <xdr:col>14</xdr:col>
      <xdr:colOff>83820</xdr:colOff>
      <xdr:row>154</xdr:row>
      <xdr:rowOff>106680</xdr:rowOff>
    </xdr:to>
    <xdr:sp macro="" textlink="">
      <xdr:nvSpPr>
        <xdr:cNvPr id="150" name="Arrow: Down 149">
          <a:extLst>
            <a:ext uri="{FF2B5EF4-FFF2-40B4-BE49-F238E27FC236}">
              <a16:creationId xmlns:a16="http://schemas.microsoft.com/office/drawing/2014/main" id="{D6F35777-728B-4E77-963B-988F668B6A56}"/>
            </a:ext>
          </a:extLst>
        </xdr:cNvPr>
        <xdr:cNvSpPr/>
      </xdr:nvSpPr>
      <xdr:spPr>
        <a:xfrm rot="10800000">
          <a:off x="5158740" y="281787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155</xdr:row>
      <xdr:rowOff>0</xdr:rowOff>
    </xdr:from>
    <xdr:to>
      <xdr:col>14</xdr:col>
      <xdr:colOff>83820</xdr:colOff>
      <xdr:row>155</xdr:row>
      <xdr:rowOff>106680</xdr:rowOff>
    </xdr:to>
    <xdr:sp macro="" textlink="">
      <xdr:nvSpPr>
        <xdr:cNvPr id="132" name="Arrow: Down 131">
          <a:extLst>
            <a:ext uri="{FF2B5EF4-FFF2-40B4-BE49-F238E27FC236}">
              <a16:creationId xmlns:a16="http://schemas.microsoft.com/office/drawing/2014/main" id="{AAA204D1-EFCF-48F2-B8C2-141E56A7A1CB}"/>
            </a:ext>
          </a:extLst>
        </xdr:cNvPr>
        <xdr:cNvSpPr/>
      </xdr:nvSpPr>
      <xdr:spPr>
        <a:xfrm rot="10800000">
          <a:off x="5158740" y="283616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156</xdr:row>
      <xdr:rowOff>0</xdr:rowOff>
    </xdr:from>
    <xdr:to>
      <xdr:col>14</xdr:col>
      <xdr:colOff>83820</xdr:colOff>
      <xdr:row>156</xdr:row>
      <xdr:rowOff>114300</xdr:rowOff>
    </xdr:to>
    <xdr:sp macro="" textlink="">
      <xdr:nvSpPr>
        <xdr:cNvPr id="153" name="Arrow: Down 152">
          <a:extLst>
            <a:ext uri="{FF2B5EF4-FFF2-40B4-BE49-F238E27FC236}">
              <a16:creationId xmlns:a16="http://schemas.microsoft.com/office/drawing/2014/main" id="{A90E2376-A98D-4338-85EC-E2E4C4B66F98}"/>
            </a:ext>
          </a:extLst>
        </xdr:cNvPr>
        <xdr:cNvSpPr/>
      </xdr:nvSpPr>
      <xdr:spPr>
        <a:xfrm>
          <a:off x="5158740" y="28727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157</xdr:row>
      <xdr:rowOff>0</xdr:rowOff>
    </xdr:from>
    <xdr:to>
      <xdr:col>14</xdr:col>
      <xdr:colOff>83820</xdr:colOff>
      <xdr:row>157</xdr:row>
      <xdr:rowOff>106680</xdr:rowOff>
    </xdr:to>
    <xdr:sp macro="" textlink="">
      <xdr:nvSpPr>
        <xdr:cNvPr id="155" name="Arrow: Down 154">
          <a:extLst>
            <a:ext uri="{FF2B5EF4-FFF2-40B4-BE49-F238E27FC236}">
              <a16:creationId xmlns:a16="http://schemas.microsoft.com/office/drawing/2014/main" id="{1C98999E-DE2C-470C-9758-E368BDB11213}"/>
            </a:ext>
          </a:extLst>
        </xdr:cNvPr>
        <xdr:cNvSpPr/>
      </xdr:nvSpPr>
      <xdr:spPr>
        <a:xfrm rot="10800000">
          <a:off x="5158740" y="28910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158</xdr:row>
      <xdr:rowOff>0</xdr:rowOff>
    </xdr:from>
    <xdr:to>
      <xdr:col>14</xdr:col>
      <xdr:colOff>83820</xdr:colOff>
      <xdr:row>158</xdr:row>
      <xdr:rowOff>114300</xdr:rowOff>
    </xdr:to>
    <xdr:sp macro="" textlink="">
      <xdr:nvSpPr>
        <xdr:cNvPr id="157" name="Arrow: Down 156">
          <a:extLst>
            <a:ext uri="{FF2B5EF4-FFF2-40B4-BE49-F238E27FC236}">
              <a16:creationId xmlns:a16="http://schemas.microsoft.com/office/drawing/2014/main" id="{A07EFA90-AA1E-438E-AFA4-88FA88D8FB41}"/>
            </a:ext>
          </a:extLst>
        </xdr:cNvPr>
        <xdr:cNvSpPr/>
      </xdr:nvSpPr>
      <xdr:spPr>
        <a:xfrm>
          <a:off x="5158740" y="2909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159</xdr:row>
      <xdr:rowOff>0</xdr:rowOff>
    </xdr:from>
    <xdr:to>
      <xdr:col>14</xdr:col>
      <xdr:colOff>83820</xdr:colOff>
      <xdr:row>159</xdr:row>
      <xdr:rowOff>114300</xdr:rowOff>
    </xdr:to>
    <xdr:sp macro="" textlink="">
      <xdr:nvSpPr>
        <xdr:cNvPr id="159" name="Arrow: Down 158">
          <a:extLst>
            <a:ext uri="{FF2B5EF4-FFF2-40B4-BE49-F238E27FC236}">
              <a16:creationId xmlns:a16="http://schemas.microsoft.com/office/drawing/2014/main" id="{D9221195-111A-4883-9C07-1598B9921D65}"/>
            </a:ext>
          </a:extLst>
        </xdr:cNvPr>
        <xdr:cNvSpPr/>
      </xdr:nvSpPr>
      <xdr:spPr>
        <a:xfrm>
          <a:off x="5158740" y="2909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160</xdr:row>
      <xdr:rowOff>0</xdr:rowOff>
    </xdr:from>
    <xdr:to>
      <xdr:col>14</xdr:col>
      <xdr:colOff>83820</xdr:colOff>
      <xdr:row>160</xdr:row>
      <xdr:rowOff>106680</xdr:rowOff>
    </xdr:to>
    <xdr:sp macro="" textlink="">
      <xdr:nvSpPr>
        <xdr:cNvPr id="162" name="Arrow: Down 161">
          <a:extLst>
            <a:ext uri="{FF2B5EF4-FFF2-40B4-BE49-F238E27FC236}">
              <a16:creationId xmlns:a16="http://schemas.microsoft.com/office/drawing/2014/main" id="{8765F376-BF34-4327-8B42-62C7DF066E40}"/>
            </a:ext>
          </a:extLst>
        </xdr:cNvPr>
        <xdr:cNvSpPr/>
      </xdr:nvSpPr>
      <xdr:spPr>
        <a:xfrm rot="10800000">
          <a:off x="5158740" y="294589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161</xdr:row>
      <xdr:rowOff>0</xdr:rowOff>
    </xdr:from>
    <xdr:to>
      <xdr:col>14</xdr:col>
      <xdr:colOff>83820</xdr:colOff>
      <xdr:row>161</xdr:row>
      <xdr:rowOff>114300</xdr:rowOff>
    </xdr:to>
    <xdr:sp macro="" textlink="">
      <xdr:nvSpPr>
        <xdr:cNvPr id="152" name="Arrow: Down 151">
          <a:extLst>
            <a:ext uri="{FF2B5EF4-FFF2-40B4-BE49-F238E27FC236}">
              <a16:creationId xmlns:a16="http://schemas.microsoft.com/office/drawing/2014/main" id="{3B2C3C34-EF05-4131-9B40-03E395ADA4E7}"/>
            </a:ext>
          </a:extLst>
        </xdr:cNvPr>
        <xdr:cNvSpPr/>
      </xdr:nvSpPr>
      <xdr:spPr>
        <a:xfrm>
          <a:off x="5158740" y="2964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162</xdr:row>
      <xdr:rowOff>0</xdr:rowOff>
    </xdr:from>
    <xdr:to>
      <xdr:col>14</xdr:col>
      <xdr:colOff>83820</xdr:colOff>
      <xdr:row>162</xdr:row>
      <xdr:rowOff>106680</xdr:rowOff>
    </xdr:to>
    <xdr:sp macro="" textlink="">
      <xdr:nvSpPr>
        <xdr:cNvPr id="154" name="Arrow: Down 153">
          <a:extLst>
            <a:ext uri="{FF2B5EF4-FFF2-40B4-BE49-F238E27FC236}">
              <a16:creationId xmlns:a16="http://schemas.microsoft.com/office/drawing/2014/main" id="{182C7E6F-7621-4A99-8F16-97BDD42A2D45}"/>
            </a:ext>
          </a:extLst>
        </xdr:cNvPr>
        <xdr:cNvSpPr/>
      </xdr:nvSpPr>
      <xdr:spPr>
        <a:xfrm rot="10800000">
          <a:off x="5158740" y="298246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163</xdr:row>
      <xdr:rowOff>0</xdr:rowOff>
    </xdr:from>
    <xdr:to>
      <xdr:col>14</xdr:col>
      <xdr:colOff>83820</xdr:colOff>
      <xdr:row>163</xdr:row>
      <xdr:rowOff>114300</xdr:rowOff>
    </xdr:to>
    <xdr:sp macro="" textlink="">
      <xdr:nvSpPr>
        <xdr:cNvPr id="158" name="Arrow: Down 157">
          <a:extLst>
            <a:ext uri="{FF2B5EF4-FFF2-40B4-BE49-F238E27FC236}">
              <a16:creationId xmlns:a16="http://schemas.microsoft.com/office/drawing/2014/main" id="{87D1ED13-4BE5-4467-B26E-589E4D1A7DE6}"/>
            </a:ext>
          </a:extLst>
        </xdr:cNvPr>
        <xdr:cNvSpPr/>
      </xdr:nvSpPr>
      <xdr:spPr>
        <a:xfrm>
          <a:off x="5158740" y="30007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164</xdr:row>
      <xdr:rowOff>0</xdr:rowOff>
    </xdr:from>
    <xdr:to>
      <xdr:col>14</xdr:col>
      <xdr:colOff>83820</xdr:colOff>
      <xdr:row>164</xdr:row>
      <xdr:rowOff>106680</xdr:rowOff>
    </xdr:to>
    <xdr:sp macro="" textlink="">
      <xdr:nvSpPr>
        <xdr:cNvPr id="147" name="Arrow: Down 146">
          <a:extLst>
            <a:ext uri="{FF2B5EF4-FFF2-40B4-BE49-F238E27FC236}">
              <a16:creationId xmlns:a16="http://schemas.microsoft.com/office/drawing/2014/main" id="{6639320B-E368-459C-ADC7-66AC2724A407}"/>
            </a:ext>
          </a:extLst>
        </xdr:cNvPr>
        <xdr:cNvSpPr/>
      </xdr:nvSpPr>
      <xdr:spPr>
        <a:xfrm rot="10800000">
          <a:off x="5158740" y="301904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165</xdr:row>
      <xdr:rowOff>0</xdr:rowOff>
    </xdr:from>
    <xdr:to>
      <xdr:col>14</xdr:col>
      <xdr:colOff>83820</xdr:colOff>
      <xdr:row>165</xdr:row>
      <xdr:rowOff>114300</xdr:rowOff>
    </xdr:to>
    <xdr:sp macro="" textlink="">
      <xdr:nvSpPr>
        <xdr:cNvPr id="163" name="Arrow: Down 162">
          <a:extLst>
            <a:ext uri="{FF2B5EF4-FFF2-40B4-BE49-F238E27FC236}">
              <a16:creationId xmlns:a16="http://schemas.microsoft.com/office/drawing/2014/main" id="{158C3CB2-9D3A-439A-9E78-E17511669C4A}"/>
            </a:ext>
          </a:extLst>
        </xdr:cNvPr>
        <xdr:cNvSpPr/>
      </xdr:nvSpPr>
      <xdr:spPr>
        <a:xfrm>
          <a:off x="5158740" y="3037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166</xdr:row>
      <xdr:rowOff>0</xdr:rowOff>
    </xdr:from>
    <xdr:to>
      <xdr:col>14</xdr:col>
      <xdr:colOff>83820</xdr:colOff>
      <xdr:row>166</xdr:row>
      <xdr:rowOff>106680</xdr:rowOff>
    </xdr:to>
    <xdr:sp macro="" textlink="">
      <xdr:nvSpPr>
        <xdr:cNvPr id="165" name="Arrow: Down 164">
          <a:extLst>
            <a:ext uri="{FF2B5EF4-FFF2-40B4-BE49-F238E27FC236}">
              <a16:creationId xmlns:a16="http://schemas.microsoft.com/office/drawing/2014/main" id="{1B429195-ADBC-488E-85CF-0E0CE92F812A}"/>
            </a:ext>
          </a:extLst>
        </xdr:cNvPr>
        <xdr:cNvSpPr/>
      </xdr:nvSpPr>
      <xdr:spPr>
        <a:xfrm rot="10800000">
          <a:off x="5158740" y="305562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167</xdr:row>
      <xdr:rowOff>0</xdr:rowOff>
    </xdr:from>
    <xdr:to>
      <xdr:col>14</xdr:col>
      <xdr:colOff>83820</xdr:colOff>
      <xdr:row>167</xdr:row>
      <xdr:rowOff>114300</xdr:rowOff>
    </xdr:to>
    <xdr:sp macro="" textlink="">
      <xdr:nvSpPr>
        <xdr:cNvPr id="169" name="Arrow: Down 168">
          <a:extLst>
            <a:ext uri="{FF2B5EF4-FFF2-40B4-BE49-F238E27FC236}">
              <a16:creationId xmlns:a16="http://schemas.microsoft.com/office/drawing/2014/main" id="{0C1A01BB-EB86-4138-AE2C-22D601594053}"/>
            </a:ext>
          </a:extLst>
        </xdr:cNvPr>
        <xdr:cNvSpPr/>
      </xdr:nvSpPr>
      <xdr:spPr>
        <a:xfrm>
          <a:off x="5158740" y="30739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168</xdr:row>
      <xdr:rowOff>0</xdr:rowOff>
    </xdr:from>
    <xdr:to>
      <xdr:col>14</xdr:col>
      <xdr:colOff>83820</xdr:colOff>
      <xdr:row>168</xdr:row>
      <xdr:rowOff>106680</xdr:rowOff>
    </xdr:to>
    <xdr:sp macro="" textlink="">
      <xdr:nvSpPr>
        <xdr:cNvPr id="156" name="Arrow: Down 155">
          <a:extLst>
            <a:ext uri="{FF2B5EF4-FFF2-40B4-BE49-F238E27FC236}">
              <a16:creationId xmlns:a16="http://schemas.microsoft.com/office/drawing/2014/main" id="{F78BC0F9-39C4-4852-AAED-69A6F99580AB}"/>
            </a:ext>
          </a:extLst>
        </xdr:cNvPr>
        <xdr:cNvSpPr/>
      </xdr:nvSpPr>
      <xdr:spPr>
        <a:xfrm rot="10800000">
          <a:off x="5158740" y="309219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170</xdr:row>
      <xdr:rowOff>0</xdr:rowOff>
    </xdr:from>
    <xdr:to>
      <xdr:col>14</xdr:col>
      <xdr:colOff>83820</xdr:colOff>
      <xdr:row>170</xdr:row>
      <xdr:rowOff>106680</xdr:rowOff>
    </xdr:to>
    <xdr:sp macro="" textlink="">
      <xdr:nvSpPr>
        <xdr:cNvPr id="168" name="Arrow: Down 167">
          <a:extLst>
            <a:ext uri="{FF2B5EF4-FFF2-40B4-BE49-F238E27FC236}">
              <a16:creationId xmlns:a16="http://schemas.microsoft.com/office/drawing/2014/main" id="{85812E6A-05B2-4103-A5CD-1BF7059D8DEA}"/>
            </a:ext>
          </a:extLst>
        </xdr:cNvPr>
        <xdr:cNvSpPr/>
      </xdr:nvSpPr>
      <xdr:spPr>
        <a:xfrm rot="10800000">
          <a:off x="5158740" y="312877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169</xdr:row>
      <xdr:rowOff>0</xdr:rowOff>
    </xdr:from>
    <xdr:to>
      <xdr:col>14</xdr:col>
      <xdr:colOff>83820</xdr:colOff>
      <xdr:row>169</xdr:row>
      <xdr:rowOff>114300</xdr:rowOff>
    </xdr:to>
    <xdr:sp macro="" textlink="">
      <xdr:nvSpPr>
        <xdr:cNvPr id="171" name="Arrow: Down 170">
          <a:extLst>
            <a:ext uri="{FF2B5EF4-FFF2-40B4-BE49-F238E27FC236}">
              <a16:creationId xmlns:a16="http://schemas.microsoft.com/office/drawing/2014/main" id="{4A6F4A63-6047-4F9F-8CC3-F01B4FFF0F4F}"/>
            </a:ext>
          </a:extLst>
        </xdr:cNvPr>
        <xdr:cNvSpPr/>
      </xdr:nvSpPr>
      <xdr:spPr>
        <a:xfrm>
          <a:off x="5158740" y="31104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171</xdr:row>
      <xdr:rowOff>0</xdr:rowOff>
    </xdr:from>
    <xdr:to>
      <xdr:col>14</xdr:col>
      <xdr:colOff>83820</xdr:colOff>
      <xdr:row>171</xdr:row>
      <xdr:rowOff>106680</xdr:rowOff>
    </xdr:to>
    <xdr:sp macro="" textlink="">
      <xdr:nvSpPr>
        <xdr:cNvPr id="172" name="Arrow: Down 171">
          <a:extLst>
            <a:ext uri="{FF2B5EF4-FFF2-40B4-BE49-F238E27FC236}">
              <a16:creationId xmlns:a16="http://schemas.microsoft.com/office/drawing/2014/main" id="{ACFAD0E4-25B3-4AA3-B279-7556493E8209}"/>
            </a:ext>
          </a:extLst>
        </xdr:cNvPr>
        <xdr:cNvSpPr/>
      </xdr:nvSpPr>
      <xdr:spPr>
        <a:xfrm rot="10800000">
          <a:off x="5158740" y="312877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172</xdr:row>
      <xdr:rowOff>0</xdr:rowOff>
    </xdr:from>
    <xdr:to>
      <xdr:col>14</xdr:col>
      <xdr:colOff>83820</xdr:colOff>
      <xdr:row>172</xdr:row>
      <xdr:rowOff>114300</xdr:rowOff>
    </xdr:to>
    <xdr:sp macro="" textlink="">
      <xdr:nvSpPr>
        <xdr:cNvPr id="175" name="Arrow: Down 174">
          <a:extLst>
            <a:ext uri="{FF2B5EF4-FFF2-40B4-BE49-F238E27FC236}">
              <a16:creationId xmlns:a16="http://schemas.microsoft.com/office/drawing/2014/main" id="{23D41404-9520-4656-831E-9ECE273367BF}"/>
            </a:ext>
          </a:extLst>
        </xdr:cNvPr>
        <xdr:cNvSpPr/>
      </xdr:nvSpPr>
      <xdr:spPr>
        <a:xfrm>
          <a:off x="5158740" y="3165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173</xdr:row>
      <xdr:rowOff>0</xdr:rowOff>
    </xdr:from>
    <xdr:to>
      <xdr:col>14</xdr:col>
      <xdr:colOff>83820</xdr:colOff>
      <xdr:row>173</xdr:row>
      <xdr:rowOff>114300</xdr:rowOff>
    </xdr:to>
    <xdr:sp macro="" textlink="">
      <xdr:nvSpPr>
        <xdr:cNvPr id="176" name="Arrow: Down 175">
          <a:extLst>
            <a:ext uri="{FF2B5EF4-FFF2-40B4-BE49-F238E27FC236}">
              <a16:creationId xmlns:a16="http://schemas.microsoft.com/office/drawing/2014/main" id="{15558FD4-5227-40BC-A3CE-C1B9EE7B8DAD}"/>
            </a:ext>
          </a:extLst>
        </xdr:cNvPr>
        <xdr:cNvSpPr/>
      </xdr:nvSpPr>
      <xdr:spPr>
        <a:xfrm>
          <a:off x="5158740" y="3165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174</xdr:row>
      <xdr:rowOff>0</xdr:rowOff>
    </xdr:from>
    <xdr:to>
      <xdr:col>14</xdr:col>
      <xdr:colOff>83820</xdr:colOff>
      <xdr:row>174</xdr:row>
      <xdr:rowOff>106680</xdr:rowOff>
    </xdr:to>
    <xdr:sp macro="" textlink="">
      <xdr:nvSpPr>
        <xdr:cNvPr id="178" name="Arrow: Down 177">
          <a:extLst>
            <a:ext uri="{FF2B5EF4-FFF2-40B4-BE49-F238E27FC236}">
              <a16:creationId xmlns:a16="http://schemas.microsoft.com/office/drawing/2014/main" id="{0971A6D1-D616-40E7-9962-3820D975DA94}"/>
            </a:ext>
          </a:extLst>
        </xdr:cNvPr>
        <xdr:cNvSpPr/>
      </xdr:nvSpPr>
      <xdr:spPr>
        <a:xfrm rot="10800000">
          <a:off x="5158740" y="320192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175</xdr:row>
      <xdr:rowOff>0</xdr:rowOff>
    </xdr:from>
    <xdr:to>
      <xdr:col>14</xdr:col>
      <xdr:colOff>83820</xdr:colOff>
      <xdr:row>175</xdr:row>
      <xdr:rowOff>114300</xdr:rowOff>
    </xdr:to>
    <xdr:sp macro="" textlink="">
      <xdr:nvSpPr>
        <xdr:cNvPr id="181" name="Arrow: Down 180">
          <a:extLst>
            <a:ext uri="{FF2B5EF4-FFF2-40B4-BE49-F238E27FC236}">
              <a16:creationId xmlns:a16="http://schemas.microsoft.com/office/drawing/2014/main" id="{A4D2CA08-F910-484A-B1C0-6FFDF3F728A2}"/>
            </a:ext>
          </a:extLst>
        </xdr:cNvPr>
        <xdr:cNvSpPr/>
      </xdr:nvSpPr>
      <xdr:spPr>
        <a:xfrm>
          <a:off x="5158740" y="3220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176</xdr:row>
      <xdr:rowOff>0</xdr:rowOff>
    </xdr:from>
    <xdr:to>
      <xdr:col>14</xdr:col>
      <xdr:colOff>83820</xdr:colOff>
      <xdr:row>176</xdr:row>
      <xdr:rowOff>114300</xdr:rowOff>
    </xdr:to>
    <xdr:sp macro="" textlink="">
      <xdr:nvSpPr>
        <xdr:cNvPr id="182" name="Arrow: Down 181">
          <a:extLst>
            <a:ext uri="{FF2B5EF4-FFF2-40B4-BE49-F238E27FC236}">
              <a16:creationId xmlns:a16="http://schemas.microsoft.com/office/drawing/2014/main" id="{6C9D7B35-2562-4A98-9CF3-1A1C7BC0395F}"/>
            </a:ext>
          </a:extLst>
        </xdr:cNvPr>
        <xdr:cNvSpPr/>
      </xdr:nvSpPr>
      <xdr:spPr>
        <a:xfrm>
          <a:off x="5158740" y="3220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177</xdr:row>
      <xdr:rowOff>0</xdr:rowOff>
    </xdr:from>
    <xdr:to>
      <xdr:col>14</xdr:col>
      <xdr:colOff>83820</xdr:colOff>
      <xdr:row>177</xdr:row>
      <xdr:rowOff>106680</xdr:rowOff>
    </xdr:to>
    <xdr:sp macro="" textlink="">
      <xdr:nvSpPr>
        <xdr:cNvPr id="184" name="Arrow: Down 183">
          <a:extLst>
            <a:ext uri="{FF2B5EF4-FFF2-40B4-BE49-F238E27FC236}">
              <a16:creationId xmlns:a16="http://schemas.microsoft.com/office/drawing/2014/main" id="{BB4A0FE7-4EDC-426A-855A-4C9890025D76}"/>
            </a:ext>
          </a:extLst>
        </xdr:cNvPr>
        <xdr:cNvSpPr/>
      </xdr:nvSpPr>
      <xdr:spPr>
        <a:xfrm rot="10800000">
          <a:off x="5158740" y="325678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179</xdr:row>
      <xdr:rowOff>0</xdr:rowOff>
    </xdr:from>
    <xdr:to>
      <xdr:col>14</xdr:col>
      <xdr:colOff>83820</xdr:colOff>
      <xdr:row>179</xdr:row>
      <xdr:rowOff>106680</xdr:rowOff>
    </xdr:to>
    <xdr:sp macro="" textlink="">
      <xdr:nvSpPr>
        <xdr:cNvPr id="188" name="Arrow: Down 187">
          <a:extLst>
            <a:ext uri="{FF2B5EF4-FFF2-40B4-BE49-F238E27FC236}">
              <a16:creationId xmlns:a16="http://schemas.microsoft.com/office/drawing/2014/main" id="{E6DFC1B0-3F63-4286-BCFD-EAAC12F8BAB8}"/>
            </a:ext>
          </a:extLst>
        </xdr:cNvPr>
        <xdr:cNvSpPr/>
      </xdr:nvSpPr>
      <xdr:spPr>
        <a:xfrm rot="10800000">
          <a:off x="5158740" y="327507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178</xdr:row>
      <xdr:rowOff>0</xdr:rowOff>
    </xdr:from>
    <xdr:to>
      <xdr:col>14</xdr:col>
      <xdr:colOff>83820</xdr:colOff>
      <xdr:row>178</xdr:row>
      <xdr:rowOff>114300</xdr:rowOff>
    </xdr:to>
    <xdr:sp macro="" textlink="">
      <xdr:nvSpPr>
        <xdr:cNvPr id="192" name="Arrow: Down 191">
          <a:extLst>
            <a:ext uri="{FF2B5EF4-FFF2-40B4-BE49-F238E27FC236}">
              <a16:creationId xmlns:a16="http://schemas.microsoft.com/office/drawing/2014/main" id="{0495F5FD-4C4C-40CC-93BB-3323B504985E}"/>
            </a:ext>
          </a:extLst>
        </xdr:cNvPr>
        <xdr:cNvSpPr/>
      </xdr:nvSpPr>
      <xdr:spPr>
        <a:xfrm>
          <a:off x="5158740" y="32750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180</xdr:row>
      <xdr:rowOff>0</xdr:rowOff>
    </xdr:from>
    <xdr:to>
      <xdr:col>14</xdr:col>
      <xdr:colOff>83820</xdr:colOff>
      <xdr:row>180</xdr:row>
      <xdr:rowOff>114300</xdr:rowOff>
    </xdr:to>
    <xdr:sp macro="" textlink="">
      <xdr:nvSpPr>
        <xdr:cNvPr id="194" name="Arrow: Down 193">
          <a:extLst>
            <a:ext uri="{FF2B5EF4-FFF2-40B4-BE49-F238E27FC236}">
              <a16:creationId xmlns:a16="http://schemas.microsoft.com/office/drawing/2014/main" id="{B5B77C29-3169-4DA1-AAA5-4876EE92EDCC}"/>
            </a:ext>
          </a:extLst>
        </xdr:cNvPr>
        <xdr:cNvSpPr/>
      </xdr:nvSpPr>
      <xdr:spPr>
        <a:xfrm>
          <a:off x="5158740" y="3311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181</xdr:row>
      <xdr:rowOff>0</xdr:rowOff>
    </xdr:from>
    <xdr:to>
      <xdr:col>14</xdr:col>
      <xdr:colOff>83820</xdr:colOff>
      <xdr:row>181</xdr:row>
      <xdr:rowOff>114300</xdr:rowOff>
    </xdr:to>
    <xdr:sp macro="" textlink="">
      <xdr:nvSpPr>
        <xdr:cNvPr id="196" name="Arrow: Down 195">
          <a:extLst>
            <a:ext uri="{FF2B5EF4-FFF2-40B4-BE49-F238E27FC236}">
              <a16:creationId xmlns:a16="http://schemas.microsoft.com/office/drawing/2014/main" id="{D5651541-8AD6-4153-A39F-48233AD3C704}"/>
            </a:ext>
          </a:extLst>
        </xdr:cNvPr>
        <xdr:cNvSpPr/>
      </xdr:nvSpPr>
      <xdr:spPr>
        <a:xfrm>
          <a:off x="5158740" y="3311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182</xdr:row>
      <xdr:rowOff>0</xdr:rowOff>
    </xdr:from>
    <xdr:to>
      <xdr:col>14</xdr:col>
      <xdr:colOff>83820</xdr:colOff>
      <xdr:row>182</xdr:row>
      <xdr:rowOff>114300</xdr:rowOff>
    </xdr:to>
    <xdr:sp macro="" textlink="">
      <xdr:nvSpPr>
        <xdr:cNvPr id="160" name="Arrow: Down 159">
          <a:extLst>
            <a:ext uri="{FF2B5EF4-FFF2-40B4-BE49-F238E27FC236}">
              <a16:creationId xmlns:a16="http://schemas.microsoft.com/office/drawing/2014/main" id="{C7714562-7D15-4940-99F2-6F7CE2187F06}"/>
            </a:ext>
          </a:extLst>
        </xdr:cNvPr>
        <xdr:cNvSpPr/>
      </xdr:nvSpPr>
      <xdr:spPr>
        <a:xfrm rot="10800000">
          <a:off x="5158740" y="3348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183</xdr:row>
      <xdr:rowOff>0</xdr:rowOff>
    </xdr:from>
    <xdr:to>
      <xdr:col>14</xdr:col>
      <xdr:colOff>83820</xdr:colOff>
      <xdr:row>183</xdr:row>
      <xdr:rowOff>114300</xdr:rowOff>
    </xdr:to>
    <xdr:sp macro="" textlink="">
      <xdr:nvSpPr>
        <xdr:cNvPr id="166" name="Arrow: Down 165">
          <a:extLst>
            <a:ext uri="{FF2B5EF4-FFF2-40B4-BE49-F238E27FC236}">
              <a16:creationId xmlns:a16="http://schemas.microsoft.com/office/drawing/2014/main" id="{FE5738D7-FC8C-4392-8951-B3C039C5C339}"/>
            </a:ext>
          </a:extLst>
        </xdr:cNvPr>
        <xdr:cNvSpPr/>
      </xdr:nvSpPr>
      <xdr:spPr>
        <a:xfrm>
          <a:off x="5158740" y="33665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184</xdr:row>
      <xdr:rowOff>0</xdr:rowOff>
    </xdr:from>
    <xdr:to>
      <xdr:col>14</xdr:col>
      <xdr:colOff>83820</xdr:colOff>
      <xdr:row>184</xdr:row>
      <xdr:rowOff>114300</xdr:rowOff>
    </xdr:to>
    <xdr:sp macro="" textlink="">
      <xdr:nvSpPr>
        <xdr:cNvPr id="174" name="Arrow: Down 173">
          <a:extLst>
            <a:ext uri="{FF2B5EF4-FFF2-40B4-BE49-F238E27FC236}">
              <a16:creationId xmlns:a16="http://schemas.microsoft.com/office/drawing/2014/main" id="{4BD29A18-D63D-4240-A1E7-4ECB4A2B5B76}"/>
            </a:ext>
          </a:extLst>
        </xdr:cNvPr>
        <xdr:cNvSpPr/>
      </xdr:nvSpPr>
      <xdr:spPr>
        <a:xfrm rot="10800000">
          <a:off x="5158740" y="3384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185</xdr:row>
      <xdr:rowOff>0</xdr:rowOff>
    </xdr:from>
    <xdr:to>
      <xdr:col>14</xdr:col>
      <xdr:colOff>83820</xdr:colOff>
      <xdr:row>185</xdr:row>
      <xdr:rowOff>114300</xdr:rowOff>
    </xdr:to>
    <xdr:sp macro="" textlink="">
      <xdr:nvSpPr>
        <xdr:cNvPr id="177" name="Arrow: Down 176">
          <a:extLst>
            <a:ext uri="{FF2B5EF4-FFF2-40B4-BE49-F238E27FC236}">
              <a16:creationId xmlns:a16="http://schemas.microsoft.com/office/drawing/2014/main" id="{9FAB20AE-B190-4926-A71D-1DAC2EADB50C}"/>
            </a:ext>
          </a:extLst>
        </xdr:cNvPr>
        <xdr:cNvSpPr/>
      </xdr:nvSpPr>
      <xdr:spPr>
        <a:xfrm rot="10800000">
          <a:off x="5158740" y="3384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186</xdr:row>
      <xdr:rowOff>0</xdr:rowOff>
    </xdr:from>
    <xdr:to>
      <xdr:col>14</xdr:col>
      <xdr:colOff>83820</xdr:colOff>
      <xdr:row>186</xdr:row>
      <xdr:rowOff>114300</xdr:rowOff>
    </xdr:to>
    <xdr:sp macro="" textlink="">
      <xdr:nvSpPr>
        <xdr:cNvPr id="183" name="Arrow: Down 182">
          <a:extLst>
            <a:ext uri="{FF2B5EF4-FFF2-40B4-BE49-F238E27FC236}">
              <a16:creationId xmlns:a16="http://schemas.microsoft.com/office/drawing/2014/main" id="{D86B2437-5540-4260-912A-8C9853A0C070}"/>
            </a:ext>
          </a:extLst>
        </xdr:cNvPr>
        <xdr:cNvSpPr/>
      </xdr:nvSpPr>
      <xdr:spPr>
        <a:xfrm>
          <a:off x="5158740" y="3421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187</xdr:row>
      <xdr:rowOff>0</xdr:rowOff>
    </xdr:from>
    <xdr:to>
      <xdr:col>14</xdr:col>
      <xdr:colOff>83820</xdr:colOff>
      <xdr:row>187</xdr:row>
      <xdr:rowOff>114300</xdr:rowOff>
    </xdr:to>
    <xdr:sp macro="" textlink="">
      <xdr:nvSpPr>
        <xdr:cNvPr id="185" name="Arrow: Down 184">
          <a:extLst>
            <a:ext uri="{FF2B5EF4-FFF2-40B4-BE49-F238E27FC236}">
              <a16:creationId xmlns:a16="http://schemas.microsoft.com/office/drawing/2014/main" id="{CF3F5C06-C5BA-4303-A3FD-B7404D151090}"/>
            </a:ext>
          </a:extLst>
        </xdr:cNvPr>
        <xdr:cNvSpPr/>
      </xdr:nvSpPr>
      <xdr:spPr>
        <a:xfrm>
          <a:off x="5158740" y="3421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188</xdr:row>
      <xdr:rowOff>0</xdr:rowOff>
    </xdr:from>
    <xdr:to>
      <xdr:col>14</xdr:col>
      <xdr:colOff>83820</xdr:colOff>
      <xdr:row>188</xdr:row>
      <xdr:rowOff>114300</xdr:rowOff>
    </xdr:to>
    <xdr:sp macro="" textlink="">
      <xdr:nvSpPr>
        <xdr:cNvPr id="164" name="Arrow: Down 163">
          <a:extLst>
            <a:ext uri="{FF2B5EF4-FFF2-40B4-BE49-F238E27FC236}">
              <a16:creationId xmlns:a16="http://schemas.microsoft.com/office/drawing/2014/main" id="{89C26625-9FA8-453E-B637-8C657714A9BD}"/>
            </a:ext>
          </a:extLst>
        </xdr:cNvPr>
        <xdr:cNvSpPr/>
      </xdr:nvSpPr>
      <xdr:spPr>
        <a:xfrm rot="10800000">
          <a:off x="5158740" y="34579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189</xdr:row>
      <xdr:rowOff>0</xdr:rowOff>
    </xdr:from>
    <xdr:to>
      <xdr:col>14</xdr:col>
      <xdr:colOff>83820</xdr:colOff>
      <xdr:row>189</xdr:row>
      <xdr:rowOff>114300</xdr:rowOff>
    </xdr:to>
    <xdr:sp macro="" textlink="">
      <xdr:nvSpPr>
        <xdr:cNvPr id="170" name="Arrow: Down 169">
          <a:extLst>
            <a:ext uri="{FF2B5EF4-FFF2-40B4-BE49-F238E27FC236}">
              <a16:creationId xmlns:a16="http://schemas.microsoft.com/office/drawing/2014/main" id="{2C94E14F-FDD3-471E-AA8F-76C1817F5016}"/>
            </a:ext>
          </a:extLst>
        </xdr:cNvPr>
        <xdr:cNvSpPr/>
      </xdr:nvSpPr>
      <xdr:spPr>
        <a:xfrm>
          <a:off x="5158740" y="34762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190</xdr:row>
      <xdr:rowOff>0</xdr:rowOff>
    </xdr:from>
    <xdr:to>
      <xdr:col>14</xdr:col>
      <xdr:colOff>83820</xdr:colOff>
      <xdr:row>190</xdr:row>
      <xdr:rowOff>114300</xdr:rowOff>
    </xdr:to>
    <xdr:sp macro="" textlink="">
      <xdr:nvSpPr>
        <xdr:cNvPr id="173" name="Arrow: Down 172">
          <a:extLst>
            <a:ext uri="{FF2B5EF4-FFF2-40B4-BE49-F238E27FC236}">
              <a16:creationId xmlns:a16="http://schemas.microsoft.com/office/drawing/2014/main" id="{59808159-EB1B-4A59-ABE5-E040AAAEAD4E}"/>
            </a:ext>
          </a:extLst>
        </xdr:cNvPr>
        <xdr:cNvSpPr/>
      </xdr:nvSpPr>
      <xdr:spPr>
        <a:xfrm>
          <a:off x="5158740" y="34762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191</xdr:row>
      <xdr:rowOff>0</xdr:rowOff>
    </xdr:from>
    <xdr:to>
      <xdr:col>14</xdr:col>
      <xdr:colOff>83820</xdr:colOff>
      <xdr:row>191</xdr:row>
      <xdr:rowOff>114300</xdr:rowOff>
    </xdr:to>
    <xdr:sp macro="" textlink="">
      <xdr:nvSpPr>
        <xdr:cNvPr id="179" name="Arrow: Down 178">
          <a:extLst>
            <a:ext uri="{FF2B5EF4-FFF2-40B4-BE49-F238E27FC236}">
              <a16:creationId xmlns:a16="http://schemas.microsoft.com/office/drawing/2014/main" id="{E5AC911A-BF70-4736-BA31-76242D6B3CFE}"/>
            </a:ext>
          </a:extLst>
        </xdr:cNvPr>
        <xdr:cNvSpPr/>
      </xdr:nvSpPr>
      <xdr:spPr>
        <a:xfrm rot="10800000">
          <a:off x="5158740" y="3512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192</xdr:row>
      <xdr:rowOff>0</xdr:rowOff>
    </xdr:from>
    <xdr:to>
      <xdr:col>14</xdr:col>
      <xdr:colOff>83820</xdr:colOff>
      <xdr:row>192</xdr:row>
      <xdr:rowOff>114300</xdr:rowOff>
    </xdr:to>
    <xdr:sp macro="" textlink="">
      <xdr:nvSpPr>
        <xdr:cNvPr id="187" name="Arrow: Down 186">
          <a:extLst>
            <a:ext uri="{FF2B5EF4-FFF2-40B4-BE49-F238E27FC236}">
              <a16:creationId xmlns:a16="http://schemas.microsoft.com/office/drawing/2014/main" id="{DF436223-FCAD-4929-8B38-398D35B4D27F}"/>
            </a:ext>
          </a:extLst>
        </xdr:cNvPr>
        <xdr:cNvSpPr/>
      </xdr:nvSpPr>
      <xdr:spPr>
        <a:xfrm>
          <a:off x="5158740" y="3531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193</xdr:row>
      <xdr:rowOff>0</xdr:rowOff>
    </xdr:from>
    <xdr:to>
      <xdr:col>14</xdr:col>
      <xdr:colOff>83820</xdr:colOff>
      <xdr:row>193</xdr:row>
      <xdr:rowOff>114300</xdr:rowOff>
    </xdr:to>
    <xdr:sp macro="" textlink="">
      <xdr:nvSpPr>
        <xdr:cNvPr id="190" name="Arrow: Down 189">
          <a:extLst>
            <a:ext uri="{FF2B5EF4-FFF2-40B4-BE49-F238E27FC236}">
              <a16:creationId xmlns:a16="http://schemas.microsoft.com/office/drawing/2014/main" id="{E04B5B25-6AEE-495E-8E80-7F34D713127F}"/>
            </a:ext>
          </a:extLst>
        </xdr:cNvPr>
        <xdr:cNvSpPr/>
      </xdr:nvSpPr>
      <xdr:spPr>
        <a:xfrm rot="10800000">
          <a:off x="5158740" y="3549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194</xdr:row>
      <xdr:rowOff>0</xdr:rowOff>
    </xdr:from>
    <xdr:to>
      <xdr:col>14</xdr:col>
      <xdr:colOff>83820</xdr:colOff>
      <xdr:row>194</xdr:row>
      <xdr:rowOff>114300</xdr:rowOff>
    </xdr:to>
    <xdr:sp macro="" textlink="">
      <xdr:nvSpPr>
        <xdr:cNvPr id="195" name="Arrow: Down 194">
          <a:extLst>
            <a:ext uri="{FF2B5EF4-FFF2-40B4-BE49-F238E27FC236}">
              <a16:creationId xmlns:a16="http://schemas.microsoft.com/office/drawing/2014/main" id="{3AD45246-DAD3-43AE-9D8A-D343009466C4}"/>
            </a:ext>
          </a:extLst>
        </xdr:cNvPr>
        <xdr:cNvSpPr/>
      </xdr:nvSpPr>
      <xdr:spPr>
        <a:xfrm>
          <a:off x="5158740" y="3567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195</xdr:row>
      <xdr:rowOff>0</xdr:rowOff>
    </xdr:from>
    <xdr:to>
      <xdr:col>14</xdr:col>
      <xdr:colOff>83820</xdr:colOff>
      <xdr:row>195</xdr:row>
      <xdr:rowOff>114300</xdr:rowOff>
    </xdr:to>
    <xdr:sp macro="" textlink="">
      <xdr:nvSpPr>
        <xdr:cNvPr id="186" name="Arrow: Down 185">
          <a:extLst>
            <a:ext uri="{FF2B5EF4-FFF2-40B4-BE49-F238E27FC236}">
              <a16:creationId xmlns:a16="http://schemas.microsoft.com/office/drawing/2014/main" id="{692F742D-B945-4ACC-9F05-E2E769CD00ED}"/>
            </a:ext>
          </a:extLst>
        </xdr:cNvPr>
        <xdr:cNvSpPr/>
      </xdr:nvSpPr>
      <xdr:spPr>
        <a:xfrm rot="10800000">
          <a:off x="5158740" y="35859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196</xdr:row>
      <xdr:rowOff>0</xdr:rowOff>
    </xdr:from>
    <xdr:to>
      <xdr:col>14</xdr:col>
      <xdr:colOff>83820</xdr:colOff>
      <xdr:row>196</xdr:row>
      <xdr:rowOff>114300</xdr:rowOff>
    </xdr:to>
    <xdr:sp macro="" textlink="">
      <xdr:nvSpPr>
        <xdr:cNvPr id="193" name="Arrow: Down 192">
          <a:extLst>
            <a:ext uri="{FF2B5EF4-FFF2-40B4-BE49-F238E27FC236}">
              <a16:creationId xmlns:a16="http://schemas.microsoft.com/office/drawing/2014/main" id="{B4AC78FA-B0C6-4740-B31E-739A11EC349C}"/>
            </a:ext>
          </a:extLst>
        </xdr:cNvPr>
        <xdr:cNvSpPr/>
      </xdr:nvSpPr>
      <xdr:spPr>
        <a:xfrm>
          <a:off x="5158740" y="3604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197</xdr:row>
      <xdr:rowOff>0</xdr:rowOff>
    </xdr:from>
    <xdr:to>
      <xdr:col>14</xdr:col>
      <xdr:colOff>83820</xdr:colOff>
      <xdr:row>197</xdr:row>
      <xdr:rowOff>114300</xdr:rowOff>
    </xdr:to>
    <xdr:sp macro="" textlink="">
      <xdr:nvSpPr>
        <xdr:cNvPr id="197" name="Arrow: Down 196">
          <a:extLst>
            <a:ext uri="{FF2B5EF4-FFF2-40B4-BE49-F238E27FC236}">
              <a16:creationId xmlns:a16="http://schemas.microsoft.com/office/drawing/2014/main" id="{E2A1E64D-C0CC-4C11-B043-F6C17D761108}"/>
            </a:ext>
          </a:extLst>
        </xdr:cNvPr>
        <xdr:cNvSpPr/>
      </xdr:nvSpPr>
      <xdr:spPr>
        <a:xfrm>
          <a:off x="5158740" y="3604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198</xdr:row>
      <xdr:rowOff>0</xdr:rowOff>
    </xdr:from>
    <xdr:to>
      <xdr:col>14</xdr:col>
      <xdr:colOff>83820</xdr:colOff>
      <xdr:row>198</xdr:row>
      <xdr:rowOff>114300</xdr:rowOff>
    </xdr:to>
    <xdr:sp macro="" textlink="">
      <xdr:nvSpPr>
        <xdr:cNvPr id="200" name="Arrow: Down 199">
          <a:extLst>
            <a:ext uri="{FF2B5EF4-FFF2-40B4-BE49-F238E27FC236}">
              <a16:creationId xmlns:a16="http://schemas.microsoft.com/office/drawing/2014/main" id="{7897FB6D-F8B6-490B-8387-981D9325401C}"/>
            </a:ext>
          </a:extLst>
        </xdr:cNvPr>
        <xdr:cNvSpPr/>
      </xdr:nvSpPr>
      <xdr:spPr>
        <a:xfrm rot="10800000">
          <a:off x="5158740" y="3640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199</xdr:row>
      <xdr:rowOff>0</xdr:rowOff>
    </xdr:from>
    <xdr:to>
      <xdr:col>14</xdr:col>
      <xdr:colOff>83820</xdr:colOff>
      <xdr:row>199</xdr:row>
      <xdr:rowOff>114300</xdr:rowOff>
    </xdr:to>
    <xdr:sp macro="" textlink="">
      <xdr:nvSpPr>
        <xdr:cNvPr id="201" name="Arrow: Down 200">
          <a:extLst>
            <a:ext uri="{FF2B5EF4-FFF2-40B4-BE49-F238E27FC236}">
              <a16:creationId xmlns:a16="http://schemas.microsoft.com/office/drawing/2014/main" id="{C1462911-4C55-4750-8CBD-08DD576EFB2E}"/>
            </a:ext>
          </a:extLst>
        </xdr:cNvPr>
        <xdr:cNvSpPr/>
      </xdr:nvSpPr>
      <xdr:spPr>
        <a:xfrm rot="10800000">
          <a:off x="5158740" y="3640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200</xdr:row>
      <xdr:rowOff>0</xdr:rowOff>
    </xdr:from>
    <xdr:to>
      <xdr:col>14</xdr:col>
      <xdr:colOff>83820</xdr:colOff>
      <xdr:row>200</xdr:row>
      <xdr:rowOff>114300</xdr:rowOff>
    </xdr:to>
    <xdr:sp macro="" textlink="">
      <xdr:nvSpPr>
        <xdr:cNvPr id="202" name="Arrow: Down 201">
          <a:extLst>
            <a:ext uri="{FF2B5EF4-FFF2-40B4-BE49-F238E27FC236}">
              <a16:creationId xmlns:a16="http://schemas.microsoft.com/office/drawing/2014/main" id="{C7A84A5E-28DF-42FC-955E-DCF38B8C684F}"/>
            </a:ext>
          </a:extLst>
        </xdr:cNvPr>
        <xdr:cNvSpPr/>
      </xdr:nvSpPr>
      <xdr:spPr>
        <a:xfrm rot="10800000">
          <a:off x="5158740" y="3659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83820</xdr:colOff>
      <xdr:row>201</xdr:row>
      <xdr:rowOff>114300</xdr:rowOff>
    </xdr:to>
    <xdr:sp macro="" textlink="">
      <xdr:nvSpPr>
        <xdr:cNvPr id="205" name="Arrow: Down 204">
          <a:extLst>
            <a:ext uri="{FF2B5EF4-FFF2-40B4-BE49-F238E27FC236}">
              <a16:creationId xmlns:a16="http://schemas.microsoft.com/office/drawing/2014/main" id="{8D37D044-2A90-40DC-9A97-FE6354D1C096}"/>
            </a:ext>
          </a:extLst>
        </xdr:cNvPr>
        <xdr:cNvSpPr/>
      </xdr:nvSpPr>
      <xdr:spPr>
        <a:xfrm>
          <a:off x="5158740" y="3695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202</xdr:row>
      <xdr:rowOff>0</xdr:rowOff>
    </xdr:from>
    <xdr:to>
      <xdr:col>14</xdr:col>
      <xdr:colOff>83820</xdr:colOff>
      <xdr:row>202</xdr:row>
      <xdr:rowOff>114300</xdr:rowOff>
    </xdr:to>
    <xdr:sp macro="" textlink="">
      <xdr:nvSpPr>
        <xdr:cNvPr id="209" name="Arrow: Down 208">
          <a:extLst>
            <a:ext uri="{FF2B5EF4-FFF2-40B4-BE49-F238E27FC236}">
              <a16:creationId xmlns:a16="http://schemas.microsoft.com/office/drawing/2014/main" id="{A15BF973-6EC4-4540-92E6-CC21B246F229}"/>
            </a:ext>
          </a:extLst>
        </xdr:cNvPr>
        <xdr:cNvSpPr/>
      </xdr:nvSpPr>
      <xdr:spPr>
        <a:xfrm rot="10800000">
          <a:off x="5158740" y="37139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203</xdr:row>
      <xdr:rowOff>0</xdr:rowOff>
    </xdr:from>
    <xdr:to>
      <xdr:col>14</xdr:col>
      <xdr:colOff>83820</xdr:colOff>
      <xdr:row>203</xdr:row>
      <xdr:rowOff>114300</xdr:rowOff>
    </xdr:to>
    <xdr:sp macro="" textlink="">
      <xdr:nvSpPr>
        <xdr:cNvPr id="211" name="Arrow: Down 210">
          <a:extLst>
            <a:ext uri="{FF2B5EF4-FFF2-40B4-BE49-F238E27FC236}">
              <a16:creationId xmlns:a16="http://schemas.microsoft.com/office/drawing/2014/main" id="{801C72CE-D790-40BE-8BA5-DAE49647536D}"/>
            </a:ext>
          </a:extLst>
        </xdr:cNvPr>
        <xdr:cNvSpPr/>
      </xdr:nvSpPr>
      <xdr:spPr>
        <a:xfrm>
          <a:off x="5158740" y="37322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204</xdr:row>
      <xdr:rowOff>0</xdr:rowOff>
    </xdr:from>
    <xdr:to>
      <xdr:col>14</xdr:col>
      <xdr:colOff>83820</xdr:colOff>
      <xdr:row>204</xdr:row>
      <xdr:rowOff>114300</xdr:rowOff>
    </xdr:to>
    <xdr:sp macro="" textlink="">
      <xdr:nvSpPr>
        <xdr:cNvPr id="180" name="Arrow: Down 179">
          <a:extLst>
            <a:ext uri="{FF2B5EF4-FFF2-40B4-BE49-F238E27FC236}">
              <a16:creationId xmlns:a16="http://schemas.microsoft.com/office/drawing/2014/main" id="{C2267D1D-29CF-4B1B-946D-E99A408BC44B}"/>
            </a:ext>
          </a:extLst>
        </xdr:cNvPr>
        <xdr:cNvSpPr/>
      </xdr:nvSpPr>
      <xdr:spPr>
        <a:xfrm rot="10800000">
          <a:off x="5158740" y="3750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205</xdr:row>
      <xdr:rowOff>0</xdr:rowOff>
    </xdr:from>
    <xdr:to>
      <xdr:col>14</xdr:col>
      <xdr:colOff>83820</xdr:colOff>
      <xdr:row>205</xdr:row>
      <xdr:rowOff>114300</xdr:rowOff>
    </xdr:to>
    <xdr:sp macro="" textlink="">
      <xdr:nvSpPr>
        <xdr:cNvPr id="189" name="Arrow: Down 188">
          <a:extLst>
            <a:ext uri="{FF2B5EF4-FFF2-40B4-BE49-F238E27FC236}">
              <a16:creationId xmlns:a16="http://schemas.microsoft.com/office/drawing/2014/main" id="{F6196483-CD6A-4247-B4E0-D8F36381C69B}"/>
            </a:ext>
          </a:extLst>
        </xdr:cNvPr>
        <xdr:cNvSpPr/>
      </xdr:nvSpPr>
      <xdr:spPr>
        <a:xfrm rot="10800000">
          <a:off x="5158740" y="3750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206</xdr:row>
      <xdr:rowOff>0</xdr:rowOff>
    </xdr:from>
    <xdr:to>
      <xdr:col>14</xdr:col>
      <xdr:colOff>83820</xdr:colOff>
      <xdr:row>206</xdr:row>
      <xdr:rowOff>114300</xdr:rowOff>
    </xdr:to>
    <xdr:sp macro="" textlink="">
      <xdr:nvSpPr>
        <xdr:cNvPr id="198" name="Arrow: Down 197">
          <a:extLst>
            <a:ext uri="{FF2B5EF4-FFF2-40B4-BE49-F238E27FC236}">
              <a16:creationId xmlns:a16="http://schemas.microsoft.com/office/drawing/2014/main" id="{A5253AA0-B2E7-4459-A92C-81B02314A181}"/>
            </a:ext>
          </a:extLst>
        </xdr:cNvPr>
        <xdr:cNvSpPr/>
      </xdr:nvSpPr>
      <xdr:spPr>
        <a:xfrm rot="10800000">
          <a:off x="5158740" y="3768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207</xdr:row>
      <xdr:rowOff>0</xdr:rowOff>
    </xdr:from>
    <xdr:to>
      <xdr:col>14</xdr:col>
      <xdr:colOff>83820</xdr:colOff>
      <xdr:row>207</xdr:row>
      <xdr:rowOff>114300</xdr:rowOff>
    </xdr:to>
    <xdr:sp macro="" textlink="">
      <xdr:nvSpPr>
        <xdr:cNvPr id="191" name="Arrow: Down 190">
          <a:extLst>
            <a:ext uri="{FF2B5EF4-FFF2-40B4-BE49-F238E27FC236}">
              <a16:creationId xmlns:a16="http://schemas.microsoft.com/office/drawing/2014/main" id="{74F487D1-6B2C-40EC-BAFD-A2398CDBDA26}"/>
            </a:ext>
          </a:extLst>
        </xdr:cNvPr>
        <xdr:cNvSpPr/>
      </xdr:nvSpPr>
      <xdr:spPr>
        <a:xfrm>
          <a:off x="5158740" y="3805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208</xdr:row>
      <xdr:rowOff>0</xdr:rowOff>
    </xdr:from>
    <xdr:to>
      <xdr:col>14</xdr:col>
      <xdr:colOff>83820</xdr:colOff>
      <xdr:row>208</xdr:row>
      <xdr:rowOff>114300</xdr:rowOff>
    </xdr:to>
    <xdr:sp macro="" textlink="">
      <xdr:nvSpPr>
        <xdr:cNvPr id="203" name="Arrow: Down 202">
          <a:extLst>
            <a:ext uri="{FF2B5EF4-FFF2-40B4-BE49-F238E27FC236}">
              <a16:creationId xmlns:a16="http://schemas.microsoft.com/office/drawing/2014/main" id="{6DD8D356-D63C-497A-954D-54D7CFA9DCFD}"/>
            </a:ext>
          </a:extLst>
        </xdr:cNvPr>
        <xdr:cNvSpPr/>
      </xdr:nvSpPr>
      <xdr:spPr>
        <a:xfrm>
          <a:off x="5158740" y="3805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209</xdr:row>
      <xdr:rowOff>0</xdr:rowOff>
    </xdr:from>
    <xdr:to>
      <xdr:col>14</xdr:col>
      <xdr:colOff>83820</xdr:colOff>
      <xdr:row>209</xdr:row>
      <xdr:rowOff>114300</xdr:rowOff>
    </xdr:to>
    <xdr:sp macro="" textlink="">
      <xdr:nvSpPr>
        <xdr:cNvPr id="207" name="Arrow: Down 206">
          <a:extLst>
            <a:ext uri="{FF2B5EF4-FFF2-40B4-BE49-F238E27FC236}">
              <a16:creationId xmlns:a16="http://schemas.microsoft.com/office/drawing/2014/main" id="{6BE15D06-9ED4-458D-B8E6-89F7AC4C99F0}"/>
            </a:ext>
          </a:extLst>
        </xdr:cNvPr>
        <xdr:cNvSpPr/>
      </xdr:nvSpPr>
      <xdr:spPr>
        <a:xfrm>
          <a:off x="5158740" y="38420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210</xdr:row>
      <xdr:rowOff>0</xdr:rowOff>
    </xdr:from>
    <xdr:to>
      <xdr:col>14</xdr:col>
      <xdr:colOff>83820</xdr:colOff>
      <xdr:row>210</xdr:row>
      <xdr:rowOff>114300</xdr:rowOff>
    </xdr:to>
    <xdr:sp macro="" textlink="">
      <xdr:nvSpPr>
        <xdr:cNvPr id="206" name="Arrow: Down 205">
          <a:extLst>
            <a:ext uri="{FF2B5EF4-FFF2-40B4-BE49-F238E27FC236}">
              <a16:creationId xmlns:a16="http://schemas.microsoft.com/office/drawing/2014/main" id="{16ADE023-130F-446E-A2D3-FFC812356961}"/>
            </a:ext>
          </a:extLst>
        </xdr:cNvPr>
        <xdr:cNvSpPr/>
      </xdr:nvSpPr>
      <xdr:spPr>
        <a:xfrm rot="10800000">
          <a:off x="5158740" y="3860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211</xdr:row>
      <xdr:rowOff>0</xdr:rowOff>
    </xdr:from>
    <xdr:to>
      <xdr:col>14</xdr:col>
      <xdr:colOff>83820</xdr:colOff>
      <xdr:row>211</xdr:row>
      <xdr:rowOff>114300</xdr:rowOff>
    </xdr:to>
    <xdr:sp macro="" textlink="">
      <xdr:nvSpPr>
        <xdr:cNvPr id="212" name="Arrow: Down 211">
          <a:extLst>
            <a:ext uri="{FF2B5EF4-FFF2-40B4-BE49-F238E27FC236}">
              <a16:creationId xmlns:a16="http://schemas.microsoft.com/office/drawing/2014/main" id="{37C51709-245A-4485-A2E2-8B145AAB9212}"/>
            </a:ext>
          </a:extLst>
        </xdr:cNvPr>
        <xdr:cNvSpPr/>
      </xdr:nvSpPr>
      <xdr:spPr>
        <a:xfrm>
          <a:off x="5158740" y="3878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212</xdr:row>
      <xdr:rowOff>0</xdr:rowOff>
    </xdr:from>
    <xdr:to>
      <xdr:col>14</xdr:col>
      <xdr:colOff>83820</xdr:colOff>
      <xdr:row>212</xdr:row>
      <xdr:rowOff>114300</xdr:rowOff>
    </xdr:to>
    <xdr:sp macro="" textlink="">
      <xdr:nvSpPr>
        <xdr:cNvPr id="204" name="Arrow: Down 203">
          <a:extLst>
            <a:ext uri="{FF2B5EF4-FFF2-40B4-BE49-F238E27FC236}">
              <a16:creationId xmlns:a16="http://schemas.microsoft.com/office/drawing/2014/main" id="{9B4E6632-65E7-4BB8-A523-75A71C719CDF}"/>
            </a:ext>
          </a:extLst>
        </xdr:cNvPr>
        <xdr:cNvSpPr/>
      </xdr:nvSpPr>
      <xdr:spPr>
        <a:xfrm rot="10800000">
          <a:off x="5158740" y="3896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213</xdr:row>
      <xdr:rowOff>0</xdr:rowOff>
    </xdr:from>
    <xdr:to>
      <xdr:col>14</xdr:col>
      <xdr:colOff>83820</xdr:colOff>
      <xdr:row>213</xdr:row>
      <xdr:rowOff>114300</xdr:rowOff>
    </xdr:to>
    <xdr:sp macro="" textlink="">
      <xdr:nvSpPr>
        <xdr:cNvPr id="215" name="Arrow: Down 214">
          <a:extLst>
            <a:ext uri="{FF2B5EF4-FFF2-40B4-BE49-F238E27FC236}">
              <a16:creationId xmlns:a16="http://schemas.microsoft.com/office/drawing/2014/main" id="{F360C447-9969-4AB2-B2E5-10B0EF20E9E2}"/>
            </a:ext>
          </a:extLst>
        </xdr:cNvPr>
        <xdr:cNvSpPr/>
      </xdr:nvSpPr>
      <xdr:spPr>
        <a:xfrm>
          <a:off x="5158740" y="3915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214</xdr:row>
      <xdr:rowOff>0</xdr:rowOff>
    </xdr:from>
    <xdr:to>
      <xdr:col>14</xdr:col>
      <xdr:colOff>83820</xdr:colOff>
      <xdr:row>214</xdr:row>
      <xdr:rowOff>114300</xdr:rowOff>
    </xdr:to>
    <xdr:sp macro="" textlink="">
      <xdr:nvSpPr>
        <xdr:cNvPr id="216" name="Arrow: Down 215">
          <a:extLst>
            <a:ext uri="{FF2B5EF4-FFF2-40B4-BE49-F238E27FC236}">
              <a16:creationId xmlns:a16="http://schemas.microsoft.com/office/drawing/2014/main" id="{131BC8CC-7722-4CAC-A266-683C1F1AC160}"/>
            </a:ext>
          </a:extLst>
        </xdr:cNvPr>
        <xdr:cNvSpPr/>
      </xdr:nvSpPr>
      <xdr:spPr>
        <a:xfrm>
          <a:off x="5158740" y="3915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215</xdr:row>
      <xdr:rowOff>0</xdr:rowOff>
    </xdr:from>
    <xdr:to>
      <xdr:col>14</xdr:col>
      <xdr:colOff>83820</xdr:colOff>
      <xdr:row>215</xdr:row>
      <xdr:rowOff>114300</xdr:rowOff>
    </xdr:to>
    <xdr:sp macro="" textlink="">
      <xdr:nvSpPr>
        <xdr:cNvPr id="219" name="Arrow: Down 218">
          <a:extLst>
            <a:ext uri="{FF2B5EF4-FFF2-40B4-BE49-F238E27FC236}">
              <a16:creationId xmlns:a16="http://schemas.microsoft.com/office/drawing/2014/main" id="{0EE1B940-FE09-4B5F-808C-D91D33EB89F6}"/>
            </a:ext>
          </a:extLst>
        </xdr:cNvPr>
        <xdr:cNvSpPr/>
      </xdr:nvSpPr>
      <xdr:spPr>
        <a:xfrm rot="10800000">
          <a:off x="5158740" y="39517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216</xdr:row>
      <xdr:rowOff>0</xdr:rowOff>
    </xdr:from>
    <xdr:to>
      <xdr:col>14</xdr:col>
      <xdr:colOff>83820</xdr:colOff>
      <xdr:row>216</xdr:row>
      <xdr:rowOff>114300</xdr:rowOff>
    </xdr:to>
    <xdr:sp macro="" textlink="">
      <xdr:nvSpPr>
        <xdr:cNvPr id="222" name="Arrow: Down 221">
          <a:extLst>
            <a:ext uri="{FF2B5EF4-FFF2-40B4-BE49-F238E27FC236}">
              <a16:creationId xmlns:a16="http://schemas.microsoft.com/office/drawing/2014/main" id="{918C598B-9B56-4AFE-9D77-C94D01A65E39}"/>
            </a:ext>
          </a:extLst>
        </xdr:cNvPr>
        <xdr:cNvSpPr/>
      </xdr:nvSpPr>
      <xdr:spPr>
        <a:xfrm>
          <a:off x="5158740" y="39700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217</xdr:row>
      <xdr:rowOff>0</xdr:rowOff>
    </xdr:from>
    <xdr:to>
      <xdr:col>14</xdr:col>
      <xdr:colOff>83820</xdr:colOff>
      <xdr:row>217</xdr:row>
      <xdr:rowOff>114300</xdr:rowOff>
    </xdr:to>
    <xdr:sp macro="" textlink="">
      <xdr:nvSpPr>
        <xdr:cNvPr id="208" name="Arrow: Down 207">
          <a:extLst>
            <a:ext uri="{FF2B5EF4-FFF2-40B4-BE49-F238E27FC236}">
              <a16:creationId xmlns:a16="http://schemas.microsoft.com/office/drawing/2014/main" id="{4668D227-8C34-4F34-AC6C-40C16A56EB1C}"/>
            </a:ext>
          </a:extLst>
        </xdr:cNvPr>
        <xdr:cNvSpPr/>
      </xdr:nvSpPr>
      <xdr:spPr>
        <a:xfrm rot="10800000">
          <a:off x="5158740" y="39883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218</xdr:row>
      <xdr:rowOff>0</xdr:rowOff>
    </xdr:from>
    <xdr:to>
      <xdr:col>14</xdr:col>
      <xdr:colOff>83820</xdr:colOff>
      <xdr:row>218</xdr:row>
      <xdr:rowOff>114300</xdr:rowOff>
    </xdr:to>
    <xdr:sp macro="" textlink="">
      <xdr:nvSpPr>
        <xdr:cNvPr id="214" name="Arrow: Down 213">
          <a:extLst>
            <a:ext uri="{FF2B5EF4-FFF2-40B4-BE49-F238E27FC236}">
              <a16:creationId xmlns:a16="http://schemas.microsoft.com/office/drawing/2014/main" id="{6D25796C-E475-4635-B03D-0C4FDE26F93F}"/>
            </a:ext>
          </a:extLst>
        </xdr:cNvPr>
        <xdr:cNvSpPr/>
      </xdr:nvSpPr>
      <xdr:spPr>
        <a:xfrm>
          <a:off x="5158740" y="4006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219</xdr:row>
      <xdr:rowOff>0</xdr:rowOff>
    </xdr:from>
    <xdr:to>
      <xdr:col>14</xdr:col>
      <xdr:colOff>83820</xdr:colOff>
      <xdr:row>219</xdr:row>
      <xdr:rowOff>114300</xdr:rowOff>
    </xdr:to>
    <xdr:sp macro="" textlink="">
      <xdr:nvSpPr>
        <xdr:cNvPr id="220" name="Arrow: Down 219">
          <a:extLst>
            <a:ext uri="{FF2B5EF4-FFF2-40B4-BE49-F238E27FC236}">
              <a16:creationId xmlns:a16="http://schemas.microsoft.com/office/drawing/2014/main" id="{2CBB21F6-F786-4057-B51F-8129D5B5FB16}"/>
            </a:ext>
          </a:extLst>
        </xdr:cNvPr>
        <xdr:cNvSpPr/>
      </xdr:nvSpPr>
      <xdr:spPr>
        <a:xfrm rot="10800000">
          <a:off x="5158740" y="4024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220</xdr:row>
      <xdr:rowOff>0</xdr:rowOff>
    </xdr:from>
    <xdr:to>
      <xdr:col>14</xdr:col>
      <xdr:colOff>83820</xdr:colOff>
      <xdr:row>220</xdr:row>
      <xdr:rowOff>114300</xdr:rowOff>
    </xdr:to>
    <xdr:sp macro="" textlink="">
      <xdr:nvSpPr>
        <xdr:cNvPr id="199" name="Arrow: Down 198">
          <a:extLst>
            <a:ext uri="{FF2B5EF4-FFF2-40B4-BE49-F238E27FC236}">
              <a16:creationId xmlns:a16="http://schemas.microsoft.com/office/drawing/2014/main" id="{3B583773-ED1D-4A76-AA38-18423ACB9E39}"/>
            </a:ext>
          </a:extLst>
        </xdr:cNvPr>
        <xdr:cNvSpPr/>
      </xdr:nvSpPr>
      <xdr:spPr>
        <a:xfrm rot="10800000">
          <a:off x="5158740" y="4024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221</xdr:row>
      <xdr:rowOff>0</xdr:rowOff>
    </xdr:from>
    <xdr:to>
      <xdr:col>14</xdr:col>
      <xdr:colOff>83820</xdr:colOff>
      <xdr:row>221</xdr:row>
      <xdr:rowOff>114300</xdr:rowOff>
    </xdr:to>
    <xdr:sp macro="" textlink="">
      <xdr:nvSpPr>
        <xdr:cNvPr id="218" name="Arrow: Down 217">
          <a:extLst>
            <a:ext uri="{FF2B5EF4-FFF2-40B4-BE49-F238E27FC236}">
              <a16:creationId xmlns:a16="http://schemas.microsoft.com/office/drawing/2014/main" id="{2AA1A6AD-E233-46B3-9AD1-FE632D2D6F6B}"/>
            </a:ext>
          </a:extLst>
        </xdr:cNvPr>
        <xdr:cNvSpPr/>
      </xdr:nvSpPr>
      <xdr:spPr>
        <a:xfrm>
          <a:off x="5158740" y="4061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222</xdr:row>
      <xdr:rowOff>0</xdr:rowOff>
    </xdr:from>
    <xdr:to>
      <xdr:col>14</xdr:col>
      <xdr:colOff>83820</xdr:colOff>
      <xdr:row>222</xdr:row>
      <xdr:rowOff>114300</xdr:rowOff>
    </xdr:to>
    <xdr:sp macro="" textlink="">
      <xdr:nvSpPr>
        <xdr:cNvPr id="223" name="Arrow: Down 222">
          <a:extLst>
            <a:ext uri="{FF2B5EF4-FFF2-40B4-BE49-F238E27FC236}">
              <a16:creationId xmlns:a16="http://schemas.microsoft.com/office/drawing/2014/main" id="{12D7C9EB-FA1A-448C-BA13-AC2EB066BF29}"/>
            </a:ext>
          </a:extLst>
        </xdr:cNvPr>
        <xdr:cNvSpPr/>
      </xdr:nvSpPr>
      <xdr:spPr>
        <a:xfrm>
          <a:off x="5158740" y="4061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224</xdr:row>
      <xdr:rowOff>0</xdr:rowOff>
    </xdr:from>
    <xdr:to>
      <xdr:col>14</xdr:col>
      <xdr:colOff>83820</xdr:colOff>
      <xdr:row>224</xdr:row>
      <xdr:rowOff>114300</xdr:rowOff>
    </xdr:to>
    <xdr:sp macro="" textlink="">
      <xdr:nvSpPr>
        <xdr:cNvPr id="217" name="Arrow: Down 216">
          <a:extLst>
            <a:ext uri="{FF2B5EF4-FFF2-40B4-BE49-F238E27FC236}">
              <a16:creationId xmlns:a16="http://schemas.microsoft.com/office/drawing/2014/main" id="{0B7A3115-BF82-4F7A-9FD8-AD3697562216}"/>
            </a:ext>
          </a:extLst>
        </xdr:cNvPr>
        <xdr:cNvSpPr/>
      </xdr:nvSpPr>
      <xdr:spPr>
        <a:xfrm>
          <a:off x="5158740" y="1263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223</xdr:row>
      <xdr:rowOff>0</xdr:rowOff>
    </xdr:from>
    <xdr:to>
      <xdr:col>14</xdr:col>
      <xdr:colOff>83820</xdr:colOff>
      <xdr:row>223</xdr:row>
      <xdr:rowOff>114300</xdr:rowOff>
    </xdr:to>
    <xdr:sp macro="" textlink="">
      <xdr:nvSpPr>
        <xdr:cNvPr id="224" name="Arrow: Down 223">
          <a:extLst>
            <a:ext uri="{FF2B5EF4-FFF2-40B4-BE49-F238E27FC236}">
              <a16:creationId xmlns:a16="http://schemas.microsoft.com/office/drawing/2014/main" id="{BBA7A157-9A9C-4122-86FE-66F4FF5C76E4}"/>
            </a:ext>
          </a:extLst>
        </xdr:cNvPr>
        <xdr:cNvSpPr/>
      </xdr:nvSpPr>
      <xdr:spPr>
        <a:xfrm rot="10800000">
          <a:off x="5158740" y="1263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225</xdr:row>
      <xdr:rowOff>0</xdr:rowOff>
    </xdr:from>
    <xdr:to>
      <xdr:col>14</xdr:col>
      <xdr:colOff>83820</xdr:colOff>
      <xdr:row>225</xdr:row>
      <xdr:rowOff>114300</xdr:rowOff>
    </xdr:to>
    <xdr:sp macro="" textlink="">
      <xdr:nvSpPr>
        <xdr:cNvPr id="221" name="Arrow: Down 220">
          <a:extLst>
            <a:ext uri="{FF2B5EF4-FFF2-40B4-BE49-F238E27FC236}">
              <a16:creationId xmlns:a16="http://schemas.microsoft.com/office/drawing/2014/main" id="{AC4CA495-A0FC-46E5-A272-D962C93CB00A}"/>
            </a:ext>
          </a:extLst>
        </xdr:cNvPr>
        <xdr:cNvSpPr/>
      </xdr:nvSpPr>
      <xdr:spPr>
        <a:xfrm rot="10800000">
          <a:off x="5158740" y="12999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226</xdr:row>
      <xdr:rowOff>0</xdr:rowOff>
    </xdr:from>
    <xdr:to>
      <xdr:col>14</xdr:col>
      <xdr:colOff>83820</xdr:colOff>
      <xdr:row>226</xdr:row>
      <xdr:rowOff>114300</xdr:rowOff>
    </xdr:to>
    <xdr:sp macro="" textlink="">
      <xdr:nvSpPr>
        <xdr:cNvPr id="213" name="Arrow: Down 212">
          <a:extLst>
            <a:ext uri="{FF2B5EF4-FFF2-40B4-BE49-F238E27FC236}">
              <a16:creationId xmlns:a16="http://schemas.microsoft.com/office/drawing/2014/main" id="{0DD39BF2-9EDE-4503-9588-1D967E4F83F1}"/>
            </a:ext>
          </a:extLst>
        </xdr:cNvPr>
        <xdr:cNvSpPr/>
      </xdr:nvSpPr>
      <xdr:spPr>
        <a:xfrm>
          <a:off x="5158740" y="1318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227</xdr:row>
      <xdr:rowOff>0</xdr:rowOff>
    </xdr:from>
    <xdr:to>
      <xdr:col>14</xdr:col>
      <xdr:colOff>83820</xdr:colOff>
      <xdr:row>227</xdr:row>
      <xdr:rowOff>114300</xdr:rowOff>
    </xdr:to>
    <xdr:sp macro="" textlink="">
      <xdr:nvSpPr>
        <xdr:cNvPr id="227" name="Arrow: Down 226">
          <a:extLst>
            <a:ext uri="{FF2B5EF4-FFF2-40B4-BE49-F238E27FC236}">
              <a16:creationId xmlns:a16="http://schemas.microsoft.com/office/drawing/2014/main" id="{A7D2479F-DA08-4B21-B46B-27804ADB10BF}"/>
            </a:ext>
          </a:extLst>
        </xdr:cNvPr>
        <xdr:cNvSpPr/>
      </xdr:nvSpPr>
      <xdr:spPr>
        <a:xfrm rot="10800000">
          <a:off x="5158740" y="13365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228</xdr:row>
      <xdr:rowOff>0</xdr:rowOff>
    </xdr:from>
    <xdr:to>
      <xdr:col>14</xdr:col>
      <xdr:colOff>83820</xdr:colOff>
      <xdr:row>228</xdr:row>
      <xdr:rowOff>114300</xdr:rowOff>
    </xdr:to>
    <xdr:sp macro="" textlink="">
      <xdr:nvSpPr>
        <xdr:cNvPr id="229" name="Arrow: Down 228">
          <a:extLst>
            <a:ext uri="{FF2B5EF4-FFF2-40B4-BE49-F238E27FC236}">
              <a16:creationId xmlns:a16="http://schemas.microsoft.com/office/drawing/2014/main" id="{AD8AD310-C54C-41B9-9338-AB34DEFA2B5B}"/>
            </a:ext>
          </a:extLst>
        </xdr:cNvPr>
        <xdr:cNvSpPr/>
      </xdr:nvSpPr>
      <xdr:spPr>
        <a:xfrm rot="10800000">
          <a:off x="5158740" y="13365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229</xdr:row>
      <xdr:rowOff>0</xdr:rowOff>
    </xdr:from>
    <xdr:to>
      <xdr:col>14</xdr:col>
      <xdr:colOff>83820</xdr:colOff>
      <xdr:row>229</xdr:row>
      <xdr:rowOff>114300</xdr:rowOff>
    </xdr:to>
    <xdr:sp macro="" textlink="">
      <xdr:nvSpPr>
        <xdr:cNvPr id="233" name="Arrow: Down 232">
          <a:extLst>
            <a:ext uri="{FF2B5EF4-FFF2-40B4-BE49-F238E27FC236}">
              <a16:creationId xmlns:a16="http://schemas.microsoft.com/office/drawing/2014/main" id="{C9CCE925-35C6-456E-A3D9-A0CF1151D050}"/>
            </a:ext>
          </a:extLst>
        </xdr:cNvPr>
        <xdr:cNvSpPr/>
      </xdr:nvSpPr>
      <xdr:spPr>
        <a:xfrm>
          <a:off x="5158740" y="1373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230</xdr:row>
      <xdr:rowOff>0</xdr:rowOff>
    </xdr:from>
    <xdr:to>
      <xdr:col>14</xdr:col>
      <xdr:colOff>83820</xdr:colOff>
      <xdr:row>230</xdr:row>
      <xdr:rowOff>114300</xdr:rowOff>
    </xdr:to>
    <xdr:sp macro="" textlink="">
      <xdr:nvSpPr>
        <xdr:cNvPr id="226" name="Arrow: Down 225">
          <a:extLst>
            <a:ext uri="{FF2B5EF4-FFF2-40B4-BE49-F238E27FC236}">
              <a16:creationId xmlns:a16="http://schemas.microsoft.com/office/drawing/2014/main" id="{EC2E0C68-F549-4F36-9109-7E75D3F44067}"/>
            </a:ext>
          </a:extLst>
        </xdr:cNvPr>
        <xdr:cNvSpPr/>
      </xdr:nvSpPr>
      <xdr:spPr>
        <a:xfrm rot="10800000">
          <a:off x="5158740" y="1391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231</xdr:row>
      <xdr:rowOff>0</xdr:rowOff>
    </xdr:from>
    <xdr:to>
      <xdr:col>14</xdr:col>
      <xdr:colOff>83820</xdr:colOff>
      <xdr:row>231</xdr:row>
      <xdr:rowOff>114300</xdr:rowOff>
    </xdr:to>
    <xdr:sp macro="" textlink="">
      <xdr:nvSpPr>
        <xdr:cNvPr id="230" name="Arrow: Down 229">
          <a:extLst>
            <a:ext uri="{FF2B5EF4-FFF2-40B4-BE49-F238E27FC236}">
              <a16:creationId xmlns:a16="http://schemas.microsoft.com/office/drawing/2014/main" id="{486B0B57-2B87-4118-992B-28082A241118}"/>
            </a:ext>
          </a:extLst>
        </xdr:cNvPr>
        <xdr:cNvSpPr/>
      </xdr:nvSpPr>
      <xdr:spPr>
        <a:xfrm>
          <a:off x="51587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232</xdr:row>
      <xdr:rowOff>0</xdr:rowOff>
    </xdr:from>
    <xdr:to>
      <xdr:col>14</xdr:col>
      <xdr:colOff>83820</xdr:colOff>
      <xdr:row>232</xdr:row>
      <xdr:rowOff>114300</xdr:rowOff>
    </xdr:to>
    <xdr:sp macro="" textlink="">
      <xdr:nvSpPr>
        <xdr:cNvPr id="231" name="Arrow: Down 230">
          <a:extLst>
            <a:ext uri="{FF2B5EF4-FFF2-40B4-BE49-F238E27FC236}">
              <a16:creationId xmlns:a16="http://schemas.microsoft.com/office/drawing/2014/main" id="{2D740A28-4412-41EC-8A4B-A18509FF7B3B}"/>
            </a:ext>
          </a:extLst>
        </xdr:cNvPr>
        <xdr:cNvSpPr/>
      </xdr:nvSpPr>
      <xdr:spPr>
        <a:xfrm>
          <a:off x="51587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233</xdr:row>
      <xdr:rowOff>0</xdr:rowOff>
    </xdr:from>
    <xdr:to>
      <xdr:col>14</xdr:col>
      <xdr:colOff>83820</xdr:colOff>
      <xdr:row>233</xdr:row>
      <xdr:rowOff>114300</xdr:rowOff>
    </xdr:to>
    <xdr:sp macro="" textlink="">
      <xdr:nvSpPr>
        <xdr:cNvPr id="228" name="Arrow: Down 227">
          <a:extLst>
            <a:ext uri="{FF2B5EF4-FFF2-40B4-BE49-F238E27FC236}">
              <a16:creationId xmlns:a16="http://schemas.microsoft.com/office/drawing/2014/main" id="{BB2C3F65-8B00-4AD7-B621-4D30DDFD9A40}"/>
            </a:ext>
          </a:extLst>
        </xdr:cNvPr>
        <xdr:cNvSpPr/>
      </xdr:nvSpPr>
      <xdr:spPr>
        <a:xfrm rot="10800000">
          <a:off x="5158740" y="14462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234</xdr:row>
      <xdr:rowOff>0</xdr:rowOff>
    </xdr:from>
    <xdr:to>
      <xdr:col>14</xdr:col>
      <xdr:colOff>83820</xdr:colOff>
      <xdr:row>234</xdr:row>
      <xdr:rowOff>114300</xdr:rowOff>
    </xdr:to>
    <xdr:sp macro="" textlink="">
      <xdr:nvSpPr>
        <xdr:cNvPr id="235" name="Arrow: Down 234">
          <a:extLst>
            <a:ext uri="{FF2B5EF4-FFF2-40B4-BE49-F238E27FC236}">
              <a16:creationId xmlns:a16="http://schemas.microsoft.com/office/drawing/2014/main" id="{7E3839FB-8BB4-4309-81D2-319C4A8C95BA}"/>
            </a:ext>
          </a:extLst>
        </xdr:cNvPr>
        <xdr:cNvSpPr/>
      </xdr:nvSpPr>
      <xdr:spPr>
        <a:xfrm>
          <a:off x="5158740" y="14645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235</xdr:row>
      <xdr:rowOff>0</xdr:rowOff>
    </xdr:from>
    <xdr:to>
      <xdr:col>14</xdr:col>
      <xdr:colOff>83820</xdr:colOff>
      <xdr:row>235</xdr:row>
      <xdr:rowOff>114300</xdr:rowOff>
    </xdr:to>
    <xdr:sp macro="" textlink="">
      <xdr:nvSpPr>
        <xdr:cNvPr id="236" name="Arrow: Down 235">
          <a:extLst>
            <a:ext uri="{FF2B5EF4-FFF2-40B4-BE49-F238E27FC236}">
              <a16:creationId xmlns:a16="http://schemas.microsoft.com/office/drawing/2014/main" id="{84D656F6-3A6C-4D84-A20A-386E61F7ACA9}"/>
            </a:ext>
          </a:extLst>
        </xdr:cNvPr>
        <xdr:cNvSpPr/>
      </xdr:nvSpPr>
      <xdr:spPr>
        <a:xfrm>
          <a:off x="5158740" y="14645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236</xdr:row>
      <xdr:rowOff>0</xdr:rowOff>
    </xdr:from>
    <xdr:to>
      <xdr:col>14</xdr:col>
      <xdr:colOff>83820</xdr:colOff>
      <xdr:row>236</xdr:row>
      <xdr:rowOff>114300</xdr:rowOff>
    </xdr:to>
    <xdr:sp macro="" textlink="">
      <xdr:nvSpPr>
        <xdr:cNvPr id="239" name="Arrow: Down 238">
          <a:extLst>
            <a:ext uri="{FF2B5EF4-FFF2-40B4-BE49-F238E27FC236}">
              <a16:creationId xmlns:a16="http://schemas.microsoft.com/office/drawing/2014/main" id="{14A2F36A-D9E0-4A97-8038-B4D42AF2B781}"/>
            </a:ext>
          </a:extLst>
        </xdr:cNvPr>
        <xdr:cNvSpPr/>
      </xdr:nvSpPr>
      <xdr:spPr>
        <a:xfrm rot="10800000">
          <a:off x="5158740" y="1501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237</xdr:row>
      <xdr:rowOff>0</xdr:rowOff>
    </xdr:from>
    <xdr:to>
      <xdr:col>14</xdr:col>
      <xdr:colOff>83820</xdr:colOff>
      <xdr:row>237</xdr:row>
      <xdr:rowOff>114300</xdr:rowOff>
    </xdr:to>
    <xdr:sp macro="" textlink="">
      <xdr:nvSpPr>
        <xdr:cNvPr id="237" name="Arrow: Down 236">
          <a:extLst>
            <a:ext uri="{FF2B5EF4-FFF2-40B4-BE49-F238E27FC236}">
              <a16:creationId xmlns:a16="http://schemas.microsoft.com/office/drawing/2014/main" id="{BBECCA2C-4A65-4D8F-AA24-AA3E2F201875}"/>
            </a:ext>
          </a:extLst>
        </xdr:cNvPr>
        <xdr:cNvSpPr/>
      </xdr:nvSpPr>
      <xdr:spPr>
        <a:xfrm rot="10800000">
          <a:off x="5158740" y="15194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238</xdr:row>
      <xdr:rowOff>0</xdr:rowOff>
    </xdr:from>
    <xdr:to>
      <xdr:col>14</xdr:col>
      <xdr:colOff>83820</xdr:colOff>
      <xdr:row>238</xdr:row>
      <xdr:rowOff>114300</xdr:rowOff>
    </xdr:to>
    <xdr:sp macro="" textlink="">
      <xdr:nvSpPr>
        <xdr:cNvPr id="232" name="Arrow: Down 231">
          <a:extLst>
            <a:ext uri="{FF2B5EF4-FFF2-40B4-BE49-F238E27FC236}">
              <a16:creationId xmlns:a16="http://schemas.microsoft.com/office/drawing/2014/main" id="{4DD3378D-F4D1-4AA2-967D-0285C3828E62}"/>
            </a:ext>
          </a:extLst>
        </xdr:cNvPr>
        <xdr:cNvSpPr/>
      </xdr:nvSpPr>
      <xdr:spPr>
        <a:xfrm>
          <a:off x="5158740" y="1537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239</xdr:row>
      <xdr:rowOff>0</xdr:rowOff>
    </xdr:from>
    <xdr:to>
      <xdr:col>14</xdr:col>
      <xdr:colOff>83820</xdr:colOff>
      <xdr:row>239</xdr:row>
      <xdr:rowOff>114300</xdr:rowOff>
    </xdr:to>
    <xdr:sp macro="" textlink="">
      <xdr:nvSpPr>
        <xdr:cNvPr id="238" name="Arrow: Down 237">
          <a:extLst>
            <a:ext uri="{FF2B5EF4-FFF2-40B4-BE49-F238E27FC236}">
              <a16:creationId xmlns:a16="http://schemas.microsoft.com/office/drawing/2014/main" id="{C938FA95-B465-44FE-B080-8749AEA49CF1}"/>
            </a:ext>
          </a:extLst>
        </xdr:cNvPr>
        <xdr:cNvSpPr/>
      </xdr:nvSpPr>
      <xdr:spPr>
        <a:xfrm>
          <a:off x="5158740" y="1537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240</xdr:row>
      <xdr:rowOff>0</xdr:rowOff>
    </xdr:from>
    <xdr:to>
      <xdr:col>14</xdr:col>
      <xdr:colOff>83820</xdr:colOff>
      <xdr:row>240</xdr:row>
      <xdr:rowOff>114300</xdr:rowOff>
    </xdr:to>
    <xdr:sp macro="" textlink="">
      <xdr:nvSpPr>
        <xdr:cNvPr id="241" name="Arrow: Down 240">
          <a:extLst>
            <a:ext uri="{FF2B5EF4-FFF2-40B4-BE49-F238E27FC236}">
              <a16:creationId xmlns:a16="http://schemas.microsoft.com/office/drawing/2014/main" id="{59C86C7A-3D9E-4E24-9175-D67EF25A45C6}"/>
            </a:ext>
          </a:extLst>
        </xdr:cNvPr>
        <xdr:cNvSpPr/>
      </xdr:nvSpPr>
      <xdr:spPr>
        <a:xfrm rot="10800000">
          <a:off x="5158740" y="1574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241</xdr:row>
      <xdr:rowOff>0</xdr:rowOff>
    </xdr:from>
    <xdr:to>
      <xdr:col>14</xdr:col>
      <xdr:colOff>83820</xdr:colOff>
      <xdr:row>241</xdr:row>
      <xdr:rowOff>114300</xdr:rowOff>
    </xdr:to>
    <xdr:sp macro="" textlink="">
      <xdr:nvSpPr>
        <xdr:cNvPr id="234" name="Arrow: Down 233">
          <a:extLst>
            <a:ext uri="{FF2B5EF4-FFF2-40B4-BE49-F238E27FC236}">
              <a16:creationId xmlns:a16="http://schemas.microsoft.com/office/drawing/2014/main" id="{F4EBA6B0-C51E-464D-ACB1-7DAB2B398275}"/>
            </a:ext>
          </a:extLst>
        </xdr:cNvPr>
        <xdr:cNvSpPr/>
      </xdr:nvSpPr>
      <xdr:spPr>
        <a:xfrm>
          <a:off x="5158740" y="1592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242</xdr:row>
      <xdr:rowOff>0</xdr:rowOff>
    </xdr:from>
    <xdr:to>
      <xdr:col>14</xdr:col>
      <xdr:colOff>83820</xdr:colOff>
      <xdr:row>242</xdr:row>
      <xdr:rowOff>114300</xdr:rowOff>
    </xdr:to>
    <xdr:sp macro="" textlink="">
      <xdr:nvSpPr>
        <xdr:cNvPr id="242" name="Arrow: Down 241">
          <a:extLst>
            <a:ext uri="{FF2B5EF4-FFF2-40B4-BE49-F238E27FC236}">
              <a16:creationId xmlns:a16="http://schemas.microsoft.com/office/drawing/2014/main" id="{595FF982-1417-4D1D-8010-5FB0E71330F2}"/>
            </a:ext>
          </a:extLst>
        </xdr:cNvPr>
        <xdr:cNvSpPr/>
      </xdr:nvSpPr>
      <xdr:spPr>
        <a:xfrm rot="10800000">
          <a:off x="5158740" y="1610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243</xdr:row>
      <xdr:rowOff>0</xdr:rowOff>
    </xdr:from>
    <xdr:to>
      <xdr:col>14</xdr:col>
      <xdr:colOff>83820</xdr:colOff>
      <xdr:row>243</xdr:row>
      <xdr:rowOff>114300</xdr:rowOff>
    </xdr:to>
    <xdr:sp macro="" textlink="">
      <xdr:nvSpPr>
        <xdr:cNvPr id="244" name="Arrow: Down 243">
          <a:extLst>
            <a:ext uri="{FF2B5EF4-FFF2-40B4-BE49-F238E27FC236}">
              <a16:creationId xmlns:a16="http://schemas.microsoft.com/office/drawing/2014/main" id="{6C5686D2-7E81-4759-B0A7-6959DC5F135C}"/>
            </a:ext>
          </a:extLst>
        </xdr:cNvPr>
        <xdr:cNvSpPr/>
      </xdr:nvSpPr>
      <xdr:spPr>
        <a:xfrm>
          <a:off x="5158740" y="1629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244</xdr:row>
      <xdr:rowOff>0</xdr:rowOff>
    </xdr:from>
    <xdr:to>
      <xdr:col>14</xdr:col>
      <xdr:colOff>83820</xdr:colOff>
      <xdr:row>244</xdr:row>
      <xdr:rowOff>114300</xdr:rowOff>
    </xdr:to>
    <xdr:sp macro="" textlink="">
      <xdr:nvSpPr>
        <xdr:cNvPr id="240" name="Arrow: Down 239">
          <a:extLst>
            <a:ext uri="{FF2B5EF4-FFF2-40B4-BE49-F238E27FC236}">
              <a16:creationId xmlns:a16="http://schemas.microsoft.com/office/drawing/2014/main" id="{4C82DCE6-2F68-4F6A-9BF9-AA9ECC2552F0}"/>
            </a:ext>
          </a:extLst>
        </xdr:cNvPr>
        <xdr:cNvSpPr/>
      </xdr:nvSpPr>
      <xdr:spPr>
        <a:xfrm rot="10800000">
          <a:off x="5158740" y="16474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245</xdr:row>
      <xdr:rowOff>0</xdr:rowOff>
    </xdr:from>
    <xdr:to>
      <xdr:col>14</xdr:col>
      <xdr:colOff>83820</xdr:colOff>
      <xdr:row>245</xdr:row>
      <xdr:rowOff>114300</xdr:rowOff>
    </xdr:to>
    <xdr:sp macro="" textlink="">
      <xdr:nvSpPr>
        <xdr:cNvPr id="243" name="Arrow: Down 242">
          <a:extLst>
            <a:ext uri="{FF2B5EF4-FFF2-40B4-BE49-F238E27FC236}">
              <a16:creationId xmlns:a16="http://schemas.microsoft.com/office/drawing/2014/main" id="{04960A03-EA76-48EF-A271-6917774111B1}"/>
            </a:ext>
          </a:extLst>
        </xdr:cNvPr>
        <xdr:cNvSpPr/>
      </xdr:nvSpPr>
      <xdr:spPr>
        <a:xfrm>
          <a:off x="5158740" y="1665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246</xdr:row>
      <xdr:rowOff>0</xdr:rowOff>
    </xdr:from>
    <xdr:to>
      <xdr:col>14</xdr:col>
      <xdr:colOff>83820</xdr:colOff>
      <xdr:row>246</xdr:row>
      <xdr:rowOff>114300</xdr:rowOff>
    </xdr:to>
    <xdr:sp macro="" textlink="">
      <xdr:nvSpPr>
        <xdr:cNvPr id="247" name="Arrow: Down 246">
          <a:extLst>
            <a:ext uri="{FF2B5EF4-FFF2-40B4-BE49-F238E27FC236}">
              <a16:creationId xmlns:a16="http://schemas.microsoft.com/office/drawing/2014/main" id="{20F63F9B-E91D-43EF-9AF3-43A7EFDFC986}"/>
            </a:ext>
          </a:extLst>
        </xdr:cNvPr>
        <xdr:cNvSpPr/>
      </xdr:nvSpPr>
      <xdr:spPr>
        <a:xfrm rot="10800000">
          <a:off x="5158740" y="1684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247</xdr:row>
      <xdr:rowOff>0</xdr:rowOff>
    </xdr:from>
    <xdr:to>
      <xdr:col>14</xdr:col>
      <xdr:colOff>83820</xdr:colOff>
      <xdr:row>247</xdr:row>
      <xdr:rowOff>114300</xdr:rowOff>
    </xdr:to>
    <xdr:sp macro="" textlink="">
      <xdr:nvSpPr>
        <xdr:cNvPr id="245" name="Arrow: Down 244">
          <a:extLst>
            <a:ext uri="{FF2B5EF4-FFF2-40B4-BE49-F238E27FC236}">
              <a16:creationId xmlns:a16="http://schemas.microsoft.com/office/drawing/2014/main" id="{CA66440F-A316-4697-86CF-FE15B9E08E3D}"/>
            </a:ext>
          </a:extLst>
        </xdr:cNvPr>
        <xdr:cNvSpPr/>
      </xdr:nvSpPr>
      <xdr:spPr>
        <a:xfrm>
          <a:off x="5158740" y="1702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248</xdr:row>
      <xdr:rowOff>0</xdr:rowOff>
    </xdr:from>
    <xdr:to>
      <xdr:col>14</xdr:col>
      <xdr:colOff>83820</xdr:colOff>
      <xdr:row>248</xdr:row>
      <xdr:rowOff>114300</xdr:rowOff>
    </xdr:to>
    <xdr:sp macro="" textlink="">
      <xdr:nvSpPr>
        <xdr:cNvPr id="249" name="Arrow: Down 248">
          <a:extLst>
            <a:ext uri="{FF2B5EF4-FFF2-40B4-BE49-F238E27FC236}">
              <a16:creationId xmlns:a16="http://schemas.microsoft.com/office/drawing/2014/main" id="{529D158B-8FEB-4F45-9731-6DD6559DE0FA}"/>
            </a:ext>
          </a:extLst>
        </xdr:cNvPr>
        <xdr:cNvSpPr/>
      </xdr:nvSpPr>
      <xdr:spPr>
        <a:xfrm>
          <a:off x="5158740" y="1702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249</xdr:row>
      <xdr:rowOff>0</xdr:rowOff>
    </xdr:from>
    <xdr:to>
      <xdr:col>14</xdr:col>
      <xdr:colOff>83820</xdr:colOff>
      <xdr:row>249</xdr:row>
      <xdr:rowOff>114300</xdr:rowOff>
    </xdr:to>
    <xdr:sp macro="" textlink="">
      <xdr:nvSpPr>
        <xdr:cNvPr id="252" name="Arrow: Down 251">
          <a:extLst>
            <a:ext uri="{FF2B5EF4-FFF2-40B4-BE49-F238E27FC236}">
              <a16:creationId xmlns:a16="http://schemas.microsoft.com/office/drawing/2014/main" id="{08C22A9F-B1D2-438C-8CAF-A91A90F899A6}"/>
            </a:ext>
          </a:extLst>
        </xdr:cNvPr>
        <xdr:cNvSpPr/>
      </xdr:nvSpPr>
      <xdr:spPr>
        <a:xfrm rot="10800000">
          <a:off x="5158740" y="1738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250</xdr:row>
      <xdr:rowOff>0</xdr:rowOff>
    </xdr:from>
    <xdr:to>
      <xdr:col>14</xdr:col>
      <xdr:colOff>83820</xdr:colOff>
      <xdr:row>250</xdr:row>
      <xdr:rowOff>114300</xdr:rowOff>
    </xdr:to>
    <xdr:sp macro="" textlink="">
      <xdr:nvSpPr>
        <xdr:cNvPr id="256" name="Arrow: Down 255">
          <a:extLst>
            <a:ext uri="{FF2B5EF4-FFF2-40B4-BE49-F238E27FC236}">
              <a16:creationId xmlns:a16="http://schemas.microsoft.com/office/drawing/2014/main" id="{3A821F7E-E1D0-4D17-8331-A362BAB3708C}"/>
            </a:ext>
          </a:extLst>
        </xdr:cNvPr>
        <xdr:cNvSpPr/>
      </xdr:nvSpPr>
      <xdr:spPr>
        <a:xfrm rot="10800000">
          <a:off x="5158740" y="1757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251</xdr:row>
      <xdr:rowOff>0</xdr:rowOff>
    </xdr:from>
    <xdr:to>
      <xdr:col>14</xdr:col>
      <xdr:colOff>83820</xdr:colOff>
      <xdr:row>251</xdr:row>
      <xdr:rowOff>114300</xdr:rowOff>
    </xdr:to>
    <xdr:sp macro="" textlink="">
      <xdr:nvSpPr>
        <xdr:cNvPr id="248" name="Arrow: Down 247">
          <a:extLst>
            <a:ext uri="{FF2B5EF4-FFF2-40B4-BE49-F238E27FC236}">
              <a16:creationId xmlns:a16="http://schemas.microsoft.com/office/drawing/2014/main" id="{163015CA-0C59-436B-A5E1-B8B6740E6712}"/>
            </a:ext>
          </a:extLst>
        </xdr:cNvPr>
        <xdr:cNvSpPr/>
      </xdr:nvSpPr>
      <xdr:spPr>
        <a:xfrm>
          <a:off x="5158740" y="1775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252</xdr:row>
      <xdr:rowOff>0</xdr:rowOff>
    </xdr:from>
    <xdr:to>
      <xdr:col>14</xdr:col>
      <xdr:colOff>83820</xdr:colOff>
      <xdr:row>252</xdr:row>
      <xdr:rowOff>114300</xdr:rowOff>
    </xdr:to>
    <xdr:sp macro="" textlink="">
      <xdr:nvSpPr>
        <xdr:cNvPr id="253" name="Arrow: Down 252">
          <a:extLst>
            <a:ext uri="{FF2B5EF4-FFF2-40B4-BE49-F238E27FC236}">
              <a16:creationId xmlns:a16="http://schemas.microsoft.com/office/drawing/2014/main" id="{67971776-05D6-4FCA-9229-F64952F91434}"/>
            </a:ext>
          </a:extLst>
        </xdr:cNvPr>
        <xdr:cNvSpPr/>
      </xdr:nvSpPr>
      <xdr:spPr>
        <a:xfrm rot="10800000">
          <a:off x="5158740" y="17937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253</xdr:row>
      <xdr:rowOff>0</xdr:rowOff>
    </xdr:from>
    <xdr:to>
      <xdr:col>14</xdr:col>
      <xdr:colOff>83820</xdr:colOff>
      <xdr:row>253</xdr:row>
      <xdr:rowOff>114300</xdr:rowOff>
    </xdr:to>
    <xdr:sp macro="" textlink="">
      <xdr:nvSpPr>
        <xdr:cNvPr id="246" name="Arrow: Down 245">
          <a:extLst>
            <a:ext uri="{FF2B5EF4-FFF2-40B4-BE49-F238E27FC236}">
              <a16:creationId xmlns:a16="http://schemas.microsoft.com/office/drawing/2014/main" id="{3CBB1CBB-8048-4898-A4A6-EAA83884ADB1}"/>
            </a:ext>
          </a:extLst>
        </xdr:cNvPr>
        <xdr:cNvSpPr/>
      </xdr:nvSpPr>
      <xdr:spPr>
        <a:xfrm rot="10800000">
          <a:off x="5158740" y="17937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254</xdr:row>
      <xdr:rowOff>0</xdr:rowOff>
    </xdr:from>
    <xdr:to>
      <xdr:col>14</xdr:col>
      <xdr:colOff>83820</xdr:colOff>
      <xdr:row>254</xdr:row>
      <xdr:rowOff>114300</xdr:rowOff>
    </xdr:to>
    <xdr:sp macro="" textlink="">
      <xdr:nvSpPr>
        <xdr:cNvPr id="251" name="Arrow: Down 250">
          <a:extLst>
            <a:ext uri="{FF2B5EF4-FFF2-40B4-BE49-F238E27FC236}">
              <a16:creationId xmlns:a16="http://schemas.microsoft.com/office/drawing/2014/main" id="{18A92DA2-80B4-4B82-A9D4-A926E44450E3}"/>
            </a:ext>
          </a:extLst>
        </xdr:cNvPr>
        <xdr:cNvSpPr/>
      </xdr:nvSpPr>
      <xdr:spPr>
        <a:xfrm rot="10800000">
          <a:off x="5158740" y="1812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255</xdr:row>
      <xdr:rowOff>0</xdr:rowOff>
    </xdr:from>
    <xdr:to>
      <xdr:col>14</xdr:col>
      <xdr:colOff>83820</xdr:colOff>
      <xdr:row>255</xdr:row>
      <xdr:rowOff>114300</xdr:rowOff>
    </xdr:to>
    <xdr:sp macro="" textlink="">
      <xdr:nvSpPr>
        <xdr:cNvPr id="255" name="Arrow: Down 254">
          <a:extLst>
            <a:ext uri="{FF2B5EF4-FFF2-40B4-BE49-F238E27FC236}">
              <a16:creationId xmlns:a16="http://schemas.microsoft.com/office/drawing/2014/main" id="{9E04CB1C-9D29-4E13-8DBE-970E88B59389}"/>
            </a:ext>
          </a:extLst>
        </xdr:cNvPr>
        <xdr:cNvSpPr/>
      </xdr:nvSpPr>
      <xdr:spPr>
        <a:xfrm>
          <a:off x="5158740" y="18486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256</xdr:row>
      <xdr:rowOff>0</xdr:rowOff>
    </xdr:from>
    <xdr:to>
      <xdr:col>14</xdr:col>
      <xdr:colOff>83820</xdr:colOff>
      <xdr:row>256</xdr:row>
      <xdr:rowOff>114300</xdr:rowOff>
    </xdr:to>
    <xdr:sp macro="" textlink="">
      <xdr:nvSpPr>
        <xdr:cNvPr id="257" name="Arrow: Down 256">
          <a:extLst>
            <a:ext uri="{FF2B5EF4-FFF2-40B4-BE49-F238E27FC236}">
              <a16:creationId xmlns:a16="http://schemas.microsoft.com/office/drawing/2014/main" id="{87984016-C93F-4C07-A7FD-BAA2164D75C6}"/>
            </a:ext>
          </a:extLst>
        </xdr:cNvPr>
        <xdr:cNvSpPr/>
      </xdr:nvSpPr>
      <xdr:spPr>
        <a:xfrm>
          <a:off x="5158740" y="18486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257</xdr:row>
      <xdr:rowOff>0</xdr:rowOff>
    </xdr:from>
    <xdr:to>
      <xdr:col>14</xdr:col>
      <xdr:colOff>83820</xdr:colOff>
      <xdr:row>257</xdr:row>
      <xdr:rowOff>114300</xdr:rowOff>
    </xdr:to>
    <xdr:sp macro="" textlink="">
      <xdr:nvSpPr>
        <xdr:cNvPr id="259" name="Arrow: Down 258">
          <a:extLst>
            <a:ext uri="{FF2B5EF4-FFF2-40B4-BE49-F238E27FC236}">
              <a16:creationId xmlns:a16="http://schemas.microsoft.com/office/drawing/2014/main" id="{283EBDA9-0AC0-4B2B-B206-0B987F6158B6}"/>
            </a:ext>
          </a:extLst>
        </xdr:cNvPr>
        <xdr:cNvSpPr/>
      </xdr:nvSpPr>
      <xdr:spPr>
        <a:xfrm rot="10800000">
          <a:off x="5158740" y="1885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259</xdr:row>
      <xdr:rowOff>0</xdr:rowOff>
    </xdr:from>
    <xdr:to>
      <xdr:col>14</xdr:col>
      <xdr:colOff>83820</xdr:colOff>
      <xdr:row>259</xdr:row>
      <xdr:rowOff>114300</xdr:rowOff>
    </xdr:to>
    <xdr:sp macro="" textlink="">
      <xdr:nvSpPr>
        <xdr:cNvPr id="262" name="Arrow: Down 261">
          <a:extLst>
            <a:ext uri="{FF2B5EF4-FFF2-40B4-BE49-F238E27FC236}">
              <a16:creationId xmlns:a16="http://schemas.microsoft.com/office/drawing/2014/main" id="{D67C80D4-F6EE-4615-865D-8E0CEBF13F1E}"/>
            </a:ext>
          </a:extLst>
        </xdr:cNvPr>
        <xdr:cNvSpPr/>
      </xdr:nvSpPr>
      <xdr:spPr>
        <a:xfrm rot="10800000">
          <a:off x="5158740" y="1903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258</xdr:row>
      <xdr:rowOff>0</xdr:rowOff>
    </xdr:from>
    <xdr:to>
      <xdr:col>14</xdr:col>
      <xdr:colOff>83820</xdr:colOff>
      <xdr:row>258</xdr:row>
      <xdr:rowOff>114300</xdr:rowOff>
    </xdr:to>
    <xdr:sp macro="" textlink="">
      <xdr:nvSpPr>
        <xdr:cNvPr id="263" name="Arrow: Down 262">
          <a:extLst>
            <a:ext uri="{FF2B5EF4-FFF2-40B4-BE49-F238E27FC236}">
              <a16:creationId xmlns:a16="http://schemas.microsoft.com/office/drawing/2014/main" id="{5E343A88-8C79-48C0-B1DD-E02D4A2198B2}"/>
            </a:ext>
          </a:extLst>
        </xdr:cNvPr>
        <xdr:cNvSpPr/>
      </xdr:nvSpPr>
      <xdr:spPr>
        <a:xfrm>
          <a:off x="5158740" y="19034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260</xdr:row>
      <xdr:rowOff>0</xdr:rowOff>
    </xdr:from>
    <xdr:to>
      <xdr:col>14</xdr:col>
      <xdr:colOff>83820</xdr:colOff>
      <xdr:row>260</xdr:row>
      <xdr:rowOff>114300</xdr:rowOff>
    </xdr:to>
    <xdr:sp macro="" textlink="">
      <xdr:nvSpPr>
        <xdr:cNvPr id="264" name="Arrow: Down 263">
          <a:extLst>
            <a:ext uri="{FF2B5EF4-FFF2-40B4-BE49-F238E27FC236}">
              <a16:creationId xmlns:a16="http://schemas.microsoft.com/office/drawing/2014/main" id="{95594E6E-4F5C-4237-B38C-F743A7C5930E}"/>
            </a:ext>
          </a:extLst>
        </xdr:cNvPr>
        <xdr:cNvSpPr/>
      </xdr:nvSpPr>
      <xdr:spPr>
        <a:xfrm rot="10800000">
          <a:off x="5158740" y="19217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261</xdr:row>
      <xdr:rowOff>0</xdr:rowOff>
    </xdr:from>
    <xdr:to>
      <xdr:col>14</xdr:col>
      <xdr:colOff>83820</xdr:colOff>
      <xdr:row>261</xdr:row>
      <xdr:rowOff>114300</xdr:rowOff>
    </xdr:to>
    <xdr:sp macro="" textlink="">
      <xdr:nvSpPr>
        <xdr:cNvPr id="254" name="Arrow: Down 253">
          <a:extLst>
            <a:ext uri="{FF2B5EF4-FFF2-40B4-BE49-F238E27FC236}">
              <a16:creationId xmlns:a16="http://schemas.microsoft.com/office/drawing/2014/main" id="{D879E70B-23B9-4C16-A9E8-7A4E06D6374F}"/>
            </a:ext>
          </a:extLst>
        </xdr:cNvPr>
        <xdr:cNvSpPr/>
      </xdr:nvSpPr>
      <xdr:spPr>
        <a:xfrm>
          <a:off x="5158740" y="1958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262</xdr:row>
      <xdr:rowOff>0</xdr:rowOff>
    </xdr:from>
    <xdr:to>
      <xdr:col>14</xdr:col>
      <xdr:colOff>83820</xdr:colOff>
      <xdr:row>262</xdr:row>
      <xdr:rowOff>114300</xdr:rowOff>
    </xdr:to>
    <xdr:sp macro="" textlink="">
      <xdr:nvSpPr>
        <xdr:cNvPr id="261" name="Arrow: Down 260">
          <a:extLst>
            <a:ext uri="{FF2B5EF4-FFF2-40B4-BE49-F238E27FC236}">
              <a16:creationId xmlns:a16="http://schemas.microsoft.com/office/drawing/2014/main" id="{2DA36B81-26DC-493F-BE79-00AEDACDAA58}"/>
            </a:ext>
          </a:extLst>
        </xdr:cNvPr>
        <xdr:cNvSpPr/>
      </xdr:nvSpPr>
      <xdr:spPr>
        <a:xfrm rot="10800000">
          <a:off x="5158740" y="19766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263</xdr:row>
      <xdr:rowOff>0</xdr:rowOff>
    </xdr:from>
    <xdr:to>
      <xdr:col>14</xdr:col>
      <xdr:colOff>83820</xdr:colOff>
      <xdr:row>263</xdr:row>
      <xdr:rowOff>114300</xdr:rowOff>
    </xdr:to>
    <xdr:sp macro="" textlink="">
      <xdr:nvSpPr>
        <xdr:cNvPr id="266" name="Arrow: Down 265">
          <a:extLst>
            <a:ext uri="{FF2B5EF4-FFF2-40B4-BE49-F238E27FC236}">
              <a16:creationId xmlns:a16="http://schemas.microsoft.com/office/drawing/2014/main" id="{8005D620-7E66-4DD0-A2ED-49B16CC92609}"/>
            </a:ext>
          </a:extLst>
        </xdr:cNvPr>
        <xdr:cNvSpPr/>
      </xdr:nvSpPr>
      <xdr:spPr>
        <a:xfrm>
          <a:off x="5158740" y="19949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264</xdr:row>
      <xdr:rowOff>0</xdr:rowOff>
    </xdr:from>
    <xdr:to>
      <xdr:col>14</xdr:col>
      <xdr:colOff>83820</xdr:colOff>
      <xdr:row>264</xdr:row>
      <xdr:rowOff>114300</xdr:rowOff>
    </xdr:to>
    <xdr:sp macro="" textlink="">
      <xdr:nvSpPr>
        <xdr:cNvPr id="269" name="Arrow: Down 268">
          <a:extLst>
            <a:ext uri="{FF2B5EF4-FFF2-40B4-BE49-F238E27FC236}">
              <a16:creationId xmlns:a16="http://schemas.microsoft.com/office/drawing/2014/main" id="{B118F39E-F3CB-4D08-BD59-67C76E915D6D}"/>
            </a:ext>
          </a:extLst>
        </xdr:cNvPr>
        <xdr:cNvSpPr/>
      </xdr:nvSpPr>
      <xdr:spPr>
        <a:xfrm rot="10800000">
          <a:off x="5158740" y="2013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265</xdr:row>
      <xdr:rowOff>0</xdr:rowOff>
    </xdr:from>
    <xdr:to>
      <xdr:col>14</xdr:col>
      <xdr:colOff>83820</xdr:colOff>
      <xdr:row>265</xdr:row>
      <xdr:rowOff>114300</xdr:rowOff>
    </xdr:to>
    <xdr:sp macro="" textlink="">
      <xdr:nvSpPr>
        <xdr:cNvPr id="270" name="Arrow: Down 269">
          <a:extLst>
            <a:ext uri="{FF2B5EF4-FFF2-40B4-BE49-F238E27FC236}">
              <a16:creationId xmlns:a16="http://schemas.microsoft.com/office/drawing/2014/main" id="{A239D655-A50B-40A8-95F3-DB2E36C12B58}"/>
            </a:ext>
          </a:extLst>
        </xdr:cNvPr>
        <xdr:cNvSpPr/>
      </xdr:nvSpPr>
      <xdr:spPr>
        <a:xfrm rot="10800000">
          <a:off x="5158740" y="2013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266</xdr:row>
      <xdr:rowOff>0</xdr:rowOff>
    </xdr:from>
    <xdr:to>
      <xdr:col>14</xdr:col>
      <xdr:colOff>83820</xdr:colOff>
      <xdr:row>266</xdr:row>
      <xdr:rowOff>114300</xdr:rowOff>
    </xdr:to>
    <xdr:sp macro="" textlink="">
      <xdr:nvSpPr>
        <xdr:cNvPr id="273" name="Arrow: Down 272">
          <a:extLst>
            <a:ext uri="{FF2B5EF4-FFF2-40B4-BE49-F238E27FC236}">
              <a16:creationId xmlns:a16="http://schemas.microsoft.com/office/drawing/2014/main" id="{A5120203-4282-449B-985C-B14A5D599AB8}"/>
            </a:ext>
          </a:extLst>
        </xdr:cNvPr>
        <xdr:cNvSpPr/>
      </xdr:nvSpPr>
      <xdr:spPr>
        <a:xfrm>
          <a:off x="5158740" y="2049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267</xdr:row>
      <xdr:rowOff>0</xdr:rowOff>
    </xdr:from>
    <xdr:to>
      <xdr:col>14</xdr:col>
      <xdr:colOff>83820</xdr:colOff>
      <xdr:row>267</xdr:row>
      <xdr:rowOff>114300</xdr:rowOff>
    </xdr:to>
    <xdr:sp macro="" textlink="">
      <xdr:nvSpPr>
        <xdr:cNvPr id="275" name="Arrow: Down 274">
          <a:extLst>
            <a:ext uri="{FF2B5EF4-FFF2-40B4-BE49-F238E27FC236}">
              <a16:creationId xmlns:a16="http://schemas.microsoft.com/office/drawing/2014/main" id="{8622CE1D-553B-48E4-A919-940FBCE877E8}"/>
            </a:ext>
          </a:extLst>
        </xdr:cNvPr>
        <xdr:cNvSpPr/>
      </xdr:nvSpPr>
      <xdr:spPr>
        <a:xfrm rot="10800000">
          <a:off x="5158740" y="2068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268</xdr:row>
      <xdr:rowOff>0</xdr:rowOff>
    </xdr:from>
    <xdr:to>
      <xdr:col>14</xdr:col>
      <xdr:colOff>83820</xdr:colOff>
      <xdr:row>268</xdr:row>
      <xdr:rowOff>114300</xdr:rowOff>
    </xdr:to>
    <xdr:sp macro="" textlink="">
      <xdr:nvSpPr>
        <xdr:cNvPr id="276" name="Arrow: Down 275">
          <a:extLst>
            <a:ext uri="{FF2B5EF4-FFF2-40B4-BE49-F238E27FC236}">
              <a16:creationId xmlns:a16="http://schemas.microsoft.com/office/drawing/2014/main" id="{7C8DE8CF-78A1-4B19-BBFB-5299C42AF254}"/>
            </a:ext>
          </a:extLst>
        </xdr:cNvPr>
        <xdr:cNvSpPr/>
      </xdr:nvSpPr>
      <xdr:spPr>
        <a:xfrm rot="10800000">
          <a:off x="5158740" y="2068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269</xdr:row>
      <xdr:rowOff>0</xdr:rowOff>
    </xdr:from>
    <xdr:to>
      <xdr:col>14</xdr:col>
      <xdr:colOff>83820</xdr:colOff>
      <xdr:row>269</xdr:row>
      <xdr:rowOff>114300</xdr:rowOff>
    </xdr:to>
    <xdr:sp macro="" textlink="">
      <xdr:nvSpPr>
        <xdr:cNvPr id="279" name="Arrow: Down 278">
          <a:extLst>
            <a:ext uri="{FF2B5EF4-FFF2-40B4-BE49-F238E27FC236}">
              <a16:creationId xmlns:a16="http://schemas.microsoft.com/office/drawing/2014/main" id="{FB44B9D3-4ADA-49A4-A088-ACF1DD3481B8}"/>
            </a:ext>
          </a:extLst>
        </xdr:cNvPr>
        <xdr:cNvSpPr/>
      </xdr:nvSpPr>
      <xdr:spPr>
        <a:xfrm>
          <a:off x="5158740" y="2104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270</xdr:row>
      <xdr:rowOff>0</xdr:rowOff>
    </xdr:from>
    <xdr:to>
      <xdr:col>14</xdr:col>
      <xdr:colOff>83820</xdr:colOff>
      <xdr:row>270</xdr:row>
      <xdr:rowOff>114300</xdr:rowOff>
    </xdr:to>
    <xdr:sp macro="" textlink="">
      <xdr:nvSpPr>
        <xdr:cNvPr id="250" name="Arrow: Down 249">
          <a:extLst>
            <a:ext uri="{FF2B5EF4-FFF2-40B4-BE49-F238E27FC236}">
              <a16:creationId xmlns:a16="http://schemas.microsoft.com/office/drawing/2014/main" id="{77B6309F-5655-49EB-8228-B6372CC65EBA}"/>
            </a:ext>
          </a:extLst>
        </xdr:cNvPr>
        <xdr:cNvSpPr/>
      </xdr:nvSpPr>
      <xdr:spPr>
        <a:xfrm>
          <a:off x="5158740" y="2104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271</xdr:row>
      <xdr:rowOff>0</xdr:rowOff>
    </xdr:from>
    <xdr:to>
      <xdr:col>14</xdr:col>
      <xdr:colOff>83820</xdr:colOff>
      <xdr:row>271</xdr:row>
      <xdr:rowOff>114300</xdr:rowOff>
    </xdr:to>
    <xdr:sp macro="" textlink="">
      <xdr:nvSpPr>
        <xdr:cNvPr id="258" name="Arrow: Down 257">
          <a:extLst>
            <a:ext uri="{FF2B5EF4-FFF2-40B4-BE49-F238E27FC236}">
              <a16:creationId xmlns:a16="http://schemas.microsoft.com/office/drawing/2014/main" id="{17F3F7D3-5C97-4137-A999-0588AA0B2BED}"/>
            </a:ext>
          </a:extLst>
        </xdr:cNvPr>
        <xdr:cNvSpPr/>
      </xdr:nvSpPr>
      <xdr:spPr>
        <a:xfrm>
          <a:off x="5158740" y="2104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272</xdr:row>
      <xdr:rowOff>0</xdr:rowOff>
    </xdr:from>
    <xdr:to>
      <xdr:col>14</xdr:col>
      <xdr:colOff>83820</xdr:colOff>
      <xdr:row>272</xdr:row>
      <xdr:rowOff>114300</xdr:rowOff>
    </xdr:to>
    <xdr:sp macro="" textlink="">
      <xdr:nvSpPr>
        <xdr:cNvPr id="265" name="Arrow: Down 264">
          <a:extLst>
            <a:ext uri="{FF2B5EF4-FFF2-40B4-BE49-F238E27FC236}">
              <a16:creationId xmlns:a16="http://schemas.microsoft.com/office/drawing/2014/main" id="{1F5DCB41-102C-4BB4-8E66-38FF5E654FBF}"/>
            </a:ext>
          </a:extLst>
        </xdr:cNvPr>
        <xdr:cNvSpPr/>
      </xdr:nvSpPr>
      <xdr:spPr>
        <a:xfrm rot="10800000">
          <a:off x="5158740" y="21595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273</xdr:row>
      <xdr:rowOff>0</xdr:rowOff>
    </xdr:from>
    <xdr:to>
      <xdr:col>14</xdr:col>
      <xdr:colOff>83820</xdr:colOff>
      <xdr:row>273</xdr:row>
      <xdr:rowOff>114300</xdr:rowOff>
    </xdr:to>
    <xdr:sp macro="" textlink="">
      <xdr:nvSpPr>
        <xdr:cNvPr id="271" name="Arrow: Down 270">
          <a:extLst>
            <a:ext uri="{FF2B5EF4-FFF2-40B4-BE49-F238E27FC236}">
              <a16:creationId xmlns:a16="http://schemas.microsoft.com/office/drawing/2014/main" id="{5AAA7DED-D3ED-4878-B5DF-1BD092F9FEA1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274</xdr:row>
      <xdr:rowOff>0</xdr:rowOff>
    </xdr:from>
    <xdr:to>
      <xdr:col>14</xdr:col>
      <xdr:colOff>83820</xdr:colOff>
      <xdr:row>274</xdr:row>
      <xdr:rowOff>114300</xdr:rowOff>
    </xdr:to>
    <xdr:sp macro="" textlink="">
      <xdr:nvSpPr>
        <xdr:cNvPr id="260" name="Arrow: Down 259">
          <a:extLst>
            <a:ext uri="{FF2B5EF4-FFF2-40B4-BE49-F238E27FC236}">
              <a16:creationId xmlns:a16="http://schemas.microsoft.com/office/drawing/2014/main" id="{DB25AAC1-8DB8-477B-A62F-A3BD2FF1731B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275</xdr:row>
      <xdr:rowOff>0</xdr:rowOff>
    </xdr:from>
    <xdr:to>
      <xdr:col>14</xdr:col>
      <xdr:colOff>83820</xdr:colOff>
      <xdr:row>275</xdr:row>
      <xdr:rowOff>114300</xdr:rowOff>
    </xdr:to>
    <xdr:sp macro="" textlink="">
      <xdr:nvSpPr>
        <xdr:cNvPr id="272" name="Arrow: Down 271">
          <a:extLst>
            <a:ext uri="{FF2B5EF4-FFF2-40B4-BE49-F238E27FC236}">
              <a16:creationId xmlns:a16="http://schemas.microsoft.com/office/drawing/2014/main" id="{D2722C75-AFC6-41CA-88A6-425C3C61330E}"/>
            </a:ext>
          </a:extLst>
        </xdr:cNvPr>
        <xdr:cNvSpPr/>
      </xdr:nvSpPr>
      <xdr:spPr>
        <a:xfrm rot="10800000">
          <a:off x="5158740" y="2214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276</xdr:row>
      <xdr:rowOff>0</xdr:rowOff>
    </xdr:from>
    <xdr:to>
      <xdr:col>14</xdr:col>
      <xdr:colOff>83820</xdr:colOff>
      <xdr:row>276</xdr:row>
      <xdr:rowOff>114300</xdr:rowOff>
    </xdr:to>
    <xdr:sp macro="" textlink="">
      <xdr:nvSpPr>
        <xdr:cNvPr id="274" name="Arrow: Down 273">
          <a:extLst>
            <a:ext uri="{FF2B5EF4-FFF2-40B4-BE49-F238E27FC236}">
              <a16:creationId xmlns:a16="http://schemas.microsoft.com/office/drawing/2014/main" id="{F611829D-EFB5-482E-A963-1432E18BDC67}"/>
            </a:ext>
          </a:extLst>
        </xdr:cNvPr>
        <xdr:cNvSpPr/>
      </xdr:nvSpPr>
      <xdr:spPr>
        <a:xfrm rot="10800000">
          <a:off x="5158740" y="2214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277</xdr:row>
      <xdr:rowOff>0</xdr:rowOff>
    </xdr:from>
    <xdr:to>
      <xdr:col>14</xdr:col>
      <xdr:colOff>83820</xdr:colOff>
      <xdr:row>277</xdr:row>
      <xdr:rowOff>114300</xdr:rowOff>
    </xdr:to>
    <xdr:sp macro="" textlink="">
      <xdr:nvSpPr>
        <xdr:cNvPr id="278" name="Arrow: Down 277">
          <a:extLst>
            <a:ext uri="{FF2B5EF4-FFF2-40B4-BE49-F238E27FC236}">
              <a16:creationId xmlns:a16="http://schemas.microsoft.com/office/drawing/2014/main" id="{1F9AEB1F-FCB8-4A25-A92B-E57CD2B93F06}"/>
            </a:ext>
          </a:extLst>
        </xdr:cNvPr>
        <xdr:cNvSpPr/>
      </xdr:nvSpPr>
      <xdr:spPr>
        <a:xfrm>
          <a:off x="5158740" y="2250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278</xdr:row>
      <xdr:rowOff>0</xdr:rowOff>
    </xdr:from>
    <xdr:to>
      <xdr:col>14</xdr:col>
      <xdr:colOff>83820</xdr:colOff>
      <xdr:row>278</xdr:row>
      <xdr:rowOff>114300</xdr:rowOff>
    </xdr:to>
    <xdr:sp macro="" textlink="">
      <xdr:nvSpPr>
        <xdr:cNvPr id="281" name="Arrow: Down 280">
          <a:extLst>
            <a:ext uri="{FF2B5EF4-FFF2-40B4-BE49-F238E27FC236}">
              <a16:creationId xmlns:a16="http://schemas.microsoft.com/office/drawing/2014/main" id="{47E00C29-39B2-460D-BE79-3C51A03CF6EF}"/>
            </a:ext>
          </a:extLst>
        </xdr:cNvPr>
        <xdr:cNvSpPr/>
      </xdr:nvSpPr>
      <xdr:spPr>
        <a:xfrm>
          <a:off x="5158740" y="2250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279</xdr:row>
      <xdr:rowOff>0</xdr:rowOff>
    </xdr:from>
    <xdr:to>
      <xdr:col>14</xdr:col>
      <xdr:colOff>83820</xdr:colOff>
      <xdr:row>279</xdr:row>
      <xdr:rowOff>114300</xdr:rowOff>
    </xdr:to>
    <xdr:sp macro="" textlink="">
      <xdr:nvSpPr>
        <xdr:cNvPr id="285" name="Arrow: Down 284">
          <a:extLst>
            <a:ext uri="{FF2B5EF4-FFF2-40B4-BE49-F238E27FC236}">
              <a16:creationId xmlns:a16="http://schemas.microsoft.com/office/drawing/2014/main" id="{BA2CC89D-106E-414F-9F88-13359538FB8D}"/>
            </a:ext>
          </a:extLst>
        </xdr:cNvPr>
        <xdr:cNvSpPr/>
      </xdr:nvSpPr>
      <xdr:spPr>
        <a:xfrm rot="10800000">
          <a:off x="5158740" y="22875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280</xdr:row>
      <xdr:rowOff>0</xdr:rowOff>
    </xdr:from>
    <xdr:to>
      <xdr:col>14</xdr:col>
      <xdr:colOff>83820</xdr:colOff>
      <xdr:row>280</xdr:row>
      <xdr:rowOff>114300</xdr:rowOff>
    </xdr:to>
    <xdr:sp macro="" textlink="">
      <xdr:nvSpPr>
        <xdr:cNvPr id="286" name="Arrow: Down 285">
          <a:extLst>
            <a:ext uri="{FF2B5EF4-FFF2-40B4-BE49-F238E27FC236}">
              <a16:creationId xmlns:a16="http://schemas.microsoft.com/office/drawing/2014/main" id="{CF9CF93B-83B2-4019-B344-822C97B4B77D}"/>
            </a:ext>
          </a:extLst>
        </xdr:cNvPr>
        <xdr:cNvSpPr/>
      </xdr:nvSpPr>
      <xdr:spPr>
        <a:xfrm rot="10800000">
          <a:off x="5158740" y="23058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281</xdr:row>
      <xdr:rowOff>0</xdr:rowOff>
    </xdr:from>
    <xdr:to>
      <xdr:col>14</xdr:col>
      <xdr:colOff>83820</xdr:colOff>
      <xdr:row>281</xdr:row>
      <xdr:rowOff>114300</xdr:rowOff>
    </xdr:to>
    <xdr:sp macro="" textlink="">
      <xdr:nvSpPr>
        <xdr:cNvPr id="280" name="Arrow: Down 279">
          <a:extLst>
            <a:ext uri="{FF2B5EF4-FFF2-40B4-BE49-F238E27FC236}">
              <a16:creationId xmlns:a16="http://schemas.microsoft.com/office/drawing/2014/main" id="{6C5DBCD6-64BF-4860-B0C5-115D6940CD99}"/>
            </a:ext>
          </a:extLst>
        </xdr:cNvPr>
        <xdr:cNvSpPr/>
      </xdr:nvSpPr>
      <xdr:spPr>
        <a:xfrm>
          <a:off x="5158740" y="2324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283</xdr:row>
      <xdr:rowOff>0</xdr:rowOff>
    </xdr:from>
    <xdr:to>
      <xdr:col>14</xdr:col>
      <xdr:colOff>83820</xdr:colOff>
      <xdr:row>283</xdr:row>
      <xdr:rowOff>114300</xdr:rowOff>
    </xdr:to>
    <xdr:sp macro="" textlink="">
      <xdr:nvSpPr>
        <xdr:cNvPr id="267" name="Arrow: Down 266">
          <a:extLst>
            <a:ext uri="{FF2B5EF4-FFF2-40B4-BE49-F238E27FC236}">
              <a16:creationId xmlns:a16="http://schemas.microsoft.com/office/drawing/2014/main" id="{28ABBACE-1513-4277-8599-C28582DA4B72}"/>
            </a:ext>
          </a:extLst>
        </xdr:cNvPr>
        <xdr:cNvSpPr/>
      </xdr:nvSpPr>
      <xdr:spPr>
        <a:xfrm rot="10800000">
          <a:off x="5158740" y="23423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284</xdr:row>
      <xdr:rowOff>0</xdr:rowOff>
    </xdr:from>
    <xdr:to>
      <xdr:col>14</xdr:col>
      <xdr:colOff>83820</xdr:colOff>
      <xdr:row>284</xdr:row>
      <xdr:rowOff>114300</xdr:rowOff>
    </xdr:to>
    <xdr:sp macro="" textlink="">
      <xdr:nvSpPr>
        <xdr:cNvPr id="277" name="Arrow: Down 276">
          <a:extLst>
            <a:ext uri="{FF2B5EF4-FFF2-40B4-BE49-F238E27FC236}">
              <a16:creationId xmlns:a16="http://schemas.microsoft.com/office/drawing/2014/main" id="{C5E84113-FBD5-47B3-909D-630F9AA03E1F}"/>
            </a:ext>
          </a:extLst>
        </xdr:cNvPr>
        <xdr:cNvSpPr/>
      </xdr:nvSpPr>
      <xdr:spPr>
        <a:xfrm rot="10800000">
          <a:off x="5158740" y="2360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282</xdr:row>
      <xdr:rowOff>0</xdr:rowOff>
    </xdr:from>
    <xdr:to>
      <xdr:col>14</xdr:col>
      <xdr:colOff>83820</xdr:colOff>
      <xdr:row>282</xdr:row>
      <xdr:rowOff>114300</xdr:rowOff>
    </xdr:to>
    <xdr:sp macro="" textlink="">
      <xdr:nvSpPr>
        <xdr:cNvPr id="282" name="Arrow: Down 281">
          <a:extLst>
            <a:ext uri="{FF2B5EF4-FFF2-40B4-BE49-F238E27FC236}">
              <a16:creationId xmlns:a16="http://schemas.microsoft.com/office/drawing/2014/main" id="{1DEA168F-D991-46F9-9B46-8D11A9E16C85}"/>
            </a:ext>
          </a:extLst>
        </xdr:cNvPr>
        <xdr:cNvSpPr/>
      </xdr:nvSpPr>
      <xdr:spPr>
        <a:xfrm>
          <a:off x="5158740" y="23423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285</xdr:row>
      <xdr:rowOff>0</xdr:rowOff>
    </xdr:from>
    <xdr:to>
      <xdr:col>14</xdr:col>
      <xdr:colOff>83820</xdr:colOff>
      <xdr:row>285</xdr:row>
      <xdr:rowOff>114300</xdr:rowOff>
    </xdr:to>
    <xdr:sp macro="" textlink="">
      <xdr:nvSpPr>
        <xdr:cNvPr id="284" name="Arrow: Down 283">
          <a:extLst>
            <a:ext uri="{FF2B5EF4-FFF2-40B4-BE49-F238E27FC236}">
              <a16:creationId xmlns:a16="http://schemas.microsoft.com/office/drawing/2014/main" id="{14562CD2-73B3-4AC9-A76C-09C49D6EE470}"/>
            </a:ext>
          </a:extLst>
        </xdr:cNvPr>
        <xdr:cNvSpPr/>
      </xdr:nvSpPr>
      <xdr:spPr>
        <a:xfrm>
          <a:off x="5158740" y="23972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286</xdr:row>
      <xdr:rowOff>0</xdr:rowOff>
    </xdr:from>
    <xdr:to>
      <xdr:col>14</xdr:col>
      <xdr:colOff>83820</xdr:colOff>
      <xdr:row>286</xdr:row>
      <xdr:rowOff>114300</xdr:rowOff>
    </xdr:to>
    <xdr:sp macro="" textlink="">
      <xdr:nvSpPr>
        <xdr:cNvPr id="288" name="Arrow: Down 287">
          <a:extLst>
            <a:ext uri="{FF2B5EF4-FFF2-40B4-BE49-F238E27FC236}">
              <a16:creationId xmlns:a16="http://schemas.microsoft.com/office/drawing/2014/main" id="{5EF0082F-D0B2-4B32-BF51-CD830AC970B7}"/>
            </a:ext>
          </a:extLst>
        </xdr:cNvPr>
        <xdr:cNvSpPr/>
      </xdr:nvSpPr>
      <xdr:spPr>
        <a:xfrm rot="10800000">
          <a:off x="5158740" y="24155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287</xdr:row>
      <xdr:rowOff>0</xdr:rowOff>
    </xdr:from>
    <xdr:to>
      <xdr:col>14</xdr:col>
      <xdr:colOff>83820</xdr:colOff>
      <xdr:row>287</xdr:row>
      <xdr:rowOff>114300</xdr:rowOff>
    </xdr:to>
    <xdr:sp macro="" textlink="">
      <xdr:nvSpPr>
        <xdr:cNvPr id="290" name="Arrow: Down 289">
          <a:extLst>
            <a:ext uri="{FF2B5EF4-FFF2-40B4-BE49-F238E27FC236}">
              <a16:creationId xmlns:a16="http://schemas.microsoft.com/office/drawing/2014/main" id="{07A04605-17BF-4BE8-BD44-5A8001EEF9BD}"/>
            </a:ext>
          </a:extLst>
        </xdr:cNvPr>
        <xdr:cNvSpPr/>
      </xdr:nvSpPr>
      <xdr:spPr>
        <a:xfrm>
          <a:off x="5158740" y="2433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288</xdr:row>
      <xdr:rowOff>0</xdr:rowOff>
    </xdr:from>
    <xdr:to>
      <xdr:col>14</xdr:col>
      <xdr:colOff>83820</xdr:colOff>
      <xdr:row>288</xdr:row>
      <xdr:rowOff>114300</xdr:rowOff>
    </xdr:to>
    <xdr:sp macro="" textlink="">
      <xdr:nvSpPr>
        <xdr:cNvPr id="292" name="Arrow: Down 291">
          <a:extLst>
            <a:ext uri="{FF2B5EF4-FFF2-40B4-BE49-F238E27FC236}">
              <a16:creationId xmlns:a16="http://schemas.microsoft.com/office/drawing/2014/main" id="{DAE098F1-0D7B-44CA-9A5D-E6E250AE0026}"/>
            </a:ext>
          </a:extLst>
        </xdr:cNvPr>
        <xdr:cNvSpPr/>
      </xdr:nvSpPr>
      <xdr:spPr>
        <a:xfrm rot="10800000">
          <a:off x="5158740" y="24521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289</xdr:row>
      <xdr:rowOff>0</xdr:rowOff>
    </xdr:from>
    <xdr:to>
      <xdr:col>14</xdr:col>
      <xdr:colOff>83820</xdr:colOff>
      <xdr:row>289</xdr:row>
      <xdr:rowOff>114300</xdr:rowOff>
    </xdr:to>
    <xdr:sp macro="" textlink="">
      <xdr:nvSpPr>
        <xdr:cNvPr id="293" name="Arrow: Down 292">
          <a:extLst>
            <a:ext uri="{FF2B5EF4-FFF2-40B4-BE49-F238E27FC236}">
              <a16:creationId xmlns:a16="http://schemas.microsoft.com/office/drawing/2014/main" id="{16123F5E-E6AA-47DF-94C6-5B11470AD23C}"/>
            </a:ext>
          </a:extLst>
        </xdr:cNvPr>
        <xdr:cNvSpPr/>
      </xdr:nvSpPr>
      <xdr:spPr>
        <a:xfrm rot="10800000">
          <a:off x="5158740" y="24521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290</xdr:row>
      <xdr:rowOff>0</xdr:rowOff>
    </xdr:from>
    <xdr:to>
      <xdr:col>14</xdr:col>
      <xdr:colOff>83820</xdr:colOff>
      <xdr:row>290</xdr:row>
      <xdr:rowOff>114300</xdr:rowOff>
    </xdr:to>
    <xdr:sp macro="" textlink="">
      <xdr:nvSpPr>
        <xdr:cNvPr id="296" name="Arrow: Down 295">
          <a:extLst>
            <a:ext uri="{FF2B5EF4-FFF2-40B4-BE49-F238E27FC236}">
              <a16:creationId xmlns:a16="http://schemas.microsoft.com/office/drawing/2014/main" id="{5CB5F371-4C4E-45EE-80C7-B07B24747C23}"/>
            </a:ext>
          </a:extLst>
        </xdr:cNvPr>
        <xdr:cNvSpPr/>
      </xdr:nvSpPr>
      <xdr:spPr>
        <a:xfrm>
          <a:off x="5158740" y="2488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291</xdr:row>
      <xdr:rowOff>0</xdr:rowOff>
    </xdr:from>
    <xdr:to>
      <xdr:col>14</xdr:col>
      <xdr:colOff>83820</xdr:colOff>
      <xdr:row>291</xdr:row>
      <xdr:rowOff>114300</xdr:rowOff>
    </xdr:to>
    <xdr:sp macro="" textlink="">
      <xdr:nvSpPr>
        <xdr:cNvPr id="268" name="Arrow: Down 267">
          <a:extLst>
            <a:ext uri="{FF2B5EF4-FFF2-40B4-BE49-F238E27FC236}">
              <a16:creationId xmlns:a16="http://schemas.microsoft.com/office/drawing/2014/main" id="{618F7475-FDC1-4A0B-97E4-5236AD2C8BB4}"/>
            </a:ext>
          </a:extLst>
        </xdr:cNvPr>
        <xdr:cNvSpPr/>
      </xdr:nvSpPr>
      <xdr:spPr>
        <a:xfrm>
          <a:off x="5158740" y="2488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292</xdr:row>
      <xdr:rowOff>0</xdr:rowOff>
    </xdr:from>
    <xdr:to>
      <xdr:col>14</xdr:col>
      <xdr:colOff>83820</xdr:colOff>
      <xdr:row>292</xdr:row>
      <xdr:rowOff>114300</xdr:rowOff>
    </xdr:to>
    <xdr:sp macro="" textlink="">
      <xdr:nvSpPr>
        <xdr:cNvPr id="283" name="Arrow: Down 282">
          <a:extLst>
            <a:ext uri="{FF2B5EF4-FFF2-40B4-BE49-F238E27FC236}">
              <a16:creationId xmlns:a16="http://schemas.microsoft.com/office/drawing/2014/main" id="{B4189262-C345-4F61-A2CF-A423FB9207DB}"/>
            </a:ext>
          </a:extLst>
        </xdr:cNvPr>
        <xdr:cNvSpPr/>
      </xdr:nvSpPr>
      <xdr:spPr>
        <a:xfrm>
          <a:off x="5158740" y="25069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293</xdr:row>
      <xdr:rowOff>0</xdr:rowOff>
    </xdr:from>
    <xdr:to>
      <xdr:col>14</xdr:col>
      <xdr:colOff>83820</xdr:colOff>
      <xdr:row>293</xdr:row>
      <xdr:rowOff>114300</xdr:rowOff>
    </xdr:to>
    <xdr:sp macro="" textlink="">
      <xdr:nvSpPr>
        <xdr:cNvPr id="291" name="Arrow: Down 290">
          <a:extLst>
            <a:ext uri="{FF2B5EF4-FFF2-40B4-BE49-F238E27FC236}">
              <a16:creationId xmlns:a16="http://schemas.microsoft.com/office/drawing/2014/main" id="{A97AD258-7DE4-433F-9D5D-63B34C2DD6A8}"/>
            </a:ext>
          </a:extLst>
        </xdr:cNvPr>
        <xdr:cNvSpPr/>
      </xdr:nvSpPr>
      <xdr:spPr>
        <a:xfrm rot="10800000">
          <a:off x="5158740" y="25435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294</xdr:row>
      <xdr:rowOff>0</xdr:rowOff>
    </xdr:from>
    <xdr:to>
      <xdr:col>14</xdr:col>
      <xdr:colOff>83820</xdr:colOff>
      <xdr:row>294</xdr:row>
      <xdr:rowOff>114300</xdr:rowOff>
    </xdr:to>
    <xdr:sp macro="" textlink="">
      <xdr:nvSpPr>
        <xdr:cNvPr id="294" name="Arrow: Down 293">
          <a:extLst>
            <a:ext uri="{FF2B5EF4-FFF2-40B4-BE49-F238E27FC236}">
              <a16:creationId xmlns:a16="http://schemas.microsoft.com/office/drawing/2014/main" id="{82A42DA1-6B1F-4454-BFC9-909DDD9403E5}"/>
            </a:ext>
          </a:extLst>
        </xdr:cNvPr>
        <xdr:cNvSpPr/>
      </xdr:nvSpPr>
      <xdr:spPr>
        <a:xfrm rot="10800000">
          <a:off x="5158740" y="25435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295</xdr:row>
      <xdr:rowOff>0</xdr:rowOff>
    </xdr:from>
    <xdr:to>
      <xdr:col>14</xdr:col>
      <xdr:colOff>83820</xdr:colOff>
      <xdr:row>295</xdr:row>
      <xdr:rowOff>114300</xdr:rowOff>
    </xdr:to>
    <xdr:sp macro="" textlink="">
      <xdr:nvSpPr>
        <xdr:cNvPr id="297" name="Arrow: Down 296">
          <a:extLst>
            <a:ext uri="{FF2B5EF4-FFF2-40B4-BE49-F238E27FC236}">
              <a16:creationId xmlns:a16="http://schemas.microsoft.com/office/drawing/2014/main" id="{A8EBD30D-8393-4B5E-B3D2-21D8D969EBA2}"/>
            </a:ext>
          </a:extLst>
        </xdr:cNvPr>
        <xdr:cNvSpPr/>
      </xdr:nvSpPr>
      <xdr:spPr>
        <a:xfrm>
          <a:off x="5158740" y="25801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296</xdr:row>
      <xdr:rowOff>0</xdr:rowOff>
    </xdr:from>
    <xdr:to>
      <xdr:col>14</xdr:col>
      <xdr:colOff>83820</xdr:colOff>
      <xdr:row>296</xdr:row>
      <xdr:rowOff>114300</xdr:rowOff>
    </xdr:to>
    <xdr:sp macro="" textlink="">
      <xdr:nvSpPr>
        <xdr:cNvPr id="299" name="Arrow: Down 298">
          <a:extLst>
            <a:ext uri="{FF2B5EF4-FFF2-40B4-BE49-F238E27FC236}">
              <a16:creationId xmlns:a16="http://schemas.microsoft.com/office/drawing/2014/main" id="{E68C953C-BDD8-4C23-BC28-8ADF3E171A59}"/>
            </a:ext>
          </a:extLst>
        </xdr:cNvPr>
        <xdr:cNvSpPr/>
      </xdr:nvSpPr>
      <xdr:spPr>
        <a:xfrm rot="10800000">
          <a:off x="5158740" y="2598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297</xdr:row>
      <xdr:rowOff>0</xdr:rowOff>
    </xdr:from>
    <xdr:to>
      <xdr:col>14</xdr:col>
      <xdr:colOff>83820</xdr:colOff>
      <xdr:row>297</xdr:row>
      <xdr:rowOff>114300</xdr:rowOff>
    </xdr:to>
    <xdr:sp macro="" textlink="">
      <xdr:nvSpPr>
        <xdr:cNvPr id="302" name="Arrow: Down 301">
          <a:extLst>
            <a:ext uri="{FF2B5EF4-FFF2-40B4-BE49-F238E27FC236}">
              <a16:creationId xmlns:a16="http://schemas.microsoft.com/office/drawing/2014/main" id="{2442A26F-2C72-4FEF-BE67-B9BD974BE42C}"/>
            </a:ext>
          </a:extLst>
        </xdr:cNvPr>
        <xdr:cNvSpPr/>
      </xdr:nvSpPr>
      <xdr:spPr>
        <a:xfrm>
          <a:off x="5158740" y="2616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298</xdr:row>
      <xdr:rowOff>0</xdr:rowOff>
    </xdr:from>
    <xdr:to>
      <xdr:col>14</xdr:col>
      <xdr:colOff>83820</xdr:colOff>
      <xdr:row>298</xdr:row>
      <xdr:rowOff>114300</xdr:rowOff>
    </xdr:to>
    <xdr:sp macro="" textlink="">
      <xdr:nvSpPr>
        <xdr:cNvPr id="306" name="Arrow: Down 305">
          <a:extLst>
            <a:ext uri="{FF2B5EF4-FFF2-40B4-BE49-F238E27FC236}">
              <a16:creationId xmlns:a16="http://schemas.microsoft.com/office/drawing/2014/main" id="{063DC372-1315-4B1D-B342-867257E0E899}"/>
            </a:ext>
          </a:extLst>
        </xdr:cNvPr>
        <xdr:cNvSpPr/>
      </xdr:nvSpPr>
      <xdr:spPr>
        <a:xfrm rot="10800000">
          <a:off x="5158740" y="26349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299</xdr:row>
      <xdr:rowOff>0</xdr:rowOff>
    </xdr:from>
    <xdr:to>
      <xdr:col>14</xdr:col>
      <xdr:colOff>83820</xdr:colOff>
      <xdr:row>299</xdr:row>
      <xdr:rowOff>114300</xdr:rowOff>
    </xdr:to>
    <xdr:sp macro="" textlink="">
      <xdr:nvSpPr>
        <xdr:cNvPr id="289" name="Arrow: Down 288">
          <a:extLst>
            <a:ext uri="{FF2B5EF4-FFF2-40B4-BE49-F238E27FC236}">
              <a16:creationId xmlns:a16="http://schemas.microsoft.com/office/drawing/2014/main" id="{64F32F8B-5B85-4D2D-8353-02EA67493D21}"/>
            </a:ext>
          </a:extLst>
        </xdr:cNvPr>
        <xdr:cNvSpPr/>
      </xdr:nvSpPr>
      <xdr:spPr>
        <a:xfrm>
          <a:off x="5158740" y="2653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300</xdr:row>
      <xdr:rowOff>0</xdr:rowOff>
    </xdr:from>
    <xdr:to>
      <xdr:col>14</xdr:col>
      <xdr:colOff>83820</xdr:colOff>
      <xdr:row>300</xdr:row>
      <xdr:rowOff>114300</xdr:rowOff>
    </xdr:to>
    <xdr:sp macro="" textlink="">
      <xdr:nvSpPr>
        <xdr:cNvPr id="300" name="Arrow: Down 299">
          <a:extLst>
            <a:ext uri="{FF2B5EF4-FFF2-40B4-BE49-F238E27FC236}">
              <a16:creationId xmlns:a16="http://schemas.microsoft.com/office/drawing/2014/main" id="{889AF34F-5503-44B2-BCEB-3C7A4AC51B5A}"/>
            </a:ext>
          </a:extLst>
        </xdr:cNvPr>
        <xdr:cNvSpPr/>
      </xdr:nvSpPr>
      <xdr:spPr>
        <a:xfrm rot="10800000">
          <a:off x="5158740" y="26715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301</xdr:row>
      <xdr:rowOff>0</xdr:rowOff>
    </xdr:from>
    <xdr:to>
      <xdr:col>14</xdr:col>
      <xdr:colOff>83820</xdr:colOff>
      <xdr:row>301</xdr:row>
      <xdr:rowOff>114300</xdr:rowOff>
    </xdr:to>
    <xdr:sp macro="" textlink="">
      <xdr:nvSpPr>
        <xdr:cNvPr id="301" name="Arrow: Down 300">
          <a:extLst>
            <a:ext uri="{FF2B5EF4-FFF2-40B4-BE49-F238E27FC236}">
              <a16:creationId xmlns:a16="http://schemas.microsoft.com/office/drawing/2014/main" id="{2DE8881B-03D3-4A6B-9D12-EDCFE9FF879C}"/>
            </a:ext>
          </a:extLst>
        </xdr:cNvPr>
        <xdr:cNvSpPr/>
      </xdr:nvSpPr>
      <xdr:spPr>
        <a:xfrm rot="10800000">
          <a:off x="5158740" y="26715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302</xdr:row>
      <xdr:rowOff>0</xdr:rowOff>
    </xdr:from>
    <xdr:to>
      <xdr:col>14</xdr:col>
      <xdr:colOff>83820</xdr:colOff>
      <xdr:row>302</xdr:row>
      <xdr:rowOff>114300</xdr:rowOff>
    </xdr:to>
    <xdr:sp macro="" textlink="">
      <xdr:nvSpPr>
        <xdr:cNvPr id="304" name="Arrow: Down 303">
          <a:extLst>
            <a:ext uri="{FF2B5EF4-FFF2-40B4-BE49-F238E27FC236}">
              <a16:creationId xmlns:a16="http://schemas.microsoft.com/office/drawing/2014/main" id="{CCF805F2-40C5-4336-B3D3-8C1C0485E1FD}"/>
            </a:ext>
          </a:extLst>
        </xdr:cNvPr>
        <xdr:cNvSpPr/>
      </xdr:nvSpPr>
      <xdr:spPr>
        <a:xfrm>
          <a:off x="5158740" y="2708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303</xdr:row>
      <xdr:rowOff>0</xdr:rowOff>
    </xdr:from>
    <xdr:to>
      <xdr:col>14</xdr:col>
      <xdr:colOff>83820</xdr:colOff>
      <xdr:row>303</xdr:row>
      <xdr:rowOff>114300</xdr:rowOff>
    </xdr:to>
    <xdr:sp macro="" textlink="">
      <xdr:nvSpPr>
        <xdr:cNvPr id="307" name="Arrow: Down 306">
          <a:extLst>
            <a:ext uri="{FF2B5EF4-FFF2-40B4-BE49-F238E27FC236}">
              <a16:creationId xmlns:a16="http://schemas.microsoft.com/office/drawing/2014/main" id="{E9861D57-7FEA-4732-B209-588E25C8021E}"/>
            </a:ext>
          </a:extLst>
        </xdr:cNvPr>
        <xdr:cNvSpPr/>
      </xdr:nvSpPr>
      <xdr:spPr>
        <a:xfrm rot="10800000">
          <a:off x="5158740" y="2726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304</xdr:row>
      <xdr:rowOff>0</xdr:rowOff>
    </xdr:from>
    <xdr:to>
      <xdr:col>14</xdr:col>
      <xdr:colOff>83820</xdr:colOff>
      <xdr:row>304</xdr:row>
      <xdr:rowOff>114300</xdr:rowOff>
    </xdr:to>
    <xdr:sp macro="" textlink="">
      <xdr:nvSpPr>
        <xdr:cNvPr id="309" name="Arrow: Down 308">
          <a:extLst>
            <a:ext uri="{FF2B5EF4-FFF2-40B4-BE49-F238E27FC236}">
              <a16:creationId xmlns:a16="http://schemas.microsoft.com/office/drawing/2014/main" id="{8BCF0AFF-67E8-4AC2-801B-7FC86CBE8582}"/>
            </a:ext>
          </a:extLst>
        </xdr:cNvPr>
        <xdr:cNvSpPr/>
      </xdr:nvSpPr>
      <xdr:spPr>
        <a:xfrm rot="10800000">
          <a:off x="5158740" y="2726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305</xdr:row>
      <xdr:rowOff>0</xdr:rowOff>
    </xdr:from>
    <xdr:to>
      <xdr:col>14</xdr:col>
      <xdr:colOff>83820</xdr:colOff>
      <xdr:row>305</xdr:row>
      <xdr:rowOff>114300</xdr:rowOff>
    </xdr:to>
    <xdr:sp macro="" textlink="">
      <xdr:nvSpPr>
        <xdr:cNvPr id="313" name="Arrow: Down 312">
          <a:extLst>
            <a:ext uri="{FF2B5EF4-FFF2-40B4-BE49-F238E27FC236}">
              <a16:creationId xmlns:a16="http://schemas.microsoft.com/office/drawing/2014/main" id="{A77C72CC-DB78-49FB-BA12-CBBF858D8D67}"/>
            </a:ext>
          </a:extLst>
        </xdr:cNvPr>
        <xdr:cNvSpPr/>
      </xdr:nvSpPr>
      <xdr:spPr>
        <a:xfrm>
          <a:off x="5158740" y="2763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307</xdr:row>
      <xdr:rowOff>0</xdr:rowOff>
    </xdr:from>
    <xdr:to>
      <xdr:col>14</xdr:col>
      <xdr:colOff>83820</xdr:colOff>
      <xdr:row>307</xdr:row>
      <xdr:rowOff>114300</xdr:rowOff>
    </xdr:to>
    <xdr:sp macro="" textlink="">
      <xdr:nvSpPr>
        <xdr:cNvPr id="298" name="Arrow: Down 297">
          <a:extLst>
            <a:ext uri="{FF2B5EF4-FFF2-40B4-BE49-F238E27FC236}">
              <a16:creationId xmlns:a16="http://schemas.microsoft.com/office/drawing/2014/main" id="{6534EF16-B24A-452D-8959-9DEC04CBD381}"/>
            </a:ext>
          </a:extLst>
        </xdr:cNvPr>
        <xdr:cNvSpPr/>
      </xdr:nvSpPr>
      <xdr:spPr>
        <a:xfrm>
          <a:off x="5158740" y="2763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308</xdr:row>
      <xdr:rowOff>0</xdr:rowOff>
    </xdr:from>
    <xdr:to>
      <xdr:col>14</xdr:col>
      <xdr:colOff>83820</xdr:colOff>
      <xdr:row>308</xdr:row>
      <xdr:rowOff>114300</xdr:rowOff>
    </xdr:to>
    <xdr:sp macro="" textlink="">
      <xdr:nvSpPr>
        <xdr:cNvPr id="303" name="Arrow: Down 302">
          <a:extLst>
            <a:ext uri="{FF2B5EF4-FFF2-40B4-BE49-F238E27FC236}">
              <a16:creationId xmlns:a16="http://schemas.microsoft.com/office/drawing/2014/main" id="{683EFE58-D252-4CAF-8AEE-8FF0D1EF4FA5}"/>
            </a:ext>
          </a:extLst>
        </xdr:cNvPr>
        <xdr:cNvSpPr/>
      </xdr:nvSpPr>
      <xdr:spPr>
        <a:xfrm>
          <a:off x="5158740" y="27995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310</xdr:row>
      <xdr:rowOff>0</xdr:rowOff>
    </xdr:from>
    <xdr:to>
      <xdr:col>14</xdr:col>
      <xdr:colOff>83820</xdr:colOff>
      <xdr:row>310</xdr:row>
      <xdr:rowOff>114300</xdr:rowOff>
    </xdr:to>
    <xdr:sp macro="" textlink="">
      <xdr:nvSpPr>
        <xdr:cNvPr id="311" name="Arrow: Down 310">
          <a:extLst>
            <a:ext uri="{FF2B5EF4-FFF2-40B4-BE49-F238E27FC236}">
              <a16:creationId xmlns:a16="http://schemas.microsoft.com/office/drawing/2014/main" id="{C4C0CB4A-898B-4106-97C7-04BA967E213A}"/>
            </a:ext>
          </a:extLst>
        </xdr:cNvPr>
        <xdr:cNvSpPr/>
      </xdr:nvSpPr>
      <xdr:spPr>
        <a:xfrm>
          <a:off x="5158740" y="28361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309</xdr:row>
      <xdr:rowOff>0</xdr:rowOff>
    </xdr:from>
    <xdr:to>
      <xdr:col>14</xdr:col>
      <xdr:colOff>83820</xdr:colOff>
      <xdr:row>309</xdr:row>
      <xdr:rowOff>114300</xdr:rowOff>
    </xdr:to>
    <xdr:sp macro="" textlink="">
      <xdr:nvSpPr>
        <xdr:cNvPr id="312" name="Arrow: Down 311">
          <a:extLst>
            <a:ext uri="{FF2B5EF4-FFF2-40B4-BE49-F238E27FC236}">
              <a16:creationId xmlns:a16="http://schemas.microsoft.com/office/drawing/2014/main" id="{05E42970-3F09-4F60-826E-EE9F2D17765E}"/>
            </a:ext>
          </a:extLst>
        </xdr:cNvPr>
        <xdr:cNvSpPr/>
      </xdr:nvSpPr>
      <xdr:spPr>
        <a:xfrm rot="10800000">
          <a:off x="5158740" y="28361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306</xdr:row>
      <xdr:rowOff>0</xdr:rowOff>
    </xdr:from>
    <xdr:to>
      <xdr:col>14</xdr:col>
      <xdr:colOff>83820</xdr:colOff>
      <xdr:row>306</xdr:row>
      <xdr:rowOff>114300</xdr:rowOff>
    </xdr:to>
    <xdr:sp macro="" textlink="">
      <xdr:nvSpPr>
        <xdr:cNvPr id="314" name="Arrow: Down 313">
          <a:extLst>
            <a:ext uri="{FF2B5EF4-FFF2-40B4-BE49-F238E27FC236}">
              <a16:creationId xmlns:a16="http://schemas.microsoft.com/office/drawing/2014/main" id="{EA452FA5-F0D2-489E-9950-50C34103E43C}"/>
            </a:ext>
          </a:extLst>
        </xdr:cNvPr>
        <xdr:cNvSpPr/>
      </xdr:nvSpPr>
      <xdr:spPr>
        <a:xfrm rot="10800000">
          <a:off x="5158740" y="27813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311</xdr:row>
      <xdr:rowOff>0</xdr:rowOff>
    </xdr:from>
    <xdr:to>
      <xdr:col>14</xdr:col>
      <xdr:colOff>83820</xdr:colOff>
      <xdr:row>311</xdr:row>
      <xdr:rowOff>114300</xdr:rowOff>
    </xdr:to>
    <xdr:sp macro="" textlink="">
      <xdr:nvSpPr>
        <xdr:cNvPr id="316" name="Arrow: Down 315">
          <a:extLst>
            <a:ext uri="{FF2B5EF4-FFF2-40B4-BE49-F238E27FC236}">
              <a16:creationId xmlns:a16="http://schemas.microsoft.com/office/drawing/2014/main" id="{52892061-E03C-4A15-A8D8-04432255FF56}"/>
            </a:ext>
          </a:extLst>
        </xdr:cNvPr>
        <xdr:cNvSpPr/>
      </xdr:nvSpPr>
      <xdr:spPr>
        <a:xfrm rot="10800000">
          <a:off x="5158740" y="2872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312</xdr:row>
      <xdr:rowOff>0</xdr:rowOff>
    </xdr:from>
    <xdr:to>
      <xdr:col>14</xdr:col>
      <xdr:colOff>83820</xdr:colOff>
      <xdr:row>312</xdr:row>
      <xdr:rowOff>114300</xdr:rowOff>
    </xdr:to>
    <xdr:sp macro="" textlink="">
      <xdr:nvSpPr>
        <xdr:cNvPr id="295" name="Arrow: Down 294">
          <a:extLst>
            <a:ext uri="{FF2B5EF4-FFF2-40B4-BE49-F238E27FC236}">
              <a16:creationId xmlns:a16="http://schemas.microsoft.com/office/drawing/2014/main" id="{32AA1CD9-2AE2-41A6-9890-BBB4DE8E0E03}"/>
            </a:ext>
          </a:extLst>
        </xdr:cNvPr>
        <xdr:cNvSpPr/>
      </xdr:nvSpPr>
      <xdr:spPr>
        <a:xfrm rot="10800000">
          <a:off x="5158740" y="2872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313</xdr:row>
      <xdr:rowOff>0</xdr:rowOff>
    </xdr:from>
    <xdr:to>
      <xdr:col>14</xdr:col>
      <xdr:colOff>83820</xdr:colOff>
      <xdr:row>313</xdr:row>
      <xdr:rowOff>114300</xdr:rowOff>
    </xdr:to>
    <xdr:sp macro="" textlink="">
      <xdr:nvSpPr>
        <xdr:cNvPr id="308" name="Arrow: Down 307">
          <a:extLst>
            <a:ext uri="{FF2B5EF4-FFF2-40B4-BE49-F238E27FC236}">
              <a16:creationId xmlns:a16="http://schemas.microsoft.com/office/drawing/2014/main" id="{61676187-5641-4682-8FD2-19256DCD556A}"/>
            </a:ext>
          </a:extLst>
        </xdr:cNvPr>
        <xdr:cNvSpPr/>
      </xdr:nvSpPr>
      <xdr:spPr>
        <a:xfrm>
          <a:off x="5158740" y="2909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314</xdr:row>
      <xdr:rowOff>0</xdr:rowOff>
    </xdr:from>
    <xdr:to>
      <xdr:col>14</xdr:col>
      <xdr:colOff>83820</xdr:colOff>
      <xdr:row>314</xdr:row>
      <xdr:rowOff>114300</xdr:rowOff>
    </xdr:to>
    <xdr:sp macro="" textlink="">
      <xdr:nvSpPr>
        <xdr:cNvPr id="310" name="Arrow: Down 309">
          <a:extLst>
            <a:ext uri="{FF2B5EF4-FFF2-40B4-BE49-F238E27FC236}">
              <a16:creationId xmlns:a16="http://schemas.microsoft.com/office/drawing/2014/main" id="{A3D4059A-7DD5-4159-9BE7-B9DAB244F5E0}"/>
            </a:ext>
          </a:extLst>
        </xdr:cNvPr>
        <xdr:cNvSpPr/>
      </xdr:nvSpPr>
      <xdr:spPr>
        <a:xfrm rot="10800000">
          <a:off x="5158740" y="29276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315</xdr:row>
      <xdr:rowOff>0</xdr:rowOff>
    </xdr:from>
    <xdr:to>
      <xdr:col>14</xdr:col>
      <xdr:colOff>83820</xdr:colOff>
      <xdr:row>315</xdr:row>
      <xdr:rowOff>114300</xdr:rowOff>
    </xdr:to>
    <xdr:sp macro="" textlink="">
      <xdr:nvSpPr>
        <xdr:cNvPr id="319" name="Arrow: Down 318">
          <a:extLst>
            <a:ext uri="{FF2B5EF4-FFF2-40B4-BE49-F238E27FC236}">
              <a16:creationId xmlns:a16="http://schemas.microsoft.com/office/drawing/2014/main" id="{60783332-CE83-4A57-ACA6-F6B5AC3B0B85}"/>
            </a:ext>
          </a:extLst>
        </xdr:cNvPr>
        <xdr:cNvSpPr/>
      </xdr:nvSpPr>
      <xdr:spPr>
        <a:xfrm>
          <a:off x="5158740" y="2945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316</xdr:row>
      <xdr:rowOff>0</xdr:rowOff>
    </xdr:from>
    <xdr:to>
      <xdr:col>14</xdr:col>
      <xdr:colOff>83820</xdr:colOff>
      <xdr:row>316</xdr:row>
      <xdr:rowOff>114300</xdr:rowOff>
    </xdr:to>
    <xdr:sp macro="" textlink="">
      <xdr:nvSpPr>
        <xdr:cNvPr id="320" name="Arrow: Down 319">
          <a:extLst>
            <a:ext uri="{FF2B5EF4-FFF2-40B4-BE49-F238E27FC236}">
              <a16:creationId xmlns:a16="http://schemas.microsoft.com/office/drawing/2014/main" id="{E0F20BF5-AFA1-4C3A-9118-9017672D8D1A}"/>
            </a:ext>
          </a:extLst>
        </xdr:cNvPr>
        <xdr:cNvSpPr/>
      </xdr:nvSpPr>
      <xdr:spPr>
        <a:xfrm>
          <a:off x="5158740" y="2945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317</xdr:row>
      <xdr:rowOff>0</xdr:rowOff>
    </xdr:from>
    <xdr:to>
      <xdr:col>14</xdr:col>
      <xdr:colOff>83820</xdr:colOff>
      <xdr:row>317</xdr:row>
      <xdr:rowOff>114300</xdr:rowOff>
    </xdr:to>
    <xdr:sp macro="" textlink="">
      <xdr:nvSpPr>
        <xdr:cNvPr id="323" name="Arrow: Down 322">
          <a:extLst>
            <a:ext uri="{FF2B5EF4-FFF2-40B4-BE49-F238E27FC236}">
              <a16:creationId xmlns:a16="http://schemas.microsoft.com/office/drawing/2014/main" id="{3FD02B9E-08C4-4B68-94EF-359E24B44651}"/>
            </a:ext>
          </a:extLst>
        </xdr:cNvPr>
        <xdr:cNvSpPr/>
      </xdr:nvSpPr>
      <xdr:spPr>
        <a:xfrm rot="10800000">
          <a:off x="5158740" y="29824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318</xdr:row>
      <xdr:rowOff>0</xdr:rowOff>
    </xdr:from>
    <xdr:to>
      <xdr:col>14</xdr:col>
      <xdr:colOff>83820</xdr:colOff>
      <xdr:row>318</xdr:row>
      <xdr:rowOff>114300</xdr:rowOff>
    </xdr:to>
    <xdr:sp macro="" textlink="">
      <xdr:nvSpPr>
        <xdr:cNvPr id="324" name="Arrow: Down 323">
          <a:extLst>
            <a:ext uri="{FF2B5EF4-FFF2-40B4-BE49-F238E27FC236}">
              <a16:creationId xmlns:a16="http://schemas.microsoft.com/office/drawing/2014/main" id="{AA8F1D0B-F6AB-45A6-847F-2F4DDECDF0D4}"/>
            </a:ext>
          </a:extLst>
        </xdr:cNvPr>
        <xdr:cNvSpPr/>
      </xdr:nvSpPr>
      <xdr:spPr>
        <a:xfrm rot="10800000">
          <a:off x="5158740" y="29824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319</xdr:row>
      <xdr:rowOff>0</xdr:rowOff>
    </xdr:from>
    <xdr:to>
      <xdr:col>14</xdr:col>
      <xdr:colOff>83820</xdr:colOff>
      <xdr:row>319</xdr:row>
      <xdr:rowOff>114300</xdr:rowOff>
    </xdr:to>
    <xdr:sp macro="" textlink="">
      <xdr:nvSpPr>
        <xdr:cNvPr id="325" name="Arrow: Down 324">
          <a:extLst>
            <a:ext uri="{FF2B5EF4-FFF2-40B4-BE49-F238E27FC236}">
              <a16:creationId xmlns:a16="http://schemas.microsoft.com/office/drawing/2014/main" id="{94A7D2A9-9A62-457F-8798-9F684CA00490}"/>
            </a:ext>
          </a:extLst>
        </xdr:cNvPr>
        <xdr:cNvSpPr/>
      </xdr:nvSpPr>
      <xdr:spPr>
        <a:xfrm rot="10800000">
          <a:off x="5158740" y="30007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320</xdr:row>
      <xdr:rowOff>0</xdr:rowOff>
    </xdr:from>
    <xdr:to>
      <xdr:col>14</xdr:col>
      <xdr:colOff>83820</xdr:colOff>
      <xdr:row>320</xdr:row>
      <xdr:rowOff>114300</xdr:rowOff>
    </xdr:to>
    <xdr:sp macro="" textlink="">
      <xdr:nvSpPr>
        <xdr:cNvPr id="328" name="Arrow: Down 327">
          <a:extLst>
            <a:ext uri="{FF2B5EF4-FFF2-40B4-BE49-F238E27FC236}">
              <a16:creationId xmlns:a16="http://schemas.microsoft.com/office/drawing/2014/main" id="{3A014B49-C962-4D86-92B6-AB3F6172AC73}"/>
            </a:ext>
          </a:extLst>
        </xdr:cNvPr>
        <xdr:cNvSpPr/>
      </xdr:nvSpPr>
      <xdr:spPr>
        <a:xfrm>
          <a:off x="5158740" y="3037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322</xdr:row>
      <xdr:rowOff>0</xdr:rowOff>
    </xdr:from>
    <xdr:to>
      <xdr:col>14</xdr:col>
      <xdr:colOff>83820</xdr:colOff>
      <xdr:row>322</xdr:row>
      <xdr:rowOff>114300</xdr:rowOff>
    </xdr:to>
    <xdr:sp macro="" textlink="">
      <xdr:nvSpPr>
        <xdr:cNvPr id="317" name="Arrow: Down 316">
          <a:extLst>
            <a:ext uri="{FF2B5EF4-FFF2-40B4-BE49-F238E27FC236}">
              <a16:creationId xmlns:a16="http://schemas.microsoft.com/office/drawing/2014/main" id="{C1A7A584-8E31-44C1-9143-41D29082A930}"/>
            </a:ext>
          </a:extLst>
        </xdr:cNvPr>
        <xdr:cNvSpPr/>
      </xdr:nvSpPr>
      <xdr:spPr>
        <a:xfrm>
          <a:off x="5158740" y="3055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324</xdr:row>
      <xdr:rowOff>0</xdr:rowOff>
    </xdr:from>
    <xdr:to>
      <xdr:col>14</xdr:col>
      <xdr:colOff>83820</xdr:colOff>
      <xdr:row>324</xdr:row>
      <xdr:rowOff>114300</xdr:rowOff>
    </xdr:to>
    <xdr:sp macro="" textlink="">
      <xdr:nvSpPr>
        <xdr:cNvPr id="322" name="Arrow: Down 321">
          <a:extLst>
            <a:ext uri="{FF2B5EF4-FFF2-40B4-BE49-F238E27FC236}">
              <a16:creationId xmlns:a16="http://schemas.microsoft.com/office/drawing/2014/main" id="{8ED759EB-4248-4A8F-A301-6F298FFF3944}"/>
            </a:ext>
          </a:extLst>
        </xdr:cNvPr>
        <xdr:cNvSpPr/>
      </xdr:nvSpPr>
      <xdr:spPr>
        <a:xfrm>
          <a:off x="5158740" y="3092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323</xdr:row>
      <xdr:rowOff>0</xdr:rowOff>
    </xdr:from>
    <xdr:to>
      <xdr:col>14</xdr:col>
      <xdr:colOff>83820</xdr:colOff>
      <xdr:row>323</xdr:row>
      <xdr:rowOff>114300</xdr:rowOff>
    </xdr:to>
    <xdr:sp macro="" textlink="">
      <xdr:nvSpPr>
        <xdr:cNvPr id="326" name="Arrow: Down 325">
          <a:extLst>
            <a:ext uri="{FF2B5EF4-FFF2-40B4-BE49-F238E27FC236}">
              <a16:creationId xmlns:a16="http://schemas.microsoft.com/office/drawing/2014/main" id="{564A685D-65B9-454A-9693-A1087DE3EA4C}"/>
            </a:ext>
          </a:extLst>
        </xdr:cNvPr>
        <xdr:cNvSpPr/>
      </xdr:nvSpPr>
      <xdr:spPr>
        <a:xfrm rot="10800000">
          <a:off x="5158740" y="30921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321</xdr:row>
      <xdr:rowOff>0</xdr:rowOff>
    </xdr:from>
    <xdr:to>
      <xdr:col>14</xdr:col>
      <xdr:colOff>83820</xdr:colOff>
      <xdr:row>321</xdr:row>
      <xdr:rowOff>114300</xdr:rowOff>
    </xdr:to>
    <xdr:sp macro="" textlink="">
      <xdr:nvSpPr>
        <xdr:cNvPr id="329" name="Arrow: Down 328">
          <a:extLst>
            <a:ext uri="{FF2B5EF4-FFF2-40B4-BE49-F238E27FC236}">
              <a16:creationId xmlns:a16="http://schemas.microsoft.com/office/drawing/2014/main" id="{76843084-3E31-4D38-A79E-0D9A16B385EA}"/>
            </a:ext>
          </a:extLst>
        </xdr:cNvPr>
        <xdr:cNvSpPr/>
      </xdr:nvSpPr>
      <xdr:spPr>
        <a:xfrm rot="10800000">
          <a:off x="5158740" y="30556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325</xdr:row>
      <xdr:rowOff>0</xdr:rowOff>
    </xdr:from>
    <xdr:to>
      <xdr:col>14</xdr:col>
      <xdr:colOff>83820</xdr:colOff>
      <xdr:row>325</xdr:row>
      <xdr:rowOff>114300</xdr:rowOff>
    </xdr:to>
    <xdr:sp macro="" textlink="">
      <xdr:nvSpPr>
        <xdr:cNvPr id="332" name="Arrow: Down 331">
          <a:extLst>
            <a:ext uri="{FF2B5EF4-FFF2-40B4-BE49-F238E27FC236}">
              <a16:creationId xmlns:a16="http://schemas.microsoft.com/office/drawing/2014/main" id="{884AF57E-1D04-4D54-AEE0-E5C7529A724B}"/>
            </a:ext>
          </a:extLst>
        </xdr:cNvPr>
        <xdr:cNvSpPr/>
      </xdr:nvSpPr>
      <xdr:spPr>
        <a:xfrm rot="10800000">
          <a:off x="5158740" y="3128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326</xdr:row>
      <xdr:rowOff>0</xdr:rowOff>
    </xdr:from>
    <xdr:to>
      <xdr:col>14</xdr:col>
      <xdr:colOff>83820</xdr:colOff>
      <xdr:row>326</xdr:row>
      <xdr:rowOff>114300</xdr:rowOff>
    </xdr:to>
    <xdr:sp macro="" textlink="">
      <xdr:nvSpPr>
        <xdr:cNvPr id="334" name="Arrow: Down 333">
          <a:extLst>
            <a:ext uri="{FF2B5EF4-FFF2-40B4-BE49-F238E27FC236}">
              <a16:creationId xmlns:a16="http://schemas.microsoft.com/office/drawing/2014/main" id="{034D4D22-AFDC-417C-9B7F-4485C4879CCF}"/>
            </a:ext>
          </a:extLst>
        </xdr:cNvPr>
        <xdr:cNvSpPr/>
      </xdr:nvSpPr>
      <xdr:spPr>
        <a:xfrm>
          <a:off x="5158740" y="31470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327</xdr:row>
      <xdr:rowOff>0</xdr:rowOff>
    </xdr:from>
    <xdr:to>
      <xdr:col>14</xdr:col>
      <xdr:colOff>83820</xdr:colOff>
      <xdr:row>327</xdr:row>
      <xdr:rowOff>114300</xdr:rowOff>
    </xdr:to>
    <xdr:sp macro="" textlink="">
      <xdr:nvSpPr>
        <xdr:cNvPr id="335" name="Arrow: Down 334">
          <a:extLst>
            <a:ext uri="{FF2B5EF4-FFF2-40B4-BE49-F238E27FC236}">
              <a16:creationId xmlns:a16="http://schemas.microsoft.com/office/drawing/2014/main" id="{7BB29645-E36A-4BF7-96B4-CDD42B39DD6E}"/>
            </a:ext>
          </a:extLst>
        </xdr:cNvPr>
        <xdr:cNvSpPr/>
      </xdr:nvSpPr>
      <xdr:spPr>
        <a:xfrm>
          <a:off x="5158740" y="31470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328</xdr:row>
      <xdr:rowOff>0</xdr:rowOff>
    </xdr:from>
    <xdr:to>
      <xdr:col>14</xdr:col>
      <xdr:colOff>83820</xdr:colOff>
      <xdr:row>328</xdr:row>
      <xdr:rowOff>114300</xdr:rowOff>
    </xdr:to>
    <xdr:sp macro="" textlink="">
      <xdr:nvSpPr>
        <xdr:cNvPr id="305" name="Arrow: Down 304">
          <a:extLst>
            <a:ext uri="{FF2B5EF4-FFF2-40B4-BE49-F238E27FC236}">
              <a16:creationId xmlns:a16="http://schemas.microsoft.com/office/drawing/2014/main" id="{0A2DE05E-FA85-4EBC-BB86-972C77AB3224}"/>
            </a:ext>
          </a:extLst>
        </xdr:cNvPr>
        <xdr:cNvSpPr/>
      </xdr:nvSpPr>
      <xdr:spPr>
        <a:xfrm>
          <a:off x="5158740" y="3165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329</xdr:row>
      <xdr:rowOff>0</xdr:rowOff>
    </xdr:from>
    <xdr:to>
      <xdr:col>14</xdr:col>
      <xdr:colOff>83820</xdr:colOff>
      <xdr:row>329</xdr:row>
      <xdr:rowOff>114300</xdr:rowOff>
    </xdr:to>
    <xdr:sp macro="" textlink="">
      <xdr:nvSpPr>
        <xdr:cNvPr id="318" name="Arrow: Down 317">
          <a:extLst>
            <a:ext uri="{FF2B5EF4-FFF2-40B4-BE49-F238E27FC236}">
              <a16:creationId xmlns:a16="http://schemas.microsoft.com/office/drawing/2014/main" id="{AE0D8F6C-9193-4A12-B55D-4A1A75B04617}"/>
            </a:ext>
          </a:extLst>
        </xdr:cNvPr>
        <xdr:cNvSpPr/>
      </xdr:nvSpPr>
      <xdr:spPr>
        <a:xfrm>
          <a:off x="5158740" y="3183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330</xdr:row>
      <xdr:rowOff>0</xdr:rowOff>
    </xdr:from>
    <xdr:to>
      <xdr:col>14</xdr:col>
      <xdr:colOff>83820</xdr:colOff>
      <xdr:row>330</xdr:row>
      <xdr:rowOff>114300</xdr:rowOff>
    </xdr:to>
    <xdr:sp macro="" textlink="">
      <xdr:nvSpPr>
        <xdr:cNvPr id="321" name="Arrow: Down 320">
          <a:extLst>
            <a:ext uri="{FF2B5EF4-FFF2-40B4-BE49-F238E27FC236}">
              <a16:creationId xmlns:a16="http://schemas.microsoft.com/office/drawing/2014/main" id="{B091C398-88D4-4633-9249-7DD7482FE189}"/>
            </a:ext>
          </a:extLst>
        </xdr:cNvPr>
        <xdr:cNvSpPr/>
      </xdr:nvSpPr>
      <xdr:spPr>
        <a:xfrm>
          <a:off x="5158740" y="32019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333</xdr:row>
      <xdr:rowOff>0</xdr:rowOff>
    </xdr:from>
    <xdr:to>
      <xdr:col>14</xdr:col>
      <xdr:colOff>83820</xdr:colOff>
      <xdr:row>333</xdr:row>
      <xdr:rowOff>114300</xdr:rowOff>
    </xdr:to>
    <xdr:sp macro="" textlink="">
      <xdr:nvSpPr>
        <xdr:cNvPr id="337" name="Arrow: Down 336">
          <a:extLst>
            <a:ext uri="{FF2B5EF4-FFF2-40B4-BE49-F238E27FC236}">
              <a16:creationId xmlns:a16="http://schemas.microsoft.com/office/drawing/2014/main" id="{57BCB786-04FA-4369-B824-255239590EF8}"/>
            </a:ext>
          </a:extLst>
        </xdr:cNvPr>
        <xdr:cNvSpPr/>
      </xdr:nvSpPr>
      <xdr:spPr>
        <a:xfrm>
          <a:off x="5158740" y="32567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331</xdr:row>
      <xdr:rowOff>0</xdr:rowOff>
    </xdr:from>
    <xdr:to>
      <xdr:col>14</xdr:col>
      <xdr:colOff>83820</xdr:colOff>
      <xdr:row>331</xdr:row>
      <xdr:rowOff>114300</xdr:rowOff>
    </xdr:to>
    <xdr:sp macro="" textlink="">
      <xdr:nvSpPr>
        <xdr:cNvPr id="340" name="Arrow: Down 339">
          <a:extLst>
            <a:ext uri="{FF2B5EF4-FFF2-40B4-BE49-F238E27FC236}">
              <a16:creationId xmlns:a16="http://schemas.microsoft.com/office/drawing/2014/main" id="{D75CBA27-A57E-42E2-9B73-9FF1DAFCDA8D}"/>
            </a:ext>
          </a:extLst>
        </xdr:cNvPr>
        <xdr:cNvSpPr/>
      </xdr:nvSpPr>
      <xdr:spPr>
        <a:xfrm rot="10800000">
          <a:off x="5158740" y="32385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332</xdr:row>
      <xdr:rowOff>0</xdr:rowOff>
    </xdr:from>
    <xdr:to>
      <xdr:col>14</xdr:col>
      <xdr:colOff>83820</xdr:colOff>
      <xdr:row>332</xdr:row>
      <xdr:rowOff>114300</xdr:rowOff>
    </xdr:to>
    <xdr:sp macro="" textlink="">
      <xdr:nvSpPr>
        <xdr:cNvPr id="342" name="Arrow: Down 341">
          <a:extLst>
            <a:ext uri="{FF2B5EF4-FFF2-40B4-BE49-F238E27FC236}">
              <a16:creationId xmlns:a16="http://schemas.microsoft.com/office/drawing/2014/main" id="{9EEDE66D-886C-49D6-97EE-EF724217307D}"/>
            </a:ext>
          </a:extLst>
        </xdr:cNvPr>
        <xdr:cNvSpPr/>
      </xdr:nvSpPr>
      <xdr:spPr>
        <a:xfrm rot="10800000">
          <a:off x="5158740" y="32567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334</xdr:row>
      <xdr:rowOff>0</xdr:rowOff>
    </xdr:from>
    <xdr:to>
      <xdr:col>14</xdr:col>
      <xdr:colOff>83820</xdr:colOff>
      <xdr:row>334</xdr:row>
      <xdr:rowOff>114300</xdr:rowOff>
    </xdr:to>
    <xdr:sp macro="" textlink="">
      <xdr:nvSpPr>
        <xdr:cNvPr id="344" name="Arrow: Down 343">
          <a:extLst>
            <a:ext uri="{FF2B5EF4-FFF2-40B4-BE49-F238E27FC236}">
              <a16:creationId xmlns:a16="http://schemas.microsoft.com/office/drawing/2014/main" id="{21D1F413-169F-4E40-BC49-1055ECA40207}"/>
            </a:ext>
          </a:extLst>
        </xdr:cNvPr>
        <xdr:cNvSpPr/>
      </xdr:nvSpPr>
      <xdr:spPr>
        <a:xfrm rot="10800000">
          <a:off x="5158740" y="32933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336</xdr:row>
      <xdr:rowOff>0</xdr:rowOff>
    </xdr:from>
    <xdr:to>
      <xdr:col>14</xdr:col>
      <xdr:colOff>83820</xdr:colOff>
      <xdr:row>336</xdr:row>
      <xdr:rowOff>114300</xdr:rowOff>
    </xdr:to>
    <xdr:sp macro="" textlink="">
      <xdr:nvSpPr>
        <xdr:cNvPr id="330" name="Arrow: Down 329">
          <a:extLst>
            <a:ext uri="{FF2B5EF4-FFF2-40B4-BE49-F238E27FC236}">
              <a16:creationId xmlns:a16="http://schemas.microsoft.com/office/drawing/2014/main" id="{245821A7-FF02-4665-B3D4-40E38FE29612}"/>
            </a:ext>
          </a:extLst>
        </xdr:cNvPr>
        <xdr:cNvSpPr/>
      </xdr:nvSpPr>
      <xdr:spPr>
        <a:xfrm rot="10800000">
          <a:off x="5158740" y="32933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338</xdr:row>
      <xdr:rowOff>0</xdr:rowOff>
    </xdr:from>
    <xdr:to>
      <xdr:col>14</xdr:col>
      <xdr:colOff>83820</xdr:colOff>
      <xdr:row>338</xdr:row>
      <xdr:rowOff>114300</xdr:rowOff>
    </xdr:to>
    <xdr:sp macro="" textlink="">
      <xdr:nvSpPr>
        <xdr:cNvPr id="333" name="Arrow: Down 332">
          <a:extLst>
            <a:ext uri="{FF2B5EF4-FFF2-40B4-BE49-F238E27FC236}">
              <a16:creationId xmlns:a16="http://schemas.microsoft.com/office/drawing/2014/main" id="{4F452236-B001-48FF-9986-25B14174DA43}"/>
            </a:ext>
          </a:extLst>
        </xdr:cNvPr>
        <xdr:cNvSpPr/>
      </xdr:nvSpPr>
      <xdr:spPr>
        <a:xfrm rot="10800000">
          <a:off x="5158740" y="3348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339</xdr:row>
      <xdr:rowOff>0</xdr:rowOff>
    </xdr:from>
    <xdr:to>
      <xdr:col>14</xdr:col>
      <xdr:colOff>83820</xdr:colOff>
      <xdr:row>339</xdr:row>
      <xdr:rowOff>114300</xdr:rowOff>
    </xdr:to>
    <xdr:sp macro="" textlink="">
      <xdr:nvSpPr>
        <xdr:cNvPr id="336" name="Arrow: Down 335">
          <a:extLst>
            <a:ext uri="{FF2B5EF4-FFF2-40B4-BE49-F238E27FC236}">
              <a16:creationId xmlns:a16="http://schemas.microsoft.com/office/drawing/2014/main" id="{DF684EBE-80C0-4FD4-B56A-2AD2D8DCA1B1}"/>
            </a:ext>
          </a:extLst>
        </xdr:cNvPr>
        <xdr:cNvSpPr/>
      </xdr:nvSpPr>
      <xdr:spPr>
        <a:xfrm rot="10800000">
          <a:off x="5158740" y="3348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335</xdr:row>
      <xdr:rowOff>0</xdr:rowOff>
    </xdr:from>
    <xdr:to>
      <xdr:col>14</xdr:col>
      <xdr:colOff>83820</xdr:colOff>
      <xdr:row>335</xdr:row>
      <xdr:rowOff>114300</xdr:rowOff>
    </xdr:to>
    <xdr:sp macro="" textlink="">
      <xdr:nvSpPr>
        <xdr:cNvPr id="338" name="Arrow: Down 337">
          <a:extLst>
            <a:ext uri="{FF2B5EF4-FFF2-40B4-BE49-F238E27FC236}">
              <a16:creationId xmlns:a16="http://schemas.microsoft.com/office/drawing/2014/main" id="{436A4672-A1D3-43A1-B7F6-0532907B2531}"/>
            </a:ext>
          </a:extLst>
        </xdr:cNvPr>
        <xdr:cNvSpPr/>
      </xdr:nvSpPr>
      <xdr:spPr>
        <a:xfrm>
          <a:off x="5158740" y="3311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337</xdr:row>
      <xdr:rowOff>0</xdr:rowOff>
    </xdr:from>
    <xdr:to>
      <xdr:col>14</xdr:col>
      <xdr:colOff>83820</xdr:colOff>
      <xdr:row>337</xdr:row>
      <xdr:rowOff>114300</xdr:rowOff>
    </xdr:to>
    <xdr:sp macro="" textlink="">
      <xdr:nvSpPr>
        <xdr:cNvPr id="341" name="Arrow: Down 340">
          <a:extLst>
            <a:ext uri="{FF2B5EF4-FFF2-40B4-BE49-F238E27FC236}">
              <a16:creationId xmlns:a16="http://schemas.microsoft.com/office/drawing/2014/main" id="{8979E3AB-D173-4A91-AC4E-5F63DD5D6D08}"/>
            </a:ext>
          </a:extLst>
        </xdr:cNvPr>
        <xdr:cNvSpPr/>
      </xdr:nvSpPr>
      <xdr:spPr>
        <a:xfrm>
          <a:off x="5158740" y="3348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340</xdr:row>
      <xdr:rowOff>0</xdr:rowOff>
    </xdr:from>
    <xdr:to>
      <xdr:col>14</xdr:col>
      <xdr:colOff>83820</xdr:colOff>
      <xdr:row>340</xdr:row>
      <xdr:rowOff>114300</xdr:rowOff>
    </xdr:to>
    <xdr:sp macro="" textlink="">
      <xdr:nvSpPr>
        <xdr:cNvPr id="343" name="Arrow: Down 342">
          <a:extLst>
            <a:ext uri="{FF2B5EF4-FFF2-40B4-BE49-F238E27FC236}">
              <a16:creationId xmlns:a16="http://schemas.microsoft.com/office/drawing/2014/main" id="{643D7E72-8D57-4696-82E8-46307A527FA1}"/>
            </a:ext>
          </a:extLst>
        </xdr:cNvPr>
        <xdr:cNvSpPr/>
      </xdr:nvSpPr>
      <xdr:spPr>
        <a:xfrm rot="10800000">
          <a:off x="5158740" y="3384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341</xdr:row>
      <xdr:rowOff>0</xdr:rowOff>
    </xdr:from>
    <xdr:to>
      <xdr:col>14</xdr:col>
      <xdr:colOff>83820</xdr:colOff>
      <xdr:row>341</xdr:row>
      <xdr:rowOff>114300</xdr:rowOff>
    </xdr:to>
    <xdr:sp macro="" textlink="">
      <xdr:nvSpPr>
        <xdr:cNvPr id="347" name="Arrow: Down 346">
          <a:extLst>
            <a:ext uri="{FF2B5EF4-FFF2-40B4-BE49-F238E27FC236}">
              <a16:creationId xmlns:a16="http://schemas.microsoft.com/office/drawing/2014/main" id="{E4CAE3B2-858A-419B-96A7-44B97543D90D}"/>
            </a:ext>
          </a:extLst>
        </xdr:cNvPr>
        <xdr:cNvSpPr/>
      </xdr:nvSpPr>
      <xdr:spPr>
        <a:xfrm>
          <a:off x="5158740" y="3421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343</xdr:row>
      <xdr:rowOff>0</xdr:rowOff>
    </xdr:from>
    <xdr:to>
      <xdr:col>14</xdr:col>
      <xdr:colOff>83820</xdr:colOff>
      <xdr:row>343</xdr:row>
      <xdr:rowOff>114300</xdr:rowOff>
    </xdr:to>
    <xdr:sp macro="" textlink="">
      <xdr:nvSpPr>
        <xdr:cNvPr id="331" name="Arrow: Down 330">
          <a:extLst>
            <a:ext uri="{FF2B5EF4-FFF2-40B4-BE49-F238E27FC236}">
              <a16:creationId xmlns:a16="http://schemas.microsoft.com/office/drawing/2014/main" id="{DEC060F8-93A8-4CDA-A5DB-7FD5928CB23D}"/>
            </a:ext>
          </a:extLst>
        </xdr:cNvPr>
        <xdr:cNvSpPr/>
      </xdr:nvSpPr>
      <xdr:spPr>
        <a:xfrm>
          <a:off x="5158740" y="3439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342</xdr:row>
      <xdr:rowOff>0</xdr:rowOff>
    </xdr:from>
    <xdr:to>
      <xdr:col>14</xdr:col>
      <xdr:colOff>83820</xdr:colOff>
      <xdr:row>342</xdr:row>
      <xdr:rowOff>114300</xdr:rowOff>
    </xdr:to>
    <xdr:sp macro="" textlink="">
      <xdr:nvSpPr>
        <xdr:cNvPr id="345" name="Arrow: Down 344">
          <a:extLst>
            <a:ext uri="{FF2B5EF4-FFF2-40B4-BE49-F238E27FC236}">
              <a16:creationId xmlns:a16="http://schemas.microsoft.com/office/drawing/2014/main" id="{ED458E54-C77C-4785-BFCB-A0E93D54E129}"/>
            </a:ext>
          </a:extLst>
        </xdr:cNvPr>
        <xdr:cNvSpPr/>
      </xdr:nvSpPr>
      <xdr:spPr>
        <a:xfrm rot="10800000">
          <a:off x="5158740" y="34396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344</xdr:row>
      <xdr:rowOff>0</xdr:rowOff>
    </xdr:from>
    <xdr:to>
      <xdr:col>14</xdr:col>
      <xdr:colOff>83820</xdr:colOff>
      <xdr:row>344</xdr:row>
      <xdr:rowOff>114300</xdr:rowOff>
    </xdr:to>
    <xdr:sp macro="" textlink="">
      <xdr:nvSpPr>
        <xdr:cNvPr id="348" name="Arrow: Down 347">
          <a:extLst>
            <a:ext uri="{FF2B5EF4-FFF2-40B4-BE49-F238E27FC236}">
              <a16:creationId xmlns:a16="http://schemas.microsoft.com/office/drawing/2014/main" id="{07492F32-3E04-44F6-83FE-874530577B5F}"/>
            </a:ext>
          </a:extLst>
        </xdr:cNvPr>
        <xdr:cNvSpPr/>
      </xdr:nvSpPr>
      <xdr:spPr>
        <a:xfrm>
          <a:off x="5158740" y="34579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346</xdr:row>
      <xdr:rowOff>0</xdr:rowOff>
    </xdr:from>
    <xdr:to>
      <xdr:col>14</xdr:col>
      <xdr:colOff>83820</xdr:colOff>
      <xdr:row>346</xdr:row>
      <xdr:rowOff>114300</xdr:rowOff>
    </xdr:to>
    <xdr:sp macro="" textlink="">
      <xdr:nvSpPr>
        <xdr:cNvPr id="351" name="Arrow: Down 350">
          <a:extLst>
            <a:ext uri="{FF2B5EF4-FFF2-40B4-BE49-F238E27FC236}">
              <a16:creationId xmlns:a16="http://schemas.microsoft.com/office/drawing/2014/main" id="{54A90210-D001-4584-9AC8-0D53BBA3E898}"/>
            </a:ext>
          </a:extLst>
        </xdr:cNvPr>
        <xdr:cNvSpPr/>
      </xdr:nvSpPr>
      <xdr:spPr>
        <a:xfrm>
          <a:off x="5158740" y="34945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345</xdr:row>
      <xdr:rowOff>0</xdr:rowOff>
    </xdr:from>
    <xdr:to>
      <xdr:col>14</xdr:col>
      <xdr:colOff>83820</xdr:colOff>
      <xdr:row>345</xdr:row>
      <xdr:rowOff>114300</xdr:rowOff>
    </xdr:to>
    <xdr:sp macro="" textlink="">
      <xdr:nvSpPr>
        <xdr:cNvPr id="353" name="Arrow: Down 352">
          <a:extLst>
            <a:ext uri="{FF2B5EF4-FFF2-40B4-BE49-F238E27FC236}">
              <a16:creationId xmlns:a16="http://schemas.microsoft.com/office/drawing/2014/main" id="{F437B6B0-7D5F-40DC-A06C-4D4862E70F00}"/>
            </a:ext>
          </a:extLst>
        </xdr:cNvPr>
        <xdr:cNvSpPr/>
      </xdr:nvSpPr>
      <xdr:spPr>
        <a:xfrm rot="10800000">
          <a:off x="5158740" y="3494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347</xdr:row>
      <xdr:rowOff>0</xdr:rowOff>
    </xdr:from>
    <xdr:to>
      <xdr:col>14</xdr:col>
      <xdr:colOff>83820</xdr:colOff>
      <xdr:row>347</xdr:row>
      <xdr:rowOff>114300</xdr:rowOff>
    </xdr:to>
    <xdr:sp macro="" textlink="">
      <xdr:nvSpPr>
        <xdr:cNvPr id="354" name="Arrow: Down 353">
          <a:extLst>
            <a:ext uri="{FF2B5EF4-FFF2-40B4-BE49-F238E27FC236}">
              <a16:creationId xmlns:a16="http://schemas.microsoft.com/office/drawing/2014/main" id="{B6E274CC-DA16-444A-8259-CF66005733F0}"/>
            </a:ext>
          </a:extLst>
        </xdr:cNvPr>
        <xdr:cNvSpPr/>
      </xdr:nvSpPr>
      <xdr:spPr>
        <a:xfrm>
          <a:off x="5158740" y="35128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348</xdr:row>
      <xdr:rowOff>0</xdr:rowOff>
    </xdr:from>
    <xdr:to>
      <xdr:col>14</xdr:col>
      <xdr:colOff>83820</xdr:colOff>
      <xdr:row>348</xdr:row>
      <xdr:rowOff>114300</xdr:rowOff>
    </xdr:to>
    <xdr:sp macro="" textlink="">
      <xdr:nvSpPr>
        <xdr:cNvPr id="356" name="Arrow: Down 355">
          <a:extLst>
            <a:ext uri="{FF2B5EF4-FFF2-40B4-BE49-F238E27FC236}">
              <a16:creationId xmlns:a16="http://schemas.microsoft.com/office/drawing/2014/main" id="{4173A88A-545B-46E4-938F-5B50A9AAC328}"/>
            </a:ext>
          </a:extLst>
        </xdr:cNvPr>
        <xdr:cNvSpPr/>
      </xdr:nvSpPr>
      <xdr:spPr>
        <a:xfrm>
          <a:off x="5158740" y="3531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349</xdr:row>
      <xdr:rowOff>0</xdr:rowOff>
    </xdr:from>
    <xdr:to>
      <xdr:col>14</xdr:col>
      <xdr:colOff>83820</xdr:colOff>
      <xdr:row>349</xdr:row>
      <xdr:rowOff>114300</xdr:rowOff>
    </xdr:to>
    <xdr:sp macro="" textlink="">
      <xdr:nvSpPr>
        <xdr:cNvPr id="357" name="Arrow: Down 356">
          <a:extLst>
            <a:ext uri="{FF2B5EF4-FFF2-40B4-BE49-F238E27FC236}">
              <a16:creationId xmlns:a16="http://schemas.microsoft.com/office/drawing/2014/main" id="{4450F46A-38F2-4734-B91D-C73F785E4EAF}"/>
            </a:ext>
          </a:extLst>
        </xdr:cNvPr>
        <xdr:cNvSpPr/>
      </xdr:nvSpPr>
      <xdr:spPr>
        <a:xfrm>
          <a:off x="5158740" y="3549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350</xdr:row>
      <xdr:rowOff>0</xdr:rowOff>
    </xdr:from>
    <xdr:to>
      <xdr:col>14</xdr:col>
      <xdr:colOff>83820</xdr:colOff>
      <xdr:row>350</xdr:row>
      <xdr:rowOff>114300</xdr:rowOff>
    </xdr:to>
    <xdr:sp macro="" textlink="">
      <xdr:nvSpPr>
        <xdr:cNvPr id="358" name="Arrow: Down 357">
          <a:extLst>
            <a:ext uri="{FF2B5EF4-FFF2-40B4-BE49-F238E27FC236}">
              <a16:creationId xmlns:a16="http://schemas.microsoft.com/office/drawing/2014/main" id="{B1F2A21F-5132-4D3B-985C-F4E136B5F2F5}"/>
            </a:ext>
          </a:extLst>
        </xdr:cNvPr>
        <xdr:cNvSpPr/>
      </xdr:nvSpPr>
      <xdr:spPr>
        <a:xfrm>
          <a:off x="5158740" y="3567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352</xdr:row>
      <xdr:rowOff>0</xdr:rowOff>
    </xdr:from>
    <xdr:to>
      <xdr:col>14</xdr:col>
      <xdr:colOff>83820</xdr:colOff>
      <xdr:row>352</xdr:row>
      <xdr:rowOff>114300</xdr:rowOff>
    </xdr:to>
    <xdr:sp macro="" textlink="">
      <xdr:nvSpPr>
        <xdr:cNvPr id="361" name="Arrow: Down 360">
          <a:extLst>
            <a:ext uri="{FF2B5EF4-FFF2-40B4-BE49-F238E27FC236}">
              <a16:creationId xmlns:a16="http://schemas.microsoft.com/office/drawing/2014/main" id="{CDFAB0C2-DD6B-4AC7-B7AD-9E1CD508DCE9}"/>
            </a:ext>
          </a:extLst>
        </xdr:cNvPr>
        <xdr:cNvSpPr/>
      </xdr:nvSpPr>
      <xdr:spPr>
        <a:xfrm>
          <a:off x="5158740" y="3604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351</xdr:row>
      <xdr:rowOff>0</xdr:rowOff>
    </xdr:from>
    <xdr:to>
      <xdr:col>14</xdr:col>
      <xdr:colOff>83820</xdr:colOff>
      <xdr:row>351</xdr:row>
      <xdr:rowOff>114300</xdr:rowOff>
    </xdr:to>
    <xdr:sp macro="" textlink="">
      <xdr:nvSpPr>
        <xdr:cNvPr id="362" name="Arrow: Down 361">
          <a:extLst>
            <a:ext uri="{FF2B5EF4-FFF2-40B4-BE49-F238E27FC236}">
              <a16:creationId xmlns:a16="http://schemas.microsoft.com/office/drawing/2014/main" id="{8988714B-704D-429F-8F03-31C01F153144}"/>
            </a:ext>
          </a:extLst>
        </xdr:cNvPr>
        <xdr:cNvSpPr/>
      </xdr:nvSpPr>
      <xdr:spPr>
        <a:xfrm rot="10800000">
          <a:off x="5158740" y="36042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355</xdr:row>
      <xdr:rowOff>0</xdr:rowOff>
    </xdr:from>
    <xdr:to>
      <xdr:col>14</xdr:col>
      <xdr:colOff>83820</xdr:colOff>
      <xdr:row>355</xdr:row>
      <xdr:rowOff>114300</xdr:rowOff>
    </xdr:to>
    <xdr:sp macro="" textlink="">
      <xdr:nvSpPr>
        <xdr:cNvPr id="366" name="Arrow: Down 365">
          <a:extLst>
            <a:ext uri="{FF2B5EF4-FFF2-40B4-BE49-F238E27FC236}">
              <a16:creationId xmlns:a16="http://schemas.microsoft.com/office/drawing/2014/main" id="{3992D6DE-6B07-4487-8FAC-485A926D7153}"/>
            </a:ext>
          </a:extLst>
        </xdr:cNvPr>
        <xdr:cNvSpPr/>
      </xdr:nvSpPr>
      <xdr:spPr>
        <a:xfrm>
          <a:off x="5158740" y="3659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353</xdr:row>
      <xdr:rowOff>0</xdr:rowOff>
    </xdr:from>
    <xdr:to>
      <xdr:col>14</xdr:col>
      <xdr:colOff>83820</xdr:colOff>
      <xdr:row>353</xdr:row>
      <xdr:rowOff>114300</xdr:rowOff>
    </xdr:to>
    <xdr:sp macro="" textlink="">
      <xdr:nvSpPr>
        <xdr:cNvPr id="367" name="Arrow: Down 366">
          <a:extLst>
            <a:ext uri="{FF2B5EF4-FFF2-40B4-BE49-F238E27FC236}">
              <a16:creationId xmlns:a16="http://schemas.microsoft.com/office/drawing/2014/main" id="{B33D289B-54C2-4E88-BDF3-FAC252FC12CF}"/>
            </a:ext>
          </a:extLst>
        </xdr:cNvPr>
        <xdr:cNvSpPr/>
      </xdr:nvSpPr>
      <xdr:spPr>
        <a:xfrm rot="10800000">
          <a:off x="5158740" y="3640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354</xdr:row>
      <xdr:rowOff>0</xdr:rowOff>
    </xdr:from>
    <xdr:to>
      <xdr:col>14</xdr:col>
      <xdr:colOff>83820</xdr:colOff>
      <xdr:row>354</xdr:row>
      <xdr:rowOff>114300</xdr:rowOff>
    </xdr:to>
    <xdr:sp macro="" textlink="">
      <xdr:nvSpPr>
        <xdr:cNvPr id="369" name="Arrow: Down 368">
          <a:extLst>
            <a:ext uri="{FF2B5EF4-FFF2-40B4-BE49-F238E27FC236}">
              <a16:creationId xmlns:a16="http://schemas.microsoft.com/office/drawing/2014/main" id="{5C155720-6E97-45F7-818D-961C6FF4D8C9}"/>
            </a:ext>
          </a:extLst>
        </xdr:cNvPr>
        <xdr:cNvSpPr/>
      </xdr:nvSpPr>
      <xdr:spPr>
        <a:xfrm rot="10800000">
          <a:off x="5158740" y="3659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356</xdr:row>
      <xdr:rowOff>0</xdr:rowOff>
    </xdr:from>
    <xdr:to>
      <xdr:col>14</xdr:col>
      <xdr:colOff>83820</xdr:colOff>
      <xdr:row>356</xdr:row>
      <xdr:rowOff>114300</xdr:rowOff>
    </xdr:to>
    <xdr:sp macro="" textlink="">
      <xdr:nvSpPr>
        <xdr:cNvPr id="346" name="Arrow: Down 345">
          <a:extLst>
            <a:ext uri="{FF2B5EF4-FFF2-40B4-BE49-F238E27FC236}">
              <a16:creationId xmlns:a16="http://schemas.microsoft.com/office/drawing/2014/main" id="{843AA67A-E5A7-4F87-974E-FF83594BDD49}"/>
            </a:ext>
          </a:extLst>
        </xdr:cNvPr>
        <xdr:cNvSpPr/>
      </xdr:nvSpPr>
      <xdr:spPr>
        <a:xfrm>
          <a:off x="5158740" y="36774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358</xdr:row>
      <xdr:rowOff>0</xdr:rowOff>
    </xdr:from>
    <xdr:to>
      <xdr:col>14</xdr:col>
      <xdr:colOff>83820</xdr:colOff>
      <xdr:row>358</xdr:row>
      <xdr:rowOff>114300</xdr:rowOff>
    </xdr:to>
    <xdr:sp macro="" textlink="">
      <xdr:nvSpPr>
        <xdr:cNvPr id="350" name="Arrow: Down 349">
          <a:extLst>
            <a:ext uri="{FF2B5EF4-FFF2-40B4-BE49-F238E27FC236}">
              <a16:creationId xmlns:a16="http://schemas.microsoft.com/office/drawing/2014/main" id="{D8329AAA-D454-4D74-BBDD-2A31E6B0AF73}"/>
            </a:ext>
          </a:extLst>
        </xdr:cNvPr>
        <xdr:cNvSpPr/>
      </xdr:nvSpPr>
      <xdr:spPr>
        <a:xfrm>
          <a:off x="5158740" y="37139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361</xdr:row>
      <xdr:rowOff>0</xdr:rowOff>
    </xdr:from>
    <xdr:to>
      <xdr:col>14</xdr:col>
      <xdr:colOff>83820</xdr:colOff>
      <xdr:row>361</xdr:row>
      <xdr:rowOff>114300</xdr:rowOff>
    </xdr:to>
    <xdr:sp macro="" textlink="">
      <xdr:nvSpPr>
        <xdr:cNvPr id="360" name="Arrow: Down 359">
          <a:extLst>
            <a:ext uri="{FF2B5EF4-FFF2-40B4-BE49-F238E27FC236}">
              <a16:creationId xmlns:a16="http://schemas.microsoft.com/office/drawing/2014/main" id="{3C437EFF-1B49-408B-B4E9-DC85841C6F34}"/>
            </a:ext>
          </a:extLst>
        </xdr:cNvPr>
        <xdr:cNvSpPr/>
      </xdr:nvSpPr>
      <xdr:spPr>
        <a:xfrm>
          <a:off x="5158740" y="37688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362</xdr:row>
      <xdr:rowOff>0</xdr:rowOff>
    </xdr:from>
    <xdr:to>
      <xdr:col>14</xdr:col>
      <xdr:colOff>83820</xdr:colOff>
      <xdr:row>362</xdr:row>
      <xdr:rowOff>114300</xdr:rowOff>
    </xdr:to>
    <xdr:sp macro="" textlink="">
      <xdr:nvSpPr>
        <xdr:cNvPr id="363" name="Arrow: Down 362">
          <a:extLst>
            <a:ext uri="{FF2B5EF4-FFF2-40B4-BE49-F238E27FC236}">
              <a16:creationId xmlns:a16="http://schemas.microsoft.com/office/drawing/2014/main" id="{4C906383-763B-4745-A8C9-AE90F21AFA2B}"/>
            </a:ext>
          </a:extLst>
        </xdr:cNvPr>
        <xdr:cNvSpPr/>
      </xdr:nvSpPr>
      <xdr:spPr>
        <a:xfrm>
          <a:off x="5158740" y="3787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360</xdr:row>
      <xdr:rowOff>0</xdr:rowOff>
    </xdr:from>
    <xdr:to>
      <xdr:col>14</xdr:col>
      <xdr:colOff>83820</xdr:colOff>
      <xdr:row>360</xdr:row>
      <xdr:rowOff>114300</xdr:rowOff>
    </xdr:to>
    <xdr:sp macro="" textlink="">
      <xdr:nvSpPr>
        <xdr:cNvPr id="364" name="Arrow: Down 363">
          <a:extLst>
            <a:ext uri="{FF2B5EF4-FFF2-40B4-BE49-F238E27FC236}">
              <a16:creationId xmlns:a16="http://schemas.microsoft.com/office/drawing/2014/main" id="{2670FD95-6893-450D-8717-BFF2700AB46B}"/>
            </a:ext>
          </a:extLst>
        </xdr:cNvPr>
        <xdr:cNvSpPr/>
      </xdr:nvSpPr>
      <xdr:spPr>
        <a:xfrm rot="10800000">
          <a:off x="5158740" y="3768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357</xdr:row>
      <xdr:rowOff>0</xdr:rowOff>
    </xdr:from>
    <xdr:to>
      <xdr:col>14</xdr:col>
      <xdr:colOff>83820</xdr:colOff>
      <xdr:row>357</xdr:row>
      <xdr:rowOff>114300</xdr:rowOff>
    </xdr:to>
    <xdr:sp macro="" textlink="">
      <xdr:nvSpPr>
        <xdr:cNvPr id="365" name="Arrow: Down 364">
          <a:extLst>
            <a:ext uri="{FF2B5EF4-FFF2-40B4-BE49-F238E27FC236}">
              <a16:creationId xmlns:a16="http://schemas.microsoft.com/office/drawing/2014/main" id="{24EB775E-BD4E-44A7-A514-C9B07D8F1083}"/>
            </a:ext>
          </a:extLst>
        </xdr:cNvPr>
        <xdr:cNvSpPr/>
      </xdr:nvSpPr>
      <xdr:spPr>
        <a:xfrm rot="10800000">
          <a:off x="5158740" y="37139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359</xdr:row>
      <xdr:rowOff>0</xdr:rowOff>
    </xdr:from>
    <xdr:to>
      <xdr:col>14</xdr:col>
      <xdr:colOff>83820</xdr:colOff>
      <xdr:row>359</xdr:row>
      <xdr:rowOff>114300</xdr:rowOff>
    </xdr:to>
    <xdr:sp macro="" textlink="">
      <xdr:nvSpPr>
        <xdr:cNvPr id="371" name="Arrow: Down 370">
          <a:extLst>
            <a:ext uri="{FF2B5EF4-FFF2-40B4-BE49-F238E27FC236}">
              <a16:creationId xmlns:a16="http://schemas.microsoft.com/office/drawing/2014/main" id="{024B9C23-6DDC-429C-917D-F7A7568E25FE}"/>
            </a:ext>
          </a:extLst>
        </xdr:cNvPr>
        <xdr:cNvSpPr/>
      </xdr:nvSpPr>
      <xdr:spPr>
        <a:xfrm rot="10800000">
          <a:off x="5158740" y="3750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363</xdr:row>
      <xdr:rowOff>0</xdr:rowOff>
    </xdr:from>
    <xdr:to>
      <xdr:col>14</xdr:col>
      <xdr:colOff>83820</xdr:colOff>
      <xdr:row>363</xdr:row>
      <xdr:rowOff>114300</xdr:rowOff>
    </xdr:to>
    <xdr:sp macro="" textlink="">
      <xdr:nvSpPr>
        <xdr:cNvPr id="339" name="Arrow: Down 338">
          <a:extLst>
            <a:ext uri="{FF2B5EF4-FFF2-40B4-BE49-F238E27FC236}">
              <a16:creationId xmlns:a16="http://schemas.microsoft.com/office/drawing/2014/main" id="{78ADB203-C414-4409-B767-8BBDC009BBF6}"/>
            </a:ext>
          </a:extLst>
        </xdr:cNvPr>
        <xdr:cNvSpPr/>
      </xdr:nvSpPr>
      <xdr:spPr>
        <a:xfrm>
          <a:off x="5158740" y="3805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365</xdr:row>
      <xdr:rowOff>0</xdr:rowOff>
    </xdr:from>
    <xdr:to>
      <xdr:col>14</xdr:col>
      <xdr:colOff>83820</xdr:colOff>
      <xdr:row>365</xdr:row>
      <xdr:rowOff>114300</xdr:rowOff>
    </xdr:to>
    <xdr:sp macro="" textlink="">
      <xdr:nvSpPr>
        <xdr:cNvPr id="352" name="Arrow: Down 351">
          <a:extLst>
            <a:ext uri="{FF2B5EF4-FFF2-40B4-BE49-F238E27FC236}">
              <a16:creationId xmlns:a16="http://schemas.microsoft.com/office/drawing/2014/main" id="{C7D6F481-B4E7-4F78-BADF-838881ADB729}"/>
            </a:ext>
          </a:extLst>
        </xdr:cNvPr>
        <xdr:cNvSpPr/>
      </xdr:nvSpPr>
      <xdr:spPr>
        <a:xfrm>
          <a:off x="5158740" y="38420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367</xdr:row>
      <xdr:rowOff>0</xdr:rowOff>
    </xdr:from>
    <xdr:to>
      <xdr:col>14</xdr:col>
      <xdr:colOff>83820</xdr:colOff>
      <xdr:row>367</xdr:row>
      <xdr:rowOff>114300</xdr:rowOff>
    </xdr:to>
    <xdr:sp macro="" textlink="">
      <xdr:nvSpPr>
        <xdr:cNvPr id="359" name="Arrow: Down 358">
          <a:extLst>
            <a:ext uri="{FF2B5EF4-FFF2-40B4-BE49-F238E27FC236}">
              <a16:creationId xmlns:a16="http://schemas.microsoft.com/office/drawing/2014/main" id="{EA77D03F-F148-438B-92DA-8AD26D8B0C88}"/>
            </a:ext>
          </a:extLst>
        </xdr:cNvPr>
        <xdr:cNvSpPr/>
      </xdr:nvSpPr>
      <xdr:spPr>
        <a:xfrm>
          <a:off x="5158740" y="3878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368</xdr:row>
      <xdr:rowOff>0</xdr:rowOff>
    </xdr:from>
    <xdr:to>
      <xdr:col>14</xdr:col>
      <xdr:colOff>83820</xdr:colOff>
      <xdr:row>368</xdr:row>
      <xdr:rowOff>114300</xdr:rowOff>
    </xdr:to>
    <xdr:sp macro="" textlink="">
      <xdr:nvSpPr>
        <xdr:cNvPr id="370" name="Arrow: Down 369">
          <a:extLst>
            <a:ext uri="{FF2B5EF4-FFF2-40B4-BE49-F238E27FC236}">
              <a16:creationId xmlns:a16="http://schemas.microsoft.com/office/drawing/2014/main" id="{6E496323-56E3-44E6-8400-11BDA1F79EAF}"/>
            </a:ext>
          </a:extLst>
        </xdr:cNvPr>
        <xdr:cNvSpPr/>
      </xdr:nvSpPr>
      <xdr:spPr>
        <a:xfrm rot="10800000">
          <a:off x="5158740" y="39151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366</xdr:row>
      <xdr:rowOff>0</xdr:rowOff>
    </xdr:from>
    <xdr:to>
      <xdr:col>14</xdr:col>
      <xdr:colOff>83820</xdr:colOff>
      <xdr:row>366</xdr:row>
      <xdr:rowOff>114300</xdr:rowOff>
    </xdr:to>
    <xdr:sp macro="" textlink="">
      <xdr:nvSpPr>
        <xdr:cNvPr id="372" name="Arrow: Down 371">
          <a:extLst>
            <a:ext uri="{FF2B5EF4-FFF2-40B4-BE49-F238E27FC236}">
              <a16:creationId xmlns:a16="http://schemas.microsoft.com/office/drawing/2014/main" id="{D760B32D-C140-4B3D-AB6E-7E4C763569D4}"/>
            </a:ext>
          </a:extLst>
        </xdr:cNvPr>
        <xdr:cNvSpPr/>
      </xdr:nvSpPr>
      <xdr:spPr>
        <a:xfrm rot="10800000">
          <a:off x="5158740" y="38785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364</xdr:row>
      <xdr:rowOff>0</xdr:rowOff>
    </xdr:from>
    <xdr:to>
      <xdr:col>14</xdr:col>
      <xdr:colOff>83820</xdr:colOff>
      <xdr:row>364</xdr:row>
      <xdr:rowOff>114300</xdr:rowOff>
    </xdr:to>
    <xdr:sp macro="" textlink="">
      <xdr:nvSpPr>
        <xdr:cNvPr id="373" name="Arrow: Down 372">
          <a:extLst>
            <a:ext uri="{FF2B5EF4-FFF2-40B4-BE49-F238E27FC236}">
              <a16:creationId xmlns:a16="http://schemas.microsoft.com/office/drawing/2014/main" id="{BBA18571-55E5-48A3-A394-F80E6F97BC1F}"/>
            </a:ext>
          </a:extLst>
        </xdr:cNvPr>
        <xdr:cNvSpPr/>
      </xdr:nvSpPr>
      <xdr:spPr>
        <a:xfrm rot="10800000">
          <a:off x="5158740" y="38420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369</xdr:row>
      <xdr:rowOff>0</xdr:rowOff>
    </xdr:from>
    <xdr:to>
      <xdr:col>14</xdr:col>
      <xdr:colOff>83820</xdr:colOff>
      <xdr:row>369</xdr:row>
      <xdr:rowOff>114300</xdr:rowOff>
    </xdr:to>
    <xdr:sp macro="" textlink="">
      <xdr:nvSpPr>
        <xdr:cNvPr id="375" name="Arrow: Down 374">
          <a:extLst>
            <a:ext uri="{FF2B5EF4-FFF2-40B4-BE49-F238E27FC236}">
              <a16:creationId xmlns:a16="http://schemas.microsoft.com/office/drawing/2014/main" id="{E1BB4D2B-2F02-4EAC-9D34-F67E3A769DCF}"/>
            </a:ext>
          </a:extLst>
        </xdr:cNvPr>
        <xdr:cNvSpPr/>
      </xdr:nvSpPr>
      <xdr:spPr>
        <a:xfrm>
          <a:off x="5158740" y="3933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371</xdr:row>
      <xdr:rowOff>0</xdr:rowOff>
    </xdr:from>
    <xdr:to>
      <xdr:col>14</xdr:col>
      <xdr:colOff>83820</xdr:colOff>
      <xdr:row>371</xdr:row>
      <xdr:rowOff>114300</xdr:rowOff>
    </xdr:to>
    <xdr:sp macro="" textlink="">
      <xdr:nvSpPr>
        <xdr:cNvPr id="378" name="Arrow: Down 377">
          <a:extLst>
            <a:ext uri="{FF2B5EF4-FFF2-40B4-BE49-F238E27FC236}">
              <a16:creationId xmlns:a16="http://schemas.microsoft.com/office/drawing/2014/main" id="{D675C838-1CF9-4B2C-A5D0-A59DF88EC351}"/>
            </a:ext>
          </a:extLst>
        </xdr:cNvPr>
        <xdr:cNvSpPr/>
      </xdr:nvSpPr>
      <xdr:spPr>
        <a:xfrm>
          <a:off x="5158740" y="3951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372</xdr:row>
      <xdr:rowOff>0</xdr:rowOff>
    </xdr:from>
    <xdr:to>
      <xdr:col>14</xdr:col>
      <xdr:colOff>83820</xdr:colOff>
      <xdr:row>372</xdr:row>
      <xdr:rowOff>114300</xdr:rowOff>
    </xdr:to>
    <xdr:sp macro="" textlink="">
      <xdr:nvSpPr>
        <xdr:cNvPr id="380" name="Arrow: Down 379">
          <a:extLst>
            <a:ext uri="{FF2B5EF4-FFF2-40B4-BE49-F238E27FC236}">
              <a16:creationId xmlns:a16="http://schemas.microsoft.com/office/drawing/2014/main" id="{DD5615F6-71D9-40C6-9EE4-F6D331FB16CD}"/>
            </a:ext>
          </a:extLst>
        </xdr:cNvPr>
        <xdr:cNvSpPr/>
      </xdr:nvSpPr>
      <xdr:spPr>
        <a:xfrm>
          <a:off x="5158740" y="39700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373</xdr:row>
      <xdr:rowOff>0</xdr:rowOff>
    </xdr:from>
    <xdr:to>
      <xdr:col>14</xdr:col>
      <xdr:colOff>83820</xdr:colOff>
      <xdr:row>373</xdr:row>
      <xdr:rowOff>114300</xdr:rowOff>
    </xdr:to>
    <xdr:sp macro="" textlink="">
      <xdr:nvSpPr>
        <xdr:cNvPr id="382" name="Arrow: Down 381">
          <a:extLst>
            <a:ext uri="{FF2B5EF4-FFF2-40B4-BE49-F238E27FC236}">
              <a16:creationId xmlns:a16="http://schemas.microsoft.com/office/drawing/2014/main" id="{6801F03F-D681-4F86-809D-F4865ED0620C}"/>
            </a:ext>
          </a:extLst>
        </xdr:cNvPr>
        <xdr:cNvSpPr/>
      </xdr:nvSpPr>
      <xdr:spPr>
        <a:xfrm>
          <a:off x="5158740" y="3988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374</xdr:row>
      <xdr:rowOff>0</xdr:rowOff>
    </xdr:from>
    <xdr:to>
      <xdr:col>14</xdr:col>
      <xdr:colOff>83820</xdr:colOff>
      <xdr:row>374</xdr:row>
      <xdr:rowOff>114300</xdr:rowOff>
    </xdr:to>
    <xdr:sp macro="" textlink="">
      <xdr:nvSpPr>
        <xdr:cNvPr id="383" name="Arrow: Down 382">
          <a:extLst>
            <a:ext uri="{FF2B5EF4-FFF2-40B4-BE49-F238E27FC236}">
              <a16:creationId xmlns:a16="http://schemas.microsoft.com/office/drawing/2014/main" id="{2B12CCF5-0D49-49CB-8769-203508F683B1}"/>
            </a:ext>
          </a:extLst>
        </xdr:cNvPr>
        <xdr:cNvSpPr/>
      </xdr:nvSpPr>
      <xdr:spPr>
        <a:xfrm>
          <a:off x="5158740" y="4006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376</xdr:row>
      <xdr:rowOff>0</xdr:rowOff>
    </xdr:from>
    <xdr:to>
      <xdr:col>14</xdr:col>
      <xdr:colOff>83820</xdr:colOff>
      <xdr:row>376</xdr:row>
      <xdr:rowOff>114300</xdr:rowOff>
    </xdr:to>
    <xdr:sp macro="" textlink="">
      <xdr:nvSpPr>
        <xdr:cNvPr id="386" name="Arrow: Down 385">
          <a:extLst>
            <a:ext uri="{FF2B5EF4-FFF2-40B4-BE49-F238E27FC236}">
              <a16:creationId xmlns:a16="http://schemas.microsoft.com/office/drawing/2014/main" id="{6ED6ACED-C948-47EC-9C57-3C2F9E59A4B7}"/>
            </a:ext>
          </a:extLst>
        </xdr:cNvPr>
        <xdr:cNvSpPr/>
      </xdr:nvSpPr>
      <xdr:spPr>
        <a:xfrm>
          <a:off x="5158740" y="40431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375</xdr:row>
      <xdr:rowOff>0</xdr:rowOff>
    </xdr:from>
    <xdr:to>
      <xdr:col>14</xdr:col>
      <xdr:colOff>83820</xdr:colOff>
      <xdr:row>375</xdr:row>
      <xdr:rowOff>114300</xdr:rowOff>
    </xdr:to>
    <xdr:sp macro="" textlink="">
      <xdr:nvSpPr>
        <xdr:cNvPr id="387" name="Arrow: Down 386">
          <a:extLst>
            <a:ext uri="{FF2B5EF4-FFF2-40B4-BE49-F238E27FC236}">
              <a16:creationId xmlns:a16="http://schemas.microsoft.com/office/drawing/2014/main" id="{D6815C79-6CD7-42DD-B847-EF356FE7857E}"/>
            </a:ext>
          </a:extLst>
        </xdr:cNvPr>
        <xdr:cNvSpPr/>
      </xdr:nvSpPr>
      <xdr:spPr>
        <a:xfrm rot="10800000">
          <a:off x="5158740" y="4043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370</xdr:row>
      <xdr:rowOff>0</xdr:rowOff>
    </xdr:from>
    <xdr:to>
      <xdr:col>14</xdr:col>
      <xdr:colOff>83820</xdr:colOff>
      <xdr:row>370</xdr:row>
      <xdr:rowOff>114300</xdr:rowOff>
    </xdr:to>
    <xdr:sp macro="" textlink="">
      <xdr:nvSpPr>
        <xdr:cNvPr id="388" name="Arrow: Down 387">
          <a:extLst>
            <a:ext uri="{FF2B5EF4-FFF2-40B4-BE49-F238E27FC236}">
              <a16:creationId xmlns:a16="http://schemas.microsoft.com/office/drawing/2014/main" id="{322EABE6-391B-4837-9625-485B2ACDF2F1}"/>
            </a:ext>
          </a:extLst>
        </xdr:cNvPr>
        <xdr:cNvSpPr/>
      </xdr:nvSpPr>
      <xdr:spPr>
        <a:xfrm rot="10800000">
          <a:off x="5158740" y="39517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380</xdr:row>
      <xdr:rowOff>0</xdr:rowOff>
    </xdr:from>
    <xdr:to>
      <xdr:col>14</xdr:col>
      <xdr:colOff>83820</xdr:colOff>
      <xdr:row>380</xdr:row>
      <xdr:rowOff>114300</xdr:rowOff>
    </xdr:to>
    <xdr:sp macro="" textlink="">
      <xdr:nvSpPr>
        <xdr:cNvPr id="401" name="Arrow: Down 400">
          <a:extLst>
            <a:ext uri="{FF2B5EF4-FFF2-40B4-BE49-F238E27FC236}">
              <a16:creationId xmlns:a16="http://schemas.microsoft.com/office/drawing/2014/main" id="{537C3C99-F5FF-42B9-B6E4-2DEBE7457B46}"/>
            </a:ext>
          </a:extLst>
        </xdr:cNvPr>
        <xdr:cNvSpPr/>
      </xdr:nvSpPr>
      <xdr:spPr>
        <a:xfrm>
          <a:off x="5227320" y="41163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382</xdr:row>
      <xdr:rowOff>0</xdr:rowOff>
    </xdr:from>
    <xdr:to>
      <xdr:col>14</xdr:col>
      <xdr:colOff>83820</xdr:colOff>
      <xdr:row>382</xdr:row>
      <xdr:rowOff>114300</xdr:rowOff>
    </xdr:to>
    <xdr:sp macro="" textlink="">
      <xdr:nvSpPr>
        <xdr:cNvPr id="404" name="Arrow: Down 403">
          <a:extLst>
            <a:ext uri="{FF2B5EF4-FFF2-40B4-BE49-F238E27FC236}">
              <a16:creationId xmlns:a16="http://schemas.microsoft.com/office/drawing/2014/main" id="{A88E2DD4-3603-495C-A31F-02610AE0BCCB}"/>
            </a:ext>
          </a:extLst>
        </xdr:cNvPr>
        <xdr:cNvSpPr/>
      </xdr:nvSpPr>
      <xdr:spPr>
        <a:xfrm>
          <a:off x="5227320" y="4152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377</xdr:row>
      <xdr:rowOff>0</xdr:rowOff>
    </xdr:from>
    <xdr:to>
      <xdr:col>14</xdr:col>
      <xdr:colOff>83820</xdr:colOff>
      <xdr:row>377</xdr:row>
      <xdr:rowOff>114300</xdr:rowOff>
    </xdr:to>
    <xdr:sp macro="" textlink="">
      <xdr:nvSpPr>
        <xdr:cNvPr id="408" name="Arrow: Down 407">
          <a:extLst>
            <a:ext uri="{FF2B5EF4-FFF2-40B4-BE49-F238E27FC236}">
              <a16:creationId xmlns:a16="http://schemas.microsoft.com/office/drawing/2014/main" id="{59E956E9-66AD-42EE-A57F-FCF71B791753}"/>
            </a:ext>
          </a:extLst>
        </xdr:cNvPr>
        <xdr:cNvSpPr/>
      </xdr:nvSpPr>
      <xdr:spPr>
        <a:xfrm rot="10800000">
          <a:off x="5227320" y="40797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378</xdr:row>
      <xdr:rowOff>0</xdr:rowOff>
    </xdr:from>
    <xdr:to>
      <xdr:col>14</xdr:col>
      <xdr:colOff>83820</xdr:colOff>
      <xdr:row>378</xdr:row>
      <xdr:rowOff>114300</xdr:rowOff>
    </xdr:to>
    <xdr:sp macro="" textlink="">
      <xdr:nvSpPr>
        <xdr:cNvPr id="409" name="Arrow: Down 408">
          <a:extLst>
            <a:ext uri="{FF2B5EF4-FFF2-40B4-BE49-F238E27FC236}">
              <a16:creationId xmlns:a16="http://schemas.microsoft.com/office/drawing/2014/main" id="{9AB291E9-A91A-407C-9A98-DB74CC54CABA}"/>
            </a:ext>
          </a:extLst>
        </xdr:cNvPr>
        <xdr:cNvSpPr/>
      </xdr:nvSpPr>
      <xdr:spPr>
        <a:xfrm rot="10800000">
          <a:off x="5227320" y="4098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379</xdr:row>
      <xdr:rowOff>0</xdr:rowOff>
    </xdr:from>
    <xdr:to>
      <xdr:col>14</xdr:col>
      <xdr:colOff>83820</xdr:colOff>
      <xdr:row>379</xdr:row>
      <xdr:rowOff>114300</xdr:rowOff>
    </xdr:to>
    <xdr:sp macro="" textlink="">
      <xdr:nvSpPr>
        <xdr:cNvPr id="410" name="Arrow: Down 409">
          <a:extLst>
            <a:ext uri="{FF2B5EF4-FFF2-40B4-BE49-F238E27FC236}">
              <a16:creationId xmlns:a16="http://schemas.microsoft.com/office/drawing/2014/main" id="{B7324686-C959-4BE6-86C2-95A56691995E}"/>
            </a:ext>
          </a:extLst>
        </xdr:cNvPr>
        <xdr:cNvSpPr/>
      </xdr:nvSpPr>
      <xdr:spPr>
        <a:xfrm rot="10800000">
          <a:off x="5227320" y="4116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381</xdr:row>
      <xdr:rowOff>0</xdr:rowOff>
    </xdr:from>
    <xdr:to>
      <xdr:col>14</xdr:col>
      <xdr:colOff>83820</xdr:colOff>
      <xdr:row>381</xdr:row>
      <xdr:rowOff>114300</xdr:rowOff>
    </xdr:to>
    <xdr:sp macro="" textlink="">
      <xdr:nvSpPr>
        <xdr:cNvPr id="411" name="Arrow: Down 410">
          <a:extLst>
            <a:ext uri="{FF2B5EF4-FFF2-40B4-BE49-F238E27FC236}">
              <a16:creationId xmlns:a16="http://schemas.microsoft.com/office/drawing/2014/main" id="{234BBD48-8207-404A-88DC-CB27C2D6DD4A}"/>
            </a:ext>
          </a:extLst>
        </xdr:cNvPr>
        <xdr:cNvSpPr/>
      </xdr:nvSpPr>
      <xdr:spPr>
        <a:xfrm rot="10800000">
          <a:off x="5227320" y="41529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383</xdr:row>
      <xdr:rowOff>0</xdr:rowOff>
    </xdr:from>
    <xdr:to>
      <xdr:col>14</xdr:col>
      <xdr:colOff>83820</xdr:colOff>
      <xdr:row>383</xdr:row>
      <xdr:rowOff>114300</xdr:rowOff>
    </xdr:to>
    <xdr:sp macro="" textlink="">
      <xdr:nvSpPr>
        <xdr:cNvPr id="412" name="Arrow: Down 411">
          <a:extLst>
            <a:ext uri="{FF2B5EF4-FFF2-40B4-BE49-F238E27FC236}">
              <a16:creationId xmlns:a16="http://schemas.microsoft.com/office/drawing/2014/main" id="{8596615C-FB5F-4A1B-AC2A-4BDA6B061B89}"/>
            </a:ext>
          </a:extLst>
        </xdr:cNvPr>
        <xdr:cNvSpPr/>
      </xdr:nvSpPr>
      <xdr:spPr>
        <a:xfrm rot="10800000">
          <a:off x="5227320" y="4189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385</xdr:row>
      <xdr:rowOff>0</xdr:rowOff>
    </xdr:from>
    <xdr:to>
      <xdr:col>14</xdr:col>
      <xdr:colOff>83820</xdr:colOff>
      <xdr:row>385</xdr:row>
      <xdr:rowOff>114300</xdr:rowOff>
    </xdr:to>
    <xdr:sp macro="" textlink="">
      <xdr:nvSpPr>
        <xdr:cNvPr id="376" name="Arrow: Down 375">
          <a:extLst>
            <a:ext uri="{FF2B5EF4-FFF2-40B4-BE49-F238E27FC236}">
              <a16:creationId xmlns:a16="http://schemas.microsoft.com/office/drawing/2014/main" id="{CFFFED4B-3F77-4D1B-99D4-4CC1D2C09FB9}"/>
            </a:ext>
          </a:extLst>
        </xdr:cNvPr>
        <xdr:cNvSpPr/>
      </xdr:nvSpPr>
      <xdr:spPr>
        <a:xfrm rot="10800000">
          <a:off x="5227320" y="42077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387</xdr:row>
      <xdr:rowOff>0</xdr:rowOff>
    </xdr:from>
    <xdr:to>
      <xdr:col>14</xdr:col>
      <xdr:colOff>83820</xdr:colOff>
      <xdr:row>387</xdr:row>
      <xdr:rowOff>114300</xdr:rowOff>
    </xdr:to>
    <xdr:sp macro="" textlink="">
      <xdr:nvSpPr>
        <xdr:cNvPr id="384" name="Arrow: Down 383">
          <a:extLst>
            <a:ext uri="{FF2B5EF4-FFF2-40B4-BE49-F238E27FC236}">
              <a16:creationId xmlns:a16="http://schemas.microsoft.com/office/drawing/2014/main" id="{3636634A-72B2-48DD-A711-0D4095E4F045}"/>
            </a:ext>
          </a:extLst>
        </xdr:cNvPr>
        <xdr:cNvSpPr/>
      </xdr:nvSpPr>
      <xdr:spPr>
        <a:xfrm rot="10800000">
          <a:off x="5227320" y="42443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384</xdr:row>
      <xdr:rowOff>0</xdr:rowOff>
    </xdr:from>
    <xdr:to>
      <xdr:col>14</xdr:col>
      <xdr:colOff>83820</xdr:colOff>
      <xdr:row>384</xdr:row>
      <xdr:rowOff>114300</xdr:rowOff>
    </xdr:to>
    <xdr:sp macro="" textlink="">
      <xdr:nvSpPr>
        <xdr:cNvPr id="392" name="Arrow: Down 391">
          <a:extLst>
            <a:ext uri="{FF2B5EF4-FFF2-40B4-BE49-F238E27FC236}">
              <a16:creationId xmlns:a16="http://schemas.microsoft.com/office/drawing/2014/main" id="{C3C1A607-F3B5-4671-ADEE-868F22EDFC22}"/>
            </a:ext>
          </a:extLst>
        </xdr:cNvPr>
        <xdr:cNvSpPr/>
      </xdr:nvSpPr>
      <xdr:spPr>
        <a:xfrm>
          <a:off x="5227320" y="42077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388</xdr:row>
      <xdr:rowOff>0</xdr:rowOff>
    </xdr:from>
    <xdr:to>
      <xdr:col>14</xdr:col>
      <xdr:colOff>83820</xdr:colOff>
      <xdr:row>388</xdr:row>
      <xdr:rowOff>114300</xdr:rowOff>
    </xdr:to>
    <xdr:sp macro="" textlink="">
      <xdr:nvSpPr>
        <xdr:cNvPr id="394" name="Arrow: Down 393">
          <a:extLst>
            <a:ext uri="{FF2B5EF4-FFF2-40B4-BE49-F238E27FC236}">
              <a16:creationId xmlns:a16="http://schemas.microsoft.com/office/drawing/2014/main" id="{73AEAE3D-7CDB-41AD-BA04-DB1C09EF5F0E}"/>
            </a:ext>
          </a:extLst>
        </xdr:cNvPr>
        <xdr:cNvSpPr/>
      </xdr:nvSpPr>
      <xdr:spPr>
        <a:xfrm>
          <a:off x="5227320" y="42809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389</xdr:row>
      <xdr:rowOff>0</xdr:rowOff>
    </xdr:from>
    <xdr:to>
      <xdr:col>14</xdr:col>
      <xdr:colOff>83820</xdr:colOff>
      <xdr:row>389</xdr:row>
      <xdr:rowOff>114300</xdr:rowOff>
    </xdr:to>
    <xdr:sp macro="" textlink="">
      <xdr:nvSpPr>
        <xdr:cNvPr id="395" name="Arrow: Down 394">
          <a:extLst>
            <a:ext uri="{FF2B5EF4-FFF2-40B4-BE49-F238E27FC236}">
              <a16:creationId xmlns:a16="http://schemas.microsoft.com/office/drawing/2014/main" id="{721685FB-1E96-44E7-B9D2-19FB871074C5}"/>
            </a:ext>
          </a:extLst>
        </xdr:cNvPr>
        <xdr:cNvSpPr/>
      </xdr:nvSpPr>
      <xdr:spPr>
        <a:xfrm>
          <a:off x="5227320" y="42992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386</xdr:row>
      <xdr:rowOff>0</xdr:rowOff>
    </xdr:from>
    <xdr:to>
      <xdr:col>14</xdr:col>
      <xdr:colOff>83820</xdr:colOff>
      <xdr:row>386</xdr:row>
      <xdr:rowOff>114300</xdr:rowOff>
    </xdr:to>
    <xdr:sp macro="" textlink="">
      <xdr:nvSpPr>
        <xdr:cNvPr id="397" name="Arrow: Down 396">
          <a:extLst>
            <a:ext uri="{FF2B5EF4-FFF2-40B4-BE49-F238E27FC236}">
              <a16:creationId xmlns:a16="http://schemas.microsoft.com/office/drawing/2014/main" id="{445DFCA4-0ACD-42B1-8A8F-ADDE993C6FBA}"/>
            </a:ext>
          </a:extLst>
        </xdr:cNvPr>
        <xdr:cNvSpPr/>
      </xdr:nvSpPr>
      <xdr:spPr>
        <a:xfrm>
          <a:off x="5227320" y="4244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390</xdr:row>
      <xdr:rowOff>0</xdr:rowOff>
    </xdr:from>
    <xdr:to>
      <xdr:col>14</xdr:col>
      <xdr:colOff>83820</xdr:colOff>
      <xdr:row>390</xdr:row>
      <xdr:rowOff>114300</xdr:rowOff>
    </xdr:to>
    <xdr:sp macro="" textlink="">
      <xdr:nvSpPr>
        <xdr:cNvPr id="398" name="Arrow: Down 397">
          <a:extLst>
            <a:ext uri="{FF2B5EF4-FFF2-40B4-BE49-F238E27FC236}">
              <a16:creationId xmlns:a16="http://schemas.microsoft.com/office/drawing/2014/main" id="{CA9318E4-3F9D-42CC-9535-8FA227472A11}"/>
            </a:ext>
          </a:extLst>
        </xdr:cNvPr>
        <xdr:cNvSpPr/>
      </xdr:nvSpPr>
      <xdr:spPr>
        <a:xfrm>
          <a:off x="5227320" y="43174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391</xdr:row>
      <xdr:rowOff>0</xdr:rowOff>
    </xdr:from>
    <xdr:to>
      <xdr:col>14</xdr:col>
      <xdr:colOff>83820</xdr:colOff>
      <xdr:row>391</xdr:row>
      <xdr:rowOff>114300</xdr:rowOff>
    </xdr:to>
    <xdr:sp macro="" textlink="">
      <xdr:nvSpPr>
        <xdr:cNvPr id="374" name="Arrow: Down 373">
          <a:extLst>
            <a:ext uri="{FF2B5EF4-FFF2-40B4-BE49-F238E27FC236}">
              <a16:creationId xmlns:a16="http://schemas.microsoft.com/office/drawing/2014/main" id="{A93ACB9A-1632-41A8-A019-6B0958DF505E}"/>
            </a:ext>
          </a:extLst>
        </xdr:cNvPr>
        <xdr:cNvSpPr/>
      </xdr:nvSpPr>
      <xdr:spPr>
        <a:xfrm>
          <a:off x="5227320" y="43174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393</xdr:row>
      <xdr:rowOff>0</xdr:rowOff>
    </xdr:from>
    <xdr:to>
      <xdr:col>14</xdr:col>
      <xdr:colOff>83820</xdr:colOff>
      <xdr:row>393</xdr:row>
      <xdr:rowOff>114300</xdr:rowOff>
    </xdr:to>
    <xdr:sp macro="" textlink="">
      <xdr:nvSpPr>
        <xdr:cNvPr id="381" name="Arrow: Down 380">
          <a:extLst>
            <a:ext uri="{FF2B5EF4-FFF2-40B4-BE49-F238E27FC236}">
              <a16:creationId xmlns:a16="http://schemas.microsoft.com/office/drawing/2014/main" id="{C69F5037-C418-4748-9510-D94B1A5F397B}"/>
            </a:ext>
          </a:extLst>
        </xdr:cNvPr>
        <xdr:cNvSpPr/>
      </xdr:nvSpPr>
      <xdr:spPr>
        <a:xfrm>
          <a:off x="5227320" y="43540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396</xdr:row>
      <xdr:rowOff>0</xdr:rowOff>
    </xdr:from>
    <xdr:to>
      <xdr:col>14</xdr:col>
      <xdr:colOff>83820</xdr:colOff>
      <xdr:row>396</xdr:row>
      <xdr:rowOff>114300</xdr:rowOff>
    </xdr:to>
    <xdr:sp macro="" textlink="">
      <xdr:nvSpPr>
        <xdr:cNvPr id="396" name="Arrow: Down 395">
          <a:extLst>
            <a:ext uri="{FF2B5EF4-FFF2-40B4-BE49-F238E27FC236}">
              <a16:creationId xmlns:a16="http://schemas.microsoft.com/office/drawing/2014/main" id="{1E71563A-2699-438A-AFBD-368B7A054898}"/>
            </a:ext>
          </a:extLst>
        </xdr:cNvPr>
        <xdr:cNvSpPr/>
      </xdr:nvSpPr>
      <xdr:spPr>
        <a:xfrm>
          <a:off x="5227320" y="4408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397</xdr:row>
      <xdr:rowOff>0</xdr:rowOff>
    </xdr:from>
    <xdr:to>
      <xdr:col>14</xdr:col>
      <xdr:colOff>83820</xdr:colOff>
      <xdr:row>397</xdr:row>
      <xdr:rowOff>114300</xdr:rowOff>
    </xdr:to>
    <xdr:sp macro="" textlink="">
      <xdr:nvSpPr>
        <xdr:cNvPr id="399" name="Arrow: Down 398">
          <a:extLst>
            <a:ext uri="{FF2B5EF4-FFF2-40B4-BE49-F238E27FC236}">
              <a16:creationId xmlns:a16="http://schemas.microsoft.com/office/drawing/2014/main" id="{A78D1BBE-B32F-4FCF-9328-15F4B80172DD}"/>
            </a:ext>
          </a:extLst>
        </xdr:cNvPr>
        <xdr:cNvSpPr/>
      </xdr:nvSpPr>
      <xdr:spPr>
        <a:xfrm>
          <a:off x="5227320" y="44272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395</xdr:row>
      <xdr:rowOff>0</xdr:rowOff>
    </xdr:from>
    <xdr:to>
      <xdr:col>14</xdr:col>
      <xdr:colOff>83820</xdr:colOff>
      <xdr:row>395</xdr:row>
      <xdr:rowOff>114300</xdr:rowOff>
    </xdr:to>
    <xdr:sp macro="" textlink="">
      <xdr:nvSpPr>
        <xdr:cNvPr id="400" name="Arrow: Down 399">
          <a:extLst>
            <a:ext uri="{FF2B5EF4-FFF2-40B4-BE49-F238E27FC236}">
              <a16:creationId xmlns:a16="http://schemas.microsoft.com/office/drawing/2014/main" id="{B4929B87-2281-4785-B952-4687A6FA27EA}"/>
            </a:ext>
          </a:extLst>
        </xdr:cNvPr>
        <xdr:cNvSpPr/>
      </xdr:nvSpPr>
      <xdr:spPr>
        <a:xfrm rot="10800000">
          <a:off x="5227320" y="44089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392</xdr:row>
      <xdr:rowOff>0</xdr:rowOff>
    </xdr:from>
    <xdr:to>
      <xdr:col>14</xdr:col>
      <xdr:colOff>83820</xdr:colOff>
      <xdr:row>392</xdr:row>
      <xdr:rowOff>114300</xdr:rowOff>
    </xdr:to>
    <xdr:sp macro="" textlink="">
      <xdr:nvSpPr>
        <xdr:cNvPr id="402" name="Arrow: Down 401">
          <a:extLst>
            <a:ext uri="{FF2B5EF4-FFF2-40B4-BE49-F238E27FC236}">
              <a16:creationId xmlns:a16="http://schemas.microsoft.com/office/drawing/2014/main" id="{21183CC8-11B0-4230-89EF-4478CD63A811}"/>
            </a:ext>
          </a:extLst>
        </xdr:cNvPr>
        <xdr:cNvSpPr/>
      </xdr:nvSpPr>
      <xdr:spPr>
        <a:xfrm rot="10800000">
          <a:off x="5227320" y="4354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394</xdr:row>
      <xdr:rowOff>0</xdr:rowOff>
    </xdr:from>
    <xdr:to>
      <xdr:col>14</xdr:col>
      <xdr:colOff>83820</xdr:colOff>
      <xdr:row>394</xdr:row>
      <xdr:rowOff>114300</xdr:rowOff>
    </xdr:to>
    <xdr:sp macro="" textlink="">
      <xdr:nvSpPr>
        <xdr:cNvPr id="403" name="Arrow: Down 402">
          <a:extLst>
            <a:ext uri="{FF2B5EF4-FFF2-40B4-BE49-F238E27FC236}">
              <a16:creationId xmlns:a16="http://schemas.microsoft.com/office/drawing/2014/main" id="{34E3B92E-D094-4A56-B63A-5853BE586010}"/>
            </a:ext>
          </a:extLst>
        </xdr:cNvPr>
        <xdr:cNvSpPr/>
      </xdr:nvSpPr>
      <xdr:spPr>
        <a:xfrm rot="10800000">
          <a:off x="5227320" y="43906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399</xdr:row>
      <xdr:rowOff>0</xdr:rowOff>
    </xdr:from>
    <xdr:to>
      <xdr:col>14</xdr:col>
      <xdr:colOff>83820</xdr:colOff>
      <xdr:row>399</xdr:row>
      <xdr:rowOff>114300</xdr:rowOff>
    </xdr:to>
    <xdr:sp macro="" textlink="">
      <xdr:nvSpPr>
        <xdr:cNvPr id="379" name="Arrow: Down 378">
          <a:extLst>
            <a:ext uri="{FF2B5EF4-FFF2-40B4-BE49-F238E27FC236}">
              <a16:creationId xmlns:a16="http://schemas.microsoft.com/office/drawing/2014/main" id="{DD749A66-15E9-4D21-A13A-0A2FDE1AF2BB}"/>
            </a:ext>
          </a:extLst>
        </xdr:cNvPr>
        <xdr:cNvSpPr/>
      </xdr:nvSpPr>
      <xdr:spPr>
        <a:xfrm>
          <a:off x="5227320" y="4463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403</xdr:row>
      <xdr:rowOff>0</xdr:rowOff>
    </xdr:from>
    <xdr:to>
      <xdr:col>14</xdr:col>
      <xdr:colOff>83820</xdr:colOff>
      <xdr:row>403</xdr:row>
      <xdr:rowOff>114300</xdr:rowOff>
    </xdr:to>
    <xdr:sp macro="" textlink="">
      <xdr:nvSpPr>
        <xdr:cNvPr id="406" name="Arrow: Down 405">
          <a:extLst>
            <a:ext uri="{FF2B5EF4-FFF2-40B4-BE49-F238E27FC236}">
              <a16:creationId xmlns:a16="http://schemas.microsoft.com/office/drawing/2014/main" id="{121EA589-A15B-44A5-95C4-2A2E8CBE13DC}"/>
            </a:ext>
          </a:extLst>
        </xdr:cNvPr>
        <xdr:cNvSpPr/>
      </xdr:nvSpPr>
      <xdr:spPr>
        <a:xfrm>
          <a:off x="5227320" y="4536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404</xdr:row>
      <xdr:rowOff>0</xdr:rowOff>
    </xdr:from>
    <xdr:to>
      <xdr:col>14</xdr:col>
      <xdr:colOff>83820</xdr:colOff>
      <xdr:row>404</xdr:row>
      <xdr:rowOff>114300</xdr:rowOff>
    </xdr:to>
    <xdr:sp macro="" textlink="">
      <xdr:nvSpPr>
        <xdr:cNvPr id="407" name="Arrow: Down 406">
          <a:extLst>
            <a:ext uri="{FF2B5EF4-FFF2-40B4-BE49-F238E27FC236}">
              <a16:creationId xmlns:a16="http://schemas.microsoft.com/office/drawing/2014/main" id="{CF2EF538-F27E-4939-8161-1F9B923AE564}"/>
            </a:ext>
          </a:extLst>
        </xdr:cNvPr>
        <xdr:cNvSpPr/>
      </xdr:nvSpPr>
      <xdr:spPr>
        <a:xfrm>
          <a:off x="5227320" y="45552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398</xdr:row>
      <xdr:rowOff>0</xdr:rowOff>
    </xdr:from>
    <xdr:to>
      <xdr:col>14</xdr:col>
      <xdr:colOff>83820</xdr:colOff>
      <xdr:row>398</xdr:row>
      <xdr:rowOff>114300</xdr:rowOff>
    </xdr:to>
    <xdr:sp macro="" textlink="">
      <xdr:nvSpPr>
        <xdr:cNvPr id="414" name="Arrow: Down 413">
          <a:extLst>
            <a:ext uri="{FF2B5EF4-FFF2-40B4-BE49-F238E27FC236}">
              <a16:creationId xmlns:a16="http://schemas.microsoft.com/office/drawing/2014/main" id="{227E1D89-4CE9-4309-98CC-48841CEBD6C5}"/>
            </a:ext>
          </a:extLst>
        </xdr:cNvPr>
        <xdr:cNvSpPr/>
      </xdr:nvSpPr>
      <xdr:spPr>
        <a:xfrm rot="10800000">
          <a:off x="5227320" y="44637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402</xdr:row>
      <xdr:rowOff>0</xdr:rowOff>
    </xdr:from>
    <xdr:to>
      <xdr:col>14</xdr:col>
      <xdr:colOff>83820</xdr:colOff>
      <xdr:row>402</xdr:row>
      <xdr:rowOff>114300</xdr:rowOff>
    </xdr:to>
    <xdr:sp macro="" textlink="">
      <xdr:nvSpPr>
        <xdr:cNvPr id="416" name="Arrow: Down 415">
          <a:extLst>
            <a:ext uri="{FF2B5EF4-FFF2-40B4-BE49-F238E27FC236}">
              <a16:creationId xmlns:a16="http://schemas.microsoft.com/office/drawing/2014/main" id="{E41F036A-F23E-4CF1-BA09-2F2C1F5975D4}"/>
            </a:ext>
          </a:extLst>
        </xdr:cNvPr>
        <xdr:cNvSpPr/>
      </xdr:nvSpPr>
      <xdr:spPr>
        <a:xfrm rot="10800000">
          <a:off x="5227320" y="45369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401</xdr:row>
      <xdr:rowOff>0</xdr:rowOff>
    </xdr:from>
    <xdr:to>
      <xdr:col>14</xdr:col>
      <xdr:colOff>83820</xdr:colOff>
      <xdr:row>401</xdr:row>
      <xdr:rowOff>114300</xdr:rowOff>
    </xdr:to>
    <xdr:sp macro="" textlink="">
      <xdr:nvSpPr>
        <xdr:cNvPr id="418" name="Arrow: Down 417">
          <a:extLst>
            <a:ext uri="{FF2B5EF4-FFF2-40B4-BE49-F238E27FC236}">
              <a16:creationId xmlns:a16="http://schemas.microsoft.com/office/drawing/2014/main" id="{10071AC7-26E2-4A05-8D00-7B7103127BF9}"/>
            </a:ext>
          </a:extLst>
        </xdr:cNvPr>
        <xdr:cNvSpPr/>
      </xdr:nvSpPr>
      <xdr:spPr>
        <a:xfrm rot="10800000">
          <a:off x="5227320" y="4518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400</xdr:row>
      <xdr:rowOff>0</xdr:rowOff>
    </xdr:from>
    <xdr:to>
      <xdr:col>14</xdr:col>
      <xdr:colOff>83820</xdr:colOff>
      <xdr:row>400</xdr:row>
      <xdr:rowOff>114300</xdr:rowOff>
    </xdr:to>
    <xdr:sp macro="" textlink="">
      <xdr:nvSpPr>
        <xdr:cNvPr id="419" name="Arrow: Down 418">
          <a:extLst>
            <a:ext uri="{FF2B5EF4-FFF2-40B4-BE49-F238E27FC236}">
              <a16:creationId xmlns:a16="http://schemas.microsoft.com/office/drawing/2014/main" id="{D07B7DAF-1BEB-4C1D-8F10-EEC5E2CAA126}"/>
            </a:ext>
          </a:extLst>
        </xdr:cNvPr>
        <xdr:cNvSpPr/>
      </xdr:nvSpPr>
      <xdr:spPr>
        <a:xfrm rot="10800000">
          <a:off x="5227320" y="4500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405</xdr:row>
      <xdr:rowOff>0</xdr:rowOff>
    </xdr:from>
    <xdr:to>
      <xdr:col>14</xdr:col>
      <xdr:colOff>83820</xdr:colOff>
      <xdr:row>405</xdr:row>
      <xdr:rowOff>114300</xdr:rowOff>
    </xdr:to>
    <xdr:sp macro="" textlink="">
      <xdr:nvSpPr>
        <xdr:cNvPr id="420" name="Arrow: Down 419">
          <a:extLst>
            <a:ext uri="{FF2B5EF4-FFF2-40B4-BE49-F238E27FC236}">
              <a16:creationId xmlns:a16="http://schemas.microsoft.com/office/drawing/2014/main" id="{306F4B0D-39CA-44A2-9164-181BB437417A}"/>
            </a:ext>
          </a:extLst>
        </xdr:cNvPr>
        <xdr:cNvSpPr/>
      </xdr:nvSpPr>
      <xdr:spPr>
        <a:xfrm>
          <a:off x="5227320" y="45735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407</xdr:row>
      <xdr:rowOff>0</xdr:rowOff>
    </xdr:from>
    <xdr:to>
      <xdr:col>14</xdr:col>
      <xdr:colOff>83820</xdr:colOff>
      <xdr:row>407</xdr:row>
      <xdr:rowOff>114300</xdr:rowOff>
    </xdr:to>
    <xdr:sp macro="" textlink="">
      <xdr:nvSpPr>
        <xdr:cNvPr id="424" name="Arrow: Down 423">
          <a:extLst>
            <a:ext uri="{FF2B5EF4-FFF2-40B4-BE49-F238E27FC236}">
              <a16:creationId xmlns:a16="http://schemas.microsoft.com/office/drawing/2014/main" id="{92DBF95C-FD7E-4BE4-A5F4-4F1488491518}"/>
            </a:ext>
          </a:extLst>
        </xdr:cNvPr>
        <xdr:cNvSpPr/>
      </xdr:nvSpPr>
      <xdr:spPr>
        <a:xfrm>
          <a:off x="5227320" y="4610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409</xdr:row>
      <xdr:rowOff>0</xdr:rowOff>
    </xdr:from>
    <xdr:to>
      <xdr:col>14</xdr:col>
      <xdr:colOff>83820</xdr:colOff>
      <xdr:row>409</xdr:row>
      <xdr:rowOff>114300</xdr:rowOff>
    </xdr:to>
    <xdr:sp macro="" textlink="">
      <xdr:nvSpPr>
        <xdr:cNvPr id="427" name="Arrow: Down 426">
          <a:extLst>
            <a:ext uri="{FF2B5EF4-FFF2-40B4-BE49-F238E27FC236}">
              <a16:creationId xmlns:a16="http://schemas.microsoft.com/office/drawing/2014/main" id="{DFDE7DDC-7687-4F19-A1A2-DF6F2587508B}"/>
            </a:ext>
          </a:extLst>
        </xdr:cNvPr>
        <xdr:cNvSpPr/>
      </xdr:nvSpPr>
      <xdr:spPr>
        <a:xfrm>
          <a:off x="5227320" y="46466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410</xdr:row>
      <xdr:rowOff>0</xdr:rowOff>
    </xdr:from>
    <xdr:to>
      <xdr:col>14</xdr:col>
      <xdr:colOff>83820</xdr:colOff>
      <xdr:row>410</xdr:row>
      <xdr:rowOff>114300</xdr:rowOff>
    </xdr:to>
    <xdr:sp macro="" textlink="">
      <xdr:nvSpPr>
        <xdr:cNvPr id="430" name="Arrow: Down 429">
          <a:extLst>
            <a:ext uri="{FF2B5EF4-FFF2-40B4-BE49-F238E27FC236}">
              <a16:creationId xmlns:a16="http://schemas.microsoft.com/office/drawing/2014/main" id="{BDF252DF-6DC1-484A-8B04-E326389FF52C}"/>
            </a:ext>
          </a:extLst>
        </xdr:cNvPr>
        <xdr:cNvSpPr/>
      </xdr:nvSpPr>
      <xdr:spPr>
        <a:xfrm rot="10800000">
          <a:off x="5227320" y="46832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408</xdr:row>
      <xdr:rowOff>0</xdr:rowOff>
    </xdr:from>
    <xdr:to>
      <xdr:col>14</xdr:col>
      <xdr:colOff>83820</xdr:colOff>
      <xdr:row>408</xdr:row>
      <xdr:rowOff>114300</xdr:rowOff>
    </xdr:to>
    <xdr:sp macro="" textlink="">
      <xdr:nvSpPr>
        <xdr:cNvPr id="431" name="Arrow: Down 430">
          <a:extLst>
            <a:ext uri="{FF2B5EF4-FFF2-40B4-BE49-F238E27FC236}">
              <a16:creationId xmlns:a16="http://schemas.microsoft.com/office/drawing/2014/main" id="{4D083B1D-22B3-4950-9EFE-02F7775E7FF8}"/>
            </a:ext>
          </a:extLst>
        </xdr:cNvPr>
        <xdr:cNvSpPr/>
      </xdr:nvSpPr>
      <xdr:spPr>
        <a:xfrm rot="10800000">
          <a:off x="5227320" y="4646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406</xdr:row>
      <xdr:rowOff>0</xdr:rowOff>
    </xdr:from>
    <xdr:to>
      <xdr:col>14</xdr:col>
      <xdr:colOff>83820</xdr:colOff>
      <xdr:row>406</xdr:row>
      <xdr:rowOff>114300</xdr:rowOff>
    </xdr:to>
    <xdr:sp macro="" textlink="">
      <xdr:nvSpPr>
        <xdr:cNvPr id="432" name="Arrow: Down 431">
          <a:extLst>
            <a:ext uri="{FF2B5EF4-FFF2-40B4-BE49-F238E27FC236}">
              <a16:creationId xmlns:a16="http://schemas.microsoft.com/office/drawing/2014/main" id="{9910E1DB-7265-4C60-8815-A8ED5593AC7B}"/>
            </a:ext>
          </a:extLst>
        </xdr:cNvPr>
        <xdr:cNvSpPr/>
      </xdr:nvSpPr>
      <xdr:spPr>
        <a:xfrm rot="10800000">
          <a:off x="5227320" y="46101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411</xdr:row>
      <xdr:rowOff>0</xdr:rowOff>
    </xdr:from>
    <xdr:to>
      <xdr:col>14</xdr:col>
      <xdr:colOff>83820</xdr:colOff>
      <xdr:row>411</xdr:row>
      <xdr:rowOff>114300</xdr:rowOff>
    </xdr:to>
    <xdr:sp macro="" textlink="">
      <xdr:nvSpPr>
        <xdr:cNvPr id="390" name="Arrow: Down 389">
          <a:extLst>
            <a:ext uri="{FF2B5EF4-FFF2-40B4-BE49-F238E27FC236}">
              <a16:creationId xmlns:a16="http://schemas.microsoft.com/office/drawing/2014/main" id="{E4649135-4F35-4B58-8F42-75226049A01B}"/>
            </a:ext>
          </a:extLst>
        </xdr:cNvPr>
        <xdr:cNvSpPr/>
      </xdr:nvSpPr>
      <xdr:spPr>
        <a:xfrm>
          <a:off x="5227320" y="4701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412</xdr:row>
      <xdr:rowOff>0</xdr:rowOff>
    </xdr:from>
    <xdr:to>
      <xdr:col>14</xdr:col>
      <xdr:colOff>83820</xdr:colOff>
      <xdr:row>412</xdr:row>
      <xdr:rowOff>114300</xdr:rowOff>
    </xdr:to>
    <xdr:sp macro="" textlink="">
      <xdr:nvSpPr>
        <xdr:cNvPr id="391" name="Arrow: Down 390">
          <a:extLst>
            <a:ext uri="{FF2B5EF4-FFF2-40B4-BE49-F238E27FC236}">
              <a16:creationId xmlns:a16="http://schemas.microsoft.com/office/drawing/2014/main" id="{A4241854-F78E-4B9A-AE51-4ACF11375E8D}"/>
            </a:ext>
          </a:extLst>
        </xdr:cNvPr>
        <xdr:cNvSpPr/>
      </xdr:nvSpPr>
      <xdr:spPr>
        <a:xfrm>
          <a:off x="5227320" y="4701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413</xdr:row>
      <xdr:rowOff>0</xdr:rowOff>
    </xdr:from>
    <xdr:to>
      <xdr:col>14</xdr:col>
      <xdr:colOff>83820</xdr:colOff>
      <xdr:row>413</xdr:row>
      <xdr:rowOff>114300</xdr:rowOff>
    </xdr:to>
    <xdr:sp macro="" textlink="">
      <xdr:nvSpPr>
        <xdr:cNvPr id="393" name="Arrow: Down 392">
          <a:extLst>
            <a:ext uri="{FF2B5EF4-FFF2-40B4-BE49-F238E27FC236}">
              <a16:creationId xmlns:a16="http://schemas.microsoft.com/office/drawing/2014/main" id="{FEB24C0E-B258-4724-B0E1-5778C90B190C}"/>
            </a:ext>
          </a:extLst>
        </xdr:cNvPr>
        <xdr:cNvSpPr/>
      </xdr:nvSpPr>
      <xdr:spPr>
        <a:xfrm>
          <a:off x="5227320" y="4719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416</xdr:row>
      <xdr:rowOff>0</xdr:rowOff>
    </xdr:from>
    <xdr:to>
      <xdr:col>14</xdr:col>
      <xdr:colOff>83820</xdr:colOff>
      <xdr:row>416</xdr:row>
      <xdr:rowOff>114300</xdr:rowOff>
    </xdr:to>
    <xdr:sp macro="" textlink="">
      <xdr:nvSpPr>
        <xdr:cNvPr id="422" name="Arrow: Down 421">
          <a:extLst>
            <a:ext uri="{FF2B5EF4-FFF2-40B4-BE49-F238E27FC236}">
              <a16:creationId xmlns:a16="http://schemas.microsoft.com/office/drawing/2014/main" id="{290BC824-0E93-475B-9531-86FDF5D090ED}"/>
            </a:ext>
          </a:extLst>
        </xdr:cNvPr>
        <xdr:cNvSpPr/>
      </xdr:nvSpPr>
      <xdr:spPr>
        <a:xfrm>
          <a:off x="5227320" y="4774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417</xdr:row>
      <xdr:rowOff>0</xdr:rowOff>
    </xdr:from>
    <xdr:to>
      <xdr:col>14</xdr:col>
      <xdr:colOff>83820</xdr:colOff>
      <xdr:row>417</xdr:row>
      <xdr:rowOff>114300</xdr:rowOff>
    </xdr:to>
    <xdr:sp macro="" textlink="">
      <xdr:nvSpPr>
        <xdr:cNvPr id="425" name="Arrow: Down 424">
          <a:extLst>
            <a:ext uri="{FF2B5EF4-FFF2-40B4-BE49-F238E27FC236}">
              <a16:creationId xmlns:a16="http://schemas.microsoft.com/office/drawing/2014/main" id="{F4C610E4-B02C-4724-AB41-21DDEF3BAE45}"/>
            </a:ext>
          </a:extLst>
        </xdr:cNvPr>
        <xdr:cNvSpPr/>
      </xdr:nvSpPr>
      <xdr:spPr>
        <a:xfrm>
          <a:off x="5227320" y="4811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414</xdr:row>
      <xdr:rowOff>0</xdr:rowOff>
    </xdr:from>
    <xdr:to>
      <xdr:col>14</xdr:col>
      <xdr:colOff>83820</xdr:colOff>
      <xdr:row>414</xdr:row>
      <xdr:rowOff>114300</xdr:rowOff>
    </xdr:to>
    <xdr:sp macro="" textlink="">
      <xdr:nvSpPr>
        <xdr:cNvPr id="426" name="Arrow: Down 425">
          <a:extLst>
            <a:ext uri="{FF2B5EF4-FFF2-40B4-BE49-F238E27FC236}">
              <a16:creationId xmlns:a16="http://schemas.microsoft.com/office/drawing/2014/main" id="{35C62D43-6A4B-4A2A-8148-3882AFF110CE}"/>
            </a:ext>
          </a:extLst>
        </xdr:cNvPr>
        <xdr:cNvSpPr/>
      </xdr:nvSpPr>
      <xdr:spPr>
        <a:xfrm rot="10800000">
          <a:off x="5227320" y="47564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415</xdr:row>
      <xdr:rowOff>0</xdr:rowOff>
    </xdr:from>
    <xdr:to>
      <xdr:col>14</xdr:col>
      <xdr:colOff>83820</xdr:colOff>
      <xdr:row>415</xdr:row>
      <xdr:rowOff>114300</xdr:rowOff>
    </xdr:to>
    <xdr:sp macro="" textlink="">
      <xdr:nvSpPr>
        <xdr:cNvPr id="428" name="Arrow: Down 427">
          <a:extLst>
            <a:ext uri="{FF2B5EF4-FFF2-40B4-BE49-F238E27FC236}">
              <a16:creationId xmlns:a16="http://schemas.microsoft.com/office/drawing/2014/main" id="{964712E2-9FF7-4831-B321-6755CA62CD9B}"/>
            </a:ext>
          </a:extLst>
        </xdr:cNvPr>
        <xdr:cNvSpPr/>
      </xdr:nvSpPr>
      <xdr:spPr>
        <a:xfrm rot="10800000">
          <a:off x="5227320" y="47746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418</xdr:row>
      <xdr:rowOff>0</xdr:rowOff>
    </xdr:from>
    <xdr:to>
      <xdr:col>14</xdr:col>
      <xdr:colOff>83820</xdr:colOff>
      <xdr:row>418</xdr:row>
      <xdr:rowOff>114300</xdr:rowOff>
    </xdr:to>
    <xdr:sp macro="" textlink="">
      <xdr:nvSpPr>
        <xdr:cNvPr id="433" name="Arrow: Down 432">
          <a:extLst>
            <a:ext uri="{FF2B5EF4-FFF2-40B4-BE49-F238E27FC236}">
              <a16:creationId xmlns:a16="http://schemas.microsoft.com/office/drawing/2014/main" id="{90CE3910-BC58-4FE7-87DF-BF462D9E7249}"/>
            </a:ext>
          </a:extLst>
        </xdr:cNvPr>
        <xdr:cNvSpPr/>
      </xdr:nvSpPr>
      <xdr:spPr>
        <a:xfrm>
          <a:off x="5227320" y="4811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420</xdr:row>
      <xdr:rowOff>0</xdr:rowOff>
    </xdr:from>
    <xdr:to>
      <xdr:col>14</xdr:col>
      <xdr:colOff>83820</xdr:colOff>
      <xdr:row>420</xdr:row>
      <xdr:rowOff>114300</xdr:rowOff>
    </xdr:to>
    <xdr:sp macro="" textlink="">
      <xdr:nvSpPr>
        <xdr:cNvPr id="413" name="Arrow: Down 412">
          <a:extLst>
            <a:ext uri="{FF2B5EF4-FFF2-40B4-BE49-F238E27FC236}">
              <a16:creationId xmlns:a16="http://schemas.microsoft.com/office/drawing/2014/main" id="{E6A6CED9-BD7D-42B7-9E96-CB871315DD1B}"/>
            </a:ext>
          </a:extLst>
        </xdr:cNvPr>
        <xdr:cNvSpPr/>
      </xdr:nvSpPr>
      <xdr:spPr>
        <a:xfrm>
          <a:off x="5227320" y="48478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419</xdr:row>
      <xdr:rowOff>0</xdr:rowOff>
    </xdr:from>
    <xdr:to>
      <xdr:col>14</xdr:col>
      <xdr:colOff>83820</xdr:colOff>
      <xdr:row>419</xdr:row>
      <xdr:rowOff>114300</xdr:rowOff>
    </xdr:to>
    <xdr:sp macro="" textlink="">
      <xdr:nvSpPr>
        <xdr:cNvPr id="415" name="Arrow: Down 414">
          <a:extLst>
            <a:ext uri="{FF2B5EF4-FFF2-40B4-BE49-F238E27FC236}">
              <a16:creationId xmlns:a16="http://schemas.microsoft.com/office/drawing/2014/main" id="{0604D911-5B72-4149-A2F5-09D574909040}"/>
            </a:ext>
          </a:extLst>
        </xdr:cNvPr>
        <xdr:cNvSpPr/>
      </xdr:nvSpPr>
      <xdr:spPr>
        <a:xfrm rot="10800000">
          <a:off x="5227320" y="48478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421</xdr:row>
      <xdr:rowOff>0</xdr:rowOff>
    </xdr:from>
    <xdr:to>
      <xdr:col>14</xdr:col>
      <xdr:colOff>83820</xdr:colOff>
      <xdr:row>421</xdr:row>
      <xdr:rowOff>114300</xdr:rowOff>
    </xdr:to>
    <xdr:sp macro="" textlink="">
      <xdr:nvSpPr>
        <xdr:cNvPr id="421" name="Arrow: Down 420">
          <a:extLst>
            <a:ext uri="{FF2B5EF4-FFF2-40B4-BE49-F238E27FC236}">
              <a16:creationId xmlns:a16="http://schemas.microsoft.com/office/drawing/2014/main" id="{35EF7FC9-F22A-48DE-B2EE-34DD0D55A802}"/>
            </a:ext>
          </a:extLst>
        </xdr:cNvPr>
        <xdr:cNvSpPr/>
      </xdr:nvSpPr>
      <xdr:spPr>
        <a:xfrm rot="10800000">
          <a:off x="5227320" y="4884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422</xdr:row>
      <xdr:rowOff>0</xdr:rowOff>
    </xdr:from>
    <xdr:to>
      <xdr:col>14</xdr:col>
      <xdr:colOff>83820</xdr:colOff>
      <xdr:row>422</xdr:row>
      <xdr:rowOff>114300</xdr:rowOff>
    </xdr:to>
    <xdr:sp macro="" textlink="">
      <xdr:nvSpPr>
        <xdr:cNvPr id="434" name="Arrow: Down 433">
          <a:extLst>
            <a:ext uri="{FF2B5EF4-FFF2-40B4-BE49-F238E27FC236}">
              <a16:creationId xmlns:a16="http://schemas.microsoft.com/office/drawing/2014/main" id="{0D40B8CF-0772-46B8-A82D-ABAD5399CD6A}"/>
            </a:ext>
          </a:extLst>
        </xdr:cNvPr>
        <xdr:cNvSpPr/>
      </xdr:nvSpPr>
      <xdr:spPr>
        <a:xfrm>
          <a:off x="5227320" y="4902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423</xdr:row>
      <xdr:rowOff>0</xdr:rowOff>
    </xdr:from>
    <xdr:to>
      <xdr:col>14</xdr:col>
      <xdr:colOff>83820</xdr:colOff>
      <xdr:row>423</xdr:row>
      <xdr:rowOff>114300</xdr:rowOff>
    </xdr:to>
    <xdr:sp macro="" textlink="">
      <xdr:nvSpPr>
        <xdr:cNvPr id="436" name="Arrow: Down 435">
          <a:extLst>
            <a:ext uri="{FF2B5EF4-FFF2-40B4-BE49-F238E27FC236}">
              <a16:creationId xmlns:a16="http://schemas.microsoft.com/office/drawing/2014/main" id="{4188E3EC-C8DF-42EF-8AD4-6D9B294B7140}"/>
            </a:ext>
          </a:extLst>
        </xdr:cNvPr>
        <xdr:cNvSpPr/>
      </xdr:nvSpPr>
      <xdr:spPr>
        <a:xfrm>
          <a:off x="5227320" y="4902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424</xdr:row>
      <xdr:rowOff>0</xdr:rowOff>
    </xdr:from>
    <xdr:to>
      <xdr:col>14</xdr:col>
      <xdr:colOff>83820</xdr:colOff>
      <xdr:row>424</xdr:row>
      <xdr:rowOff>114300</xdr:rowOff>
    </xdr:to>
    <xdr:sp macro="" textlink="">
      <xdr:nvSpPr>
        <xdr:cNvPr id="437" name="Arrow: Down 436">
          <a:extLst>
            <a:ext uri="{FF2B5EF4-FFF2-40B4-BE49-F238E27FC236}">
              <a16:creationId xmlns:a16="http://schemas.microsoft.com/office/drawing/2014/main" id="{2E36BA02-2D36-48F1-8A70-33698247967A}"/>
            </a:ext>
          </a:extLst>
        </xdr:cNvPr>
        <xdr:cNvSpPr/>
      </xdr:nvSpPr>
      <xdr:spPr>
        <a:xfrm>
          <a:off x="5227320" y="49209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425</xdr:row>
      <xdr:rowOff>0</xdr:rowOff>
    </xdr:from>
    <xdr:to>
      <xdr:col>14</xdr:col>
      <xdr:colOff>83820</xdr:colOff>
      <xdr:row>425</xdr:row>
      <xdr:rowOff>114300</xdr:rowOff>
    </xdr:to>
    <xdr:sp macro="" textlink="">
      <xdr:nvSpPr>
        <xdr:cNvPr id="439" name="Arrow: Down 438">
          <a:extLst>
            <a:ext uri="{FF2B5EF4-FFF2-40B4-BE49-F238E27FC236}">
              <a16:creationId xmlns:a16="http://schemas.microsoft.com/office/drawing/2014/main" id="{43FB7BC8-87A2-425F-AE64-9EAD0D0188F2}"/>
            </a:ext>
          </a:extLst>
        </xdr:cNvPr>
        <xdr:cNvSpPr/>
      </xdr:nvSpPr>
      <xdr:spPr>
        <a:xfrm>
          <a:off x="5227320" y="4939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426</xdr:row>
      <xdr:rowOff>0</xdr:rowOff>
    </xdr:from>
    <xdr:to>
      <xdr:col>14</xdr:col>
      <xdr:colOff>83820</xdr:colOff>
      <xdr:row>426</xdr:row>
      <xdr:rowOff>114300</xdr:rowOff>
    </xdr:to>
    <xdr:sp macro="" textlink="">
      <xdr:nvSpPr>
        <xdr:cNvPr id="405" name="Arrow: Down 404">
          <a:extLst>
            <a:ext uri="{FF2B5EF4-FFF2-40B4-BE49-F238E27FC236}">
              <a16:creationId xmlns:a16="http://schemas.microsoft.com/office/drawing/2014/main" id="{4E883FEC-A009-45B9-8B16-FCD8E4141CE1}"/>
            </a:ext>
          </a:extLst>
        </xdr:cNvPr>
        <xdr:cNvSpPr/>
      </xdr:nvSpPr>
      <xdr:spPr>
        <a:xfrm>
          <a:off x="5227320" y="49575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427</xdr:row>
      <xdr:rowOff>0</xdr:rowOff>
    </xdr:from>
    <xdr:to>
      <xdr:col>14</xdr:col>
      <xdr:colOff>83820</xdr:colOff>
      <xdr:row>427</xdr:row>
      <xdr:rowOff>114300</xdr:rowOff>
    </xdr:to>
    <xdr:sp macro="" textlink="">
      <xdr:nvSpPr>
        <xdr:cNvPr id="417" name="Arrow: Down 416">
          <a:extLst>
            <a:ext uri="{FF2B5EF4-FFF2-40B4-BE49-F238E27FC236}">
              <a16:creationId xmlns:a16="http://schemas.microsoft.com/office/drawing/2014/main" id="{13E73514-DBCA-4D34-A0F6-9C50664E998B}"/>
            </a:ext>
          </a:extLst>
        </xdr:cNvPr>
        <xdr:cNvSpPr/>
      </xdr:nvSpPr>
      <xdr:spPr>
        <a:xfrm>
          <a:off x="5227320" y="4975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430</xdr:row>
      <xdr:rowOff>0</xdr:rowOff>
    </xdr:from>
    <xdr:to>
      <xdr:col>14</xdr:col>
      <xdr:colOff>83820</xdr:colOff>
      <xdr:row>430</xdr:row>
      <xdr:rowOff>114300</xdr:rowOff>
    </xdr:to>
    <xdr:sp macro="" textlink="">
      <xdr:nvSpPr>
        <xdr:cNvPr id="440" name="Arrow: Down 439">
          <a:extLst>
            <a:ext uri="{FF2B5EF4-FFF2-40B4-BE49-F238E27FC236}">
              <a16:creationId xmlns:a16="http://schemas.microsoft.com/office/drawing/2014/main" id="{6B12CCDA-D2FB-423E-BAA6-ECC5DE03D053}"/>
            </a:ext>
          </a:extLst>
        </xdr:cNvPr>
        <xdr:cNvSpPr/>
      </xdr:nvSpPr>
      <xdr:spPr>
        <a:xfrm>
          <a:off x="5227320" y="5030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431</xdr:row>
      <xdr:rowOff>0</xdr:rowOff>
    </xdr:from>
    <xdr:to>
      <xdr:col>14</xdr:col>
      <xdr:colOff>83820</xdr:colOff>
      <xdr:row>431</xdr:row>
      <xdr:rowOff>114300</xdr:rowOff>
    </xdr:to>
    <xdr:sp macro="" textlink="">
      <xdr:nvSpPr>
        <xdr:cNvPr id="442" name="Arrow: Down 441">
          <a:extLst>
            <a:ext uri="{FF2B5EF4-FFF2-40B4-BE49-F238E27FC236}">
              <a16:creationId xmlns:a16="http://schemas.microsoft.com/office/drawing/2014/main" id="{68F869FF-7862-4B71-AA76-70F5E00EF7AF}"/>
            </a:ext>
          </a:extLst>
        </xdr:cNvPr>
        <xdr:cNvSpPr/>
      </xdr:nvSpPr>
      <xdr:spPr>
        <a:xfrm>
          <a:off x="5227320" y="5049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428</xdr:row>
      <xdr:rowOff>0</xdr:rowOff>
    </xdr:from>
    <xdr:to>
      <xdr:col>14</xdr:col>
      <xdr:colOff>83820</xdr:colOff>
      <xdr:row>428</xdr:row>
      <xdr:rowOff>114300</xdr:rowOff>
    </xdr:to>
    <xdr:sp macro="" textlink="">
      <xdr:nvSpPr>
        <xdr:cNvPr id="444" name="Arrow: Down 443">
          <a:extLst>
            <a:ext uri="{FF2B5EF4-FFF2-40B4-BE49-F238E27FC236}">
              <a16:creationId xmlns:a16="http://schemas.microsoft.com/office/drawing/2014/main" id="{0C26BCF7-0985-4099-89C6-B1E9614A86DB}"/>
            </a:ext>
          </a:extLst>
        </xdr:cNvPr>
        <xdr:cNvSpPr/>
      </xdr:nvSpPr>
      <xdr:spPr>
        <a:xfrm rot="10800000">
          <a:off x="5295900" y="5012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429</xdr:row>
      <xdr:rowOff>0</xdr:rowOff>
    </xdr:from>
    <xdr:to>
      <xdr:col>14</xdr:col>
      <xdr:colOff>83820</xdr:colOff>
      <xdr:row>429</xdr:row>
      <xdr:rowOff>114300</xdr:rowOff>
    </xdr:to>
    <xdr:sp macro="" textlink="">
      <xdr:nvSpPr>
        <xdr:cNvPr id="445" name="Arrow: Down 444">
          <a:extLst>
            <a:ext uri="{FF2B5EF4-FFF2-40B4-BE49-F238E27FC236}">
              <a16:creationId xmlns:a16="http://schemas.microsoft.com/office/drawing/2014/main" id="{7FB6F736-5F5B-4EB4-8737-7C8C2C6E0C7C}"/>
            </a:ext>
          </a:extLst>
        </xdr:cNvPr>
        <xdr:cNvSpPr/>
      </xdr:nvSpPr>
      <xdr:spPr>
        <a:xfrm rot="10800000">
          <a:off x="5295900" y="50307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432</xdr:row>
      <xdr:rowOff>0</xdr:rowOff>
    </xdr:from>
    <xdr:to>
      <xdr:col>14</xdr:col>
      <xdr:colOff>83820</xdr:colOff>
      <xdr:row>432</xdr:row>
      <xdr:rowOff>114300</xdr:rowOff>
    </xdr:to>
    <xdr:sp macro="" textlink="">
      <xdr:nvSpPr>
        <xdr:cNvPr id="446" name="Arrow: Down 445">
          <a:extLst>
            <a:ext uri="{FF2B5EF4-FFF2-40B4-BE49-F238E27FC236}">
              <a16:creationId xmlns:a16="http://schemas.microsoft.com/office/drawing/2014/main" id="{2ACFEE2F-999C-48B3-975D-214F7CFFDCB6}"/>
            </a:ext>
          </a:extLst>
        </xdr:cNvPr>
        <xdr:cNvSpPr/>
      </xdr:nvSpPr>
      <xdr:spPr>
        <a:xfrm>
          <a:off x="5295900" y="5067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434</xdr:row>
      <xdr:rowOff>0</xdr:rowOff>
    </xdr:from>
    <xdr:to>
      <xdr:col>14</xdr:col>
      <xdr:colOff>83820</xdr:colOff>
      <xdr:row>434</xdr:row>
      <xdr:rowOff>114300</xdr:rowOff>
    </xdr:to>
    <xdr:sp macro="" textlink="">
      <xdr:nvSpPr>
        <xdr:cNvPr id="429" name="Arrow: Down 428">
          <a:extLst>
            <a:ext uri="{FF2B5EF4-FFF2-40B4-BE49-F238E27FC236}">
              <a16:creationId xmlns:a16="http://schemas.microsoft.com/office/drawing/2014/main" id="{672313FE-6C6C-4AFB-A0B8-1C7C03625C00}"/>
            </a:ext>
          </a:extLst>
        </xdr:cNvPr>
        <xdr:cNvSpPr/>
      </xdr:nvSpPr>
      <xdr:spPr>
        <a:xfrm>
          <a:off x="5295900" y="5103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433</xdr:row>
      <xdr:rowOff>0</xdr:rowOff>
    </xdr:from>
    <xdr:to>
      <xdr:col>14</xdr:col>
      <xdr:colOff>83820</xdr:colOff>
      <xdr:row>433</xdr:row>
      <xdr:rowOff>114300</xdr:rowOff>
    </xdr:to>
    <xdr:sp macro="" textlink="">
      <xdr:nvSpPr>
        <xdr:cNvPr id="435" name="Arrow: Down 434">
          <a:extLst>
            <a:ext uri="{FF2B5EF4-FFF2-40B4-BE49-F238E27FC236}">
              <a16:creationId xmlns:a16="http://schemas.microsoft.com/office/drawing/2014/main" id="{F461A8E9-F138-49A8-A7BC-8AD36C78E887}"/>
            </a:ext>
          </a:extLst>
        </xdr:cNvPr>
        <xdr:cNvSpPr/>
      </xdr:nvSpPr>
      <xdr:spPr>
        <a:xfrm rot="10800000">
          <a:off x="5295900" y="51038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435</xdr:row>
      <xdr:rowOff>0</xdr:rowOff>
    </xdr:from>
    <xdr:to>
      <xdr:col>14</xdr:col>
      <xdr:colOff>83820</xdr:colOff>
      <xdr:row>435</xdr:row>
      <xdr:rowOff>114300</xdr:rowOff>
    </xdr:to>
    <xdr:sp macro="" textlink="">
      <xdr:nvSpPr>
        <xdr:cNvPr id="438" name="Arrow: Down 437">
          <a:extLst>
            <a:ext uri="{FF2B5EF4-FFF2-40B4-BE49-F238E27FC236}">
              <a16:creationId xmlns:a16="http://schemas.microsoft.com/office/drawing/2014/main" id="{ED03BB9B-261C-46AA-9F7D-2846CB039E27}"/>
            </a:ext>
          </a:extLst>
        </xdr:cNvPr>
        <xdr:cNvSpPr/>
      </xdr:nvSpPr>
      <xdr:spPr>
        <a:xfrm>
          <a:off x="5295900" y="51221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437</xdr:row>
      <xdr:rowOff>0</xdr:rowOff>
    </xdr:from>
    <xdr:to>
      <xdr:col>14</xdr:col>
      <xdr:colOff>83820</xdr:colOff>
      <xdr:row>437</xdr:row>
      <xdr:rowOff>114300</xdr:rowOff>
    </xdr:to>
    <xdr:sp macro="" textlink="">
      <xdr:nvSpPr>
        <xdr:cNvPr id="447" name="Arrow: Down 446">
          <a:extLst>
            <a:ext uri="{FF2B5EF4-FFF2-40B4-BE49-F238E27FC236}">
              <a16:creationId xmlns:a16="http://schemas.microsoft.com/office/drawing/2014/main" id="{9785824B-E427-43FF-9907-680FD733F3A0}"/>
            </a:ext>
          </a:extLst>
        </xdr:cNvPr>
        <xdr:cNvSpPr/>
      </xdr:nvSpPr>
      <xdr:spPr>
        <a:xfrm>
          <a:off x="5295900" y="51587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436</xdr:row>
      <xdr:rowOff>0</xdr:rowOff>
    </xdr:from>
    <xdr:to>
      <xdr:col>14</xdr:col>
      <xdr:colOff>83820</xdr:colOff>
      <xdr:row>436</xdr:row>
      <xdr:rowOff>114300</xdr:rowOff>
    </xdr:to>
    <xdr:sp macro="" textlink="">
      <xdr:nvSpPr>
        <xdr:cNvPr id="448" name="Arrow: Down 447">
          <a:extLst>
            <a:ext uri="{FF2B5EF4-FFF2-40B4-BE49-F238E27FC236}">
              <a16:creationId xmlns:a16="http://schemas.microsoft.com/office/drawing/2014/main" id="{59F23B1C-37AA-4080-AC72-71A0336F8FFE}"/>
            </a:ext>
          </a:extLst>
        </xdr:cNvPr>
        <xdr:cNvSpPr/>
      </xdr:nvSpPr>
      <xdr:spPr>
        <a:xfrm rot="10800000">
          <a:off x="5295900" y="5158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438</xdr:row>
      <xdr:rowOff>0</xdr:rowOff>
    </xdr:from>
    <xdr:to>
      <xdr:col>14</xdr:col>
      <xdr:colOff>83820</xdr:colOff>
      <xdr:row>438</xdr:row>
      <xdr:rowOff>114300</xdr:rowOff>
    </xdr:to>
    <xdr:sp macro="" textlink="">
      <xdr:nvSpPr>
        <xdr:cNvPr id="450" name="Arrow: Down 449">
          <a:extLst>
            <a:ext uri="{FF2B5EF4-FFF2-40B4-BE49-F238E27FC236}">
              <a16:creationId xmlns:a16="http://schemas.microsoft.com/office/drawing/2014/main" id="{B7CC10B9-B1A8-44C5-92C0-E8FC556D8D4C}"/>
            </a:ext>
          </a:extLst>
        </xdr:cNvPr>
        <xdr:cNvSpPr/>
      </xdr:nvSpPr>
      <xdr:spPr>
        <a:xfrm>
          <a:off x="5295900" y="51770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439</xdr:row>
      <xdr:rowOff>0</xdr:rowOff>
    </xdr:from>
    <xdr:to>
      <xdr:col>14</xdr:col>
      <xdr:colOff>83820</xdr:colOff>
      <xdr:row>439</xdr:row>
      <xdr:rowOff>114300</xdr:rowOff>
    </xdr:to>
    <xdr:sp macro="" textlink="">
      <xdr:nvSpPr>
        <xdr:cNvPr id="451" name="Arrow: Down 450">
          <a:extLst>
            <a:ext uri="{FF2B5EF4-FFF2-40B4-BE49-F238E27FC236}">
              <a16:creationId xmlns:a16="http://schemas.microsoft.com/office/drawing/2014/main" id="{1ECA0B61-C806-4C79-9F47-C649AA066D6F}"/>
            </a:ext>
          </a:extLst>
        </xdr:cNvPr>
        <xdr:cNvSpPr/>
      </xdr:nvSpPr>
      <xdr:spPr>
        <a:xfrm>
          <a:off x="5295900" y="5195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442</xdr:row>
      <xdr:rowOff>0</xdr:rowOff>
    </xdr:from>
    <xdr:to>
      <xdr:col>14</xdr:col>
      <xdr:colOff>83820</xdr:colOff>
      <xdr:row>442</xdr:row>
      <xdr:rowOff>114300</xdr:rowOff>
    </xdr:to>
    <xdr:sp macro="" textlink="">
      <xdr:nvSpPr>
        <xdr:cNvPr id="449" name="Arrow: Down 448">
          <a:extLst>
            <a:ext uri="{FF2B5EF4-FFF2-40B4-BE49-F238E27FC236}">
              <a16:creationId xmlns:a16="http://schemas.microsoft.com/office/drawing/2014/main" id="{C1A3E64A-E24F-4298-BE72-5D8D6593E35B}"/>
            </a:ext>
          </a:extLst>
        </xdr:cNvPr>
        <xdr:cNvSpPr/>
      </xdr:nvSpPr>
      <xdr:spPr>
        <a:xfrm>
          <a:off x="5295900" y="5250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444</xdr:row>
      <xdr:rowOff>0</xdr:rowOff>
    </xdr:from>
    <xdr:to>
      <xdr:col>14</xdr:col>
      <xdr:colOff>83820</xdr:colOff>
      <xdr:row>444</xdr:row>
      <xdr:rowOff>114300</xdr:rowOff>
    </xdr:to>
    <xdr:sp macro="" textlink="">
      <xdr:nvSpPr>
        <xdr:cNvPr id="453" name="Arrow: Down 452">
          <a:extLst>
            <a:ext uri="{FF2B5EF4-FFF2-40B4-BE49-F238E27FC236}">
              <a16:creationId xmlns:a16="http://schemas.microsoft.com/office/drawing/2014/main" id="{B8237C69-171A-4156-AB3E-DD7BF05320BA}"/>
            </a:ext>
          </a:extLst>
        </xdr:cNvPr>
        <xdr:cNvSpPr/>
      </xdr:nvSpPr>
      <xdr:spPr>
        <a:xfrm>
          <a:off x="5295900" y="52867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445</xdr:row>
      <xdr:rowOff>0</xdr:rowOff>
    </xdr:from>
    <xdr:to>
      <xdr:col>14</xdr:col>
      <xdr:colOff>83820</xdr:colOff>
      <xdr:row>445</xdr:row>
      <xdr:rowOff>114300</xdr:rowOff>
    </xdr:to>
    <xdr:sp macro="" textlink="">
      <xdr:nvSpPr>
        <xdr:cNvPr id="455" name="Arrow: Down 454">
          <a:extLst>
            <a:ext uri="{FF2B5EF4-FFF2-40B4-BE49-F238E27FC236}">
              <a16:creationId xmlns:a16="http://schemas.microsoft.com/office/drawing/2014/main" id="{7C579BCA-B1F9-4769-B21F-4A9EB0914312}"/>
            </a:ext>
          </a:extLst>
        </xdr:cNvPr>
        <xdr:cNvSpPr/>
      </xdr:nvSpPr>
      <xdr:spPr>
        <a:xfrm>
          <a:off x="5295900" y="53050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446</xdr:row>
      <xdr:rowOff>0</xdr:rowOff>
    </xdr:from>
    <xdr:to>
      <xdr:col>14</xdr:col>
      <xdr:colOff>83820</xdr:colOff>
      <xdr:row>446</xdr:row>
      <xdr:rowOff>114300</xdr:rowOff>
    </xdr:to>
    <xdr:sp macro="" textlink="">
      <xdr:nvSpPr>
        <xdr:cNvPr id="456" name="Arrow: Down 455">
          <a:extLst>
            <a:ext uri="{FF2B5EF4-FFF2-40B4-BE49-F238E27FC236}">
              <a16:creationId xmlns:a16="http://schemas.microsoft.com/office/drawing/2014/main" id="{CCD67BFB-1F41-4BA1-9E4D-2F2DDD1E153B}"/>
            </a:ext>
          </a:extLst>
        </xdr:cNvPr>
        <xdr:cNvSpPr/>
      </xdr:nvSpPr>
      <xdr:spPr>
        <a:xfrm>
          <a:off x="5295900" y="5323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440</xdr:row>
      <xdr:rowOff>0</xdr:rowOff>
    </xdr:from>
    <xdr:to>
      <xdr:col>14</xdr:col>
      <xdr:colOff>83820</xdr:colOff>
      <xdr:row>440</xdr:row>
      <xdr:rowOff>114300</xdr:rowOff>
    </xdr:to>
    <xdr:sp macro="" textlink="">
      <xdr:nvSpPr>
        <xdr:cNvPr id="457" name="Arrow: Down 456">
          <a:extLst>
            <a:ext uri="{FF2B5EF4-FFF2-40B4-BE49-F238E27FC236}">
              <a16:creationId xmlns:a16="http://schemas.microsoft.com/office/drawing/2014/main" id="{34AA7F41-15A6-41A8-9102-6BFB01694CE6}"/>
            </a:ext>
          </a:extLst>
        </xdr:cNvPr>
        <xdr:cNvSpPr/>
      </xdr:nvSpPr>
      <xdr:spPr>
        <a:xfrm rot="10800000">
          <a:off x="5295900" y="52318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443</xdr:row>
      <xdr:rowOff>0</xdr:rowOff>
    </xdr:from>
    <xdr:to>
      <xdr:col>14</xdr:col>
      <xdr:colOff>83820</xdr:colOff>
      <xdr:row>443</xdr:row>
      <xdr:rowOff>114300</xdr:rowOff>
    </xdr:to>
    <xdr:sp macro="" textlink="">
      <xdr:nvSpPr>
        <xdr:cNvPr id="458" name="Arrow: Down 457">
          <a:extLst>
            <a:ext uri="{FF2B5EF4-FFF2-40B4-BE49-F238E27FC236}">
              <a16:creationId xmlns:a16="http://schemas.microsoft.com/office/drawing/2014/main" id="{5CCA3D00-9C63-4897-926F-574D65504B89}"/>
            </a:ext>
          </a:extLst>
        </xdr:cNvPr>
        <xdr:cNvSpPr/>
      </xdr:nvSpPr>
      <xdr:spPr>
        <a:xfrm rot="10800000">
          <a:off x="5295900" y="52867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441</xdr:row>
      <xdr:rowOff>0</xdr:rowOff>
    </xdr:from>
    <xdr:to>
      <xdr:col>14</xdr:col>
      <xdr:colOff>83820</xdr:colOff>
      <xdr:row>441</xdr:row>
      <xdr:rowOff>114300</xdr:rowOff>
    </xdr:to>
    <xdr:sp macro="" textlink="">
      <xdr:nvSpPr>
        <xdr:cNvPr id="459" name="Arrow: Down 458">
          <a:extLst>
            <a:ext uri="{FF2B5EF4-FFF2-40B4-BE49-F238E27FC236}">
              <a16:creationId xmlns:a16="http://schemas.microsoft.com/office/drawing/2014/main" id="{60FE6AC8-5077-4D9B-8C62-27234E025771}"/>
            </a:ext>
          </a:extLst>
        </xdr:cNvPr>
        <xdr:cNvSpPr/>
      </xdr:nvSpPr>
      <xdr:spPr>
        <a:xfrm rot="10800000">
          <a:off x="5295900" y="52501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447</xdr:row>
      <xdr:rowOff>0</xdr:rowOff>
    </xdr:from>
    <xdr:to>
      <xdr:col>14</xdr:col>
      <xdr:colOff>83820</xdr:colOff>
      <xdr:row>447</xdr:row>
      <xdr:rowOff>114300</xdr:rowOff>
    </xdr:to>
    <xdr:sp macro="" textlink="">
      <xdr:nvSpPr>
        <xdr:cNvPr id="423" name="Arrow: Down 422">
          <a:extLst>
            <a:ext uri="{FF2B5EF4-FFF2-40B4-BE49-F238E27FC236}">
              <a16:creationId xmlns:a16="http://schemas.microsoft.com/office/drawing/2014/main" id="{88F5C81B-4FB8-47E5-B9D6-AE8C224EDBF0}"/>
            </a:ext>
          </a:extLst>
        </xdr:cNvPr>
        <xdr:cNvSpPr/>
      </xdr:nvSpPr>
      <xdr:spPr>
        <a:xfrm>
          <a:off x="5295900" y="5341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449</xdr:row>
      <xdr:rowOff>0</xdr:rowOff>
    </xdr:from>
    <xdr:to>
      <xdr:col>14</xdr:col>
      <xdr:colOff>83820</xdr:colOff>
      <xdr:row>449</xdr:row>
      <xdr:rowOff>114300</xdr:rowOff>
    </xdr:to>
    <xdr:sp macro="" textlink="">
      <xdr:nvSpPr>
        <xdr:cNvPr id="443" name="Arrow: Down 442">
          <a:extLst>
            <a:ext uri="{FF2B5EF4-FFF2-40B4-BE49-F238E27FC236}">
              <a16:creationId xmlns:a16="http://schemas.microsoft.com/office/drawing/2014/main" id="{9D86EABE-98E9-43C4-8B65-85159ADBCD59}"/>
            </a:ext>
          </a:extLst>
        </xdr:cNvPr>
        <xdr:cNvSpPr/>
      </xdr:nvSpPr>
      <xdr:spPr>
        <a:xfrm>
          <a:off x="5295900" y="5378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453</xdr:row>
      <xdr:rowOff>0</xdr:rowOff>
    </xdr:from>
    <xdr:to>
      <xdr:col>14</xdr:col>
      <xdr:colOff>83820</xdr:colOff>
      <xdr:row>453</xdr:row>
      <xdr:rowOff>114300</xdr:rowOff>
    </xdr:to>
    <xdr:sp macro="" textlink="">
      <xdr:nvSpPr>
        <xdr:cNvPr id="462" name="Arrow: Down 461">
          <a:extLst>
            <a:ext uri="{FF2B5EF4-FFF2-40B4-BE49-F238E27FC236}">
              <a16:creationId xmlns:a16="http://schemas.microsoft.com/office/drawing/2014/main" id="{530A7154-C4AE-4AB1-BF11-616B79E47690}"/>
            </a:ext>
          </a:extLst>
        </xdr:cNvPr>
        <xdr:cNvSpPr/>
      </xdr:nvSpPr>
      <xdr:spPr>
        <a:xfrm>
          <a:off x="5295900" y="5451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452</xdr:row>
      <xdr:rowOff>0</xdr:rowOff>
    </xdr:from>
    <xdr:to>
      <xdr:col>14</xdr:col>
      <xdr:colOff>83820</xdr:colOff>
      <xdr:row>452</xdr:row>
      <xdr:rowOff>114300</xdr:rowOff>
    </xdr:to>
    <xdr:sp macro="" textlink="">
      <xdr:nvSpPr>
        <xdr:cNvPr id="463" name="Arrow: Down 462">
          <a:extLst>
            <a:ext uri="{FF2B5EF4-FFF2-40B4-BE49-F238E27FC236}">
              <a16:creationId xmlns:a16="http://schemas.microsoft.com/office/drawing/2014/main" id="{C316AE57-CEFE-421C-B09E-7B6CEB670B35}"/>
            </a:ext>
          </a:extLst>
        </xdr:cNvPr>
        <xdr:cNvSpPr/>
      </xdr:nvSpPr>
      <xdr:spPr>
        <a:xfrm rot="10800000">
          <a:off x="5295900" y="54513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448</xdr:row>
      <xdr:rowOff>0</xdr:rowOff>
    </xdr:from>
    <xdr:to>
      <xdr:col>14</xdr:col>
      <xdr:colOff>83820</xdr:colOff>
      <xdr:row>448</xdr:row>
      <xdr:rowOff>114300</xdr:rowOff>
    </xdr:to>
    <xdr:sp macro="" textlink="">
      <xdr:nvSpPr>
        <xdr:cNvPr id="465" name="Arrow: Down 464">
          <a:extLst>
            <a:ext uri="{FF2B5EF4-FFF2-40B4-BE49-F238E27FC236}">
              <a16:creationId xmlns:a16="http://schemas.microsoft.com/office/drawing/2014/main" id="{B87EBF5F-1357-44B1-8ACF-BC2949CC5BDA}"/>
            </a:ext>
          </a:extLst>
        </xdr:cNvPr>
        <xdr:cNvSpPr/>
      </xdr:nvSpPr>
      <xdr:spPr>
        <a:xfrm rot="10800000">
          <a:off x="5295900" y="53781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451</xdr:row>
      <xdr:rowOff>0</xdr:rowOff>
    </xdr:from>
    <xdr:to>
      <xdr:col>14</xdr:col>
      <xdr:colOff>83820</xdr:colOff>
      <xdr:row>451</xdr:row>
      <xdr:rowOff>114300</xdr:rowOff>
    </xdr:to>
    <xdr:sp macro="" textlink="">
      <xdr:nvSpPr>
        <xdr:cNvPr id="466" name="Arrow: Down 465">
          <a:extLst>
            <a:ext uri="{FF2B5EF4-FFF2-40B4-BE49-F238E27FC236}">
              <a16:creationId xmlns:a16="http://schemas.microsoft.com/office/drawing/2014/main" id="{714F41D6-2B14-417E-8441-40617CB450A7}"/>
            </a:ext>
          </a:extLst>
        </xdr:cNvPr>
        <xdr:cNvSpPr/>
      </xdr:nvSpPr>
      <xdr:spPr>
        <a:xfrm rot="10800000">
          <a:off x="5295900" y="5433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450</xdr:row>
      <xdr:rowOff>0</xdr:rowOff>
    </xdr:from>
    <xdr:to>
      <xdr:col>14</xdr:col>
      <xdr:colOff>83820</xdr:colOff>
      <xdr:row>450</xdr:row>
      <xdr:rowOff>114300</xdr:rowOff>
    </xdr:to>
    <xdr:sp macro="" textlink="">
      <xdr:nvSpPr>
        <xdr:cNvPr id="467" name="Arrow: Down 466">
          <a:extLst>
            <a:ext uri="{FF2B5EF4-FFF2-40B4-BE49-F238E27FC236}">
              <a16:creationId xmlns:a16="http://schemas.microsoft.com/office/drawing/2014/main" id="{67459F86-AF4D-4F8C-B82D-0B12C46CF99E}"/>
            </a:ext>
          </a:extLst>
        </xdr:cNvPr>
        <xdr:cNvSpPr/>
      </xdr:nvSpPr>
      <xdr:spPr>
        <a:xfrm rot="10800000">
          <a:off x="5295900" y="5414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456</xdr:row>
      <xdr:rowOff>0</xdr:rowOff>
    </xdr:from>
    <xdr:to>
      <xdr:col>14</xdr:col>
      <xdr:colOff>83820</xdr:colOff>
      <xdr:row>456</xdr:row>
      <xdr:rowOff>114300</xdr:rowOff>
    </xdr:to>
    <xdr:sp macro="" textlink="">
      <xdr:nvSpPr>
        <xdr:cNvPr id="460" name="Arrow: Down 459">
          <a:extLst>
            <a:ext uri="{FF2B5EF4-FFF2-40B4-BE49-F238E27FC236}">
              <a16:creationId xmlns:a16="http://schemas.microsoft.com/office/drawing/2014/main" id="{2FAEFF0C-6CEA-4BDB-A6F1-008F9FC416EB}"/>
            </a:ext>
          </a:extLst>
        </xdr:cNvPr>
        <xdr:cNvSpPr/>
      </xdr:nvSpPr>
      <xdr:spPr>
        <a:xfrm>
          <a:off x="5295900" y="5506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454</xdr:row>
      <xdr:rowOff>0</xdr:rowOff>
    </xdr:from>
    <xdr:to>
      <xdr:col>14</xdr:col>
      <xdr:colOff>83820</xdr:colOff>
      <xdr:row>454</xdr:row>
      <xdr:rowOff>114300</xdr:rowOff>
    </xdr:to>
    <xdr:sp macro="" textlink="">
      <xdr:nvSpPr>
        <xdr:cNvPr id="461" name="Arrow: Down 460">
          <a:extLst>
            <a:ext uri="{FF2B5EF4-FFF2-40B4-BE49-F238E27FC236}">
              <a16:creationId xmlns:a16="http://schemas.microsoft.com/office/drawing/2014/main" id="{2116E070-E9FA-4554-A44F-3E44B26C6F3B}"/>
            </a:ext>
          </a:extLst>
        </xdr:cNvPr>
        <xdr:cNvSpPr/>
      </xdr:nvSpPr>
      <xdr:spPr>
        <a:xfrm rot="10800000">
          <a:off x="5295900" y="54879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455</xdr:row>
      <xdr:rowOff>0</xdr:rowOff>
    </xdr:from>
    <xdr:to>
      <xdr:col>14</xdr:col>
      <xdr:colOff>83820</xdr:colOff>
      <xdr:row>455</xdr:row>
      <xdr:rowOff>114300</xdr:rowOff>
    </xdr:to>
    <xdr:sp macro="" textlink="">
      <xdr:nvSpPr>
        <xdr:cNvPr id="468" name="Arrow: Down 467">
          <a:extLst>
            <a:ext uri="{FF2B5EF4-FFF2-40B4-BE49-F238E27FC236}">
              <a16:creationId xmlns:a16="http://schemas.microsoft.com/office/drawing/2014/main" id="{4D5EC8B7-463B-44AE-92A3-CAA872DEC20D}"/>
            </a:ext>
          </a:extLst>
        </xdr:cNvPr>
        <xdr:cNvSpPr/>
      </xdr:nvSpPr>
      <xdr:spPr>
        <a:xfrm rot="10800000">
          <a:off x="5295900" y="55062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458</xdr:row>
      <xdr:rowOff>0</xdr:rowOff>
    </xdr:from>
    <xdr:to>
      <xdr:col>14</xdr:col>
      <xdr:colOff>83820</xdr:colOff>
      <xdr:row>458</xdr:row>
      <xdr:rowOff>114300</xdr:rowOff>
    </xdr:to>
    <xdr:sp macro="" textlink="">
      <xdr:nvSpPr>
        <xdr:cNvPr id="454" name="Arrow: Down 453">
          <a:extLst>
            <a:ext uri="{FF2B5EF4-FFF2-40B4-BE49-F238E27FC236}">
              <a16:creationId xmlns:a16="http://schemas.microsoft.com/office/drawing/2014/main" id="{FE10B19D-C187-4188-84CC-84F92D8B3DAF}"/>
            </a:ext>
          </a:extLst>
        </xdr:cNvPr>
        <xdr:cNvSpPr/>
      </xdr:nvSpPr>
      <xdr:spPr>
        <a:xfrm>
          <a:off x="5295900" y="55427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459</xdr:row>
      <xdr:rowOff>0</xdr:rowOff>
    </xdr:from>
    <xdr:to>
      <xdr:col>14</xdr:col>
      <xdr:colOff>83820</xdr:colOff>
      <xdr:row>459</xdr:row>
      <xdr:rowOff>114300</xdr:rowOff>
    </xdr:to>
    <xdr:sp macro="" textlink="">
      <xdr:nvSpPr>
        <xdr:cNvPr id="464" name="Arrow: Down 463">
          <a:extLst>
            <a:ext uri="{FF2B5EF4-FFF2-40B4-BE49-F238E27FC236}">
              <a16:creationId xmlns:a16="http://schemas.microsoft.com/office/drawing/2014/main" id="{53D67A91-8B0A-4EFE-A0F5-24ECD3A26138}"/>
            </a:ext>
          </a:extLst>
        </xdr:cNvPr>
        <xdr:cNvSpPr/>
      </xdr:nvSpPr>
      <xdr:spPr>
        <a:xfrm>
          <a:off x="5295900" y="55610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460</xdr:row>
      <xdr:rowOff>0</xdr:rowOff>
    </xdr:from>
    <xdr:to>
      <xdr:col>14</xdr:col>
      <xdr:colOff>83820</xdr:colOff>
      <xdr:row>460</xdr:row>
      <xdr:rowOff>114300</xdr:rowOff>
    </xdr:to>
    <xdr:sp macro="" textlink="">
      <xdr:nvSpPr>
        <xdr:cNvPr id="469" name="Arrow: Down 468">
          <a:extLst>
            <a:ext uri="{FF2B5EF4-FFF2-40B4-BE49-F238E27FC236}">
              <a16:creationId xmlns:a16="http://schemas.microsoft.com/office/drawing/2014/main" id="{934A3868-1506-4F0F-A8A6-C14505C93B46}"/>
            </a:ext>
          </a:extLst>
        </xdr:cNvPr>
        <xdr:cNvSpPr/>
      </xdr:nvSpPr>
      <xdr:spPr>
        <a:xfrm>
          <a:off x="5295900" y="55793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457</xdr:row>
      <xdr:rowOff>0</xdr:rowOff>
    </xdr:from>
    <xdr:to>
      <xdr:col>14</xdr:col>
      <xdr:colOff>83820</xdr:colOff>
      <xdr:row>457</xdr:row>
      <xdr:rowOff>114300</xdr:rowOff>
    </xdr:to>
    <xdr:sp macro="" textlink="">
      <xdr:nvSpPr>
        <xdr:cNvPr id="470" name="Arrow: Down 469">
          <a:extLst>
            <a:ext uri="{FF2B5EF4-FFF2-40B4-BE49-F238E27FC236}">
              <a16:creationId xmlns:a16="http://schemas.microsoft.com/office/drawing/2014/main" id="{B6EAE846-D2AD-452A-B185-7704F03EAA21}"/>
            </a:ext>
          </a:extLst>
        </xdr:cNvPr>
        <xdr:cNvSpPr/>
      </xdr:nvSpPr>
      <xdr:spPr>
        <a:xfrm rot="10800000">
          <a:off x="5295900" y="55427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461</xdr:row>
      <xdr:rowOff>0</xdr:rowOff>
    </xdr:from>
    <xdr:to>
      <xdr:col>14</xdr:col>
      <xdr:colOff>83820</xdr:colOff>
      <xdr:row>461</xdr:row>
      <xdr:rowOff>114300</xdr:rowOff>
    </xdr:to>
    <xdr:sp macro="" textlink="">
      <xdr:nvSpPr>
        <xdr:cNvPr id="441" name="Arrow: Down 440">
          <a:extLst>
            <a:ext uri="{FF2B5EF4-FFF2-40B4-BE49-F238E27FC236}">
              <a16:creationId xmlns:a16="http://schemas.microsoft.com/office/drawing/2014/main" id="{0F81D209-3A5A-42F1-AC36-9D641B58841D}"/>
            </a:ext>
          </a:extLst>
        </xdr:cNvPr>
        <xdr:cNvSpPr/>
      </xdr:nvSpPr>
      <xdr:spPr>
        <a:xfrm>
          <a:off x="5295900" y="5597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463</xdr:row>
      <xdr:rowOff>0</xdr:rowOff>
    </xdr:from>
    <xdr:to>
      <xdr:col>14</xdr:col>
      <xdr:colOff>83820</xdr:colOff>
      <xdr:row>463</xdr:row>
      <xdr:rowOff>114300</xdr:rowOff>
    </xdr:to>
    <xdr:sp macro="" textlink="">
      <xdr:nvSpPr>
        <xdr:cNvPr id="472" name="Arrow: Down 471">
          <a:extLst>
            <a:ext uri="{FF2B5EF4-FFF2-40B4-BE49-F238E27FC236}">
              <a16:creationId xmlns:a16="http://schemas.microsoft.com/office/drawing/2014/main" id="{F767AF56-721F-4B15-8D15-E5C268EB58C9}"/>
            </a:ext>
          </a:extLst>
        </xdr:cNvPr>
        <xdr:cNvSpPr/>
      </xdr:nvSpPr>
      <xdr:spPr>
        <a:xfrm>
          <a:off x="5295900" y="5634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462</xdr:row>
      <xdr:rowOff>0</xdr:rowOff>
    </xdr:from>
    <xdr:to>
      <xdr:col>14</xdr:col>
      <xdr:colOff>83820</xdr:colOff>
      <xdr:row>462</xdr:row>
      <xdr:rowOff>114300</xdr:rowOff>
    </xdr:to>
    <xdr:sp macro="" textlink="">
      <xdr:nvSpPr>
        <xdr:cNvPr id="473" name="Arrow: Down 472">
          <a:extLst>
            <a:ext uri="{FF2B5EF4-FFF2-40B4-BE49-F238E27FC236}">
              <a16:creationId xmlns:a16="http://schemas.microsoft.com/office/drawing/2014/main" id="{C6770811-2FE0-4550-A498-4F2B12126F36}"/>
            </a:ext>
          </a:extLst>
        </xdr:cNvPr>
        <xdr:cNvSpPr/>
      </xdr:nvSpPr>
      <xdr:spPr>
        <a:xfrm rot="10800000">
          <a:off x="5295900" y="5634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465</xdr:row>
      <xdr:rowOff>0</xdr:rowOff>
    </xdr:from>
    <xdr:to>
      <xdr:col>14</xdr:col>
      <xdr:colOff>83820</xdr:colOff>
      <xdr:row>465</xdr:row>
      <xdr:rowOff>114300</xdr:rowOff>
    </xdr:to>
    <xdr:sp macro="" textlink="">
      <xdr:nvSpPr>
        <xdr:cNvPr id="477" name="Arrow: Down 476">
          <a:extLst>
            <a:ext uri="{FF2B5EF4-FFF2-40B4-BE49-F238E27FC236}">
              <a16:creationId xmlns:a16="http://schemas.microsoft.com/office/drawing/2014/main" id="{0958FE89-273B-4242-B389-577A7A27FB58}"/>
            </a:ext>
          </a:extLst>
        </xdr:cNvPr>
        <xdr:cNvSpPr/>
      </xdr:nvSpPr>
      <xdr:spPr>
        <a:xfrm>
          <a:off x="5295900" y="56525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466</xdr:row>
      <xdr:rowOff>0</xdr:rowOff>
    </xdr:from>
    <xdr:to>
      <xdr:col>14</xdr:col>
      <xdr:colOff>83820</xdr:colOff>
      <xdr:row>466</xdr:row>
      <xdr:rowOff>114300</xdr:rowOff>
    </xdr:to>
    <xdr:sp macro="" textlink="">
      <xdr:nvSpPr>
        <xdr:cNvPr id="478" name="Arrow: Down 477">
          <a:extLst>
            <a:ext uri="{FF2B5EF4-FFF2-40B4-BE49-F238E27FC236}">
              <a16:creationId xmlns:a16="http://schemas.microsoft.com/office/drawing/2014/main" id="{3E2D93DE-0106-4F9F-BA78-EB47821731BE}"/>
            </a:ext>
          </a:extLst>
        </xdr:cNvPr>
        <xdr:cNvSpPr/>
      </xdr:nvSpPr>
      <xdr:spPr>
        <a:xfrm>
          <a:off x="5295900" y="5689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467</xdr:row>
      <xdr:rowOff>0</xdr:rowOff>
    </xdr:from>
    <xdr:to>
      <xdr:col>14</xdr:col>
      <xdr:colOff>83820</xdr:colOff>
      <xdr:row>467</xdr:row>
      <xdr:rowOff>114300</xdr:rowOff>
    </xdr:to>
    <xdr:sp macro="" textlink="">
      <xdr:nvSpPr>
        <xdr:cNvPr id="479" name="Arrow: Down 478">
          <a:extLst>
            <a:ext uri="{FF2B5EF4-FFF2-40B4-BE49-F238E27FC236}">
              <a16:creationId xmlns:a16="http://schemas.microsoft.com/office/drawing/2014/main" id="{09B4873C-4550-42CC-A8FF-38817700A243}"/>
            </a:ext>
          </a:extLst>
        </xdr:cNvPr>
        <xdr:cNvSpPr/>
      </xdr:nvSpPr>
      <xdr:spPr>
        <a:xfrm>
          <a:off x="5295900" y="5707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464</xdr:row>
      <xdr:rowOff>0</xdr:rowOff>
    </xdr:from>
    <xdr:to>
      <xdr:col>14</xdr:col>
      <xdr:colOff>83820</xdr:colOff>
      <xdr:row>464</xdr:row>
      <xdr:rowOff>114300</xdr:rowOff>
    </xdr:to>
    <xdr:sp macro="" textlink="">
      <xdr:nvSpPr>
        <xdr:cNvPr id="481" name="Arrow: Down 480">
          <a:extLst>
            <a:ext uri="{FF2B5EF4-FFF2-40B4-BE49-F238E27FC236}">
              <a16:creationId xmlns:a16="http://schemas.microsoft.com/office/drawing/2014/main" id="{C6D66F82-FBF2-466F-A133-D2B49097AA01}"/>
            </a:ext>
          </a:extLst>
        </xdr:cNvPr>
        <xdr:cNvSpPr/>
      </xdr:nvSpPr>
      <xdr:spPr>
        <a:xfrm rot="10800000">
          <a:off x="5295900" y="5670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468</xdr:row>
      <xdr:rowOff>0</xdr:rowOff>
    </xdr:from>
    <xdr:to>
      <xdr:col>14</xdr:col>
      <xdr:colOff>83820</xdr:colOff>
      <xdr:row>468</xdr:row>
      <xdr:rowOff>114300</xdr:rowOff>
    </xdr:to>
    <xdr:sp macro="" textlink="">
      <xdr:nvSpPr>
        <xdr:cNvPr id="482" name="Arrow: Down 481">
          <a:extLst>
            <a:ext uri="{FF2B5EF4-FFF2-40B4-BE49-F238E27FC236}">
              <a16:creationId xmlns:a16="http://schemas.microsoft.com/office/drawing/2014/main" id="{5C8A6B14-71A1-42D7-9655-36542FBD278D}"/>
            </a:ext>
          </a:extLst>
        </xdr:cNvPr>
        <xdr:cNvSpPr/>
      </xdr:nvSpPr>
      <xdr:spPr>
        <a:xfrm>
          <a:off x="5295900" y="5725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471</xdr:row>
      <xdr:rowOff>0</xdr:rowOff>
    </xdr:from>
    <xdr:to>
      <xdr:col>14</xdr:col>
      <xdr:colOff>83820</xdr:colOff>
      <xdr:row>471</xdr:row>
      <xdr:rowOff>114300</xdr:rowOff>
    </xdr:to>
    <xdr:sp macro="" textlink="">
      <xdr:nvSpPr>
        <xdr:cNvPr id="487" name="Arrow: Down 486">
          <a:extLst>
            <a:ext uri="{FF2B5EF4-FFF2-40B4-BE49-F238E27FC236}">
              <a16:creationId xmlns:a16="http://schemas.microsoft.com/office/drawing/2014/main" id="{80F0F5B6-16AE-47D5-B110-897D3EEF22C6}"/>
            </a:ext>
          </a:extLst>
        </xdr:cNvPr>
        <xdr:cNvSpPr/>
      </xdr:nvSpPr>
      <xdr:spPr>
        <a:xfrm>
          <a:off x="5295900" y="57439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472</xdr:row>
      <xdr:rowOff>0</xdr:rowOff>
    </xdr:from>
    <xdr:to>
      <xdr:col>14</xdr:col>
      <xdr:colOff>83820</xdr:colOff>
      <xdr:row>472</xdr:row>
      <xdr:rowOff>114300</xdr:rowOff>
    </xdr:to>
    <xdr:sp macro="" textlink="">
      <xdr:nvSpPr>
        <xdr:cNvPr id="488" name="Arrow: Down 487">
          <a:extLst>
            <a:ext uri="{FF2B5EF4-FFF2-40B4-BE49-F238E27FC236}">
              <a16:creationId xmlns:a16="http://schemas.microsoft.com/office/drawing/2014/main" id="{1899FFAE-195F-4802-BBC2-321CF62C20A8}"/>
            </a:ext>
          </a:extLst>
        </xdr:cNvPr>
        <xdr:cNvSpPr/>
      </xdr:nvSpPr>
      <xdr:spPr>
        <a:xfrm>
          <a:off x="5295900" y="57988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473</xdr:row>
      <xdr:rowOff>0</xdr:rowOff>
    </xdr:from>
    <xdr:to>
      <xdr:col>14</xdr:col>
      <xdr:colOff>83820</xdr:colOff>
      <xdr:row>473</xdr:row>
      <xdr:rowOff>114300</xdr:rowOff>
    </xdr:to>
    <xdr:sp macro="" textlink="">
      <xdr:nvSpPr>
        <xdr:cNvPr id="489" name="Arrow: Down 488">
          <a:extLst>
            <a:ext uri="{FF2B5EF4-FFF2-40B4-BE49-F238E27FC236}">
              <a16:creationId xmlns:a16="http://schemas.microsoft.com/office/drawing/2014/main" id="{6E6AC867-6B72-4CFC-8150-E0343600DC84}"/>
            </a:ext>
          </a:extLst>
        </xdr:cNvPr>
        <xdr:cNvSpPr/>
      </xdr:nvSpPr>
      <xdr:spPr>
        <a:xfrm>
          <a:off x="5295900" y="5817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474</xdr:row>
      <xdr:rowOff>0</xdr:rowOff>
    </xdr:from>
    <xdr:to>
      <xdr:col>14</xdr:col>
      <xdr:colOff>83820</xdr:colOff>
      <xdr:row>474</xdr:row>
      <xdr:rowOff>114300</xdr:rowOff>
    </xdr:to>
    <xdr:sp macro="" textlink="">
      <xdr:nvSpPr>
        <xdr:cNvPr id="490" name="Arrow: Down 489">
          <a:extLst>
            <a:ext uri="{FF2B5EF4-FFF2-40B4-BE49-F238E27FC236}">
              <a16:creationId xmlns:a16="http://schemas.microsoft.com/office/drawing/2014/main" id="{282B27EF-A19B-49D8-A78D-31667A5DBFBE}"/>
            </a:ext>
          </a:extLst>
        </xdr:cNvPr>
        <xdr:cNvSpPr/>
      </xdr:nvSpPr>
      <xdr:spPr>
        <a:xfrm>
          <a:off x="5295900" y="5835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470</xdr:row>
      <xdr:rowOff>0</xdr:rowOff>
    </xdr:from>
    <xdr:to>
      <xdr:col>14</xdr:col>
      <xdr:colOff>83820</xdr:colOff>
      <xdr:row>470</xdr:row>
      <xdr:rowOff>114300</xdr:rowOff>
    </xdr:to>
    <xdr:sp macro="" textlink="">
      <xdr:nvSpPr>
        <xdr:cNvPr id="492" name="Arrow: Down 491">
          <a:extLst>
            <a:ext uri="{FF2B5EF4-FFF2-40B4-BE49-F238E27FC236}">
              <a16:creationId xmlns:a16="http://schemas.microsoft.com/office/drawing/2014/main" id="{C9D29F54-65F7-49FB-A8FD-7608B52C12F2}"/>
            </a:ext>
          </a:extLst>
        </xdr:cNvPr>
        <xdr:cNvSpPr/>
      </xdr:nvSpPr>
      <xdr:spPr>
        <a:xfrm rot="10800000">
          <a:off x="5295900" y="5780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469</xdr:row>
      <xdr:rowOff>0</xdr:rowOff>
    </xdr:from>
    <xdr:to>
      <xdr:col>14</xdr:col>
      <xdr:colOff>83820</xdr:colOff>
      <xdr:row>469</xdr:row>
      <xdr:rowOff>114300</xdr:rowOff>
    </xdr:to>
    <xdr:sp macro="" textlink="">
      <xdr:nvSpPr>
        <xdr:cNvPr id="493" name="Arrow: Down 492">
          <a:extLst>
            <a:ext uri="{FF2B5EF4-FFF2-40B4-BE49-F238E27FC236}">
              <a16:creationId xmlns:a16="http://schemas.microsoft.com/office/drawing/2014/main" id="{9B9458C0-B57F-4CE1-B9D3-D8B7142FEF05}"/>
            </a:ext>
          </a:extLst>
        </xdr:cNvPr>
        <xdr:cNvSpPr/>
      </xdr:nvSpPr>
      <xdr:spPr>
        <a:xfrm rot="10800000">
          <a:off x="5295900" y="5762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475</xdr:row>
      <xdr:rowOff>0</xdr:rowOff>
    </xdr:from>
    <xdr:to>
      <xdr:col>14</xdr:col>
      <xdr:colOff>83820</xdr:colOff>
      <xdr:row>475</xdr:row>
      <xdr:rowOff>114300</xdr:rowOff>
    </xdr:to>
    <xdr:sp macro="" textlink="">
      <xdr:nvSpPr>
        <xdr:cNvPr id="494" name="Arrow: Down 493">
          <a:extLst>
            <a:ext uri="{FF2B5EF4-FFF2-40B4-BE49-F238E27FC236}">
              <a16:creationId xmlns:a16="http://schemas.microsoft.com/office/drawing/2014/main" id="{1E327AA4-C16E-485E-8F88-6359DCDE046A}"/>
            </a:ext>
          </a:extLst>
        </xdr:cNvPr>
        <xdr:cNvSpPr/>
      </xdr:nvSpPr>
      <xdr:spPr>
        <a:xfrm>
          <a:off x="5295900" y="5853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477</xdr:row>
      <xdr:rowOff>0</xdr:rowOff>
    </xdr:from>
    <xdr:to>
      <xdr:col>14</xdr:col>
      <xdr:colOff>83820</xdr:colOff>
      <xdr:row>477</xdr:row>
      <xdr:rowOff>114300</xdr:rowOff>
    </xdr:to>
    <xdr:sp macro="" textlink="">
      <xdr:nvSpPr>
        <xdr:cNvPr id="496" name="Arrow: Down 495">
          <a:extLst>
            <a:ext uri="{FF2B5EF4-FFF2-40B4-BE49-F238E27FC236}">
              <a16:creationId xmlns:a16="http://schemas.microsoft.com/office/drawing/2014/main" id="{F08E7E4A-27A0-4A95-B2A2-85DCAFB576EF}"/>
            </a:ext>
          </a:extLst>
        </xdr:cNvPr>
        <xdr:cNvSpPr/>
      </xdr:nvSpPr>
      <xdr:spPr>
        <a:xfrm>
          <a:off x="5295900" y="5890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480</xdr:row>
      <xdr:rowOff>0</xdr:rowOff>
    </xdr:from>
    <xdr:to>
      <xdr:col>14</xdr:col>
      <xdr:colOff>83820</xdr:colOff>
      <xdr:row>480</xdr:row>
      <xdr:rowOff>114300</xdr:rowOff>
    </xdr:to>
    <xdr:sp macro="" textlink="">
      <xdr:nvSpPr>
        <xdr:cNvPr id="499" name="Arrow: Down 498">
          <a:extLst>
            <a:ext uri="{FF2B5EF4-FFF2-40B4-BE49-F238E27FC236}">
              <a16:creationId xmlns:a16="http://schemas.microsoft.com/office/drawing/2014/main" id="{96A0275C-4532-4252-B260-D104FDBD5EF9}"/>
            </a:ext>
          </a:extLst>
        </xdr:cNvPr>
        <xdr:cNvSpPr/>
      </xdr:nvSpPr>
      <xdr:spPr>
        <a:xfrm>
          <a:off x="5295900" y="5945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481</xdr:row>
      <xdr:rowOff>0</xdr:rowOff>
    </xdr:from>
    <xdr:to>
      <xdr:col>14</xdr:col>
      <xdr:colOff>83820</xdr:colOff>
      <xdr:row>481</xdr:row>
      <xdr:rowOff>114300</xdr:rowOff>
    </xdr:to>
    <xdr:sp macro="" textlink="">
      <xdr:nvSpPr>
        <xdr:cNvPr id="500" name="Arrow: Down 499">
          <a:extLst>
            <a:ext uri="{FF2B5EF4-FFF2-40B4-BE49-F238E27FC236}">
              <a16:creationId xmlns:a16="http://schemas.microsoft.com/office/drawing/2014/main" id="{CEDB7D0C-B77A-4C6C-A1AE-E005B46F124E}"/>
            </a:ext>
          </a:extLst>
        </xdr:cNvPr>
        <xdr:cNvSpPr/>
      </xdr:nvSpPr>
      <xdr:spPr>
        <a:xfrm>
          <a:off x="5295900" y="59634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479</xdr:row>
      <xdr:rowOff>0</xdr:rowOff>
    </xdr:from>
    <xdr:to>
      <xdr:col>14</xdr:col>
      <xdr:colOff>83820</xdr:colOff>
      <xdr:row>479</xdr:row>
      <xdr:rowOff>114300</xdr:rowOff>
    </xdr:to>
    <xdr:sp macro="" textlink="">
      <xdr:nvSpPr>
        <xdr:cNvPr id="501" name="Arrow: Down 500">
          <a:extLst>
            <a:ext uri="{FF2B5EF4-FFF2-40B4-BE49-F238E27FC236}">
              <a16:creationId xmlns:a16="http://schemas.microsoft.com/office/drawing/2014/main" id="{1D17D828-51A4-4AAA-9D8C-236B691667D0}"/>
            </a:ext>
          </a:extLst>
        </xdr:cNvPr>
        <xdr:cNvSpPr/>
      </xdr:nvSpPr>
      <xdr:spPr>
        <a:xfrm rot="10800000">
          <a:off x="5295900" y="5945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476</xdr:row>
      <xdr:rowOff>0</xdr:rowOff>
    </xdr:from>
    <xdr:to>
      <xdr:col>14</xdr:col>
      <xdr:colOff>83820</xdr:colOff>
      <xdr:row>476</xdr:row>
      <xdr:rowOff>114300</xdr:rowOff>
    </xdr:to>
    <xdr:sp macro="" textlink="">
      <xdr:nvSpPr>
        <xdr:cNvPr id="502" name="Arrow: Down 501">
          <a:extLst>
            <a:ext uri="{FF2B5EF4-FFF2-40B4-BE49-F238E27FC236}">
              <a16:creationId xmlns:a16="http://schemas.microsoft.com/office/drawing/2014/main" id="{ABED47C8-DE19-400D-827E-E7915F9A2D4E}"/>
            </a:ext>
          </a:extLst>
        </xdr:cNvPr>
        <xdr:cNvSpPr/>
      </xdr:nvSpPr>
      <xdr:spPr>
        <a:xfrm rot="10800000">
          <a:off x="5295900" y="58902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478</xdr:row>
      <xdr:rowOff>0</xdr:rowOff>
    </xdr:from>
    <xdr:to>
      <xdr:col>14</xdr:col>
      <xdr:colOff>83820</xdr:colOff>
      <xdr:row>478</xdr:row>
      <xdr:rowOff>114300</xdr:rowOff>
    </xdr:to>
    <xdr:sp macro="" textlink="">
      <xdr:nvSpPr>
        <xdr:cNvPr id="503" name="Arrow: Down 502">
          <a:extLst>
            <a:ext uri="{FF2B5EF4-FFF2-40B4-BE49-F238E27FC236}">
              <a16:creationId xmlns:a16="http://schemas.microsoft.com/office/drawing/2014/main" id="{DAB15983-5FE0-4907-B3A1-8A28B91E5814}"/>
            </a:ext>
          </a:extLst>
        </xdr:cNvPr>
        <xdr:cNvSpPr/>
      </xdr:nvSpPr>
      <xdr:spPr>
        <a:xfrm rot="10800000">
          <a:off x="5295900" y="5926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482</xdr:row>
      <xdr:rowOff>0</xdr:rowOff>
    </xdr:from>
    <xdr:to>
      <xdr:col>14</xdr:col>
      <xdr:colOff>83820</xdr:colOff>
      <xdr:row>482</xdr:row>
      <xdr:rowOff>114300</xdr:rowOff>
    </xdr:to>
    <xdr:sp macro="" textlink="">
      <xdr:nvSpPr>
        <xdr:cNvPr id="474" name="Arrow: Down 473">
          <a:extLst>
            <a:ext uri="{FF2B5EF4-FFF2-40B4-BE49-F238E27FC236}">
              <a16:creationId xmlns:a16="http://schemas.microsoft.com/office/drawing/2014/main" id="{68A0483C-62FC-4815-A036-B489DDBEC88C}"/>
            </a:ext>
          </a:extLst>
        </xdr:cNvPr>
        <xdr:cNvSpPr/>
      </xdr:nvSpPr>
      <xdr:spPr>
        <a:xfrm>
          <a:off x="5295900" y="5981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487</xdr:row>
      <xdr:rowOff>0</xdr:rowOff>
    </xdr:from>
    <xdr:to>
      <xdr:col>14</xdr:col>
      <xdr:colOff>83820</xdr:colOff>
      <xdr:row>487</xdr:row>
      <xdr:rowOff>114300</xdr:rowOff>
    </xdr:to>
    <xdr:sp macro="" textlink="">
      <xdr:nvSpPr>
        <xdr:cNvPr id="486" name="Arrow: Down 485">
          <a:extLst>
            <a:ext uri="{FF2B5EF4-FFF2-40B4-BE49-F238E27FC236}">
              <a16:creationId xmlns:a16="http://schemas.microsoft.com/office/drawing/2014/main" id="{83D3214E-9978-4665-842A-5E0440A30541}"/>
            </a:ext>
          </a:extLst>
        </xdr:cNvPr>
        <xdr:cNvSpPr/>
      </xdr:nvSpPr>
      <xdr:spPr>
        <a:xfrm>
          <a:off x="5295900" y="6073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488</xdr:row>
      <xdr:rowOff>0</xdr:rowOff>
    </xdr:from>
    <xdr:to>
      <xdr:col>14</xdr:col>
      <xdr:colOff>83820</xdr:colOff>
      <xdr:row>488</xdr:row>
      <xdr:rowOff>114300</xdr:rowOff>
    </xdr:to>
    <xdr:sp macro="" textlink="">
      <xdr:nvSpPr>
        <xdr:cNvPr id="495" name="Arrow: Down 494">
          <a:extLst>
            <a:ext uri="{FF2B5EF4-FFF2-40B4-BE49-F238E27FC236}">
              <a16:creationId xmlns:a16="http://schemas.microsoft.com/office/drawing/2014/main" id="{1C5375A4-02A5-4382-B3C6-6A9C7A1D85CA}"/>
            </a:ext>
          </a:extLst>
        </xdr:cNvPr>
        <xdr:cNvSpPr/>
      </xdr:nvSpPr>
      <xdr:spPr>
        <a:xfrm>
          <a:off x="5295900" y="6109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483</xdr:row>
      <xdr:rowOff>0</xdr:rowOff>
    </xdr:from>
    <xdr:to>
      <xdr:col>14</xdr:col>
      <xdr:colOff>83820</xdr:colOff>
      <xdr:row>483</xdr:row>
      <xdr:rowOff>114300</xdr:rowOff>
    </xdr:to>
    <xdr:sp macro="" textlink="">
      <xdr:nvSpPr>
        <xdr:cNvPr id="497" name="Arrow: Down 496">
          <a:extLst>
            <a:ext uri="{FF2B5EF4-FFF2-40B4-BE49-F238E27FC236}">
              <a16:creationId xmlns:a16="http://schemas.microsoft.com/office/drawing/2014/main" id="{1DFC3D1E-08A1-4922-90B7-1117DC6C022E}"/>
            </a:ext>
          </a:extLst>
        </xdr:cNvPr>
        <xdr:cNvSpPr/>
      </xdr:nvSpPr>
      <xdr:spPr>
        <a:xfrm rot="10800000">
          <a:off x="5295900" y="60182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486</xdr:row>
      <xdr:rowOff>0</xdr:rowOff>
    </xdr:from>
    <xdr:to>
      <xdr:col>14</xdr:col>
      <xdr:colOff>83820</xdr:colOff>
      <xdr:row>486</xdr:row>
      <xdr:rowOff>114300</xdr:rowOff>
    </xdr:to>
    <xdr:sp macro="" textlink="">
      <xdr:nvSpPr>
        <xdr:cNvPr id="498" name="Arrow: Down 497">
          <a:extLst>
            <a:ext uri="{FF2B5EF4-FFF2-40B4-BE49-F238E27FC236}">
              <a16:creationId xmlns:a16="http://schemas.microsoft.com/office/drawing/2014/main" id="{19573719-F348-466B-9CA3-4E425059BACD}"/>
            </a:ext>
          </a:extLst>
        </xdr:cNvPr>
        <xdr:cNvSpPr/>
      </xdr:nvSpPr>
      <xdr:spPr>
        <a:xfrm rot="10800000">
          <a:off x="5295900" y="6073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484</xdr:row>
      <xdr:rowOff>0</xdr:rowOff>
    </xdr:from>
    <xdr:to>
      <xdr:col>14</xdr:col>
      <xdr:colOff>83820</xdr:colOff>
      <xdr:row>484</xdr:row>
      <xdr:rowOff>114300</xdr:rowOff>
    </xdr:to>
    <xdr:sp macro="" textlink="">
      <xdr:nvSpPr>
        <xdr:cNvPr id="504" name="Arrow: Down 503">
          <a:extLst>
            <a:ext uri="{FF2B5EF4-FFF2-40B4-BE49-F238E27FC236}">
              <a16:creationId xmlns:a16="http://schemas.microsoft.com/office/drawing/2014/main" id="{FCEED08F-6898-476F-8841-FF21EB6B4403}"/>
            </a:ext>
          </a:extLst>
        </xdr:cNvPr>
        <xdr:cNvSpPr/>
      </xdr:nvSpPr>
      <xdr:spPr>
        <a:xfrm rot="10800000">
          <a:off x="5295900" y="6036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485</xdr:row>
      <xdr:rowOff>0</xdr:rowOff>
    </xdr:from>
    <xdr:to>
      <xdr:col>14</xdr:col>
      <xdr:colOff>83820</xdr:colOff>
      <xdr:row>485</xdr:row>
      <xdr:rowOff>114300</xdr:rowOff>
    </xdr:to>
    <xdr:sp macro="" textlink="">
      <xdr:nvSpPr>
        <xdr:cNvPr id="506" name="Arrow: Down 505">
          <a:extLst>
            <a:ext uri="{FF2B5EF4-FFF2-40B4-BE49-F238E27FC236}">
              <a16:creationId xmlns:a16="http://schemas.microsoft.com/office/drawing/2014/main" id="{4AC88682-C6B1-4DBA-A247-C7CDA56A1B73}"/>
            </a:ext>
          </a:extLst>
        </xdr:cNvPr>
        <xdr:cNvSpPr/>
      </xdr:nvSpPr>
      <xdr:spPr>
        <a:xfrm rot="10800000">
          <a:off x="5295900" y="6054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489</xdr:row>
      <xdr:rowOff>0</xdr:rowOff>
    </xdr:from>
    <xdr:to>
      <xdr:col>14</xdr:col>
      <xdr:colOff>83820</xdr:colOff>
      <xdr:row>489</xdr:row>
      <xdr:rowOff>114300</xdr:rowOff>
    </xdr:to>
    <xdr:sp macro="" textlink="">
      <xdr:nvSpPr>
        <xdr:cNvPr id="471" name="Arrow: Down 470">
          <a:extLst>
            <a:ext uri="{FF2B5EF4-FFF2-40B4-BE49-F238E27FC236}">
              <a16:creationId xmlns:a16="http://schemas.microsoft.com/office/drawing/2014/main" id="{9245F0D9-B689-481E-BF2E-06B1491FB418}"/>
            </a:ext>
          </a:extLst>
        </xdr:cNvPr>
        <xdr:cNvSpPr/>
      </xdr:nvSpPr>
      <xdr:spPr>
        <a:xfrm>
          <a:off x="5295900" y="6109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493</xdr:row>
      <xdr:rowOff>0</xdr:rowOff>
    </xdr:from>
    <xdr:to>
      <xdr:col>14</xdr:col>
      <xdr:colOff>83820</xdr:colOff>
      <xdr:row>493</xdr:row>
      <xdr:rowOff>114300</xdr:rowOff>
    </xdr:to>
    <xdr:sp macro="" textlink="">
      <xdr:nvSpPr>
        <xdr:cNvPr id="484" name="Arrow: Down 483">
          <a:extLst>
            <a:ext uri="{FF2B5EF4-FFF2-40B4-BE49-F238E27FC236}">
              <a16:creationId xmlns:a16="http://schemas.microsoft.com/office/drawing/2014/main" id="{CED60972-1C78-4FF4-B2C1-D24E199009E9}"/>
            </a:ext>
          </a:extLst>
        </xdr:cNvPr>
        <xdr:cNvSpPr/>
      </xdr:nvSpPr>
      <xdr:spPr>
        <a:xfrm>
          <a:off x="5295900" y="61828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495</xdr:row>
      <xdr:rowOff>0</xdr:rowOff>
    </xdr:from>
    <xdr:to>
      <xdr:col>14</xdr:col>
      <xdr:colOff>83820</xdr:colOff>
      <xdr:row>495</xdr:row>
      <xdr:rowOff>114300</xdr:rowOff>
    </xdr:to>
    <xdr:sp macro="" textlink="">
      <xdr:nvSpPr>
        <xdr:cNvPr id="491" name="Arrow: Down 490">
          <a:extLst>
            <a:ext uri="{FF2B5EF4-FFF2-40B4-BE49-F238E27FC236}">
              <a16:creationId xmlns:a16="http://schemas.microsoft.com/office/drawing/2014/main" id="{78279D9F-9688-452A-B850-3734E1372F2B}"/>
            </a:ext>
          </a:extLst>
        </xdr:cNvPr>
        <xdr:cNvSpPr/>
      </xdr:nvSpPr>
      <xdr:spPr>
        <a:xfrm>
          <a:off x="5295900" y="6219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494</xdr:row>
      <xdr:rowOff>0</xdr:rowOff>
    </xdr:from>
    <xdr:to>
      <xdr:col>14</xdr:col>
      <xdr:colOff>83820</xdr:colOff>
      <xdr:row>494</xdr:row>
      <xdr:rowOff>114300</xdr:rowOff>
    </xdr:to>
    <xdr:sp macro="" textlink="">
      <xdr:nvSpPr>
        <xdr:cNvPr id="505" name="Arrow: Down 504">
          <a:extLst>
            <a:ext uri="{FF2B5EF4-FFF2-40B4-BE49-F238E27FC236}">
              <a16:creationId xmlns:a16="http://schemas.microsoft.com/office/drawing/2014/main" id="{F4466899-1945-4A25-858D-F8D4D562A6A6}"/>
            </a:ext>
          </a:extLst>
        </xdr:cNvPr>
        <xdr:cNvSpPr/>
      </xdr:nvSpPr>
      <xdr:spPr>
        <a:xfrm rot="10800000">
          <a:off x="5295900" y="62194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490</xdr:row>
      <xdr:rowOff>0</xdr:rowOff>
    </xdr:from>
    <xdr:to>
      <xdr:col>14</xdr:col>
      <xdr:colOff>83820</xdr:colOff>
      <xdr:row>490</xdr:row>
      <xdr:rowOff>114300</xdr:rowOff>
    </xdr:to>
    <xdr:sp macro="" textlink="">
      <xdr:nvSpPr>
        <xdr:cNvPr id="507" name="Arrow: Down 506">
          <a:extLst>
            <a:ext uri="{FF2B5EF4-FFF2-40B4-BE49-F238E27FC236}">
              <a16:creationId xmlns:a16="http://schemas.microsoft.com/office/drawing/2014/main" id="{C4C2BE3B-F416-4A4D-B483-FDFE4045719F}"/>
            </a:ext>
          </a:extLst>
        </xdr:cNvPr>
        <xdr:cNvSpPr/>
      </xdr:nvSpPr>
      <xdr:spPr>
        <a:xfrm rot="10800000">
          <a:off x="5295900" y="6146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491</xdr:row>
      <xdr:rowOff>0</xdr:rowOff>
    </xdr:from>
    <xdr:to>
      <xdr:col>14</xdr:col>
      <xdr:colOff>83820</xdr:colOff>
      <xdr:row>491</xdr:row>
      <xdr:rowOff>114300</xdr:rowOff>
    </xdr:to>
    <xdr:sp macro="" textlink="">
      <xdr:nvSpPr>
        <xdr:cNvPr id="508" name="Arrow: Down 507">
          <a:extLst>
            <a:ext uri="{FF2B5EF4-FFF2-40B4-BE49-F238E27FC236}">
              <a16:creationId xmlns:a16="http://schemas.microsoft.com/office/drawing/2014/main" id="{27ECBCDA-BB51-4779-86E4-384DCC011ED8}"/>
            </a:ext>
          </a:extLst>
        </xdr:cNvPr>
        <xdr:cNvSpPr/>
      </xdr:nvSpPr>
      <xdr:spPr>
        <a:xfrm rot="10800000">
          <a:off x="5295900" y="61645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492</xdr:row>
      <xdr:rowOff>0</xdr:rowOff>
    </xdr:from>
    <xdr:to>
      <xdr:col>14</xdr:col>
      <xdr:colOff>83820</xdr:colOff>
      <xdr:row>492</xdr:row>
      <xdr:rowOff>114300</xdr:rowOff>
    </xdr:to>
    <xdr:sp macro="" textlink="">
      <xdr:nvSpPr>
        <xdr:cNvPr id="509" name="Arrow: Down 508">
          <a:extLst>
            <a:ext uri="{FF2B5EF4-FFF2-40B4-BE49-F238E27FC236}">
              <a16:creationId xmlns:a16="http://schemas.microsoft.com/office/drawing/2014/main" id="{B4BCACAA-E003-45D1-907A-70AD85FB8011}"/>
            </a:ext>
          </a:extLst>
        </xdr:cNvPr>
        <xdr:cNvSpPr/>
      </xdr:nvSpPr>
      <xdr:spPr>
        <a:xfrm rot="10800000">
          <a:off x="5295900" y="6182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501</xdr:row>
      <xdr:rowOff>0</xdr:rowOff>
    </xdr:from>
    <xdr:to>
      <xdr:col>14</xdr:col>
      <xdr:colOff>83820</xdr:colOff>
      <xdr:row>501</xdr:row>
      <xdr:rowOff>114300</xdr:rowOff>
    </xdr:to>
    <xdr:sp macro="" textlink="">
      <xdr:nvSpPr>
        <xdr:cNvPr id="516" name="Arrow: Down 515">
          <a:extLst>
            <a:ext uri="{FF2B5EF4-FFF2-40B4-BE49-F238E27FC236}">
              <a16:creationId xmlns:a16="http://schemas.microsoft.com/office/drawing/2014/main" id="{06AECD08-3019-4EE3-A611-3E256F778477}"/>
            </a:ext>
          </a:extLst>
        </xdr:cNvPr>
        <xdr:cNvSpPr/>
      </xdr:nvSpPr>
      <xdr:spPr>
        <a:xfrm>
          <a:off x="5295900" y="63291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502</xdr:row>
      <xdr:rowOff>0</xdr:rowOff>
    </xdr:from>
    <xdr:to>
      <xdr:col>14</xdr:col>
      <xdr:colOff>83820</xdr:colOff>
      <xdr:row>502</xdr:row>
      <xdr:rowOff>114300</xdr:rowOff>
    </xdr:to>
    <xdr:sp macro="" textlink="">
      <xdr:nvSpPr>
        <xdr:cNvPr id="517" name="Arrow: Down 516">
          <a:extLst>
            <a:ext uri="{FF2B5EF4-FFF2-40B4-BE49-F238E27FC236}">
              <a16:creationId xmlns:a16="http://schemas.microsoft.com/office/drawing/2014/main" id="{9FAE4259-61D4-4AB4-B0DA-F74441A36828}"/>
            </a:ext>
          </a:extLst>
        </xdr:cNvPr>
        <xdr:cNvSpPr/>
      </xdr:nvSpPr>
      <xdr:spPr>
        <a:xfrm>
          <a:off x="5295900" y="6347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496</xdr:row>
      <xdr:rowOff>0</xdr:rowOff>
    </xdr:from>
    <xdr:to>
      <xdr:col>14</xdr:col>
      <xdr:colOff>83820</xdr:colOff>
      <xdr:row>496</xdr:row>
      <xdr:rowOff>114300</xdr:rowOff>
    </xdr:to>
    <xdr:sp macro="" textlink="">
      <xdr:nvSpPr>
        <xdr:cNvPr id="518" name="Arrow: Down 517">
          <a:extLst>
            <a:ext uri="{FF2B5EF4-FFF2-40B4-BE49-F238E27FC236}">
              <a16:creationId xmlns:a16="http://schemas.microsoft.com/office/drawing/2014/main" id="{F980A036-A5D2-4EF7-80B4-FB643B3C28C5}"/>
            </a:ext>
          </a:extLst>
        </xdr:cNvPr>
        <xdr:cNvSpPr/>
      </xdr:nvSpPr>
      <xdr:spPr>
        <a:xfrm rot="10800000">
          <a:off x="5295900" y="6256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500</xdr:row>
      <xdr:rowOff>0</xdr:rowOff>
    </xdr:from>
    <xdr:to>
      <xdr:col>14</xdr:col>
      <xdr:colOff>83820</xdr:colOff>
      <xdr:row>500</xdr:row>
      <xdr:rowOff>114300</xdr:rowOff>
    </xdr:to>
    <xdr:sp macro="" textlink="">
      <xdr:nvSpPr>
        <xdr:cNvPr id="520" name="Arrow: Down 519">
          <a:extLst>
            <a:ext uri="{FF2B5EF4-FFF2-40B4-BE49-F238E27FC236}">
              <a16:creationId xmlns:a16="http://schemas.microsoft.com/office/drawing/2014/main" id="{6BFB05A5-8659-492E-A489-30B32A2B0C00}"/>
            </a:ext>
          </a:extLst>
        </xdr:cNvPr>
        <xdr:cNvSpPr/>
      </xdr:nvSpPr>
      <xdr:spPr>
        <a:xfrm rot="10800000">
          <a:off x="5295900" y="6329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497</xdr:row>
      <xdr:rowOff>0</xdr:rowOff>
    </xdr:from>
    <xdr:to>
      <xdr:col>14</xdr:col>
      <xdr:colOff>83820</xdr:colOff>
      <xdr:row>497</xdr:row>
      <xdr:rowOff>114300</xdr:rowOff>
    </xdr:to>
    <xdr:sp macro="" textlink="">
      <xdr:nvSpPr>
        <xdr:cNvPr id="521" name="Arrow: Down 520">
          <a:extLst>
            <a:ext uri="{FF2B5EF4-FFF2-40B4-BE49-F238E27FC236}">
              <a16:creationId xmlns:a16="http://schemas.microsoft.com/office/drawing/2014/main" id="{7CB70AB7-077B-4AE1-99B9-5649E5C6A84D}"/>
            </a:ext>
          </a:extLst>
        </xdr:cNvPr>
        <xdr:cNvSpPr/>
      </xdr:nvSpPr>
      <xdr:spPr>
        <a:xfrm rot="10800000">
          <a:off x="5295900" y="62743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498</xdr:row>
      <xdr:rowOff>0</xdr:rowOff>
    </xdr:from>
    <xdr:to>
      <xdr:col>14</xdr:col>
      <xdr:colOff>83820</xdr:colOff>
      <xdr:row>498</xdr:row>
      <xdr:rowOff>114300</xdr:rowOff>
    </xdr:to>
    <xdr:sp macro="" textlink="">
      <xdr:nvSpPr>
        <xdr:cNvPr id="522" name="Arrow: Down 521">
          <a:extLst>
            <a:ext uri="{FF2B5EF4-FFF2-40B4-BE49-F238E27FC236}">
              <a16:creationId xmlns:a16="http://schemas.microsoft.com/office/drawing/2014/main" id="{C0751631-F78E-46BD-A09E-87B26B970589}"/>
            </a:ext>
          </a:extLst>
        </xdr:cNvPr>
        <xdr:cNvSpPr/>
      </xdr:nvSpPr>
      <xdr:spPr>
        <a:xfrm rot="10800000">
          <a:off x="5295900" y="6292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499</xdr:row>
      <xdr:rowOff>0</xdr:rowOff>
    </xdr:from>
    <xdr:to>
      <xdr:col>14</xdr:col>
      <xdr:colOff>83820</xdr:colOff>
      <xdr:row>499</xdr:row>
      <xdr:rowOff>114300</xdr:rowOff>
    </xdr:to>
    <xdr:sp macro="" textlink="">
      <xdr:nvSpPr>
        <xdr:cNvPr id="523" name="Arrow: Down 522">
          <a:extLst>
            <a:ext uri="{FF2B5EF4-FFF2-40B4-BE49-F238E27FC236}">
              <a16:creationId xmlns:a16="http://schemas.microsoft.com/office/drawing/2014/main" id="{E4163A4D-53C2-41E7-9D15-589A96C10ADB}"/>
            </a:ext>
          </a:extLst>
        </xdr:cNvPr>
        <xdr:cNvSpPr/>
      </xdr:nvSpPr>
      <xdr:spPr>
        <a:xfrm rot="10800000">
          <a:off x="5295900" y="6310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503</xdr:row>
      <xdr:rowOff>0</xdr:rowOff>
    </xdr:from>
    <xdr:to>
      <xdr:col>14</xdr:col>
      <xdr:colOff>83820</xdr:colOff>
      <xdr:row>503</xdr:row>
      <xdr:rowOff>114300</xdr:rowOff>
    </xdr:to>
    <xdr:sp macro="" textlink="">
      <xdr:nvSpPr>
        <xdr:cNvPr id="526" name="Arrow: Down 525">
          <a:extLst>
            <a:ext uri="{FF2B5EF4-FFF2-40B4-BE49-F238E27FC236}">
              <a16:creationId xmlns:a16="http://schemas.microsoft.com/office/drawing/2014/main" id="{E5B5B281-F5FE-4DE2-B5B1-86333365E166}"/>
            </a:ext>
          </a:extLst>
        </xdr:cNvPr>
        <xdr:cNvSpPr/>
      </xdr:nvSpPr>
      <xdr:spPr>
        <a:xfrm rot="10800000">
          <a:off x="5295900" y="6384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505</xdr:row>
      <xdr:rowOff>0</xdr:rowOff>
    </xdr:from>
    <xdr:to>
      <xdr:col>14</xdr:col>
      <xdr:colOff>83820</xdr:colOff>
      <xdr:row>505</xdr:row>
      <xdr:rowOff>114300</xdr:rowOff>
    </xdr:to>
    <xdr:sp macro="" textlink="">
      <xdr:nvSpPr>
        <xdr:cNvPr id="530" name="Arrow: Down 529">
          <a:extLst>
            <a:ext uri="{FF2B5EF4-FFF2-40B4-BE49-F238E27FC236}">
              <a16:creationId xmlns:a16="http://schemas.microsoft.com/office/drawing/2014/main" id="{F16462A8-A2A1-4893-A204-3529C028017E}"/>
            </a:ext>
          </a:extLst>
        </xdr:cNvPr>
        <xdr:cNvSpPr/>
      </xdr:nvSpPr>
      <xdr:spPr>
        <a:xfrm rot="10800000">
          <a:off x="5295900" y="6402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506</xdr:row>
      <xdr:rowOff>0</xdr:rowOff>
    </xdr:from>
    <xdr:to>
      <xdr:col>14</xdr:col>
      <xdr:colOff>83820</xdr:colOff>
      <xdr:row>506</xdr:row>
      <xdr:rowOff>114300</xdr:rowOff>
    </xdr:to>
    <xdr:sp macro="" textlink="">
      <xdr:nvSpPr>
        <xdr:cNvPr id="532" name="Arrow: Down 531">
          <a:extLst>
            <a:ext uri="{FF2B5EF4-FFF2-40B4-BE49-F238E27FC236}">
              <a16:creationId xmlns:a16="http://schemas.microsoft.com/office/drawing/2014/main" id="{A60A1668-1044-403E-8683-30675E9D620C}"/>
            </a:ext>
          </a:extLst>
        </xdr:cNvPr>
        <xdr:cNvSpPr/>
      </xdr:nvSpPr>
      <xdr:spPr>
        <a:xfrm rot="10800000">
          <a:off x="5295900" y="6420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507</xdr:row>
      <xdr:rowOff>0</xdr:rowOff>
    </xdr:from>
    <xdr:to>
      <xdr:col>14</xdr:col>
      <xdr:colOff>83820</xdr:colOff>
      <xdr:row>507</xdr:row>
      <xdr:rowOff>114300</xdr:rowOff>
    </xdr:to>
    <xdr:sp macro="" textlink="">
      <xdr:nvSpPr>
        <xdr:cNvPr id="533" name="Arrow: Down 532">
          <a:extLst>
            <a:ext uri="{FF2B5EF4-FFF2-40B4-BE49-F238E27FC236}">
              <a16:creationId xmlns:a16="http://schemas.microsoft.com/office/drawing/2014/main" id="{84BFB3F9-9D5E-4056-9196-C78442BDB45B}"/>
            </a:ext>
          </a:extLst>
        </xdr:cNvPr>
        <xdr:cNvSpPr/>
      </xdr:nvSpPr>
      <xdr:spPr>
        <a:xfrm rot="10800000">
          <a:off x="5295900" y="6457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508</xdr:row>
      <xdr:rowOff>0</xdr:rowOff>
    </xdr:from>
    <xdr:to>
      <xdr:col>14</xdr:col>
      <xdr:colOff>83820</xdr:colOff>
      <xdr:row>508</xdr:row>
      <xdr:rowOff>114300</xdr:rowOff>
    </xdr:to>
    <xdr:sp macro="" textlink="">
      <xdr:nvSpPr>
        <xdr:cNvPr id="534" name="Arrow: Down 533">
          <a:extLst>
            <a:ext uri="{FF2B5EF4-FFF2-40B4-BE49-F238E27FC236}">
              <a16:creationId xmlns:a16="http://schemas.microsoft.com/office/drawing/2014/main" id="{51A46384-4B58-4477-830C-5A419D53B4A3}"/>
            </a:ext>
          </a:extLst>
        </xdr:cNvPr>
        <xdr:cNvSpPr/>
      </xdr:nvSpPr>
      <xdr:spPr>
        <a:xfrm rot="10800000">
          <a:off x="5295900" y="6457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504</xdr:row>
      <xdr:rowOff>0</xdr:rowOff>
    </xdr:from>
    <xdr:to>
      <xdr:col>14</xdr:col>
      <xdr:colOff>83820</xdr:colOff>
      <xdr:row>504</xdr:row>
      <xdr:rowOff>114300</xdr:rowOff>
    </xdr:to>
    <xdr:sp macro="" textlink="">
      <xdr:nvSpPr>
        <xdr:cNvPr id="535" name="Arrow: Down 534">
          <a:extLst>
            <a:ext uri="{FF2B5EF4-FFF2-40B4-BE49-F238E27FC236}">
              <a16:creationId xmlns:a16="http://schemas.microsoft.com/office/drawing/2014/main" id="{CB20906C-F26A-4AC8-ABDD-7CB9D2493A4D}"/>
            </a:ext>
          </a:extLst>
        </xdr:cNvPr>
        <xdr:cNvSpPr/>
      </xdr:nvSpPr>
      <xdr:spPr>
        <a:xfrm>
          <a:off x="5295900" y="64023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509</xdr:row>
      <xdr:rowOff>0</xdr:rowOff>
    </xdr:from>
    <xdr:to>
      <xdr:col>14</xdr:col>
      <xdr:colOff>83820</xdr:colOff>
      <xdr:row>509</xdr:row>
      <xdr:rowOff>114300</xdr:rowOff>
    </xdr:to>
    <xdr:sp macro="" textlink="">
      <xdr:nvSpPr>
        <xdr:cNvPr id="537" name="Arrow: Down 536">
          <a:extLst>
            <a:ext uri="{FF2B5EF4-FFF2-40B4-BE49-F238E27FC236}">
              <a16:creationId xmlns:a16="http://schemas.microsoft.com/office/drawing/2014/main" id="{8FD2623D-0967-4460-933D-BD2A0594752C}"/>
            </a:ext>
          </a:extLst>
        </xdr:cNvPr>
        <xdr:cNvSpPr/>
      </xdr:nvSpPr>
      <xdr:spPr>
        <a:xfrm>
          <a:off x="5295900" y="64937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510</xdr:row>
      <xdr:rowOff>0</xdr:rowOff>
    </xdr:from>
    <xdr:to>
      <xdr:col>14</xdr:col>
      <xdr:colOff>83820</xdr:colOff>
      <xdr:row>510</xdr:row>
      <xdr:rowOff>114300</xdr:rowOff>
    </xdr:to>
    <xdr:sp macro="" textlink="">
      <xdr:nvSpPr>
        <xdr:cNvPr id="485" name="Arrow: Down 484">
          <a:extLst>
            <a:ext uri="{FF2B5EF4-FFF2-40B4-BE49-F238E27FC236}">
              <a16:creationId xmlns:a16="http://schemas.microsoft.com/office/drawing/2014/main" id="{E1DE9EBE-38E6-4379-8042-54B88470EFB9}"/>
            </a:ext>
          </a:extLst>
        </xdr:cNvPr>
        <xdr:cNvSpPr/>
      </xdr:nvSpPr>
      <xdr:spPr>
        <a:xfrm rot="10800000">
          <a:off x="5295900" y="65120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511</xdr:row>
      <xdr:rowOff>0</xdr:rowOff>
    </xdr:from>
    <xdr:to>
      <xdr:col>14</xdr:col>
      <xdr:colOff>83820</xdr:colOff>
      <xdr:row>511</xdr:row>
      <xdr:rowOff>114300</xdr:rowOff>
    </xdr:to>
    <xdr:sp macro="" textlink="">
      <xdr:nvSpPr>
        <xdr:cNvPr id="510" name="Arrow: Down 509">
          <a:extLst>
            <a:ext uri="{FF2B5EF4-FFF2-40B4-BE49-F238E27FC236}">
              <a16:creationId xmlns:a16="http://schemas.microsoft.com/office/drawing/2014/main" id="{A0F87F7B-256B-460B-8AC0-7826E34B7875}"/>
            </a:ext>
          </a:extLst>
        </xdr:cNvPr>
        <xdr:cNvSpPr/>
      </xdr:nvSpPr>
      <xdr:spPr>
        <a:xfrm rot="10800000">
          <a:off x="5295900" y="65120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512</xdr:row>
      <xdr:rowOff>0</xdr:rowOff>
    </xdr:from>
    <xdr:to>
      <xdr:col>14</xdr:col>
      <xdr:colOff>83820</xdr:colOff>
      <xdr:row>512</xdr:row>
      <xdr:rowOff>114300</xdr:rowOff>
    </xdr:to>
    <xdr:sp macro="" textlink="">
      <xdr:nvSpPr>
        <xdr:cNvPr id="512" name="Arrow: Down 511">
          <a:extLst>
            <a:ext uri="{FF2B5EF4-FFF2-40B4-BE49-F238E27FC236}">
              <a16:creationId xmlns:a16="http://schemas.microsoft.com/office/drawing/2014/main" id="{822F0C82-0847-4B9D-B0F9-D0DF10880F72}"/>
            </a:ext>
          </a:extLst>
        </xdr:cNvPr>
        <xdr:cNvSpPr/>
      </xdr:nvSpPr>
      <xdr:spPr>
        <a:xfrm>
          <a:off x="5295900" y="65486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513</xdr:row>
      <xdr:rowOff>0</xdr:rowOff>
    </xdr:from>
    <xdr:to>
      <xdr:col>14</xdr:col>
      <xdr:colOff>83820</xdr:colOff>
      <xdr:row>513</xdr:row>
      <xdr:rowOff>114300</xdr:rowOff>
    </xdr:to>
    <xdr:sp macro="" textlink="">
      <xdr:nvSpPr>
        <xdr:cNvPr id="514" name="Arrow: Down 513">
          <a:extLst>
            <a:ext uri="{FF2B5EF4-FFF2-40B4-BE49-F238E27FC236}">
              <a16:creationId xmlns:a16="http://schemas.microsoft.com/office/drawing/2014/main" id="{C889F0F3-AD8B-430C-A3A4-60FB98553D2A}"/>
            </a:ext>
          </a:extLst>
        </xdr:cNvPr>
        <xdr:cNvSpPr/>
      </xdr:nvSpPr>
      <xdr:spPr>
        <a:xfrm rot="10800000">
          <a:off x="5295900" y="6566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514</xdr:row>
      <xdr:rowOff>0</xdr:rowOff>
    </xdr:from>
    <xdr:to>
      <xdr:col>14</xdr:col>
      <xdr:colOff>83820</xdr:colOff>
      <xdr:row>514</xdr:row>
      <xdr:rowOff>114300</xdr:rowOff>
    </xdr:to>
    <xdr:sp macro="" textlink="">
      <xdr:nvSpPr>
        <xdr:cNvPr id="515" name="Arrow: Down 514">
          <a:extLst>
            <a:ext uri="{FF2B5EF4-FFF2-40B4-BE49-F238E27FC236}">
              <a16:creationId xmlns:a16="http://schemas.microsoft.com/office/drawing/2014/main" id="{305479EE-151B-492A-932B-39A5AF18AA9D}"/>
            </a:ext>
          </a:extLst>
        </xdr:cNvPr>
        <xdr:cNvSpPr/>
      </xdr:nvSpPr>
      <xdr:spPr>
        <a:xfrm rot="10800000">
          <a:off x="5295900" y="6566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515</xdr:row>
      <xdr:rowOff>0</xdr:rowOff>
    </xdr:from>
    <xdr:to>
      <xdr:col>14</xdr:col>
      <xdr:colOff>83820</xdr:colOff>
      <xdr:row>515</xdr:row>
      <xdr:rowOff>114300</xdr:rowOff>
    </xdr:to>
    <xdr:sp macro="" textlink="">
      <xdr:nvSpPr>
        <xdr:cNvPr id="519" name="Arrow: Down 518">
          <a:extLst>
            <a:ext uri="{FF2B5EF4-FFF2-40B4-BE49-F238E27FC236}">
              <a16:creationId xmlns:a16="http://schemas.microsoft.com/office/drawing/2014/main" id="{E6988E77-160E-4786-8EFD-0AA89BB03803}"/>
            </a:ext>
          </a:extLst>
        </xdr:cNvPr>
        <xdr:cNvSpPr/>
      </xdr:nvSpPr>
      <xdr:spPr>
        <a:xfrm rot="10800000">
          <a:off x="5295900" y="6585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516</xdr:row>
      <xdr:rowOff>0</xdr:rowOff>
    </xdr:from>
    <xdr:to>
      <xdr:col>14</xdr:col>
      <xdr:colOff>83820</xdr:colOff>
      <xdr:row>516</xdr:row>
      <xdr:rowOff>114300</xdr:rowOff>
    </xdr:to>
    <xdr:sp macro="" textlink="">
      <xdr:nvSpPr>
        <xdr:cNvPr id="525" name="Arrow: Down 524">
          <a:extLst>
            <a:ext uri="{FF2B5EF4-FFF2-40B4-BE49-F238E27FC236}">
              <a16:creationId xmlns:a16="http://schemas.microsoft.com/office/drawing/2014/main" id="{690EC809-F52B-4458-9153-C1B9512EC644}"/>
            </a:ext>
          </a:extLst>
        </xdr:cNvPr>
        <xdr:cNvSpPr/>
      </xdr:nvSpPr>
      <xdr:spPr>
        <a:xfrm>
          <a:off x="5295900" y="6621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517</xdr:row>
      <xdr:rowOff>0</xdr:rowOff>
    </xdr:from>
    <xdr:to>
      <xdr:col>14</xdr:col>
      <xdr:colOff>83820</xdr:colOff>
      <xdr:row>517</xdr:row>
      <xdr:rowOff>114300</xdr:rowOff>
    </xdr:to>
    <xdr:sp macro="" textlink="">
      <xdr:nvSpPr>
        <xdr:cNvPr id="511" name="Arrow: Down 510">
          <a:extLst>
            <a:ext uri="{FF2B5EF4-FFF2-40B4-BE49-F238E27FC236}">
              <a16:creationId xmlns:a16="http://schemas.microsoft.com/office/drawing/2014/main" id="{101B5470-2CA2-4BB1-B28F-7EC004441279}"/>
            </a:ext>
          </a:extLst>
        </xdr:cNvPr>
        <xdr:cNvSpPr/>
      </xdr:nvSpPr>
      <xdr:spPr>
        <a:xfrm>
          <a:off x="5295900" y="6621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518</xdr:row>
      <xdr:rowOff>0</xdr:rowOff>
    </xdr:from>
    <xdr:to>
      <xdr:col>14</xdr:col>
      <xdr:colOff>83820</xdr:colOff>
      <xdr:row>518</xdr:row>
      <xdr:rowOff>114300</xdr:rowOff>
    </xdr:to>
    <xdr:sp macro="" textlink="">
      <xdr:nvSpPr>
        <xdr:cNvPr id="513" name="Arrow: Down 512">
          <a:extLst>
            <a:ext uri="{FF2B5EF4-FFF2-40B4-BE49-F238E27FC236}">
              <a16:creationId xmlns:a16="http://schemas.microsoft.com/office/drawing/2014/main" id="{28D9B5F7-1AC5-437B-AB2F-B18FA6DE05E1}"/>
            </a:ext>
          </a:extLst>
        </xdr:cNvPr>
        <xdr:cNvSpPr/>
      </xdr:nvSpPr>
      <xdr:spPr>
        <a:xfrm>
          <a:off x="5295900" y="66400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520</xdr:row>
      <xdr:rowOff>0</xdr:rowOff>
    </xdr:from>
    <xdr:to>
      <xdr:col>14</xdr:col>
      <xdr:colOff>83820</xdr:colOff>
      <xdr:row>520</xdr:row>
      <xdr:rowOff>114300</xdr:rowOff>
    </xdr:to>
    <xdr:sp macro="" textlink="">
      <xdr:nvSpPr>
        <xdr:cNvPr id="527" name="Arrow: Down 526">
          <a:extLst>
            <a:ext uri="{FF2B5EF4-FFF2-40B4-BE49-F238E27FC236}">
              <a16:creationId xmlns:a16="http://schemas.microsoft.com/office/drawing/2014/main" id="{C677C274-71AE-4A84-9A98-CAB535F1A701}"/>
            </a:ext>
          </a:extLst>
        </xdr:cNvPr>
        <xdr:cNvSpPr/>
      </xdr:nvSpPr>
      <xdr:spPr>
        <a:xfrm>
          <a:off x="5295900" y="6676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521</xdr:row>
      <xdr:rowOff>0</xdr:rowOff>
    </xdr:from>
    <xdr:to>
      <xdr:col>14</xdr:col>
      <xdr:colOff>83820</xdr:colOff>
      <xdr:row>521</xdr:row>
      <xdr:rowOff>114300</xdr:rowOff>
    </xdr:to>
    <xdr:sp macro="" textlink="">
      <xdr:nvSpPr>
        <xdr:cNvPr id="528" name="Arrow: Down 527">
          <a:extLst>
            <a:ext uri="{FF2B5EF4-FFF2-40B4-BE49-F238E27FC236}">
              <a16:creationId xmlns:a16="http://schemas.microsoft.com/office/drawing/2014/main" id="{3AA41532-ADDE-44D0-A7D5-5F73E8981BC4}"/>
            </a:ext>
          </a:extLst>
        </xdr:cNvPr>
        <xdr:cNvSpPr/>
      </xdr:nvSpPr>
      <xdr:spPr>
        <a:xfrm>
          <a:off x="5295900" y="6694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523</xdr:row>
      <xdr:rowOff>0</xdr:rowOff>
    </xdr:from>
    <xdr:to>
      <xdr:col>14</xdr:col>
      <xdr:colOff>83820</xdr:colOff>
      <xdr:row>523</xdr:row>
      <xdr:rowOff>114300</xdr:rowOff>
    </xdr:to>
    <xdr:sp macro="" textlink="">
      <xdr:nvSpPr>
        <xdr:cNvPr id="531" name="Arrow: Down 530">
          <a:extLst>
            <a:ext uri="{FF2B5EF4-FFF2-40B4-BE49-F238E27FC236}">
              <a16:creationId xmlns:a16="http://schemas.microsoft.com/office/drawing/2014/main" id="{08370DC4-30BB-4890-9B2F-59F8609E122E}"/>
            </a:ext>
          </a:extLst>
        </xdr:cNvPr>
        <xdr:cNvSpPr/>
      </xdr:nvSpPr>
      <xdr:spPr>
        <a:xfrm>
          <a:off x="5295900" y="67315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519</xdr:row>
      <xdr:rowOff>0</xdr:rowOff>
    </xdr:from>
    <xdr:to>
      <xdr:col>14</xdr:col>
      <xdr:colOff>83820</xdr:colOff>
      <xdr:row>519</xdr:row>
      <xdr:rowOff>114300</xdr:rowOff>
    </xdr:to>
    <xdr:sp macro="" textlink="">
      <xdr:nvSpPr>
        <xdr:cNvPr id="536" name="Arrow: Down 535">
          <a:extLst>
            <a:ext uri="{FF2B5EF4-FFF2-40B4-BE49-F238E27FC236}">
              <a16:creationId xmlns:a16="http://schemas.microsoft.com/office/drawing/2014/main" id="{D4D3B398-5524-4A25-8CF5-DEF45351CE07}"/>
            </a:ext>
          </a:extLst>
        </xdr:cNvPr>
        <xdr:cNvSpPr/>
      </xdr:nvSpPr>
      <xdr:spPr>
        <a:xfrm rot="10800000">
          <a:off x="5295900" y="66766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522</xdr:row>
      <xdr:rowOff>0</xdr:rowOff>
    </xdr:from>
    <xdr:to>
      <xdr:col>14</xdr:col>
      <xdr:colOff>83820</xdr:colOff>
      <xdr:row>522</xdr:row>
      <xdr:rowOff>114300</xdr:rowOff>
    </xdr:to>
    <xdr:sp macro="" textlink="">
      <xdr:nvSpPr>
        <xdr:cNvPr id="539" name="Arrow: Down 538">
          <a:extLst>
            <a:ext uri="{FF2B5EF4-FFF2-40B4-BE49-F238E27FC236}">
              <a16:creationId xmlns:a16="http://schemas.microsoft.com/office/drawing/2014/main" id="{1CF8A6D3-0EAB-4B29-B8D6-C7AFBD024833}"/>
            </a:ext>
          </a:extLst>
        </xdr:cNvPr>
        <xdr:cNvSpPr/>
      </xdr:nvSpPr>
      <xdr:spPr>
        <a:xfrm rot="10800000">
          <a:off x="5295900" y="67315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524</xdr:row>
      <xdr:rowOff>0</xdr:rowOff>
    </xdr:from>
    <xdr:to>
      <xdr:col>14</xdr:col>
      <xdr:colOff>83820</xdr:colOff>
      <xdr:row>524</xdr:row>
      <xdr:rowOff>114300</xdr:rowOff>
    </xdr:to>
    <xdr:sp macro="" textlink="">
      <xdr:nvSpPr>
        <xdr:cNvPr id="540" name="Arrow: Down 539">
          <a:extLst>
            <a:ext uri="{FF2B5EF4-FFF2-40B4-BE49-F238E27FC236}">
              <a16:creationId xmlns:a16="http://schemas.microsoft.com/office/drawing/2014/main" id="{964E356B-48D8-435A-BEAD-751CC123B224}"/>
            </a:ext>
          </a:extLst>
        </xdr:cNvPr>
        <xdr:cNvSpPr/>
      </xdr:nvSpPr>
      <xdr:spPr>
        <a:xfrm>
          <a:off x="5295900" y="6749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525</xdr:row>
      <xdr:rowOff>0</xdr:rowOff>
    </xdr:from>
    <xdr:to>
      <xdr:col>14</xdr:col>
      <xdr:colOff>83820</xdr:colOff>
      <xdr:row>525</xdr:row>
      <xdr:rowOff>114300</xdr:rowOff>
    </xdr:to>
    <xdr:sp macro="" textlink="">
      <xdr:nvSpPr>
        <xdr:cNvPr id="541" name="Arrow: Down 540">
          <a:extLst>
            <a:ext uri="{FF2B5EF4-FFF2-40B4-BE49-F238E27FC236}">
              <a16:creationId xmlns:a16="http://schemas.microsoft.com/office/drawing/2014/main" id="{CB4E781D-17E2-4D16-8263-833AE5140231}"/>
            </a:ext>
          </a:extLst>
        </xdr:cNvPr>
        <xdr:cNvSpPr/>
      </xdr:nvSpPr>
      <xdr:spPr>
        <a:xfrm>
          <a:off x="5295900" y="67680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527</xdr:row>
      <xdr:rowOff>0</xdr:rowOff>
    </xdr:from>
    <xdr:to>
      <xdr:col>14</xdr:col>
      <xdr:colOff>83820</xdr:colOff>
      <xdr:row>527</xdr:row>
      <xdr:rowOff>114300</xdr:rowOff>
    </xdr:to>
    <xdr:sp macro="" textlink="">
      <xdr:nvSpPr>
        <xdr:cNvPr id="543" name="Arrow: Down 542">
          <a:extLst>
            <a:ext uri="{FF2B5EF4-FFF2-40B4-BE49-F238E27FC236}">
              <a16:creationId xmlns:a16="http://schemas.microsoft.com/office/drawing/2014/main" id="{F386C1D7-9CF1-403E-B02B-47EB7C9249F2}"/>
            </a:ext>
          </a:extLst>
        </xdr:cNvPr>
        <xdr:cNvSpPr/>
      </xdr:nvSpPr>
      <xdr:spPr>
        <a:xfrm>
          <a:off x="5295900" y="68046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528</xdr:row>
      <xdr:rowOff>0</xdr:rowOff>
    </xdr:from>
    <xdr:to>
      <xdr:col>14</xdr:col>
      <xdr:colOff>83820</xdr:colOff>
      <xdr:row>528</xdr:row>
      <xdr:rowOff>114300</xdr:rowOff>
    </xdr:to>
    <xdr:sp macro="" textlink="">
      <xdr:nvSpPr>
        <xdr:cNvPr id="544" name="Arrow: Down 543">
          <a:extLst>
            <a:ext uri="{FF2B5EF4-FFF2-40B4-BE49-F238E27FC236}">
              <a16:creationId xmlns:a16="http://schemas.microsoft.com/office/drawing/2014/main" id="{41D86FA9-068C-4784-98C9-2A672D8883C4}"/>
            </a:ext>
          </a:extLst>
        </xdr:cNvPr>
        <xdr:cNvSpPr/>
      </xdr:nvSpPr>
      <xdr:spPr>
        <a:xfrm>
          <a:off x="5295900" y="6822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530</xdr:row>
      <xdr:rowOff>0</xdr:rowOff>
    </xdr:from>
    <xdr:to>
      <xdr:col>14</xdr:col>
      <xdr:colOff>83820</xdr:colOff>
      <xdr:row>530</xdr:row>
      <xdr:rowOff>114300</xdr:rowOff>
    </xdr:to>
    <xdr:sp macro="" textlink="">
      <xdr:nvSpPr>
        <xdr:cNvPr id="546" name="Arrow: Down 545">
          <a:extLst>
            <a:ext uri="{FF2B5EF4-FFF2-40B4-BE49-F238E27FC236}">
              <a16:creationId xmlns:a16="http://schemas.microsoft.com/office/drawing/2014/main" id="{F9818D0B-5FE6-42BE-AFE0-9A2305C42BAD}"/>
            </a:ext>
          </a:extLst>
        </xdr:cNvPr>
        <xdr:cNvSpPr/>
      </xdr:nvSpPr>
      <xdr:spPr>
        <a:xfrm>
          <a:off x="5295900" y="68595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526</xdr:row>
      <xdr:rowOff>0</xdr:rowOff>
    </xdr:from>
    <xdr:to>
      <xdr:col>14</xdr:col>
      <xdr:colOff>83820</xdr:colOff>
      <xdr:row>526</xdr:row>
      <xdr:rowOff>114300</xdr:rowOff>
    </xdr:to>
    <xdr:sp macro="" textlink="">
      <xdr:nvSpPr>
        <xdr:cNvPr id="547" name="Arrow: Down 546">
          <a:extLst>
            <a:ext uri="{FF2B5EF4-FFF2-40B4-BE49-F238E27FC236}">
              <a16:creationId xmlns:a16="http://schemas.microsoft.com/office/drawing/2014/main" id="{0717DE34-C815-45EB-8E93-5A3A2BD8E481}"/>
            </a:ext>
          </a:extLst>
        </xdr:cNvPr>
        <xdr:cNvSpPr/>
      </xdr:nvSpPr>
      <xdr:spPr>
        <a:xfrm rot="10800000">
          <a:off x="5295900" y="6804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529</xdr:row>
      <xdr:rowOff>0</xdr:rowOff>
    </xdr:from>
    <xdr:to>
      <xdr:col>14</xdr:col>
      <xdr:colOff>83820</xdr:colOff>
      <xdr:row>529</xdr:row>
      <xdr:rowOff>114300</xdr:rowOff>
    </xdr:to>
    <xdr:sp macro="" textlink="">
      <xdr:nvSpPr>
        <xdr:cNvPr id="548" name="Arrow: Down 547">
          <a:extLst>
            <a:ext uri="{FF2B5EF4-FFF2-40B4-BE49-F238E27FC236}">
              <a16:creationId xmlns:a16="http://schemas.microsoft.com/office/drawing/2014/main" id="{6926C8D6-7950-43C1-807A-1A2495C1CCF3}"/>
            </a:ext>
          </a:extLst>
        </xdr:cNvPr>
        <xdr:cNvSpPr/>
      </xdr:nvSpPr>
      <xdr:spPr>
        <a:xfrm rot="10800000">
          <a:off x="5295900" y="68595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532</xdr:row>
      <xdr:rowOff>0</xdr:rowOff>
    </xdr:from>
    <xdr:to>
      <xdr:col>14</xdr:col>
      <xdr:colOff>83820</xdr:colOff>
      <xdr:row>532</xdr:row>
      <xdr:rowOff>114300</xdr:rowOff>
    </xdr:to>
    <xdr:sp macro="" textlink="">
      <xdr:nvSpPr>
        <xdr:cNvPr id="529" name="Arrow: Down 528">
          <a:extLst>
            <a:ext uri="{FF2B5EF4-FFF2-40B4-BE49-F238E27FC236}">
              <a16:creationId xmlns:a16="http://schemas.microsoft.com/office/drawing/2014/main" id="{0216D5B3-C164-4151-94F9-7A7734AB88F5}"/>
            </a:ext>
          </a:extLst>
        </xdr:cNvPr>
        <xdr:cNvSpPr/>
      </xdr:nvSpPr>
      <xdr:spPr>
        <a:xfrm>
          <a:off x="5295900" y="6896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534</xdr:row>
      <xdr:rowOff>0</xdr:rowOff>
    </xdr:from>
    <xdr:to>
      <xdr:col>14</xdr:col>
      <xdr:colOff>83820</xdr:colOff>
      <xdr:row>534</xdr:row>
      <xdr:rowOff>114300</xdr:rowOff>
    </xdr:to>
    <xdr:sp macro="" textlink="">
      <xdr:nvSpPr>
        <xdr:cNvPr id="542" name="Arrow: Down 541">
          <a:extLst>
            <a:ext uri="{FF2B5EF4-FFF2-40B4-BE49-F238E27FC236}">
              <a16:creationId xmlns:a16="http://schemas.microsoft.com/office/drawing/2014/main" id="{CB43B4AD-4DE3-4CB1-8A5C-98AB45CDFA93}"/>
            </a:ext>
          </a:extLst>
        </xdr:cNvPr>
        <xdr:cNvSpPr/>
      </xdr:nvSpPr>
      <xdr:spPr>
        <a:xfrm>
          <a:off x="5295900" y="69326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536</xdr:row>
      <xdr:rowOff>0</xdr:rowOff>
    </xdr:from>
    <xdr:to>
      <xdr:col>14</xdr:col>
      <xdr:colOff>83820</xdr:colOff>
      <xdr:row>536</xdr:row>
      <xdr:rowOff>114300</xdr:rowOff>
    </xdr:to>
    <xdr:sp macro="" textlink="">
      <xdr:nvSpPr>
        <xdr:cNvPr id="549" name="Arrow: Down 548">
          <a:extLst>
            <a:ext uri="{FF2B5EF4-FFF2-40B4-BE49-F238E27FC236}">
              <a16:creationId xmlns:a16="http://schemas.microsoft.com/office/drawing/2014/main" id="{AEA5E7BC-B6FF-4CFA-836F-C89E39D36CA1}"/>
            </a:ext>
          </a:extLst>
        </xdr:cNvPr>
        <xdr:cNvSpPr/>
      </xdr:nvSpPr>
      <xdr:spPr>
        <a:xfrm>
          <a:off x="5295900" y="69692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535</xdr:row>
      <xdr:rowOff>0</xdr:rowOff>
    </xdr:from>
    <xdr:to>
      <xdr:col>14</xdr:col>
      <xdr:colOff>83820</xdr:colOff>
      <xdr:row>535</xdr:row>
      <xdr:rowOff>114300</xdr:rowOff>
    </xdr:to>
    <xdr:sp macro="" textlink="">
      <xdr:nvSpPr>
        <xdr:cNvPr id="551" name="Arrow: Down 550">
          <a:extLst>
            <a:ext uri="{FF2B5EF4-FFF2-40B4-BE49-F238E27FC236}">
              <a16:creationId xmlns:a16="http://schemas.microsoft.com/office/drawing/2014/main" id="{D279196A-8023-45C4-B711-2B5ADF9CA307}"/>
            </a:ext>
          </a:extLst>
        </xdr:cNvPr>
        <xdr:cNvSpPr/>
      </xdr:nvSpPr>
      <xdr:spPr>
        <a:xfrm rot="10800000">
          <a:off x="5295900" y="69692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533</xdr:row>
      <xdr:rowOff>0</xdr:rowOff>
    </xdr:from>
    <xdr:to>
      <xdr:col>14</xdr:col>
      <xdr:colOff>83820</xdr:colOff>
      <xdr:row>533</xdr:row>
      <xdr:rowOff>114300</xdr:rowOff>
    </xdr:to>
    <xdr:sp macro="" textlink="">
      <xdr:nvSpPr>
        <xdr:cNvPr id="553" name="Arrow: Down 552">
          <a:extLst>
            <a:ext uri="{FF2B5EF4-FFF2-40B4-BE49-F238E27FC236}">
              <a16:creationId xmlns:a16="http://schemas.microsoft.com/office/drawing/2014/main" id="{00D88715-61CD-4BB4-909C-245D7FCF2DF4}"/>
            </a:ext>
          </a:extLst>
        </xdr:cNvPr>
        <xdr:cNvSpPr/>
      </xdr:nvSpPr>
      <xdr:spPr>
        <a:xfrm rot="10800000">
          <a:off x="5295900" y="6932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531</xdr:row>
      <xdr:rowOff>0</xdr:rowOff>
    </xdr:from>
    <xdr:to>
      <xdr:col>14</xdr:col>
      <xdr:colOff>83820</xdr:colOff>
      <xdr:row>531</xdr:row>
      <xdr:rowOff>114300</xdr:rowOff>
    </xdr:to>
    <xdr:sp macro="" textlink="">
      <xdr:nvSpPr>
        <xdr:cNvPr id="554" name="Arrow: Down 553">
          <a:extLst>
            <a:ext uri="{FF2B5EF4-FFF2-40B4-BE49-F238E27FC236}">
              <a16:creationId xmlns:a16="http://schemas.microsoft.com/office/drawing/2014/main" id="{1D29750F-DB7D-4D59-9C1F-2C3142128960}"/>
            </a:ext>
          </a:extLst>
        </xdr:cNvPr>
        <xdr:cNvSpPr/>
      </xdr:nvSpPr>
      <xdr:spPr>
        <a:xfrm rot="10800000">
          <a:off x="5295900" y="68961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537</xdr:row>
      <xdr:rowOff>0</xdr:rowOff>
    </xdr:from>
    <xdr:to>
      <xdr:col>14</xdr:col>
      <xdr:colOff>83820</xdr:colOff>
      <xdr:row>537</xdr:row>
      <xdr:rowOff>114300</xdr:rowOff>
    </xdr:to>
    <xdr:sp macro="" textlink="">
      <xdr:nvSpPr>
        <xdr:cNvPr id="555" name="Arrow: Down 554">
          <a:extLst>
            <a:ext uri="{FF2B5EF4-FFF2-40B4-BE49-F238E27FC236}">
              <a16:creationId xmlns:a16="http://schemas.microsoft.com/office/drawing/2014/main" id="{0B086D8D-04FE-439C-85AF-3DDABE0F2268}"/>
            </a:ext>
          </a:extLst>
        </xdr:cNvPr>
        <xdr:cNvSpPr/>
      </xdr:nvSpPr>
      <xdr:spPr>
        <a:xfrm>
          <a:off x="5295900" y="7005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538</xdr:row>
      <xdr:rowOff>0</xdr:rowOff>
    </xdr:from>
    <xdr:to>
      <xdr:col>14</xdr:col>
      <xdr:colOff>83820</xdr:colOff>
      <xdr:row>538</xdr:row>
      <xdr:rowOff>114300</xdr:rowOff>
    </xdr:to>
    <xdr:sp macro="" textlink="">
      <xdr:nvSpPr>
        <xdr:cNvPr id="556" name="Arrow: Down 555">
          <a:extLst>
            <a:ext uri="{FF2B5EF4-FFF2-40B4-BE49-F238E27FC236}">
              <a16:creationId xmlns:a16="http://schemas.microsoft.com/office/drawing/2014/main" id="{D53AADA3-2F4A-4877-8B29-F63F9EAA9FE2}"/>
            </a:ext>
          </a:extLst>
        </xdr:cNvPr>
        <xdr:cNvSpPr/>
      </xdr:nvSpPr>
      <xdr:spPr>
        <a:xfrm>
          <a:off x="5295900" y="7005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539</xdr:row>
      <xdr:rowOff>0</xdr:rowOff>
    </xdr:from>
    <xdr:to>
      <xdr:col>14</xdr:col>
      <xdr:colOff>83820</xdr:colOff>
      <xdr:row>539</xdr:row>
      <xdr:rowOff>114300</xdr:rowOff>
    </xdr:to>
    <xdr:sp macro="" textlink="">
      <xdr:nvSpPr>
        <xdr:cNvPr id="557" name="Arrow: Down 556">
          <a:extLst>
            <a:ext uri="{FF2B5EF4-FFF2-40B4-BE49-F238E27FC236}">
              <a16:creationId xmlns:a16="http://schemas.microsoft.com/office/drawing/2014/main" id="{EC18DA44-87BD-4BAE-910A-83C368995B8B}"/>
            </a:ext>
          </a:extLst>
        </xdr:cNvPr>
        <xdr:cNvSpPr/>
      </xdr:nvSpPr>
      <xdr:spPr>
        <a:xfrm>
          <a:off x="5295900" y="70241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545</xdr:row>
      <xdr:rowOff>0</xdr:rowOff>
    </xdr:from>
    <xdr:to>
      <xdr:col>14</xdr:col>
      <xdr:colOff>83820</xdr:colOff>
      <xdr:row>545</xdr:row>
      <xdr:rowOff>114300</xdr:rowOff>
    </xdr:to>
    <xdr:sp macro="" textlink="">
      <xdr:nvSpPr>
        <xdr:cNvPr id="538" name="Arrow: Down 537">
          <a:extLst>
            <a:ext uri="{FF2B5EF4-FFF2-40B4-BE49-F238E27FC236}">
              <a16:creationId xmlns:a16="http://schemas.microsoft.com/office/drawing/2014/main" id="{C85BE69C-C49A-47D6-8FCF-352398AFB288}"/>
            </a:ext>
          </a:extLst>
        </xdr:cNvPr>
        <xdr:cNvSpPr/>
      </xdr:nvSpPr>
      <xdr:spPr>
        <a:xfrm>
          <a:off x="5295900" y="71338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547</xdr:row>
      <xdr:rowOff>0</xdr:rowOff>
    </xdr:from>
    <xdr:to>
      <xdr:col>14</xdr:col>
      <xdr:colOff>83820</xdr:colOff>
      <xdr:row>547</xdr:row>
      <xdr:rowOff>114300</xdr:rowOff>
    </xdr:to>
    <xdr:sp macro="" textlink="">
      <xdr:nvSpPr>
        <xdr:cNvPr id="552" name="Arrow: Down 551">
          <a:extLst>
            <a:ext uri="{FF2B5EF4-FFF2-40B4-BE49-F238E27FC236}">
              <a16:creationId xmlns:a16="http://schemas.microsoft.com/office/drawing/2014/main" id="{2845AA91-A350-49C5-8648-C5A068A21B25}"/>
            </a:ext>
          </a:extLst>
        </xdr:cNvPr>
        <xdr:cNvSpPr/>
      </xdr:nvSpPr>
      <xdr:spPr>
        <a:xfrm>
          <a:off x="5295900" y="71704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549</xdr:row>
      <xdr:rowOff>0</xdr:rowOff>
    </xdr:from>
    <xdr:to>
      <xdr:col>14</xdr:col>
      <xdr:colOff>83820</xdr:colOff>
      <xdr:row>549</xdr:row>
      <xdr:rowOff>114300</xdr:rowOff>
    </xdr:to>
    <xdr:sp macro="" textlink="">
      <xdr:nvSpPr>
        <xdr:cNvPr id="564" name="Arrow: Down 563">
          <a:extLst>
            <a:ext uri="{FF2B5EF4-FFF2-40B4-BE49-F238E27FC236}">
              <a16:creationId xmlns:a16="http://schemas.microsoft.com/office/drawing/2014/main" id="{C1132EAE-C135-4E3D-BD72-8DB3834F5664}"/>
            </a:ext>
          </a:extLst>
        </xdr:cNvPr>
        <xdr:cNvSpPr/>
      </xdr:nvSpPr>
      <xdr:spPr>
        <a:xfrm>
          <a:off x="5295900" y="72069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550</xdr:row>
      <xdr:rowOff>0</xdr:rowOff>
    </xdr:from>
    <xdr:to>
      <xdr:col>14</xdr:col>
      <xdr:colOff>83820</xdr:colOff>
      <xdr:row>550</xdr:row>
      <xdr:rowOff>114300</xdr:rowOff>
    </xdr:to>
    <xdr:sp macro="" textlink="">
      <xdr:nvSpPr>
        <xdr:cNvPr id="565" name="Arrow: Down 564">
          <a:extLst>
            <a:ext uri="{FF2B5EF4-FFF2-40B4-BE49-F238E27FC236}">
              <a16:creationId xmlns:a16="http://schemas.microsoft.com/office/drawing/2014/main" id="{7A016349-268C-4817-976E-884476F88A76}"/>
            </a:ext>
          </a:extLst>
        </xdr:cNvPr>
        <xdr:cNvSpPr/>
      </xdr:nvSpPr>
      <xdr:spPr>
        <a:xfrm>
          <a:off x="5295900" y="7225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551</xdr:row>
      <xdr:rowOff>0</xdr:rowOff>
    </xdr:from>
    <xdr:to>
      <xdr:col>14</xdr:col>
      <xdr:colOff>83820</xdr:colOff>
      <xdr:row>551</xdr:row>
      <xdr:rowOff>114300</xdr:rowOff>
    </xdr:to>
    <xdr:sp macro="" textlink="">
      <xdr:nvSpPr>
        <xdr:cNvPr id="566" name="Arrow: Down 565">
          <a:extLst>
            <a:ext uri="{FF2B5EF4-FFF2-40B4-BE49-F238E27FC236}">
              <a16:creationId xmlns:a16="http://schemas.microsoft.com/office/drawing/2014/main" id="{903CE170-9980-4670-BD11-B8895D64A665}"/>
            </a:ext>
          </a:extLst>
        </xdr:cNvPr>
        <xdr:cNvSpPr/>
      </xdr:nvSpPr>
      <xdr:spPr>
        <a:xfrm>
          <a:off x="5295900" y="72435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540</xdr:row>
      <xdr:rowOff>0</xdr:rowOff>
    </xdr:from>
    <xdr:to>
      <xdr:col>14</xdr:col>
      <xdr:colOff>83820</xdr:colOff>
      <xdr:row>540</xdr:row>
      <xdr:rowOff>114300</xdr:rowOff>
    </xdr:to>
    <xdr:sp macro="" textlink="">
      <xdr:nvSpPr>
        <xdr:cNvPr id="567" name="Arrow: Down 566">
          <a:extLst>
            <a:ext uri="{FF2B5EF4-FFF2-40B4-BE49-F238E27FC236}">
              <a16:creationId xmlns:a16="http://schemas.microsoft.com/office/drawing/2014/main" id="{2C5D72AD-0B37-4AB8-A969-6057E92B377F}"/>
            </a:ext>
          </a:extLst>
        </xdr:cNvPr>
        <xdr:cNvSpPr/>
      </xdr:nvSpPr>
      <xdr:spPr>
        <a:xfrm rot="10800000">
          <a:off x="5295900" y="70606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548</xdr:row>
      <xdr:rowOff>0</xdr:rowOff>
    </xdr:from>
    <xdr:to>
      <xdr:col>14</xdr:col>
      <xdr:colOff>83820</xdr:colOff>
      <xdr:row>548</xdr:row>
      <xdr:rowOff>114300</xdr:rowOff>
    </xdr:to>
    <xdr:sp macro="" textlink="">
      <xdr:nvSpPr>
        <xdr:cNvPr id="569" name="Arrow: Down 568">
          <a:extLst>
            <a:ext uri="{FF2B5EF4-FFF2-40B4-BE49-F238E27FC236}">
              <a16:creationId xmlns:a16="http://schemas.microsoft.com/office/drawing/2014/main" id="{07103BB0-23EB-48BC-A934-BB64B698F6D0}"/>
            </a:ext>
          </a:extLst>
        </xdr:cNvPr>
        <xdr:cNvSpPr/>
      </xdr:nvSpPr>
      <xdr:spPr>
        <a:xfrm rot="10800000">
          <a:off x="5295900" y="72069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541</xdr:row>
      <xdr:rowOff>0</xdr:rowOff>
    </xdr:from>
    <xdr:to>
      <xdr:col>14</xdr:col>
      <xdr:colOff>83820</xdr:colOff>
      <xdr:row>541</xdr:row>
      <xdr:rowOff>114300</xdr:rowOff>
    </xdr:to>
    <xdr:sp macro="" textlink="">
      <xdr:nvSpPr>
        <xdr:cNvPr id="570" name="Arrow: Down 569">
          <a:extLst>
            <a:ext uri="{FF2B5EF4-FFF2-40B4-BE49-F238E27FC236}">
              <a16:creationId xmlns:a16="http://schemas.microsoft.com/office/drawing/2014/main" id="{4049391A-BF31-4666-B823-305E44EDF18E}"/>
            </a:ext>
          </a:extLst>
        </xdr:cNvPr>
        <xdr:cNvSpPr/>
      </xdr:nvSpPr>
      <xdr:spPr>
        <a:xfrm rot="10800000">
          <a:off x="5295900" y="70789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546</xdr:row>
      <xdr:rowOff>0</xdr:rowOff>
    </xdr:from>
    <xdr:to>
      <xdr:col>14</xdr:col>
      <xdr:colOff>83820</xdr:colOff>
      <xdr:row>546</xdr:row>
      <xdr:rowOff>114300</xdr:rowOff>
    </xdr:to>
    <xdr:sp macro="" textlink="">
      <xdr:nvSpPr>
        <xdr:cNvPr id="571" name="Arrow: Down 570">
          <a:extLst>
            <a:ext uri="{FF2B5EF4-FFF2-40B4-BE49-F238E27FC236}">
              <a16:creationId xmlns:a16="http://schemas.microsoft.com/office/drawing/2014/main" id="{746094B2-3145-47C5-98E5-4409AE73C1FB}"/>
            </a:ext>
          </a:extLst>
        </xdr:cNvPr>
        <xdr:cNvSpPr/>
      </xdr:nvSpPr>
      <xdr:spPr>
        <a:xfrm rot="10800000">
          <a:off x="5295900" y="7170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542</xdr:row>
      <xdr:rowOff>0</xdr:rowOff>
    </xdr:from>
    <xdr:to>
      <xdr:col>14</xdr:col>
      <xdr:colOff>83820</xdr:colOff>
      <xdr:row>542</xdr:row>
      <xdr:rowOff>114300</xdr:rowOff>
    </xdr:to>
    <xdr:sp macro="" textlink="">
      <xdr:nvSpPr>
        <xdr:cNvPr id="572" name="Arrow: Down 571">
          <a:extLst>
            <a:ext uri="{FF2B5EF4-FFF2-40B4-BE49-F238E27FC236}">
              <a16:creationId xmlns:a16="http://schemas.microsoft.com/office/drawing/2014/main" id="{0995BAA3-B76D-44CC-9A84-B05E0C57F293}"/>
            </a:ext>
          </a:extLst>
        </xdr:cNvPr>
        <xdr:cNvSpPr/>
      </xdr:nvSpPr>
      <xdr:spPr>
        <a:xfrm rot="10800000">
          <a:off x="5295900" y="70972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543</xdr:row>
      <xdr:rowOff>0</xdr:rowOff>
    </xdr:from>
    <xdr:to>
      <xdr:col>14</xdr:col>
      <xdr:colOff>83820</xdr:colOff>
      <xdr:row>543</xdr:row>
      <xdr:rowOff>114300</xdr:rowOff>
    </xdr:to>
    <xdr:sp macro="" textlink="">
      <xdr:nvSpPr>
        <xdr:cNvPr id="573" name="Arrow: Down 572">
          <a:extLst>
            <a:ext uri="{FF2B5EF4-FFF2-40B4-BE49-F238E27FC236}">
              <a16:creationId xmlns:a16="http://schemas.microsoft.com/office/drawing/2014/main" id="{609C4721-AA2F-445D-BD7D-9D80C201D869}"/>
            </a:ext>
          </a:extLst>
        </xdr:cNvPr>
        <xdr:cNvSpPr/>
      </xdr:nvSpPr>
      <xdr:spPr>
        <a:xfrm rot="10800000">
          <a:off x="5295900" y="71155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544</xdr:row>
      <xdr:rowOff>0</xdr:rowOff>
    </xdr:from>
    <xdr:to>
      <xdr:col>14</xdr:col>
      <xdr:colOff>83820</xdr:colOff>
      <xdr:row>544</xdr:row>
      <xdr:rowOff>114300</xdr:rowOff>
    </xdr:to>
    <xdr:sp macro="" textlink="">
      <xdr:nvSpPr>
        <xdr:cNvPr id="575" name="Arrow: Down 574">
          <a:extLst>
            <a:ext uri="{FF2B5EF4-FFF2-40B4-BE49-F238E27FC236}">
              <a16:creationId xmlns:a16="http://schemas.microsoft.com/office/drawing/2014/main" id="{9CD970D5-049A-4D03-ADF3-F3270D28F5C6}"/>
            </a:ext>
          </a:extLst>
        </xdr:cNvPr>
        <xdr:cNvSpPr/>
      </xdr:nvSpPr>
      <xdr:spPr>
        <a:xfrm rot="10800000">
          <a:off x="5295900" y="71338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552</xdr:row>
      <xdr:rowOff>0</xdr:rowOff>
    </xdr:from>
    <xdr:to>
      <xdr:col>14</xdr:col>
      <xdr:colOff>83820</xdr:colOff>
      <xdr:row>552</xdr:row>
      <xdr:rowOff>114300</xdr:rowOff>
    </xdr:to>
    <xdr:sp macro="" textlink="">
      <xdr:nvSpPr>
        <xdr:cNvPr id="524" name="Arrow: Down 523">
          <a:extLst>
            <a:ext uri="{FF2B5EF4-FFF2-40B4-BE49-F238E27FC236}">
              <a16:creationId xmlns:a16="http://schemas.microsoft.com/office/drawing/2014/main" id="{A8860D71-F460-4426-84AF-24B12ED70083}"/>
            </a:ext>
          </a:extLst>
        </xdr:cNvPr>
        <xdr:cNvSpPr/>
      </xdr:nvSpPr>
      <xdr:spPr>
        <a:xfrm>
          <a:off x="5295900" y="7261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553</xdr:row>
      <xdr:rowOff>0</xdr:rowOff>
    </xdr:from>
    <xdr:to>
      <xdr:col>14</xdr:col>
      <xdr:colOff>83820</xdr:colOff>
      <xdr:row>553</xdr:row>
      <xdr:rowOff>114300</xdr:rowOff>
    </xdr:to>
    <xdr:sp macro="" textlink="">
      <xdr:nvSpPr>
        <xdr:cNvPr id="545" name="Arrow: Down 544">
          <a:extLst>
            <a:ext uri="{FF2B5EF4-FFF2-40B4-BE49-F238E27FC236}">
              <a16:creationId xmlns:a16="http://schemas.microsoft.com/office/drawing/2014/main" id="{E6B55100-E2CB-4C14-AAC9-7F767FA9DEE9}"/>
            </a:ext>
          </a:extLst>
        </xdr:cNvPr>
        <xdr:cNvSpPr/>
      </xdr:nvSpPr>
      <xdr:spPr>
        <a:xfrm>
          <a:off x="5295900" y="7280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556</xdr:row>
      <xdr:rowOff>0</xdr:rowOff>
    </xdr:from>
    <xdr:to>
      <xdr:col>14</xdr:col>
      <xdr:colOff>83820</xdr:colOff>
      <xdr:row>556</xdr:row>
      <xdr:rowOff>114300</xdr:rowOff>
    </xdr:to>
    <xdr:sp macro="" textlink="">
      <xdr:nvSpPr>
        <xdr:cNvPr id="560" name="Arrow: Down 559">
          <a:extLst>
            <a:ext uri="{FF2B5EF4-FFF2-40B4-BE49-F238E27FC236}">
              <a16:creationId xmlns:a16="http://schemas.microsoft.com/office/drawing/2014/main" id="{585E3333-A5CD-4676-9284-300B6EBD16E7}"/>
            </a:ext>
          </a:extLst>
        </xdr:cNvPr>
        <xdr:cNvSpPr/>
      </xdr:nvSpPr>
      <xdr:spPr>
        <a:xfrm>
          <a:off x="5295900" y="7335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557</xdr:row>
      <xdr:rowOff>0</xdr:rowOff>
    </xdr:from>
    <xdr:to>
      <xdr:col>14</xdr:col>
      <xdr:colOff>83820</xdr:colOff>
      <xdr:row>557</xdr:row>
      <xdr:rowOff>114300</xdr:rowOff>
    </xdr:to>
    <xdr:sp macro="" textlink="">
      <xdr:nvSpPr>
        <xdr:cNvPr id="561" name="Arrow: Down 560">
          <a:extLst>
            <a:ext uri="{FF2B5EF4-FFF2-40B4-BE49-F238E27FC236}">
              <a16:creationId xmlns:a16="http://schemas.microsoft.com/office/drawing/2014/main" id="{24FCB517-8580-402A-B7E4-0FFCA2587D2E}"/>
            </a:ext>
          </a:extLst>
        </xdr:cNvPr>
        <xdr:cNvSpPr/>
      </xdr:nvSpPr>
      <xdr:spPr>
        <a:xfrm>
          <a:off x="5295900" y="7353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554</xdr:row>
      <xdr:rowOff>0</xdr:rowOff>
    </xdr:from>
    <xdr:to>
      <xdr:col>14</xdr:col>
      <xdr:colOff>83820</xdr:colOff>
      <xdr:row>554</xdr:row>
      <xdr:rowOff>114300</xdr:rowOff>
    </xdr:to>
    <xdr:sp macro="" textlink="">
      <xdr:nvSpPr>
        <xdr:cNvPr id="563" name="Arrow: Down 562">
          <a:extLst>
            <a:ext uri="{FF2B5EF4-FFF2-40B4-BE49-F238E27FC236}">
              <a16:creationId xmlns:a16="http://schemas.microsoft.com/office/drawing/2014/main" id="{AF402AEC-5151-4FBC-9CF7-31279D698D80}"/>
            </a:ext>
          </a:extLst>
        </xdr:cNvPr>
        <xdr:cNvSpPr/>
      </xdr:nvSpPr>
      <xdr:spPr>
        <a:xfrm rot="10800000">
          <a:off x="5295900" y="73167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555</xdr:row>
      <xdr:rowOff>0</xdr:rowOff>
    </xdr:from>
    <xdr:to>
      <xdr:col>14</xdr:col>
      <xdr:colOff>83820</xdr:colOff>
      <xdr:row>555</xdr:row>
      <xdr:rowOff>114300</xdr:rowOff>
    </xdr:to>
    <xdr:sp macro="" textlink="">
      <xdr:nvSpPr>
        <xdr:cNvPr id="574" name="Arrow: Down 573">
          <a:extLst>
            <a:ext uri="{FF2B5EF4-FFF2-40B4-BE49-F238E27FC236}">
              <a16:creationId xmlns:a16="http://schemas.microsoft.com/office/drawing/2014/main" id="{6FD9B249-6C46-411B-867F-BF6F43BA3DFF}"/>
            </a:ext>
          </a:extLst>
        </xdr:cNvPr>
        <xdr:cNvSpPr/>
      </xdr:nvSpPr>
      <xdr:spPr>
        <a:xfrm rot="10800000">
          <a:off x="5295900" y="73350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558</xdr:row>
      <xdr:rowOff>0</xdr:rowOff>
    </xdr:from>
    <xdr:to>
      <xdr:col>14</xdr:col>
      <xdr:colOff>83820</xdr:colOff>
      <xdr:row>558</xdr:row>
      <xdr:rowOff>114300</xdr:rowOff>
    </xdr:to>
    <xdr:sp macro="" textlink="">
      <xdr:nvSpPr>
        <xdr:cNvPr id="576" name="Arrow: Down 575">
          <a:extLst>
            <a:ext uri="{FF2B5EF4-FFF2-40B4-BE49-F238E27FC236}">
              <a16:creationId xmlns:a16="http://schemas.microsoft.com/office/drawing/2014/main" id="{54FFCC15-AEC0-48A8-95BC-59698D266D21}"/>
            </a:ext>
          </a:extLst>
        </xdr:cNvPr>
        <xdr:cNvSpPr/>
      </xdr:nvSpPr>
      <xdr:spPr>
        <a:xfrm>
          <a:off x="5295900" y="7389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559</xdr:row>
      <xdr:rowOff>0</xdr:rowOff>
    </xdr:from>
    <xdr:to>
      <xdr:col>14</xdr:col>
      <xdr:colOff>83820</xdr:colOff>
      <xdr:row>559</xdr:row>
      <xdr:rowOff>114300</xdr:rowOff>
    </xdr:to>
    <xdr:sp macro="" textlink="">
      <xdr:nvSpPr>
        <xdr:cNvPr id="558" name="Arrow: Down 557">
          <a:extLst>
            <a:ext uri="{FF2B5EF4-FFF2-40B4-BE49-F238E27FC236}">
              <a16:creationId xmlns:a16="http://schemas.microsoft.com/office/drawing/2014/main" id="{9DAE382B-DE6C-4275-8E3A-C8A09E2EB907}"/>
            </a:ext>
          </a:extLst>
        </xdr:cNvPr>
        <xdr:cNvSpPr/>
      </xdr:nvSpPr>
      <xdr:spPr>
        <a:xfrm>
          <a:off x="5295900" y="7389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561</xdr:row>
      <xdr:rowOff>0</xdr:rowOff>
    </xdr:from>
    <xdr:to>
      <xdr:col>14</xdr:col>
      <xdr:colOff>83820</xdr:colOff>
      <xdr:row>561</xdr:row>
      <xdr:rowOff>114300</xdr:rowOff>
    </xdr:to>
    <xdr:sp macro="" textlink="">
      <xdr:nvSpPr>
        <xdr:cNvPr id="568" name="Arrow: Down 567">
          <a:extLst>
            <a:ext uri="{FF2B5EF4-FFF2-40B4-BE49-F238E27FC236}">
              <a16:creationId xmlns:a16="http://schemas.microsoft.com/office/drawing/2014/main" id="{FD0567F8-D42B-479D-910D-B16FC5F39F70}"/>
            </a:ext>
          </a:extLst>
        </xdr:cNvPr>
        <xdr:cNvSpPr/>
      </xdr:nvSpPr>
      <xdr:spPr>
        <a:xfrm>
          <a:off x="5295900" y="74264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560</xdr:row>
      <xdr:rowOff>0</xdr:rowOff>
    </xdr:from>
    <xdr:to>
      <xdr:col>14</xdr:col>
      <xdr:colOff>83820</xdr:colOff>
      <xdr:row>560</xdr:row>
      <xdr:rowOff>114300</xdr:rowOff>
    </xdr:to>
    <xdr:sp macro="" textlink="">
      <xdr:nvSpPr>
        <xdr:cNvPr id="577" name="Arrow: Down 576">
          <a:extLst>
            <a:ext uri="{FF2B5EF4-FFF2-40B4-BE49-F238E27FC236}">
              <a16:creationId xmlns:a16="http://schemas.microsoft.com/office/drawing/2014/main" id="{0F87CE0A-0CA1-467A-9D16-C06F42374712}"/>
            </a:ext>
          </a:extLst>
        </xdr:cNvPr>
        <xdr:cNvSpPr/>
      </xdr:nvSpPr>
      <xdr:spPr>
        <a:xfrm rot="10800000">
          <a:off x="5295900" y="74264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564</xdr:row>
      <xdr:rowOff>0</xdr:rowOff>
    </xdr:from>
    <xdr:to>
      <xdr:col>14</xdr:col>
      <xdr:colOff>83820</xdr:colOff>
      <xdr:row>564</xdr:row>
      <xdr:rowOff>114300</xdr:rowOff>
    </xdr:to>
    <xdr:sp macro="" textlink="">
      <xdr:nvSpPr>
        <xdr:cNvPr id="581" name="Arrow: Down 580">
          <a:extLst>
            <a:ext uri="{FF2B5EF4-FFF2-40B4-BE49-F238E27FC236}">
              <a16:creationId xmlns:a16="http://schemas.microsoft.com/office/drawing/2014/main" id="{3F6DFDFC-C6A9-4CD6-B664-8BF3423CDB19}"/>
            </a:ext>
          </a:extLst>
        </xdr:cNvPr>
        <xdr:cNvSpPr/>
      </xdr:nvSpPr>
      <xdr:spPr>
        <a:xfrm>
          <a:off x="5295900" y="7481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563</xdr:row>
      <xdr:rowOff>0</xdr:rowOff>
    </xdr:from>
    <xdr:to>
      <xdr:col>14</xdr:col>
      <xdr:colOff>83820</xdr:colOff>
      <xdr:row>563</xdr:row>
      <xdr:rowOff>114300</xdr:rowOff>
    </xdr:to>
    <xdr:sp macro="" textlink="">
      <xdr:nvSpPr>
        <xdr:cNvPr id="582" name="Arrow: Down 581">
          <a:extLst>
            <a:ext uri="{FF2B5EF4-FFF2-40B4-BE49-F238E27FC236}">
              <a16:creationId xmlns:a16="http://schemas.microsoft.com/office/drawing/2014/main" id="{1CA5C61E-971A-4CDD-AFED-1E79CFB4D9CA}"/>
            </a:ext>
          </a:extLst>
        </xdr:cNvPr>
        <xdr:cNvSpPr/>
      </xdr:nvSpPr>
      <xdr:spPr>
        <a:xfrm rot="10800000">
          <a:off x="5295900" y="74813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562</xdr:row>
      <xdr:rowOff>0</xdr:rowOff>
    </xdr:from>
    <xdr:to>
      <xdr:col>14</xdr:col>
      <xdr:colOff>83820</xdr:colOff>
      <xdr:row>562</xdr:row>
      <xdr:rowOff>114300</xdr:rowOff>
    </xdr:to>
    <xdr:sp macro="" textlink="">
      <xdr:nvSpPr>
        <xdr:cNvPr id="583" name="Arrow: Down 582">
          <a:extLst>
            <a:ext uri="{FF2B5EF4-FFF2-40B4-BE49-F238E27FC236}">
              <a16:creationId xmlns:a16="http://schemas.microsoft.com/office/drawing/2014/main" id="{6C3FF36E-DBD7-42BE-B770-34A6C1664A8F}"/>
            </a:ext>
          </a:extLst>
        </xdr:cNvPr>
        <xdr:cNvSpPr/>
      </xdr:nvSpPr>
      <xdr:spPr>
        <a:xfrm rot="10800000">
          <a:off x="5295900" y="74630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565</xdr:row>
      <xdr:rowOff>0</xdr:rowOff>
    </xdr:from>
    <xdr:to>
      <xdr:col>14</xdr:col>
      <xdr:colOff>83820</xdr:colOff>
      <xdr:row>565</xdr:row>
      <xdr:rowOff>114300</xdr:rowOff>
    </xdr:to>
    <xdr:sp macro="" textlink="">
      <xdr:nvSpPr>
        <xdr:cNvPr id="550" name="Arrow: Down 549">
          <a:extLst>
            <a:ext uri="{FF2B5EF4-FFF2-40B4-BE49-F238E27FC236}">
              <a16:creationId xmlns:a16="http://schemas.microsoft.com/office/drawing/2014/main" id="{53B4CAC0-73F4-406B-AA1D-0F7AB8523B1F}"/>
            </a:ext>
          </a:extLst>
        </xdr:cNvPr>
        <xdr:cNvSpPr/>
      </xdr:nvSpPr>
      <xdr:spPr>
        <a:xfrm>
          <a:off x="5295900" y="74996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567</xdr:row>
      <xdr:rowOff>0</xdr:rowOff>
    </xdr:from>
    <xdr:to>
      <xdr:col>14</xdr:col>
      <xdr:colOff>83820</xdr:colOff>
      <xdr:row>567</xdr:row>
      <xdr:rowOff>114300</xdr:rowOff>
    </xdr:to>
    <xdr:sp macro="" textlink="">
      <xdr:nvSpPr>
        <xdr:cNvPr id="562" name="Arrow: Down 561">
          <a:extLst>
            <a:ext uri="{FF2B5EF4-FFF2-40B4-BE49-F238E27FC236}">
              <a16:creationId xmlns:a16="http://schemas.microsoft.com/office/drawing/2014/main" id="{563EEF1C-45CE-47D3-A6A3-4010CC4055B4}"/>
            </a:ext>
          </a:extLst>
        </xdr:cNvPr>
        <xdr:cNvSpPr/>
      </xdr:nvSpPr>
      <xdr:spPr>
        <a:xfrm>
          <a:off x="5295900" y="7536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569</xdr:row>
      <xdr:rowOff>0</xdr:rowOff>
    </xdr:from>
    <xdr:to>
      <xdr:col>14</xdr:col>
      <xdr:colOff>83820</xdr:colOff>
      <xdr:row>569</xdr:row>
      <xdr:rowOff>114300</xdr:rowOff>
    </xdr:to>
    <xdr:sp macro="" textlink="">
      <xdr:nvSpPr>
        <xdr:cNvPr id="584" name="Arrow: Down 583">
          <a:extLst>
            <a:ext uri="{FF2B5EF4-FFF2-40B4-BE49-F238E27FC236}">
              <a16:creationId xmlns:a16="http://schemas.microsoft.com/office/drawing/2014/main" id="{95672CFF-E58C-4E33-96D0-4448B4233F49}"/>
            </a:ext>
          </a:extLst>
        </xdr:cNvPr>
        <xdr:cNvSpPr/>
      </xdr:nvSpPr>
      <xdr:spPr>
        <a:xfrm>
          <a:off x="5295900" y="75727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566</xdr:row>
      <xdr:rowOff>0</xdr:rowOff>
    </xdr:from>
    <xdr:to>
      <xdr:col>14</xdr:col>
      <xdr:colOff>83820</xdr:colOff>
      <xdr:row>566</xdr:row>
      <xdr:rowOff>114300</xdr:rowOff>
    </xdr:to>
    <xdr:sp macro="" textlink="">
      <xdr:nvSpPr>
        <xdr:cNvPr id="586" name="Arrow: Down 585">
          <a:extLst>
            <a:ext uri="{FF2B5EF4-FFF2-40B4-BE49-F238E27FC236}">
              <a16:creationId xmlns:a16="http://schemas.microsoft.com/office/drawing/2014/main" id="{70815ED8-81EE-4955-8A36-B6FBA104903C}"/>
            </a:ext>
          </a:extLst>
        </xdr:cNvPr>
        <xdr:cNvSpPr/>
      </xdr:nvSpPr>
      <xdr:spPr>
        <a:xfrm rot="10800000">
          <a:off x="5295900" y="75361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570</xdr:row>
      <xdr:rowOff>0</xdr:rowOff>
    </xdr:from>
    <xdr:to>
      <xdr:col>14</xdr:col>
      <xdr:colOff>83820</xdr:colOff>
      <xdr:row>570</xdr:row>
      <xdr:rowOff>114300</xdr:rowOff>
    </xdr:to>
    <xdr:sp macro="" textlink="">
      <xdr:nvSpPr>
        <xdr:cNvPr id="587" name="Arrow: Down 586">
          <a:extLst>
            <a:ext uri="{FF2B5EF4-FFF2-40B4-BE49-F238E27FC236}">
              <a16:creationId xmlns:a16="http://schemas.microsoft.com/office/drawing/2014/main" id="{0DBD7C7B-225A-4CC0-83BA-A4B69A0911C2}"/>
            </a:ext>
          </a:extLst>
        </xdr:cNvPr>
        <xdr:cNvSpPr/>
      </xdr:nvSpPr>
      <xdr:spPr>
        <a:xfrm rot="10800000">
          <a:off x="5295900" y="76093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568</xdr:row>
      <xdr:rowOff>0</xdr:rowOff>
    </xdr:from>
    <xdr:to>
      <xdr:col>14</xdr:col>
      <xdr:colOff>83820</xdr:colOff>
      <xdr:row>568</xdr:row>
      <xdr:rowOff>114300</xdr:rowOff>
    </xdr:to>
    <xdr:sp macro="" textlink="">
      <xdr:nvSpPr>
        <xdr:cNvPr id="588" name="Arrow: Down 587">
          <a:extLst>
            <a:ext uri="{FF2B5EF4-FFF2-40B4-BE49-F238E27FC236}">
              <a16:creationId xmlns:a16="http://schemas.microsoft.com/office/drawing/2014/main" id="{3968AEC5-8CE7-4EA2-A9C7-17E8EF048022}"/>
            </a:ext>
          </a:extLst>
        </xdr:cNvPr>
        <xdr:cNvSpPr/>
      </xdr:nvSpPr>
      <xdr:spPr>
        <a:xfrm rot="10800000">
          <a:off x="5295900" y="75727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571</xdr:row>
      <xdr:rowOff>0</xdr:rowOff>
    </xdr:from>
    <xdr:to>
      <xdr:col>14</xdr:col>
      <xdr:colOff>83820</xdr:colOff>
      <xdr:row>571</xdr:row>
      <xdr:rowOff>114300</xdr:rowOff>
    </xdr:to>
    <xdr:sp macro="" textlink="">
      <xdr:nvSpPr>
        <xdr:cNvPr id="580" name="Arrow: Down 579">
          <a:extLst>
            <a:ext uri="{FF2B5EF4-FFF2-40B4-BE49-F238E27FC236}">
              <a16:creationId xmlns:a16="http://schemas.microsoft.com/office/drawing/2014/main" id="{068A6BAD-8F90-41DD-8636-FC59AB7EC5A4}"/>
            </a:ext>
          </a:extLst>
        </xdr:cNvPr>
        <xdr:cNvSpPr/>
      </xdr:nvSpPr>
      <xdr:spPr>
        <a:xfrm>
          <a:off x="5295900" y="7627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572</xdr:row>
      <xdr:rowOff>0</xdr:rowOff>
    </xdr:from>
    <xdr:to>
      <xdr:col>14</xdr:col>
      <xdr:colOff>83820</xdr:colOff>
      <xdr:row>572</xdr:row>
      <xdr:rowOff>114300</xdr:rowOff>
    </xdr:to>
    <xdr:sp macro="" textlink="">
      <xdr:nvSpPr>
        <xdr:cNvPr id="585" name="Arrow: Down 584">
          <a:extLst>
            <a:ext uri="{FF2B5EF4-FFF2-40B4-BE49-F238E27FC236}">
              <a16:creationId xmlns:a16="http://schemas.microsoft.com/office/drawing/2014/main" id="{1F68711A-482A-4B23-8208-B76E7A54BF3C}"/>
            </a:ext>
          </a:extLst>
        </xdr:cNvPr>
        <xdr:cNvSpPr/>
      </xdr:nvSpPr>
      <xdr:spPr>
        <a:xfrm>
          <a:off x="5295900" y="7627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574</xdr:row>
      <xdr:rowOff>0</xdr:rowOff>
    </xdr:from>
    <xdr:to>
      <xdr:col>14</xdr:col>
      <xdr:colOff>83820</xdr:colOff>
      <xdr:row>574</xdr:row>
      <xdr:rowOff>114300</xdr:rowOff>
    </xdr:to>
    <xdr:sp macro="" textlink="">
      <xdr:nvSpPr>
        <xdr:cNvPr id="590" name="Arrow: Down 589">
          <a:extLst>
            <a:ext uri="{FF2B5EF4-FFF2-40B4-BE49-F238E27FC236}">
              <a16:creationId xmlns:a16="http://schemas.microsoft.com/office/drawing/2014/main" id="{62718EDA-55E0-4415-A397-981C034B5B5A}"/>
            </a:ext>
          </a:extLst>
        </xdr:cNvPr>
        <xdr:cNvSpPr/>
      </xdr:nvSpPr>
      <xdr:spPr>
        <a:xfrm>
          <a:off x="5295900" y="7664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575</xdr:row>
      <xdr:rowOff>0</xdr:rowOff>
    </xdr:from>
    <xdr:to>
      <xdr:col>14</xdr:col>
      <xdr:colOff>83820</xdr:colOff>
      <xdr:row>575</xdr:row>
      <xdr:rowOff>114300</xdr:rowOff>
    </xdr:to>
    <xdr:sp macro="" textlink="">
      <xdr:nvSpPr>
        <xdr:cNvPr id="593" name="Arrow: Down 592">
          <a:extLst>
            <a:ext uri="{FF2B5EF4-FFF2-40B4-BE49-F238E27FC236}">
              <a16:creationId xmlns:a16="http://schemas.microsoft.com/office/drawing/2014/main" id="{6EA7F58C-2FA7-4D25-9636-FB40CB96C3BF}"/>
            </a:ext>
          </a:extLst>
        </xdr:cNvPr>
        <xdr:cNvSpPr/>
      </xdr:nvSpPr>
      <xdr:spPr>
        <a:xfrm rot="10800000">
          <a:off x="5295900" y="7700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573</xdr:row>
      <xdr:rowOff>0</xdr:rowOff>
    </xdr:from>
    <xdr:to>
      <xdr:col>14</xdr:col>
      <xdr:colOff>83820</xdr:colOff>
      <xdr:row>573</xdr:row>
      <xdr:rowOff>114300</xdr:rowOff>
    </xdr:to>
    <xdr:sp macro="" textlink="">
      <xdr:nvSpPr>
        <xdr:cNvPr id="595" name="Arrow: Down 594">
          <a:extLst>
            <a:ext uri="{FF2B5EF4-FFF2-40B4-BE49-F238E27FC236}">
              <a16:creationId xmlns:a16="http://schemas.microsoft.com/office/drawing/2014/main" id="{0C1D1AA7-935B-4B5C-B1A4-F0ECBAC011BA}"/>
            </a:ext>
          </a:extLst>
        </xdr:cNvPr>
        <xdr:cNvSpPr/>
      </xdr:nvSpPr>
      <xdr:spPr>
        <a:xfrm rot="10800000">
          <a:off x="5295900" y="76641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576</xdr:row>
      <xdr:rowOff>0</xdr:rowOff>
    </xdr:from>
    <xdr:to>
      <xdr:col>14</xdr:col>
      <xdr:colOff>83820</xdr:colOff>
      <xdr:row>576</xdr:row>
      <xdr:rowOff>114300</xdr:rowOff>
    </xdr:to>
    <xdr:sp macro="" textlink="">
      <xdr:nvSpPr>
        <xdr:cNvPr id="578" name="Arrow: Down 577">
          <a:extLst>
            <a:ext uri="{FF2B5EF4-FFF2-40B4-BE49-F238E27FC236}">
              <a16:creationId xmlns:a16="http://schemas.microsoft.com/office/drawing/2014/main" id="{83873E91-AB6A-4EA5-9337-B56E3CE59071}"/>
            </a:ext>
          </a:extLst>
        </xdr:cNvPr>
        <xdr:cNvSpPr/>
      </xdr:nvSpPr>
      <xdr:spPr>
        <a:xfrm rot="10800000">
          <a:off x="5295900" y="7700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577</xdr:row>
      <xdr:rowOff>0</xdr:rowOff>
    </xdr:from>
    <xdr:to>
      <xdr:col>14</xdr:col>
      <xdr:colOff>83820</xdr:colOff>
      <xdr:row>577</xdr:row>
      <xdr:rowOff>114300</xdr:rowOff>
    </xdr:to>
    <xdr:sp macro="" textlink="">
      <xdr:nvSpPr>
        <xdr:cNvPr id="579" name="Arrow: Down 578">
          <a:extLst>
            <a:ext uri="{FF2B5EF4-FFF2-40B4-BE49-F238E27FC236}">
              <a16:creationId xmlns:a16="http://schemas.microsoft.com/office/drawing/2014/main" id="{4B76C089-AAA5-452C-9041-76222745CC55}"/>
            </a:ext>
          </a:extLst>
        </xdr:cNvPr>
        <xdr:cNvSpPr/>
      </xdr:nvSpPr>
      <xdr:spPr>
        <a:xfrm rot="10800000">
          <a:off x="5295900" y="7719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578</xdr:row>
      <xdr:rowOff>0</xdr:rowOff>
    </xdr:from>
    <xdr:to>
      <xdr:col>14</xdr:col>
      <xdr:colOff>83820</xdr:colOff>
      <xdr:row>578</xdr:row>
      <xdr:rowOff>114300</xdr:rowOff>
    </xdr:to>
    <xdr:sp macro="" textlink="">
      <xdr:nvSpPr>
        <xdr:cNvPr id="592" name="Arrow: Down 591">
          <a:extLst>
            <a:ext uri="{FF2B5EF4-FFF2-40B4-BE49-F238E27FC236}">
              <a16:creationId xmlns:a16="http://schemas.microsoft.com/office/drawing/2014/main" id="{74E58C32-3498-449B-BEB3-E2097731D466}"/>
            </a:ext>
          </a:extLst>
        </xdr:cNvPr>
        <xdr:cNvSpPr/>
      </xdr:nvSpPr>
      <xdr:spPr>
        <a:xfrm>
          <a:off x="5295900" y="7755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579</xdr:row>
      <xdr:rowOff>0</xdr:rowOff>
    </xdr:from>
    <xdr:to>
      <xdr:col>14</xdr:col>
      <xdr:colOff>83820</xdr:colOff>
      <xdr:row>579</xdr:row>
      <xdr:rowOff>114300</xdr:rowOff>
    </xdr:to>
    <xdr:sp macro="" textlink="">
      <xdr:nvSpPr>
        <xdr:cNvPr id="596" name="Arrow: Down 595">
          <a:extLst>
            <a:ext uri="{FF2B5EF4-FFF2-40B4-BE49-F238E27FC236}">
              <a16:creationId xmlns:a16="http://schemas.microsoft.com/office/drawing/2014/main" id="{964AFD05-CADB-49A1-AB3E-E0836572B14A}"/>
            </a:ext>
          </a:extLst>
        </xdr:cNvPr>
        <xdr:cNvSpPr/>
      </xdr:nvSpPr>
      <xdr:spPr>
        <a:xfrm>
          <a:off x="5295900" y="7755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581</xdr:row>
      <xdr:rowOff>0</xdr:rowOff>
    </xdr:from>
    <xdr:to>
      <xdr:col>14</xdr:col>
      <xdr:colOff>83820</xdr:colOff>
      <xdr:row>581</xdr:row>
      <xdr:rowOff>114300</xdr:rowOff>
    </xdr:to>
    <xdr:sp macro="" textlink="">
      <xdr:nvSpPr>
        <xdr:cNvPr id="589" name="Arrow: Down 588">
          <a:extLst>
            <a:ext uri="{FF2B5EF4-FFF2-40B4-BE49-F238E27FC236}">
              <a16:creationId xmlns:a16="http://schemas.microsoft.com/office/drawing/2014/main" id="{EEC65652-3D73-4953-A839-22A6F9042D8B}"/>
            </a:ext>
          </a:extLst>
        </xdr:cNvPr>
        <xdr:cNvSpPr/>
      </xdr:nvSpPr>
      <xdr:spPr>
        <a:xfrm>
          <a:off x="5295900" y="7792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581</xdr:row>
      <xdr:rowOff>0</xdr:rowOff>
    </xdr:from>
    <xdr:to>
      <xdr:col>14</xdr:col>
      <xdr:colOff>83820</xdr:colOff>
      <xdr:row>581</xdr:row>
      <xdr:rowOff>114300</xdr:rowOff>
    </xdr:to>
    <xdr:sp macro="" textlink="">
      <xdr:nvSpPr>
        <xdr:cNvPr id="594" name="Arrow: Down 593">
          <a:extLst>
            <a:ext uri="{FF2B5EF4-FFF2-40B4-BE49-F238E27FC236}">
              <a16:creationId xmlns:a16="http://schemas.microsoft.com/office/drawing/2014/main" id="{20EBA95B-A7AC-4C39-AAC6-096C6FEF2A49}"/>
            </a:ext>
          </a:extLst>
        </xdr:cNvPr>
        <xdr:cNvSpPr/>
      </xdr:nvSpPr>
      <xdr:spPr>
        <a:xfrm>
          <a:off x="5295900" y="7792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580</xdr:row>
      <xdr:rowOff>0</xdr:rowOff>
    </xdr:from>
    <xdr:to>
      <xdr:col>14</xdr:col>
      <xdr:colOff>83820</xdr:colOff>
      <xdr:row>580</xdr:row>
      <xdr:rowOff>114300</xdr:rowOff>
    </xdr:to>
    <xdr:sp macro="" textlink="">
      <xdr:nvSpPr>
        <xdr:cNvPr id="597" name="Arrow: Down 596">
          <a:extLst>
            <a:ext uri="{FF2B5EF4-FFF2-40B4-BE49-F238E27FC236}">
              <a16:creationId xmlns:a16="http://schemas.microsoft.com/office/drawing/2014/main" id="{9FF419E4-6F38-4EBB-A5BD-3D3BEC6DEE6F}"/>
            </a:ext>
          </a:extLst>
        </xdr:cNvPr>
        <xdr:cNvSpPr/>
      </xdr:nvSpPr>
      <xdr:spPr>
        <a:xfrm rot="10800000">
          <a:off x="5295900" y="77922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582</xdr:row>
      <xdr:rowOff>0</xdr:rowOff>
    </xdr:from>
    <xdr:to>
      <xdr:col>14</xdr:col>
      <xdr:colOff>83820</xdr:colOff>
      <xdr:row>582</xdr:row>
      <xdr:rowOff>114300</xdr:rowOff>
    </xdr:to>
    <xdr:sp macro="" textlink="">
      <xdr:nvSpPr>
        <xdr:cNvPr id="598" name="Arrow: Down 597">
          <a:extLst>
            <a:ext uri="{FF2B5EF4-FFF2-40B4-BE49-F238E27FC236}">
              <a16:creationId xmlns:a16="http://schemas.microsoft.com/office/drawing/2014/main" id="{A49F2FD3-F955-406D-ADA4-5CE7F8D8438D}"/>
            </a:ext>
          </a:extLst>
        </xdr:cNvPr>
        <xdr:cNvSpPr/>
      </xdr:nvSpPr>
      <xdr:spPr>
        <a:xfrm rot="10800000">
          <a:off x="5295900" y="78287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584</xdr:row>
      <xdr:rowOff>0</xdr:rowOff>
    </xdr:from>
    <xdr:to>
      <xdr:col>14</xdr:col>
      <xdr:colOff>83820</xdr:colOff>
      <xdr:row>584</xdr:row>
      <xdr:rowOff>114300</xdr:rowOff>
    </xdr:to>
    <xdr:sp macro="" textlink="">
      <xdr:nvSpPr>
        <xdr:cNvPr id="601" name="Arrow: Down 600">
          <a:extLst>
            <a:ext uri="{FF2B5EF4-FFF2-40B4-BE49-F238E27FC236}">
              <a16:creationId xmlns:a16="http://schemas.microsoft.com/office/drawing/2014/main" id="{0480CA7A-B897-4B09-9064-DA1EF557842E}"/>
            </a:ext>
          </a:extLst>
        </xdr:cNvPr>
        <xdr:cNvSpPr/>
      </xdr:nvSpPr>
      <xdr:spPr>
        <a:xfrm rot="10800000">
          <a:off x="5295900" y="78470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583</xdr:row>
      <xdr:rowOff>0</xdr:rowOff>
    </xdr:from>
    <xdr:to>
      <xdr:col>14</xdr:col>
      <xdr:colOff>83820</xdr:colOff>
      <xdr:row>583</xdr:row>
      <xdr:rowOff>114300</xdr:rowOff>
    </xdr:to>
    <xdr:sp macro="" textlink="">
      <xdr:nvSpPr>
        <xdr:cNvPr id="602" name="Arrow: Down 601">
          <a:extLst>
            <a:ext uri="{FF2B5EF4-FFF2-40B4-BE49-F238E27FC236}">
              <a16:creationId xmlns:a16="http://schemas.microsoft.com/office/drawing/2014/main" id="{17C20B41-C884-42EE-AB24-93091C23F1B9}"/>
            </a:ext>
          </a:extLst>
        </xdr:cNvPr>
        <xdr:cNvSpPr/>
      </xdr:nvSpPr>
      <xdr:spPr>
        <a:xfrm>
          <a:off x="5295900" y="78470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585</xdr:row>
      <xdr:rowOff>0</xdr:rowOff>
    </xdr:from>
    <xdr:to>
      <xdr:col>14</xdr:col>
      <xdr:colOff>83820</xdr:colOff>
      <xdr:row>585</xdr:row>
      <xdr:rowOff>114300</xdr:rowOff>
    </xdr:to>
    <xdr:sp macro="" textlink="">
      <xdr:nvSpPr>
        <xdr:cNvPr id="605" name="Arrow: Down 604">
          <a:extLst>
            <a:ext uri="{FF2B5EF4-FFF2-40B4-BE49-F238E27FC236}">
              <a16:creationId xmlns:a16="http://schemas.microsoft.com/office/drawing/2014/main" id="{49AC9D10-ADE6-43E6-894F-0407C7BBEE5B}"/>
            </a:ext>
          </a:extLst>
        </xdr:cNvPr>
        <xdr:cNvSpPr/>
      </xdr:nvSpPr>
      <xdr:spPr>
        <a:xfrm>
          <a:off x="5295900" y="7883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586</xdr:row>
      <xdr:rowOff>0</xdr:rowOff>
    </xdr:from>
    <xdr:to>
      <xdr:col>14</xdr:col>
      <xdr:colOff>83820</xdr:colOff>
      <xdr:row>586</xdr:row>
      <xdr:rowOff>114300</xdr:rowOff>
    </xdr:to>
    <xdr:sp macro="" textlink="">
      <xdr:nvSpPr>
        <xdr:cNvPr id="607" name="Arrow: Down 606">
          <a:extLst>
            <a:ext uri="{FF2B5EF4-FFF2-40B4-BE49-F238E27FC236}">
              <a16:creationId xmlns:a16="http://schemas.microsoft.com/office/drawing/2014/main" id="{ADBA24FC-33ED-44FB-A438-E5F52C8D9ABC}"/>
            </a:ext>
          </a:extLst>
        </xdr:cNvPr>
        <xdr:cNvSpPr/>
      </xdr:nvSpPr>
      <xdr:spPr>
        <a:xfrm>
          <a:off x="5295900" y="7883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588</xdr:row>
      <xdr:rowOff>0</xdr:rowOff>
    </xdr:from>
    <xdr:to>
      <xdr:col>14</xdr:col>
      <xdr:colOff>83820</xdr:colOff>
      <xdr:row>588</xdr:row>
      <xdr:rowOff>114300</xdr:rowOff>
    </xdr:to>
    <xdr:sp macro="" textlink="">
      <xdr:nvSpPr>
        <xdr:cNvPr id="609" name="Arrow: Down 608">
          <a:extLst>
            <a:ext uri="{FF2B5EF4-FFF2-40B4-BE49-F238E27FC236}">
              <a16:creationId xmlns:a16="http://schemas.microsoft.com/office/drawing/2014/main" id="{A637B942-CDF5-4430-9A25-FC9D1473DC9B}"/>
            </a:ext>
          </a:extLst>
        </xdr:cNvPr>
        <xdr:cNvSpPr/>
      </xdr:nvSpPr>
      <xdr:spPr>
        <a:xfrm>
          <a:off x="5295900" y="7920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587</xdr:row>
      <xdr:rowOff>0</xdr:rowOff>
    </xdr:from>
    <xdr:to>
      <xdr:col>14</xdr:col>
      <xdr:colOff>83820</xdr:colOff>
      <xdr:row>587</xdr:row>
      <xdr:rowOff>114300</xdr:rowOff>
    </xdr:to>
    <xdr:sp macro="" textlink="">
      <xdr:nvSpPr>
        <xdr:cNvPr id="611" name="Arrow: Down 610">
          <a:extLst>
            <a:ext uri="{FF2B5EF4-FFF2-40B4-BE49-F238E27FC236}">
              <a16:creationId xmlns:a16="http://schemas.microsoft.com/office/drawing/2014/main" id="{2BA3AC2C-29DB-417C-A67C-8C9A04905379}"/>
            </a:ext>
          </a:extLst>
        </xdr:cNvPr>
        <xdr:cNvSpPr/>
      </xdr:nvSpPr>
      <xdr:spPr>
        <a:xfrm rot="10800000">
          <a:off x="5295900" y="7920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589</xdr:row>
      <xdr:rowOff>0</xdr:rowOff>
    </xdr:from>
    <xdr:to>
      <xdr:col>14</xdr:col>
      <xdr:colOff>83820</xdr:colOff>
      <xdr:row>589</xdr:row>
      <xdr:rowOff>114300</xdr:rowOff>
    </xdr:to>
    <xdr:sp macro="" textlink="">
      <xdr:nvSpPr>
        <xdr:cNvPr id="614" name="Arrow: Down 613">
          <a:extLst>
            <a:ext uri="{FF2B5EF4-FFF2-40B4-BE49-F238E27FC236}">
              <a16:creationId xmlns:a16="http://schemas.microsoft.com/office/drawing/2014/main" id="{2E81281B-D4C4-4122-8BB2-71FA60D65DA7}"/>
            </a:ext>
          </a:extLst>
        </xdr:cNvPr>
        <xdr:cNvSpPr/>
      </xdr:nvSpPr>
      <xdr:spPr>
        <a:xfrm rot="10800000">
          <a:off x="5295900" y="7956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590</xdr:row>
      <xdr:rowOff>0</xdr:rowOff>
    </xdr:from>
    <xdr:to>
      <xdr:col>14</xdr:col>
      <xdr:colOff>83820</xdr:colOff>
      <xdr:row>590</xdr:row>
      <xdr:rowOff>114300</xdr:rowOff>
    </xdr:to>
    <xdr:sp macro="" textlink="">
      <xdr:nvSpPr>
        <xdr:cNvPr id="618" name="Arrow: Down 617">
          <a:extLst>
            <a:ext uri="{FF2B5EF4-FFF2-40B4-BE49-F238E27FC236}">
              <a16:creationId xmlns:a16="http://schemas.microsoft.com/office/drawing/2014/main" id="{749A4FFE-E76F-4275-A280-21CE8D8D06F2}"/>
            </a:ext>
          </a:extLst>
        </xdr:cNvPr>
        <xdr:cNvSpPr/>
      </xdr:nvSpPr>
      <xdr:spPr>
        <a:xfrm>
          <a:off x="5295900" y="7975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591</xdr:row>
      <xdr:rowOff>0</xdr:rowOff>
    </xdr:from>
    <xdr:to>
      <xdr:col>14</xdr:col>
      <xdr:colOff>83820</xdr:colOff>
      <xdr:row>591</xdr:row>
      <xdr:rowOff>114300</xdr:rowOff>
    </xdr:to>
    <xdr:sp macro="" textlink="">
      <xdr:nvSpPr>
        <xdr:cNvPr id="620" name="Arrow: Down 619">
          <a:extLst>
            <a:ext uri="{FF2B5EF4-FFF2-40B4-BE49-F238E27FC236}">
              <a16:creationId xmlns:a16="http://schemas.microsoft.com/office/drawing/2014/main" id="{1DC8CEB2-8D1D-4CBC-A15B-1240502200DD}"/>
            </a:ext>
          </a:extLst>
        </xdr:cNvPr>
        <xdr:cNvSpPr/>
      </xdr:nvSpPr>
      <xdr:spPr>
        <a:xfrm>
          <a:off x="5295900" y="7975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592</xdr:row>
      <xdr:rowOff>0</xdr:rowOff>
    </xdr:from>
    <xdr:to>
      <xdr:col>14</xdr:col>
      <xdr:colOff>83820</xdr:colOff>
      <xdr:row>592</xdr:row>
      <xdr:rowOff>114300</xdr:rowOff>
    </xdr:to>
    <xdr:sp macro="" textlink="">
      <xdr:nvSpPr>
        <xdr:cNvPr id="622" name="Arrow: Down 621">
          <a:extLst>
            <a:ext uri="{FF2B5EF4-FFF2-40B4-BE49-F238E27FC236}">
              <a16:creationId xmlns:a16="http://schemas.microsoft.com/office/drawing/2014/main" id="{11B8C3ED-EC8D-473E-905E-A0DBC5D8FE82}"/>
            </a:ext>
          </a:extLst>
        </xdr:cNvPr>
        <xdr:cNvSpPr/>
      </xdr:nvSpPr>
      <xdr:spPr>
        <a:xfrm>
          <a:off x="5295900" y="7993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593</xdr:row>
      <xdr:rowOff>0</xdr:rowOff>
    </xdr:from>
    <xdr:to>
      <xdr:col>14</xdr:col>
      <xdr:colOff>83820</xdr:colOff>
      <xdr:row>593</xdr:row>
      <xdr:rowOff>114300</xdr:rowOff>
    </xdr:to>
    <xdr:sp macro="" textlink="">
      <xdr:nvSpPr>
        <xdr:cNvPr id="623" name="Arrow: Down 622">
          <a:extLst>
            <a:ext uri="{FF2B5EF4-FFF2-40B4-BE49-F238E27FC236}">
              <a16:creationId xmlns:a16="http://schemas.microsoft.com/office/drawing/2014/main" id="{505717EB-D5A2-42C7-8B42-7595E33957A6}"/>
            </a:ext>
          </a:extLst>
        </xdr:cNvPr>
        <xdr:cNvSpPr/>
      </xdr:nvSpPr>
      <xdr:spPr>
        <a:xfrm>
          <a:off x="5295900" y="8011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594</xdr:row>
      <xdr:rowOff>0</xdr:rowOff>
    </xdr:from>
    <xdr:to>
      <xdr:col>14</xdr:col>
      <xdr:colOff>83820</xdr:colOff>
      <xdr:row>594</xdr:row>
      <xdr:rowOff>114300</xdr:rowOff>
    </xdr:to>
    <xdr:sp macro="" textlink="">
      <xdr:nvSpPr>
        <xdr:cNvPr id="626" name="Arrow: Down 625">
          <a:extLst>
            <a:ext uri="{FF2B5EF4-FFF2-40B4-BE49-F238E27FC236}">
              <a16:creationId xmlns:a16="http://schemas.microsoft.com/office/drawing/2014/main" id="{DFDC6F1C-5EB8-4643-8E43-DAE14EED5E8A}"/>
            </a:ext>
          </a:extLst>
        </xdr:cNvPr>
        <xdr:cNvSpPr/>
      </xdr:nvSpPr>
      <xdr:spPr>
        <a:xfrm rot="10800000">
          <a:off x="5295900" y="8048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595</xdr:row>
      <xdr:rowOff>0</xdr:rowOff>
    </xdr:from>
    <xdr:to>
      <xdr:col>14</xdr:col>
      <xdr:colOff>83820</xdr:colOff>
      <xdr:row>595</xdr:row>
      <xdr:rowOff>114300</xdr:rowOff>
    </xdr:to>
    <xdr:sp macro="" textlink="">
      <xdr:nvSpPr>
        <xdr:cNvPr id="629" name="Arrow: Down 628">
          <a:extLst>
            <a:ext uri="{FF2B5EF4-FFF2-40B4-BE49-F238E27FC236}">
              <a16:creationId xmlns:a16="http://schemas.microsoft.com/office/drawing/2014/main" id="{B099C336-98D6-48ED-ADC4-E384285A9FA3}"/>
            </a:ext>
          </a:extLst>
        </xdr:cNvPr>
        <xdr:cNvSpPr/>
      </xdr:nvSpPr>
      <xdr:spPr>
        <a:xfrm>
          <a:off x="5295900" y="80665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596</xdr:row>
      <xdr:rowOff>0</xdr:rowOff>
    </xdr:from>
    <xdr:to>
      <xdr:col>14</xdr:col>
      <xdr:colOff>83820</xdr:colOff>
      <xdr:row>596</xdr:row>
      <xdr:rowOff>114300</xdr:rowOff>
    </xdr:to>
    <xdr:sp macro="" textlink="">
      <xdr:nvSpPr>
        <xdr:cNvPr id="632" name="Arrow: Down 631">
          <a:extLst>
            <a:ext uri="{FF2B5EF4-FFF2-40B4-BE49-F238E27FC236}">
              <a16:creationId xmlns:a16="http://schemas.microsoft.com/office/drawing/2014/main" id="{43DC069F-201F-433C-B217-6D5EF77A4D92}"/>
            </a:ext>
          </a:extLst>
        </xdr:cNvPr>
        <xdr:cNvSpPr/>
      </xdr:nvSpPr>
      <xdr:spPr>
        <a:xfrm rot="10800000">
          <a:off x="5295900" y="8084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597</xdr:row>
      <xdr:rowOff>0</xdr:rowOff>
    </xdr:from>
    <xdr:to>
      <xdr:col>14</xdr:col>
      <xdr:colOff>83820</xdr:colOff>
      <xdr:row>597</xdr:row>
      <xdr:rowOff>114300</xdr:rowOff>
    </xdr:to>
    <xdr:sp macro="" textlink="">
      <xdr:nvSpPr>
        <xdr:cNvPr id="633" name="Arrow: Down 632">
          <a:extLst>
            <a:ext uri="{FF2B5EF4-FFF2-40B4-BE49-F238E27FC236}">
              <a16:creationId xmlns:a16="http://schemas.microsoft.com/office/drawing/2014/main" id="{B30E8DF5-75EA-4E4F-8C48-71AFDBE1D00B}"/>
            </a:ext>
          </a:extLst>
        </xdr:cNvPr>
        <xdr:cNvSpPr/>
      </xdr:nvSpPr>
      <xdr:spPr>
        <a:xfrm rot="10800000">
          <a:off x="5295900" y="8084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598</xdr:row>
      <xdr:rowOff>0</xdr:rowOff>
    </xdr:from>
    <xdr:to>
      <xdr:col>14</xdr:col>
      <xdr:colOff>83820</xdr:colOff>
      <xdr:row>598</xdr:row>
      <xdr:rowOff>114300</xdr:rowOff>
    </xdr:to>
    <xdr:sp macro="" textlink="">
      <xdr:nvSpPr>
        <xdr:cNvPr id="634" name="Arrow: Down 633">
          <a:extLst>
            <a:ext uri="{FF2B5EF4-FFF2-40B4-BE49-F238E27FC236}">
              <a16:creationId xmlns:a16="http://schemas.microsoft.com/office/drawing/2014/main" id="{A360DE2A-A1E0-4AD6-B660-B8D28B1ACB93}"/>
            </a:ext>
          </a:extLst>
        </xdr:cNvPr>
        <xdr:cNvSpPr/>
      </xdr:nvSpPr>
      <xdr:spPr>
        <a:xfrm rot="10800000">
          <a:off x="5372100" y="81031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599</xdr:row>
      <xdr:rowOff>0</xdr:rowOff>
    </xdr:from>
    <xdr:to>
      <xdr:col>14</xdr:col>
      <xdr:colOff>83820</xdr:colOff>
      <xdr:row>599</xdr:row>
      <xdr:rowOff>114300</xdr:rowOff>
    </xdr:to>
    <xdr:sp macro="" textlink="">
      <xdr:nvSpPr>
        <xdr:cNvPr id="639" name="Arrow: Down 638">
          <a:extLst>
            <a:ext uri="{FF2B5EF4-FFF2-40B4-BE49-F238E27FC236}">
              <a16:creationId xmlns:a16="http://schemas.microsoft.com/office/drawing/2014/main" id="{3BF4848F-349B-4154-B1F5-565018FC1446}"/>
            </a:ext>
          </a:extLst>
        </xdr:cNvPr>
        <xdr:cNvSpPr/>
      </xdr:nvSpPr>
      <xdr:spPr>
        <a:xfrm>
          <a:off x="5372100" y="8139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600</xdr:row>
      <xdr:rowOff>0</xdr:rowOff>
    </xdr:from>
    <xdr:to>
      <xdr:col>14</xdr:col>
      <xdr:colOff>83820</xdr:colOff>
      <xdr:row>600</xdr:row>
      <xdr:rowOff>114300</xdr:rowOff>
    </xdr:to>
    <xdr:sp macro="" textlink="">
      <xdr:nvSpPr>
        <xdr:cNvPr id="640" name="Arrow: Down 639">
          <a:extLst>
            <a:ext uri="{FF2B5EF4-FFF2-40B4-BE49-F238E27FC236}">
              <a16:creationId xmlns:a16="http://schemas.microsoft.com/office/drawing/2014/main" id="{9D6E26D5-678B-4960-8C32-F044AF84E67F}"/>
            </a:ext>
          </a:extLst>
        </xdr:cNvPr>
        <xdr:cNvSpPr/>
      </xdr:nvSpPr>
      <xdr:spPr>
        <a:xfrm>
          <a:off x="5372100" y="81579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601</xdr:row>
      <xdr:rowOff>0</xdr:rowOff>
    </xdr:from>
    <xdr:to>
      <xdr:col>14</xdr:col>
      <xdr:colOff>83820</xdr:colOff>
      <xdr:row>601</xdr:row>
      <xdr:rowOff>114300</xdr:rowOff>
    </xdr:to>
    <xdr:sp macro="" textlink="">
      <xdr:nvSpPr>
        <xdr:cNvPr id="599" name="Arrow: Down 598">
          <a:extLst>
            <a:ext uri="{FF2B5EF4-FFF2-40B4-BE49-F238E27FC236}">
              <a16:creationId xmlns:a16="http://schemas.microsoft.com/office/drawing/2014/main" id="{8C3FEE1F-43F7-499F-A50F-C035AC2D7FC8}"/>
            </a:ext>
          </a:extLst>
        </xdr:cNvPr>
        <xdr:cNvSpPr/>
      </xdr:nvSpPr>
      <xdr:spPr>
        <a:xfrm>
          <a:off x="5372100" y="81579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602</xdr:row>
      <xdr:rowOff>0</xdr:rowOff>
    </xdr:from>
    <xdr:to>
      <xdr:col>14</xdr:col>
      <xdr:colOff>83820</xdr:colOff>
      <xdr:row>602</xdr:row>
      <xdr:rowOff>114300</xdr:rowOff>
    </xdr:to>
    <xdr:sp macro="" textlink="">
      <xdr:nvSpPr>
        <xdr:cNvPr id="600" name="Arrow: Down 599">
          <a:extLst>
            <a:ext uri="{FF2B5EF4-FFF2-40B4-BE49-F238E27FC236}">
              <a16:creationId xmlns:a16="http://schemas.microsoft.com/office/drawing/2014/main" id="{FC993231-1638-4774-92F0-53C8ACDFB7A0}"/>
            </a:ext>
          </a:extLst>
        </xdr:cNvPr>
        <xdr:cNvSpPr/>
      </xdr:nvSpPr>
      <xdr:spPr>
        <a:xfrm>
          <a:off x="5372100" y="8176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603</xdr:row>
      <xdr:rowOff>0</xdr:rowOff>
    </xdr:from>
    <xdr:to>
      <xdr:col>14</xdr:col>
      <xdr:colOff>83820</xdr:colOff>
      <xdr:row>603</xdr:row>
      <xdr:rowOff>114300</xdr:rowOff>
    </xdr:to>
    <xdr:sp macro="" textlink="">
      <xdr:nvSpPr>
        <xdr:cNvPr id="604" name="Arrow: Down 603">
          <a:extLst>
            <a:ext uri="{FF2B5EF4-FFF2-40B4-BE49-F238E27FC236}">
              <a16:creationId xmlns:a16="http://schemas.microsoft.com/office/drawing/2014/main" id="{F8C36FA9-154A-4FED-A166-8AC6A607407B}"/>
            </a:ext>
          </a:extLst>
        </xdr:cNvPr>
        <xdr:cNvSpPr/>
      </xdr:nvSpPr>
      <xdr:spPr>
        <a:xfrm>
          <a:off x="5372100" y="81945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605</xdr:row>
      <xdr:rowOff>0</xdr:rowOff>
    </xdr:from>
    <xdr:to>
      <xdr:col>14</xdr:col>
      <xdr:colOff>83820</xdr:colOff>
      <xdr:row>605</xdr:row>
      <xdr:rowOff>114300</xdr:rowOff>
    </xdr:to>
    <xdr:sp macro="" textlink="">
      <xdr:nvSpPr>
        <xdr:cNvPr id="591" name="Arrow: Down 590">
          <a:extLst>
            <a:ext uri="{FF2B5EF4-FFF2-40B4-BE49-F238E27FC236}">
              <a16:creationId xmlns:a16="http://schemas.microsoft.com/office/drawing/2014/main" id="{79C998D0-07F4-4389-A3AF-6B0D7987F9A8}"/>
            </a:ext>
          </a:extLst>
        </xdr:cNvPr>
        <xdr:cNvSpPr/>
      </xdr:nvSpPr>
      <xdr:spPr>
        <a:xfrm>
          <a:off x="5372100" y="8231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606</xdr:row>
      <xdr:rowOff>0</xdr:rowOff>
    </xdr:from>
    <xdr:to>
      <xdr:col>14</xdr:col>
      <xdr:colOff>83820</xdr:colOff>
      <xdr:row>606</xdr:row>
      <xdr:rowOff>114300</xdr:rowOff>
    </xdr:to>
    <xdr:sp macro="" textlink="">
      <xdr:nvSpPr>
        <xdr:cNvPr id="608" name="Arrow: Down 607">
          <a:extLst>
            <a:ext uri="{FF2B5EF4-FFF2-40B4-BE49-F238E27FC236}">
              <a16:creationId xmlns:a16="http://schemas.microsoft.com/office/drawing/2014/main" id="{2D714A8E-B30E-41BD-BB70-2D0B095694CF}"/>
            </a:ext>
          </a:extLst>
        </xdr:cNvPr>
        <xdr:cNvSpPr/>
      </xdr:nvSpPr>
      <xdr:spPr>
        <a:xfrm>
          <a:off x="5372100" y="82494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607</xdr:row>
      <xdr:rowOff>0</xdr:rowOff>
    </xdr:from>
    <xdr:to>
      <xdr:col>14</xdr:col>
      <xdr:colOff>83820</xdr:colOff>
      <xdr:row>607</xdr:row>
      <xdr:rowOff>114300</xdr:rowOff>
    </xdr:to>
    <xdr:sp macro="" textlink="">
      <xdr:nvSpPr>
        <xdr:cNvPr id="612" name="Arrow: Down 611">
          <a:extLst>
            <a:ext uri="{FF2B5EF4-FFF2-40B4-BE49-F238E27FC236}">
              <a16:creationId xmlns:a16="http://schemas.microsoft.com/office/drawing/2014/main" id="{A6818E1C-98F1-4650-8AB9-F79155B0EF76}"/>
            </a:ext>
          </a:extLst>
        </xdr:cNvPr>
        <xdr:cNvSpPr/>
      </xdr:nvSpPr>
      <xdr:spPr>
        <a:xfrm>
          <a:off x="5372100" y="8267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604</xdr:row>
      <xdr:rowOff>0</xdr:rowOff>
    </xdr:from>
    <xdr:to>
      <xdr:col>14</xdr:col>
      <xdr:colOff>83820</xdr:colOff>
      <xdr:row>604</xdr:row>
      <xdr:rowOff>114300</xdr:rowOff>
    </xdr:to>
    <xdr:sp macro="" textlink="">
      <xdr:nvSpPr>
        <xdr:cNvPr id="613" name="Arrow: Down 612">
          <a:extLst>
            <a:ext uri="{FF2B5EF4-FFF2-40B4-BE49-F238E27FC236}">
              <a16:creationId xmlns:a16="http://schemas.microsoft.com/office/drawing/2014/main" id="{43D18672-05C9-4182-BCBC-B616C86D90A3}"/>
            </a:ext>
          </a:extLst>
        </xdr:cNvPr>
        <xdr:cNvSpPr/>
      </xdr:nvSpPr>
      <xdr:spPr>
        <a:xfrm rot="10800000">
          <a:off x="5372100" y="8231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609</xdr:row>
      <xdr:rowOff>0</xdr:rowOff>
    </xdr:from>
    <xdr:to>
      <xdr:col>14</xdr:col>
      <xdr:colOff>83820</xdr:colOff>
      <xdr:row>609</xdr:row>
      <xdr:rowOff>114300</xdr:rowOff>
    </xdr:to>
    <xdr:sp macro="" textlink="">
      <xdr:nvSpPr>
        <xdr:cNvPr id="610" name="Arrow: Down 609">
          <a:extLst>
            <a:ext uri="{FF2B5EF4-FFF2-40B4-BE49-F238E27FC236}">
              <a16:creationId xmlns:a16="http://schemas.microsoft.com/office/drawing/2014/main" id="{CBB004CB-8BB7-4B87-AAC9-C9033F7C303F}"/>
            </a:ext>
          </a:extLst>
        </xdr:cNvPr>
        <xdr:cNvSpPr/>
      </xdr:nvSpPr>
      <xdr:spPr>
        <a:xfrm>
          <a:off x="5372100" y="83042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610</xdr:row>
      <xdr:rowOff>0</xdr:rowOff>
    </xdr:from>
    <xdr:to>
      <xdr:col>14</xdr:col>
      <xdr:colOff>83820</xdr:colOff>
      <xdr:row>610</xdr:row>
      <xdr:rowOff>114300</xdr:rowOff>
    </xdr:to>
    <xdr:sp macro="" textlink="">
      <xdr:nvSpPr>
        <xdr:cNvPr id="621" name="Arrow: Down 620">
          <a:extLst>
            <a:ext uri="{FF2B5EF4-FFF2-40B4-BE49-F238E27FC236}">
              <a16:creationId xmlns:a16="http://schemas.microsoft.com/office/drawing/2014/main" id="{CCD910C9-8DF3-4578-8BF3-10CF3D13F486}"/>
            </a:ext>
          </a:extLst>
        </xdr:cNvPr>
        <xdr:cNvSpPr/>
      </xdr:nvSpPr>
      <xdr:spPr>
        <a:xfrm rot="10800000">
          <a:off x="5372100" y="8340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608</xdr:row>
      <xdr:rowOff>0</xdr:rowOff>
    </xdr:from>
    <xdr:to>
      <xdr:col>14</xdr:col>
      <xdr:colOff>83820</xdr:colOff>
      <xdr:row>608</xdr:row>
      <xdr:rowOff>114300</xdr:rowOff>
    </xdr:to>
    <xdr:sp macro="" textlink="">
      <xdr:nvSpPr>
        <xdr:cNvPr id="624" name="Arrow: Down 623">
          <a:extLst>
            <a:ext uri="{FF2B5EF4-FFF2-40B4-BE49-F238E27FC236}">
              <a16:creationId xmlns:a16="http://schemas.microsoft.com/office/drawing/2014/main" id="{C4969660-AD65-441D-82A7-555C2B8EDE54}"/>
            </a:ext>
          </a:extLst>
        </xdr:cNvPr>
        <xdr:cNvSpPr/>
      </xdr:nvSpPr>
      <xdr:spPr>
        <a:xfrm rot="10800000">
          <a:off x="5372100" y="83042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611</xdr:row>
      <xdr:rowOff>0</xdr:rowOff>
    </xdr:from>
    <xdr:to>
      <xdr:col>14</xdr:col>
      <xdr:colOff>83820</xdr:colOff>
      <xdr:row>611</xdr:row>
      <xdr:rowOff>114300</xdr:rowOff>
    </xdr:to>
    <xdr:sp macro="" textlink="">
      <xdr:nvSpPr>
        <xdr:cNvPr id="625" name="Arrow: Down 624">
          <a:extLst>
            <a:ext uri="{FF2B5EF4-FFF2-40B4-BE49-F238E27FC236}">
              <a16:creationId xmlns:a16="http://schemas.microsoft.com/office/drawing/2014/main" id="{0A1CC205-51F0-4EC8-B0EC-65A880648269}"/>
            </a:ext>
          </a:extLst>
        </xdr:cNvPr>
        <xdr:cNvSpPr/>
      </xdr:nvSpPr>
      <xdr:spPr>
        <a:xfrm rot="10800000">
          <a:off x="5372100" y="8359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612</xdr:row>
      <xdr:rowOff>0</xdr:rowOff>
    </xdr:from>
    <xdr:to>
      <xdr:col>14</xdr:col>
      <xdr:colOff>83820</xdr:colOff>
      <xdr:row>612</xdr:row>
      <xdr:rowOff>114300</xdr:rowOff>
    </xdr:to>
    <xdr:sp macro="" textlink="">
      <xdr:nvSpPr>
        <xdr:cNvPr id="615" name="Arrow: Down 614">
          <a:extLst>
            <a:ext uri="{FF2B5EF4-FFF2-40B4-BE49-F238E27FC236}">
              <a16:creationId xmlns:a16="http://schemas.microsoft.com/office/drawing/2014/main" id="{8133B099-D053-43B7-B79A-0AE6933A0F8C}"/>
            </a:ext>
          </a:extLst>
        </xdr:cNvPr>
        <xdr:cNvSpPr/>
      </xdr:nvSpPr>
      <xdr:spPr>
        <a:xfrm>
          <a:off x="5372100" y="8377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613</xdr:row>
      <xdr:rowOff>0</xdr:rowOff>
    </xdr:from>
    <xdr:to>
      <xdr:col>14</xdr:col>
      <xdr:colOff>83820</xdr:colOff>
      <xdr:row>613</xdr:row>
      <xdr:rowOff>114300</xdr:rowOff>
    </xdr:to>
    <xdr:sp macro="" textlink="">
      <xdr:nvSpPr>
        <xdr:cNvPr id="617" name="Arrow: Down 616">
          <a:extLst>
            <a:ext uri="{FF2B5EF4-FFF2-40B4-BE49-F238E27FC236}">
              <a16:creationId xmlns:a16="http://schemas.microsoft.com/office/drawing/2014/main" id="{E05755B2-4343-4FE9-9C34-A893E6425690}"/>
            </a:ext>
          </a:extLst>
        </xdr:cNvPr>
        <xdr:cNvSpPr/>
      </xdr:nvSpPr>
      <xdr:spPr>
        <a:xfrm>
          <a:off x="5372100" y="8395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614</xdr:row>
      <xdr:rowOff>0</xdr:rowOff>
    </xdr:from>
    <xdr:to>
      <xdr:col>14</xdr:col>
      <xdr:colOff>83820</xdr:colOff>
      <xdr:row>614</xdr:row>
      <xdr:rowOff>114300</xdr:rowOff>
    </xdr:to>
    <xdr:sp macro="" textlink="">
      <xdr:nvSpPr>
        <xdr:cNvPr id="619" name="Arrow: Down 618">
          <a:extLst>
            <a:ext uri="{FF2B5EF4-FFF2-40B4-BE49-F238E27FC236}">
              <a16:creationId xmlns:a16="http://schemas.microsoft.com/office/drawing/2014/main" id="{8E8EA494-7B21-495E-915E-965F8BBAD515}"/>
            </a:ext>
          </a:extLst>
        </xdr:cNvPr>
        <xdr:cNvSpPr/>
      </xdr:nvSpPr>
      <xdr:spPr>
        <a:xfrm>
          <a:off x="5372100" y="8395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615</xdr:row>
      <xdr:rowOff>0</xdr:rowOff>
    </xdr:from>
    <xdr:to>
      <xdr:col>14</xdr:col>
      <xdr:colOff>83820</xdr:colOff>
      <xdr:row>615</xdr:row>
      <xdr:rowOff>114300</xdr:rowOff>
    </xdr:to>
    <xdr:sp macro="" textlink="">
      <xdr:nvSpPr>
        <xdr:cNvPr id="606" name="Arrow: Down 605">
          <a:extLst>
            <a:ext uri="{FF2B5EF4-FFF2-40B4-BE49-F238E27FC236}">
              <a16:creationId xmlns:a16="http://schemas.microsoft.com/office/drawing/2014/main" id="{B0B9A976-C6A6-4758-A724-1B13A12C6F31}"/>
            </a:ext>
          </a:extLst>
        </xdr:cNvPr>
        <xdr:cNvSpPr/>
      </xdr:nvSpPr>
      <xdr:spPr>
        <a:xfrm rot="10800000">
          <a:off x="5372100" y="8432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617</xdr:row>
      <xdr:rowOff>0</xdr:rowOff>
    </xdr:from>
    <xdr:to>
      <xdr:col>14</xdr:col>
      <xdr:colOff>83820</xdr:colOff>
      <xdr:row>617</xdr:row>
      <xdr:rowOff>114300</xdr:rowOff>
    </xdr:to>
    <xdr:sp macro="" textlink="">
      <xdr:nvSpPr>
        <xdr:cNvPr id="627" name="Arrow: Down 626">
          <a:extLst>
            <a:ext uri="{FF2B5EF4-FFF2-40B4-BE49-F238E27FC236}">
              <a16:creationId xmlns:a16="http://schemas.microsoft.com/office/drawing/2014/main" id="{0F27E518-EAA6-4BE0-B350-72174E54E41D}"/>
            </a:ext>
          </a:extLst>
        </xdr:cNvPr>
        <xdr:cNvSpPr/>
      </xdr:nvSpPr>
      <xdr:spPr>
        <a:xfrm rot="10800000">
          <a:off x="5372100" y="84505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616</xdr:row>
      <xdr:rowOff>0</xdr:rowOff>
    </xdr:from>
    <xdr:to>
      <xdr:col>14</xdr:col>
      <xdr:colOff>83820</xdr:colOff>
      <xdr:row>616</xdr:row>
      <xdr:rowOff>114300</xdr:rowOff>
    </xdr:to>
    <xdr:sp macro="" textlink="">
      <xdr:nvSpPr>
        <xdr:cNvPr id="630" name="Arrow: Down 629">
          <a:extLst>
            <a:ext uri="{FF2B5EF4-FFF2-40B4-BE49-F238E27FC236}">
              <a16:creationId xmlns:a16="http://schemas.microsoft.com/office/drawing/2014/main" id="{3CFEFF73-271D-4F2D-A1AF-5A142D1B0AB1}"/>
            </a:ext>
          </a:extLst>
        </xdr:cNvPr>
        <xdr:cNvSpPr/>
      </xdr:nvSpPr>
      <xdr:spPr>
        <a:xfrm>
          <a:off x="5372100" y="8450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618</xdr:row>
      <xdr:rowOff>0</xdr:rowOff>
    </xdr:from>
    <xdr:to>
      <xdr:col>14</xdr:col>
      <xdr:colOff>83820</xdr:colOff>
      <xdr:row>618</xdr:row>
      <xdr:rowOff>114300</xdr:rowOff>
    </xdr:to>
    <xdr:sp macro="" textlink="">
      <xdr:nvSpPr>
        <xdr:cNvPr id="631" name="Arrow: Down 630">
          <a:extLst>
            <a:ext uri="{FF2B5EF4-FFF2-40B4-BE49-F238E27FC236}">
              <a16:creationId xmlns:a16="http://schemas.microsoft.com/office/drawing/2014/main" id="{AA5CAE8D-BC47-4917-AF17-00E57FD3076C}"/>
            </a:ext>
          </a:extLst>
        </xdr:cNvPr>
        <xdr:cNvSpPr/>
      </xdr:nvSpPr>
      <xdr:spPr>
        <a:xfrm rot="10800000">
          <a:off x="5372100" y="8468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619</xdr:row>
      <xdr:rowOff>0</xdr:rowOff>
    </xdr:from>
    <xdr:to>
      <xdr:col>14</xdr:col>
      <xdr:colOff>83820</xdr:colOff>
      <xdr:row>619</xdr:row>
      <xdr:rowOff>114300</xdr:rowOff>
    </xdr:to>
    <xdr:sp macro="" textlink="">
      <xdr:nvSpPr>
        <xdr:cNvPr id="636" name="Arrow: Down 635">
          <a:extLst>
            <a:ext uri="{FF2B5EF4-FFF2-40B4-BE49-F238E27FC236}">
              <a16:creationId xmlns:a16="http://schemas.microsoft.com/office/drawing/2014/main" id="{AB8CE5D6-6919-43BE-8B82-0FF7DF56F08C}"/>
            </a:ext>
          </a:extLst>
        </xdr:cNvPr>
        <xdr:cNvSpPr/>
      </xdr:nvSpPr>
      <xdr:spPr>
        <a:xfrm>
          <a:off x="5372100" y="8505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620</xdr:row>
      <xdr:rowOff>0</xdr:rowOff>
    </xdr:from>
    <xdr:to>
      <xdr:col>14</xdr:col>
      <xdr:colOff>83820</xdr:colOff>
      <xdr:row>620</xdr:row>
      <xdr:rowOff>114300</xdr:rowOff>
    </xdr:to>
    <xdr:sp macro="" textlink="">
      <xdr:nvSpPr>
        <xdr:cNvPr id="603" name="Arrow: Down 602">
          <a:extLst>
            <a:ext uri="{FF2B5EF4-FFF2-40B4-BE49-F238E27FC236}">
              <a16:creationId xmlns:a16="http://schemas.microsoft.com/office/drawing/2014/main" id="{2208E8AA-C49F-451F-BCA7-B7F597F49A7D}"/>
            </a:ext>
          </a:extLst>
        </xdr:cNvPr>
        <xdr:cNvSpPr/>
      </xdr:nvSpPr>
      <xdr:spPr>
        <a:xfrm>
          <a:off x="5372100" y="8505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621</xdr:row>
      <xdr:rowOff>0</xdr:rowOff>
    </xdr:from>
    <xdr:to>
      <xdr:col>14</xdr:col>
      <xdr:colOff>83820</xdr:colOff>
      <xdr:row>621</xdr:row>
      <xdr:rowOff>114300</xdr:rowOff>
    </xdr:to>
    <xdr:sp macro="" textlink="">
      <xdr:nvSpPr>
        <xdr:cNvPr id="628" name="Arrow: Down 627">
          <a:extLst>
            <a:ext uri="{FF2B5EF4-FFF2-40B4-BE49-F238E27FC236}">
              <a16:creationId xmlns:a16="http://schemas.microsoft.com/office/drawing/2014/main" id="{1A0973C5-30C0-4DA3-925B-6C019EABDA2F}"/>
            </a:ext>
          </a:extLst>
        </xdr:cNvPr>
        <xdr:cNvSpPr/>
      </xdr:nvSpPr>
      <xdr:spPr>
        <a:xfrm rot="10800000">
          <a:off x="5372100" y="8542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622</xdr:row>
      <xdr:rowOff>0</xdr:rowOff>
    </xdr:from>
    <xdr:to>
      <xdr:col>14</xdr:col>
      <xdr:colOff>83820</xdr:colOff>
      <xdr:row>622</xdr:row>
      <xdr:rowOff>114300</xdr:rowOff>
    </xdr:to>
    <xdr:sp macro="" textlink="">
      <xdr:nvSpPr>
        <xdr:cNvPr id="635" name="Arrow: Down 634">
          <a:extLst>
            <a:ext uri="{FF2B5EF4-FFF2-40B4-BE49-F238E27FC236}">
              <a16:creationId xmlns:a16="http://schemas.microsoft.com/office/drawing/2014/main" id="{F1C3D07E-D4F3-4D72-B8E5-1408DFA62CD9}"/>
            </a:ext>
          </a:extLst>
        </xdr:cNvPr>
        <xdr:cNvSpPr/>
      </xdr:nvSpPr>
      <xdr:spPr>
        <a:xfrm>
          <a:off x="5372100" y="8560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623</xdr:row>
      <xdr:rowOff>0</xdr:rowOff>
    </xdr:from>
    <xdr:to>
      <xdr:col>14</xdr:col>
      <xdr:colOff>83820</xdr:colOff>
      <xdr:row>623</xdr:row>
      <xdr:rowOff>114300</xdr:rowOff>
    </xdr:to>
    <xdr:sp macro="" textlink="">
      <xdr:nvSpPr>
        <xdr:cNvPr id="638" name="Arrow: Down 637">
          <a:extLst>
            <a:ext uri="{FF2B5EF4-FFF2-40B4-BE49-F238E27FC236}">
              <a16:creationId xmlns:a16="http://schemas.microsoft.com/office/drawing/2014/main" id="{2441540F-C9C7-446D-A144-1E256779ECDC}"/>
            </a:ext>
          </a:extLst>
        </xdr:cNvPr>
        <xdr:cNvSpPr/>
      </xdr:nvSpPr>
      <xdr:spPr>
        <a:xfrm rot="10800000">
          <a:off x="5372100" y="8578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624</xdr:row>
      <xdr:rowOff>0</xdr:rowOff>
    </xdr:from>
    <xdr:to>
      <xdr:col>14</xdr:col>
      <xdr:colOff>83820</xdr:colOff>
      <xdr:row>624</xdr:row>
      <xdr:rowOff>114300</xdr:rowOff>
    </xdr:to>
    <xdr:sp macro="" textlink="">
      <xdr:nvSpPr>
        <xdr:cNvPr id="642" name="Arrow: Down 641">
          <a:extLst>
            <a:ext uri="{FF2B5EF4-FFF2-40B4-BE49-F238E27FC236}">
              <a16:creationId xmlns:a16="http://schemas.microsoft.com/office/drawing/2014/main" id="{580FC1FB-0F4D-4272-A1F3-4B521E94D0A9}"/>
            </a:ext>
          </a:extLst>
        </xdr:cNvPr>
        <xdr:cNvSpPr/>
      </xdr:nvSpPr>
      <xdr:spPr>
        <a:xfrm rot="10800000">
          <a:off x="5372100" y="8578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625</xdr:row>
      <xdr:rowOff>0</xdr:rowOff>
    </xdr:from>
    <xdr:to>
      <xdr:col>14</xdr:col>
      <xdr:colOff>83820</xdr:colOff>
      <xdr:row>625</xdr:row>
      <xdr:rowOff>114300</xdr:rowOff>
    </xdr:to>
    <xdr:sp macro="" textlink="">
      <xdr:nvSpPr>
        <xdr:cNvPr id="645" name="Arrow: Down 644">
          <a:extLst>
            <a:ext uri="{FF2B5EF4-FFF2-40B4-BE49-F238E27FC236}">
              <a16:creationId xmlns:a16="http://schemas.microsoft.com/office/drawing/2014/main" id="{4213F025-11FA-4A8C-9675-E365D2CB6FE3}"/>
            </a:ext>
          </a:extLst>
        </xdr:cNvPr>
        <xdr:cNvSpPr/>
      </xdr:nvSpPr>
      <xdr:spPr>
        <a:xfrm rot="10800000">
          <a:off x="5372100" y="8596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626</xdr:row>
      <xdr:rowOff>0</xdr:rowOff>
    </xdr:from>
    <xdr:to>
      <xdr:col>14</xdr:col>
      <xdr:colOff>83820</xdr:colOff>
      <xdr:row>626</xdr:row>
      <xdr:rowOff>114300</xdr:rowOff>
    </xdr:to>
    <xdr:sp macro="" textlink="">
      <xdr:nvSpPr>
        <xdr:cNvPr id="648" name="Arrow: Down 647">
          <a:extLst>
            <a:ext uri="{FF2B5EF4-FFF2-40B4-BE49-F238E27FC236}">
              <a16:creationId xmlns:a16="http://schemas.microsoft.com/office/drawing/2014/main" id="{8B1C2336-EA22-4E87-BF70-9E317CAEE750}"/>
            </a:ext>
          </a:extLst>
        </xdr:cNvPr>
        <xdr:cNvSpPr/>
      </xdr:nvSpPr>
      <xdr:spPr>
        <a:xfrm>
          <a:off x="5372100" y="8633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627</xdr:row>
      <xdr:rowOff>0</xdr:rowOff>
    </xdr:from>
    <xdr:to>
      <xdr:col>14</xdr:col>
      <xdr:colOff>83820</xdr:colOff>
      <xdr:row>627</xdr:row>
      <xdr:rowOff>114300</xdr:rowOff>
    </xdr:to>
    <xdr:sp macro="" textlink="">
      <xdr:nvSpPr>
        <xdr:cNvPr id="650" name="Arrow: Down 649">
          <a:extLst>
            <a:ext uri="{FF2B5EF4-FFF2-40B4-BE49-F238E27FC236}">
              <a16:creationId xmlns:a16="http://schemas.microsoft.com/office/drawing/2014/main" id="{7E461D0C-9214-401F-94F2-4A9BD88E15D9}"/>
            </a:ext>
          </a:extLst>
        </xdr:cNvPr>
        <xdr:cNvSpPr/>
      </xdr:nvSpPr>
      <xdr:spPr>
        <a:xfrm>
          <a:off x="5372100" y="8633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628</xdr:row>
      <xdr:rowOff>0</xdr:rowOff>
    </xdr:from>
    <xdr:to>
      <xdr:col>14</xdr:col>
      <xdr:colOff>83820</xdr:colOff>
      <xdr:row>628</xdr:row>
      <xdr:rowOff>114300</xdr:rowOff>
    </xdr:to>
    <xdr:sp macro="" textlink="">
      <xdr:nvSpPr>
        <xdr:cNvPr id="651" name="Arrow: Down 650">
          <a:extLst>
            <a:ext uri="{FF2B5EF4-FFF2-40B4-BE49-F238E27FC236}">
              <a16:creationId xmlns:a16="http://schemas.microsoft.com/office/drawing/2014/main" id="{53C8F7A7-42D6-4A75-AC74-32BF7D84F261}"/>
            </a:ext>
          </a:extLst>
        </xdr:cNvPr>
        <xdr:cNvSpPr/>
      </xdr:nvSpPr>
      <xdr:spPr>
        <a:xfrm>
          <a:off x="5372100" y="86517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629</xdr:row>
      <xdr:rowOff>0</xdr:rowOff>
    </xdr:from>
    <xdr:to>
      <xdr:col>14</xdr:col>
      <xdr:colOff>83820</xdr:colOff>
      <xdr:row>629</xdr:row>
      <xdr:rowOff>114300</xdr:rowOff>
    </xdr:to>
    <xdr:sp macro="" textlink="">
      <xdr:nvSpPr>
        <xdr:cNvPr id="653" name="Arrow: Down 652">
          <a:extLst>
            <a:ext uri="{FF2B5EF4-FFF2-40B4-BE49-F238E27FC236}">
              <a16:creationId xmlns:a16="http://schemas.microsoft.com/office/drawing/2014/main" id="{B2CCCA91-7E30-47F3-8C7A-3B5FDF92744B}"/>
            </a:ext>
          </a:extLst>
        </xdr:cNvPr>
        <xdr:cNvSpPr/>
      </xdr:nvSpPr>
      <xdr:spPr>
        <a:xfrm rot="10800000">
          <a:off x="5372100" y="8688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630</xdr:row>
      <xdr:rowOff>0</xdr:rowOff>
    </xdr:from>
    <xdr:to>
      <xdr:col>14</xdr:col>
      <xdr:colOff>83820</xdr:colOff>
      <xdr:row>630</xdr:row>
      <xdr:rowOff>114300</xdr:rowOff>
    </xdr:to>
    <xdr:sp macro="" textlink="">
      <xdr:nvSpPr>
        <xdr:cNvPr id="655" name="Arrow: Down 654">
          <a:extLst>
            <a:ext uri="{FF2B5EF4-FFF2-40B4-BE49-F238E27FC236}">
              <a16:creationId xmlns:a16="http://schemas.microsoft.com/office/drawing/2014/main" id="{EB096F1A-680C-4977-86CD-8A772AF564B2}"/>
            </a:ext>
          </a:extLst>
        </xdr:cNvPr>
        <xdr:cNvSpPr/>
      </xdr:nvSpPr>
      <xdr:spPr>
        <a:xfrm rot="10800000">
          <a:off x="5372100" y="8688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631</xdr:row>
      <xdr:rowOff>0</xdr:rowOff>
    </xdr:from>
    <xdr:to>
      <xdr:col>14</xdr:col>
      <xdr:colOff>83820</xdr:colOff>
      <xdr:row>631</xdr:row>
      <xdr:rowOff>114300</xdr:rowOff>
    </xdr:to>
    <xdr:sp macro="" textlink="">
      <xdr:nvSpPr>
        <xdr:cNvPr id="657" name="Arrow: Down 656">
          <a:extLst>
            <a:ext uri="{FF2B5EF4-FFF2-40B4-BE49-F238E27FC236}">
              <a16:creationId xmlns:a16="http://schemas.microsoft.com/office/drawing/2014/main" id="{EC82BFE5-2364-4EAD-9A1E-A70D0472F3CE}"/>
            </a:ext>
          </a:extLst>
        </xdr:cNvPr>
        <xdr:cNvSpPr/>
      </xdr:nvSpPr>
      <xdr:spPr>
        <a:xfrm>
          <a:off x="5372100" y="8724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632</xdr:row>
      <xdr:rowOff>0</xdr:rowOff>
    </xdr:from>
    <xdr:to>
      <xdr:col>14</xdr:col>
      <xdr:colOff>83820</xdr:colOff>
      <xdr:row>632</xdr:row>
      <xdr:rowOff>114300</xdr:rowOff>
    </xdr:to>
    <xdr:sp macro="" textlink="">
      <xdr:nvSpPr>
        <xdr:cNvPr id="659" name="Arrow: Down 658">
          <a:extLst>
            <a:ext uri="{FF2B5EF4-FFF2-40B4-BE49-F238E27FC236}">
              <a16:creationId xmlns:a16="http://schemas.microsoft.com/office/drawing/2014/main" id="{6646B542-973D-4796-8DE1-FE03BBDF6D54}"/>
            </a:ext>
          </a:extLst>
        </xdr:cNvPr>
        <xdr:cNvSpPr/>
      </xdr:nvSpPr>
      <xdr:spPr>
        <a:xfrm>
          <a:off x="5372100" y="8724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633</xdr:row>
      <xdr:rowOff>0</xdr:rowOff>
    </xdr:from>
    <xdr:to>
      <xdr:col>14</xdr:col>
      <xdr:colOff>83820</xdr:colOff>
      <xdr:row>633</xdr:row>
      <xdr:rowOff>114300</xdr:rowOff>
    </xdr:to>
    <xdr:sp macro="" textlink="">
      <xdr:nvSpPr>
        <xdr:cNvPr id="661" name="Arrow: Down 660">
          <a:extLst>
            <a:ext uri="{FF2B5EF4-FFF2-40B4-BE49-F238E27FC236}">
              <a16:creationId xmlns:a16="http://schemas.microsoft.com/office/drawing/2014/main" id="{FFE2ADF6-5AC4-40EA-B4C6-284CDFB7E19B}"/>
            </a:ext>
          </a:extLst>
        </xdr:cNvPr>
        <xdr:cNvSpPr/>
      </xdr:nvSpPr>
      <xdr:spPr>
        <a:xfrm rot="10800000">
          <a:off x="5372100" y="8761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634</xdr:row>
      <xdr:rowOff>0</xdr:rowOff>
    </xdr:from>
    <xdr:to>
      <xdr:col>14</xdr:col>
      <xdr:colOff>83820</xdr:colOff>
      <xdr:row>634</xdr:row>
      <xdr:rowOff>114300</xdr:rowOff>
    </xdr:to>
    <xdr:sp macro="" textlink="">
      <xdr:nvSpPr>
        <xdr:cNvPr id="662" name="Arrow: Down 661">
          <a:extLst>
            <a:ext uri="{FF2B5EF4-FFF2-40B4-BE49-F238E27FC236}">
              <a16:creationId xmlns:a16="http://schemas.microsoft.com/office/drawing/2014/main" id="{66CCEB5F-BCEA-4510-85B4-EDA44C8D8DCA}"/>
            </a:ext>
          </a:extLst>
        </xdr:cNvPr>
        <xdr:cNvSpPr/>
      </xdr:nvSpPr>
      <xdr:spPr>
        <a:xfrm rot="10800000">
          <a:off x="5372100" y="8761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635</xdr:row>
      <xdr:rowOff>0</xdr:rowOff>
    </xdr:from>
    <xdr:to>
      <xdr:col>14</xdr:col>
      <xdr:colOff>83820</xdr:colOff>
      <xdr:row>635</xdr:row>
      <xdr:rowOff>114300</xdr:rowOff>
    </xdr:to>
    <xdr:sp macro="" textlink="">
      <xdr:nvSpPr>
        <xdr:cNvPr id="643" name="Arrow: Down 642">
          <a:extLst>
            <a:ext uri="{FF2B5EF4-FFF2-40B4-BE49-F238E27FC236}">
              <a16:creationId xmlns:a16="http://schemas.microsoft.com/office/drawing/2014/main" id="{8D712519-5333-4AC3-A715-B07C7C9ACABC}"/>
            </a:ext>
          </a:extLst>
        </xdr:cNvPr>
        <xdr:cNvSpPr/>
      </xdr:nvSpPr>
      <xdr:spPr>
        <a:xfrm>
          <a:off x="5372100" y="87980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637</xdr:row>
      <xdr:rowOff>0</xdr:rowOff>
    </xdr:from>
    <xdr:to>
      <xdr:col>14</xdr:col>
      <xdr:colOff>83820</xdr:colOff>
      <xdr:row>637</xdr:row>
      <xdr:rowOff>114300</xdr:rowOff>
    </xdr:to>
    <xdr:sp macro="" textlink="">
      <xdr:nvSpPr>
        <xdr:cNvPr id="649" name="Arrow: Down 648">
          <a:extLst>
            <a:ext uri="{FF2B5EF4-FFF2-40B4-BE49-F238E27FC236}">
              <a16:creationId xmlns:a16="http://schemas.microsoft.com/office/drawing/2014/main" id="{55474909-8FE7-4958-BAD1-F1FEC239F23B}"/>
            </a:ext>
          </a:extLst>
        </xdr:cNvPr>
        <xdr:cNvSpPr/>
      </xdr:nvSpPr>
      <xdr:spPr>
        <a:xfrm>
          <a:off x="5372100" y="8816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636</xdr:row>
      <xdr:rowOff>0</xdr:rowOff>
    </xdr:from>
    <xdr:to>
      <xdr:col>14</xdr:col>
      <xdr:colOff>83820</xdr:colOff>
      <xdr:row>636</xdr:row>
      <xdr:rowOff>114300</xdr:rowOff>
    </xdr:to>
    <xdr:sp macro="" textlink="">
      <xdr:nvSpPr>
        <xdr:cNvPr id="652" name="Arrow: Down 651">
          <a:extLst>
            <a:ext uri="{FF2B5EF4-FFF2-40B4-BE49-F238E27FC236}">
              <a16:creationId xmlns:a16="http://schemas.microsoft.com/office/drawing/2014/main" id="{A02483F9-25A7-4C41-A6BC-D00A03814AD4}"/>
            </a:ext>
          </a:extLst>
        </xdr:cNvPr>
        <xdr:cNvSpPr/>
      </xdr:nvSpPr>
      <xdr:spPr>
        <a:xfrm rot="10800000">
          <a:off x="5372100" y="88163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638</xdr:row>
      <xdr:rowOff>0</xdr:rowOff>
    </xdr:from>
    <xdr:to>
      <xdr:col>14</xdr:col>
      <xdr:colOff>83820</xdr:colOff>
      <xdr:row>638</xdr:row>
      <xdr:rowOff>114300</xdr:rowOff>
    </xdr:to>
    <xdr:sp macro="" textlink="">
      <xdr:nvSpPr>
        <xdr:cNvPr id="660" name="Arrow: Down 659">
          <a:extLst>
            <a:ext uri="{FF2B5EF4-FFF2-40B4-BE49-F238E27FC236}">
              <a16:creationId xmlns:a16="http://schemas.microsoft.com/office/drawing/2014/main" id="{4FE07F7C-EA41-44B6-8FC8-B9B38462B3A0}"/>
            </a:ext>
          </a:extLst>
        </xdr:cNvPr>
        <xdr:cNvSpPr/>
      </xdr:nvSpPr>
      <xdr:spPr>
        <a:xfrm rot="10800000">
          <a:off x="5372100" y="8852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639</xdr:row>
      <xdr:rowOff>0</xdr:rowOff>
    </xdr:from>
    <xdr:to>
      <xdr:col>14</xdr:col>
      <xdr:colOff>83820</xdr:colOff>
      <xdr:row>639</xdr:row>
      <xdr:rowOff>114300</xdr:rowOff>
    </xdr:to>
    <xdr:sp macro="" textlink="">
      <xdr:nvSpPr>
        <xdr:cNvPr id="664" name="Arrow: Down 663">
          <a:extLst>
            <a:ext uri="{FF2B5EF4-FFF2-40B4-BE49-F238E27FC236}">
              <a16:creationId xmlns:a16="http://schemas.microsoft.com/office/drawing/2014/main" id="{BF92F2CD-1119-482E-9A51-529779DB5E9E}"/>
            </a:ext>
          </a:extLst>
        </xdr:cNvPr>
        <xdr:cNvSpPr/>
      </xdr:nvSpPr>
      <xdr:spPr>
        <a:xfrm rot="10800000">
          <a:off x="5372100" y="8852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640</xdr:row>
      <xdr:rowOff>0</xdr:rowOff>
    </xdr:from>
    <xdr:to>
      <xdr:col>14</xdr:col>
      <xdr:colOff>83820</xdr:colOff>
      <xdr:row>640</xdr:row>
      <xdr:rowOff>114300</xdr:rowOff>
    </xdr:to>
    <xdr:sp macro="" textlink="">
      <xdr:nvSpPr>
        <xdr:cNvPr id="666" name="Arrow: Down 665">
          <a:extLst>
            <a:ext uri="{FF2B5EF4-FFF2-40B4-BE49-F238E27FC236}">
              <a16:creationId xmlns:a16="http://schemas.microsoft.com/office/drawing/2014/main" id="{A2A176EB-2325-4B49-B0D6-F4AACAB5E1C9}"/>
            </a:ext>
          </a:extLst>
        </xdr:cNvPr>
        <xdr:cNvSpPr/>
      </xdr:nvSpPr>
      <xdr:spPr>
        <a:xfrm rot="10800000">
          <a:off x="5372100" y="8871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641</xdr:row>
      <xdr:rowOff>0</xdr:rowOff>
    </xdr:from>
    <xdr:to>
      <xdr:col>14</xdr:col>
      <xdr:colOff>83820</xdr:colOff>
      <xdr:row>641</xdr:row>
      <xdr:rowOff>114300</xdr:rowOff>
    </xdr:to>
    <xdr:sp macro="" textlink="">
      <xdr:nvSpPr>
        <xdr:cNvPr id="670" name="Arrow: Down 669">
          <a:extLst>
            <a:ext uri="{FF2B5EF4-FFF2-40B4-BE49-F238E27FC236}">
              <a16:creationId xmlns:a16="http://schemas.microsoft.com/office/drawing/2014/main" id="{92CE7AB9-D30E-4C24-AA4F-E5758E4BDB7F}"/>
            </a:ext>
          </a:extLst>
        </xdr:cNvPr>
        <xdr:cNvSpPr/>
      </xdr:nvSpPr>
      <xdr:spPr>
        <a:xfrm>
          <a:off x="5372100" y="8907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642</xdr:row>
      <xdr:rowOff>0</xdr:rowOff>
    </xdr:from>
    <xdr:to>
      <xdr:col>14</xdr:col>
      <xdr:colOff>83820</xdr:colOff>
      <xdr:row>642</xdr:row>
      <xdr:rowOff>114300</xdr:rowOff>
    </xdr:to>
    <xdr:sp macro="" textlink="">
      <xdr:nvSpPr>
        <xdr:cNvPr id="672" name="Arrow: Down 671">
          <a:extLst>
            <a:ext uri="{FF2B5EF4-FFF2-40B4-BE49-F238E27FC236}">
              <a16:creationId xmlns:a16="http://schemas.microsoft.com/office/drawing/2014/main" id="{5D0383B9-D5F0-4D43-8D7C-358D693D76E5}"/>
            </a:ext>
          </a:extLst>
        </xdr:cNvPr>
        <xdr:cNvSpPr/>
      </xdr:nvSpPr>
      <xdr:spPr>
        <a:xfrm>
          <a:off x="5372100" y="8907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643</xdr:row>
      <xdr:rowOff>0</xdr:rowOff>
    </xdr:from>
    <xdr:to>
      <xdr:col>14</xdr:col>
      <xdr:colOff>83820</xdr:colOff>
      <xdr:row>643</xdr:row>
      <xdr:rowOff>114300</xdr:rowOff>
    </xdr:to>
    <xdr:sp macro="" textlink="">
      <xdr:nvSpPr>
        <xdr:cNvPr id="641" name="Arrow: Down 640">
          <a:extLst>
            <a:ext uri="{FF2B5EF4-FFF2-40B4-BE49-F238E27FC236}">
              <a16:creationId xmlns:a16="http://schemas.microsoft.com/office/drawing/2014/main" id="{1CED6C9F-DA7D-4E85-A440-8D74ACB74ED1}"/>
            </a:ext>
          </a:extLst>
        </xdr:cNvPr>
        <xdr:cNvSpPr/>
      </xdr:nvSpPr>
      <xdr:spPr>
        <a:xfrm rot="10800000">
          <a:off x="5372100" y="89443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644</xdr:row>
      <xdr:rowOff>0</xdr:rowOff>
    </xdr:from>
    <xdr:to>
      <xdr:col>14</xdr:col>
      <xdr:colOff>83820</xdr:colOff>
      <xdr:row>644</xdr:row>
      <xdr:rowOff>114300</xdr:rowOff>
    </xdr:to>
    <xdr:sp macro="" textlink="">
      <xdr:nvSpPr>
        <xdr:cNvPr id="656" name="Arrow: Down 655">
          <a:extLst>
            <a:ext uri="{FF2B5EF4-FFF2-40B4-BE49-F238E27FC236}">
              <a16:creationId xmlns:a16="http://schemas.microsoft.com/office/drawing/2014/main" id="{51D6538B-DEFC-4C63-B32F-0662740153BD}"/>
            </a:ext>
          </a:extLst>
        </xdr:cNvPr>
        <xdr:cNvSpPr/>
      </xdr:nvSpPr>
      <xdr:spPr>
        <a:xfrm>
          <a:off x="5372100" y="8962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645</xdr:row>
      <xdr:rowOff>0</xdr:rowOff>
    </xdr:from>
    <xdr:to>
      <xdr:col>14</xdr:col>
      <xdr:colOff>83820</xdr:colOff>
      <xdr:row>645</xdr:row>
      <xdr:rowOff>114300</xdr:rowOff>
    </xdr:to>
    <xdr:sp macro="" textlink="">
      <xdr:nvSpPr>
        <xdr:cNvPr id="658" name="Arrow: Down 657">
          <a:extLst>
            <a:ext uri="{FF2B5EF4-FFF2-40B4-BE49-F238E27FC236}">
              <a16:creationId xmlns:a16="http://schemas.microsoft.com/office/drawing/2014/main" id="{61636551-8239-4BF5-802D-FA9BE87CCE51}"/>
            </a:ext>
          </a:extLst>
        </xdr:cNvPr>
        <xdr:cNvSpPr/>
      </xdr:nvSpPr>
      <xdr:spPr>
        <a:xfrm>
          <a:off x="5372100" y="8980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648</xdr:row>
      <xdr:rowOff>0</xdr:rowOff>
    </xdr:from>
    <xdr:to>
      <xdr:col>14</xdr:col>
      <xdr:colOff>83820</xdr:colOff>
      <xdr:row>648</xdr:row>
      <xdr:rowOff>114300</xdr:rowOff>
    </xdr:to>
    <xdr:sp macro="" textlink="">
      <xdr:nvSpPr>
        <xdr:cNvPr id="669" name="Arrow: Down 668">
          <a:extLst>
            <a:ext uri="{FF2B5EF4-FFF2-40B4-BE49-F238E27FC236}">
              <a16:creationId xmlns:a16="http://schemas.microsoft.com/office/drawing/2014/main" id="{A41D5E31-4121-41CD-A861-FE1A6779AB8F}"/>
            </a:ext>
          </a:extLst>
        </xdr:cNvPr>
        <xdr:cNvSpPr/>
      </xdr:nvSpPr>
      <xdr:spPr>
        <a:xfrm>
          <a:off x="5372100" y="90175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646</xdr:row>
      <xdr:rowOff>0</xdr:rowOff>
    </xdr:from>
    <xdr:to>
      <xdr:col>14</xdr:col>
      <xdr:colOff>83820</xdr:colOff>
      <xdr:row>646</xdr:row>
      <xdr:rowOff>114300</xdr:rowOff>
    </xdr:to>
    <xdr:sp macro="" textlink="">
      <xdr:nvSpPr>
        <xdr:cNvPr id="674" name="Arrow: Down 673">
          <a:extLst>
            <a:ext uri="{FF2B5EF4-FFF2-40B4-BE49-F238E27FC236}">
              <a16:creationId xmlns:a16="http://schemas.microsoft.com/office/drawing/2014/main" id="{A3CCA5EE-07A5-454E-897A-BF4F8354C320}"/>
            </a:ext>
          </a:extLst>
        </xdr:cNvPr>
        <xdr:cNvSpPr/>
      </xdr:nvSpPr>
      <xdr:spPr>
        <a:xfrm rot="10800000">
          <a:off x="5372100" y="89992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649</xdr:row>
      <xdr:rowOff>0</xdr:rowOff>
    </xdr:from>
    <xdr:to>
      <xdr:col>14</xdr:col>
      <xdr:colOff>83820</xdr:colOff>
      <xdr:row>649</xdr:row>
      <xdr:rowOff>114300</xdr:rowOff>
    </xdr:to>
    <xdr:sp macro="" textlink="">
      <xdr:nvSpPr>
        <xdr:cNvPr id="676" name="Arrow: Down 675">
          <a:extLst>
            <a:ext uri="{FF2B5EF4-FFF2-40B4-BE49-F238E27FC236}">
              <a16:creationId xmlns:a16="http://schemas.microsoft.com/office/drawing/2014/main" id="{CE47236A-F4FE-4B03-A75B-E836662B9C23}"/>
            </a:ext>
          </a:extLst>
        </xdr:cNvPr>
        <xdr:cNvSpPr/>
      </xdr:nvSpPr>
      <xdr:spPr>
        <a:xfrm rot="10800000">
          <a:off x="5372100" y="90540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647</xdr:row>
      <xdr:rowOff>0</xdr:rowOff>
    </xdr:from>
    <xdr:to>
      <xdr:col>14</xdr:col>
      <xdr:colOff>83820</xdr:colOff>
      <xdr:row>647</xdr:row>
      <xdr:rowOff>114300</xdr:rowOff>
    </xdr:to>
    <xdr:sp macro="" textlink="">
      <xdr:nvSpPr>
        <xdr:cNvPr id="678" name="Arrow: Down 677">
          <a:extLst>
            <a:ext uri="{FF2B5EF4-FFF2-40B4-BE49-F238E27FC236}">
              <a16:creationId xmlns:a16="http://schemas.microsoft.com/office/drawing/2014/main" id="{75DD79F6-44FA-4F4C-B6E7-EBCD2D3160F9}"/>
            </a:ext>
          </a:extLst>
        </xdr:cNvPr>
        <xdr:cNvSpPr/>
      </xdr:nvSpPr>
      <xdr:spPr>
        <a:xfrm rot="10800000">
          <a:off x="5372100" y="90175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650</xdr:row>
      <xdr:rowOff>0</xdr:rowOff>
    </xdr:from>
    <xdr:to>
      <xdr:col>14</xdr:col>
      <xdr:colOff>83820</xdr:colOff>
      <xdr:row>650</xdr:row>
      <xdr:rowOff>114300</xdr:rowOff>
    </xdr:to>
    <xdr:sp macro="" textlink="">
      <xdr:nvSpPr>
        <xdr:cNvPr id="680" name="Arrow: Down 679">
          <a:extLst>
            <a:ext uri="{FF2B5EF4-FFF2-40B4-BE49-F238E27FC236}">
              <a16:creationId xmlns:a16="http://schemas.microsoft.com/office/drawing/2014/main" id="{4FCF42DB-D357-4CAB-B56B-D96966925F1A}"/>
            </a:ext>
          </a:extLst>
        </xdr:cNvPr>
        <xdr:cNvSpPr/>
      </xdr:nvSpPr>
      <xdr:spPr>
        <a:xfrm rot="10800000">
          <a:off x="5372100" y="90540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651</xdr:row>
      <xdr:rowOff>0</xdr:rowOff>
    </xdr:from>
    <xdr:to>
      <xdr:col>14</xdr:col>
      <xdr:colOff>83820</xdr:colOff>
      <xdr:row>651</xdr:row>
      <xdr:rowOff>114300</xdr:rowOff>
    </xdr:to>
    <xdr:sp macro="" textlink="">
      <xdr:nvSpPr>
        <xdr:cNvPr id="682" name="Arrow: Down 681">
          <a:extLst>
            <a:ext uri="{FF2B5EF4-FFF2-40B4-BE49-F238E27FC236}">
              <a16:creationId xmlns:a16="http://schemas.microsoft.com/office/drawing/2014/main" id="{059CBC50-3B2C-468D-AB39-3AD37A02F65F}"/>
            </a:ext>
          </a:extLst>
        </xdr:cNvPr>
        <xdr:cNvSpPr/>
      </xdr:nvSpPr>
      <xdr:spPr>
        <a:xfrm rot="10800000">
          <a:off x="5372100" y="9072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652</xdr:row>
      <xdr:rowOff>0</xdr:rowOff>
    </xdr:from>
    <xdr:to>
      <xdr:col>14</xdr:col>
      <xdr:colOff>83820</xdr:colOff>
      <xdr:row>652</xdr:row>
      <xdr:rowOff>114300</xdr:rowOff>
    </xdr:to>
    <xdr:sp macro="" textlink="">
      <xdr:nvSpPr>
        <xdr:cNvPr id="684" name="Arrow: Down 683">
          <a:extLst>
            <a:ext uri="{FF2B5EF4-FFF2-40B4-BE49-F238E27FC236}">
              <a16:creationId xmlns:a16="http://schemas.microsoft.com/office/drawing/2014/main" id="{857C1F5C-3A12-4167-8DDF-8B39DB30FCE3}"/>
            </a:ext>
          </a:extLst>
        </xdr:cNvPr>
        <xdr:cNvSpPr/>
      </xdr:nvSpPr>
      <xdr:spPr>
        <a:xfrm rot="10800000">
          <a:off x="5372100" y="9090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653</xdr:row>
      <xdr:rowOff>0</xdr:rowOff>
    </xdr:from>
    <xdr:to>
      <xdr:col>14</xdr:col>
      <xdr:colOff>83820</xdr:colOff>
      <xdr:row>653</xdr:row>
      <xdr:rowOff>114300</xdr:rowOff>
    </xdr:to>
    <xdr:sp macro="" textlink="">
      <xdr:nvSpPr>
        <xdr:cNvPr id="686" name="Arrow: Down 685">
          <a:extLst>
            <a:ext uri="{FF2B5EF4-FFF2-40B4-BE49-F238E27FC236}">
              <a16:creationId xmlns:a16="http://schemas.microsoft.com/office/drawing/2014/main" id="{BAB76D32-F9E8-4B79-9143-56CF6FA40F1C}"/>
            </a:ext>
          </a:extLst>
        </xdr:cNvPr>
        <xdr:cNvSpPr/>
      </xdr:nvSpPr>
      <xdr:spPr>
        <a:xfrm rot="10800000">
          <a:off x="5372100" y="91089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656</xdr:row>
      <xdr:rowOff>0</xdr:rowOff>
    </xdr:from>
    <xdr:to>
      <xdr:col>14</xdr:col>
      <xdr:colOff>83820</xdr:colOff>
      <xdr:row>656</xdr:row>
      <xdr:rowOff>114300</xdr:rowOff>
    </xdr:to>
    <xdr:sp macro="" textlink="">
      <xdr:nvSpPr>
        <xdr:cNvPr id="692" name="Arrow: Down 691">
          <a:extLst>
            <a:ext uri="{FF2B5EF4-FFF2-40B4-BE49-F238E27FC236}">
              <a16:creationId xmlns:a16="http://schemas.microsoft.com/office/drawing/2014/main" id="{3B213BFF-2309-4FA7-83DA-67A511990B9C}"/>
            </a:ext>
          </a:extLst>
        </xdr:cNvPr>
        <xdr:cNvSpPr/>
      </xdr:nvSpPr>
      <xdr:spPr>
        <a:xfrm rot="10800000">
          <a:off x="5372100" y="91638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655</xdr:row>
      <xdr:rowOff>0</xdr:rowOff>
    </xdr:from>
    <xdr:to>
      <xdr:col>14</xdr:col>
      <xdr:colOff>83820</xdr:colOff>
      <xdr:row>655</xdr:row>
      <xdr:rowOff>114300</xdr:rowOff>
    </xdr:to>
    <xdr:sp macro="" textlink="">
      <xdr:nvSpPr>
        <xdr:cNvPr id="694" name="Arrow: Down 693">
          <a:extLst>
            <a:ext uri="{FF2B5EF4-FFF2-40B4-BE49-F238E27FC236}">
              <a16:creationId xmlns:a16="http://schemas.microsoft.com/office/drawing/2014/main" id="{411143C3-E5B6-4B27-89E3-2A7B4E1F9767}"/>
            </a:ext>
          </a:extLst>
        </xdr:cNvPr>
        <xdr:cNvSpPr/>
      </xdr:nvSpPr>
      <xdr:spPr>
        <a:xfrm>
          <a:off x="5372100" y="91638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654</xdr:row>
      <xdr:rowOff>0</xdr:rowOff>
    </xdr:from>
    <xdr:to>
      <xdr:col>14</xdr:col>
      <xdr:colOff>83820</xdr:colOff>
      <xdr:row>654</xdr:row>
      <xdr:rowOff>114300</xdr:rowOff>
    </xdr:to>
    <xdr:sp macro="" textlink="">
      <xdr:nvSpPr>
        <xdr:cNvPr id="695" name="Arrow: Down 694">
          <a:extLst>
            <a:ext uri="{FF2B5EF4-FFF2-40B4-BE49-F238E27FC236}">
              <a16:creationId xmlns:a16="http://schemas.microsoft.com/office/drawing/2014/main" id="{646FED20-20AA-4AC0-9768-796783A93D67}"/>
            </a:ext>
          </a:extLst>
        </xdr:cNvPr>
        <xdr:cNvSpPr/>
      </xdr:nvSpPr>
      <xdr:spPr>
        <a:xfrm>
          <a:off x="5372100" y="91455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658</xdr:row>
      <xdr:rowOff>0</xdr:rowOff>
    </xdr:from>
    <xdr:to>
      <xdr:col>14</xdr:col>
      <xdr:colOff>83820</xdr:colOff>
      <xdr:row>658</xdr:row>
      <xdr:rowOff>114300</xdr:rowOff>
    </xdr:to>
    <xdr:sp macro="" textlink="">
      <xdr:nvSpPr>
        <xdr:cNvPr id="647" name="Arrow: Down 646">
          <a:extLst>
            <a:ext uri="{FF2B5EF4-FFF2-40B4-BE49-F238E27FC236}">
              <a16:creationId xmlns:a16="http://schemas.microsoft.com/office/drawing/2014/main" id="{CCFC5596-6060-44CF-A284-CACE90010C5F}"/>
            </a:ext>
          </a:extLst>
        </xdr:cNvPr>
        <xdr:cNvSpPr/>
      </xdr:nvSpPr>
      <xdr:spPr>
        <a:xfrm rot="10800000">
          <a:off x="5372100" y="92003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657</xdr:row>
      <xdr:rowOff>0</xdr:rowOff>
    </xdr:from>
    <xdr:to>
      <xdr:col>14</xdr:col>
      <xdr:colOff>83820</xdr:colOff>
      <xdr:row>657</xdr:row>
      <xdr:rowOff>114300</xdr:rowOff>
    </xdr:to>
    <xdr:sp macro="" textlink="">
      <xdr:nvSpPr>
        <xdr:cNvPr id="671" name="Arrow: Down 670">
          <a:extLst>
            <a:ext uri="{FF2B5EF4-FFF2-40B4-BE49-F238E27FC236}">
              <a16:creationId xmlns:a16="http://schemas.microsoft.com/office/drawing/2014/main" id="{3770B470-9934-4AB6-9D19-554B7DE05E17}"/>
            </a:ext>
          </a:extLst>
        </xdr:cNvPr>
        <xdr:cNvSpPr/>
      </xdr:nvSpPr>
      <xdr:spPr>
        <a:xfrm>
          <a:off x="5372100" y="92003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659</xdr:row>
      <xdr:rowOff>0</xdr:rowOff>
    </xdr:from>
    <xdr:to>
      <xdr:col>14</xdr:col>
      <xdr:colOff>83820</xdr:colOff>
      <xdr:row>659</xdr:row>
      <xdr:rowOff>114300</xdr:rowOff>
    </xdr:to>
    <xdr:sp macro="" textlink="">
      <xdr:nvSpPr>
        <xdr:cNvPr id="673" name="Arrow: Down 672">
          <a:extLst>
            <a:ext uri="{FF2B5EF4-FFF2-40B4-BE49-F238E27FC236}">
              <a16:creationId xmlns:a16="http://schemas.microsoft.com/office/drawing/2014/main" id="{B5759C72-3678-4D3F-A108-ADAA788FB058}"/>
            </a:ext>
          </a:extLst>
        </xdr:cNvPr>
        <xdr:cNvSpPr/>
      </xdr:nvSpPr>
      <xdr:spPr>
        <a:xfrm rot="10800000">
          <a:off x="5372100" y="9218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660</xdr:row>
      <xdr:rowOff>0</xdr:rowOff>
    </xdr:from>
    <xdr:to>
      <xdr:col>14</xdr:col>
      <xdr:colOff>83820</xdr:colOff>
      <xdr:row>660</xdr:row>
      <xdr:rowOff>114300</xdr:rowOff>
    </xdr:to>
    <xdr:sp macro="" textlink="">
      <xdr:nvSpPr>
        <xdr:cNvPr id="683" name="Arrow: Down 682">
          <a:extLst>
            <a:ext uri="{FF2B5EF4-FFF2-40B4-BE49-F238E27FC236}">
              <a16:creationId xmlns:a16="http://schemas.microsoft.com/office/drawing/2014/main" id="{CF9B889E-64A1-40A1-9B2C-234DE3060A83}"/>
            </a:ext>
          </a:extLst>
        </xdr:cNvPr>
        <xdr:cNvSpPr/>
      </xdr:nvSpPr>
      <xdr:spPr>
        <a:xfrm>
          <a:off x="5372100" y="92552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661</xdr:row>
      <xdr:rowOff>0</xdr:rowOff>
    </xdr:from>
    <xdr:to>
      <xdr:col>14</xdr:col>
      <xdr:colOff>83820</xdr:colOff>
      <xdr:row>661</xdr:row>
      <xdr:rowOff>114300</xdr:rowOff>
    </xdr:to>
    <xdr:sp macro="" textlink="">
      <xdr:nvSpPr>
        <xdr:cNvPr id="687" name="Arrow: Down 686">
          <a:extLst>
            <a:ext uri="{FF2B5EF4-FFF2-40B4-BE49-F238E27FC236}">
              <a16:creationId xmlns:a16="http://schemas.microsoft.com/office/drawing/2014/main" id="{FCCAA75A-5860-450E-AEF4-EC5B9A4FF60B}"/>
            </a:ext>
          </a:extLst>
        </xdr:cNvPr>
        <xdr:cNvSpPr/>
      </xdr:nvSpPr>
      <xdr:spPr>
        <a:xfrm>
          <a:off x="5372100" y="9273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662</xdr:row>
      <xdr:rowOff>0</xdr:rowOff>
    </xdr:from>
    <xdr:to>
      <xdr:col>14</xdr:col>
      <xdr:colOff>83820</xdr:colOff>
      <xdr:row>662</xdr:row>
      <xdr:rowOff>114300</xdr:rowOff>
    </xdr:to>
    <xdr:sp macro="" textlink="">
      <xdr:nvSpPr>
        <xdr:cNvPr id="644" name="Arrow: Down 643">
          <a:extLst>
            <a:ext uri="{FF2B5EF4-FFF2-40B4-BE49-F238E27FC236}">
              <a16:creationId xmlns:a16="http://schemas.microsoft.com/office/drawing/2014/main" id="{9B5D085A-EF2E-4BFB-8EAB-8C3ABC202AC6}"/>
            </a:ext>
          </a:extLst>
        </xdr:cNvPr>
        <xdr:cNvSpPr/>
      </xdr:nvSpPr>
      <xdr:spPr>
        <a:xfrm>
          <a:off x="5372100" y="9273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663</xdr:row>
      <xdr:rowOff>0</xdr:rowOff>
    </xdr:from>
    <xdr:to>
      <xdr:col>14</xdr:col>
      <xdr:colOff>83820</xdr:colOff>
      <xdr:row>663</xdr:row>
      <xdr:rowOff>114300</xdr:rowOff>
    </xdr:to>
    <xdr:sp macro="" textlink="">
      <xdr:nvSpPr>
        <xdr:cNvPr id="654" name="Arrow: Down 653">
          <a:extLst>
            <a:ext uri="{FF2B5EF4-FFF2-40B4-BE49-F238E27FC236}">
              <a16:creationId xmlns:a16="http://schemas.microsoft.com/office/drawing/2014/main" id="{9349C8B3-09D1-4D85-BEB0-BFF7629E4EAC}"/>
            </a:ext>
          </a:extLst>
        </xdr:cNvPr>
        <xdr:cNvSpPr/>
      </xdr:nvSpPr>
      <xdr:spPr>
        <a:xfrm>
          <a:off x="5372100" y="9291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664</xdr:row>
      <xdr:rowOff>0</xdr:rowOff>
    </xdr:from>
    <xdr:to>
      <xdr:col>14</xdr:col>
      <xdr:colOff>83820</xdr:colOff>
      <xdr:row>664</xdr:row>
      <xdr:rowOff>114300</xdr:rowOff>
    </xdr:to>
    <xdr:sp macro="" textlink="">
      <xdr:nvSpPr>
        <xdr:cNvPr id="668" name="Arrow: Down 667">
          <a:extLst>
            <a:ext uri="{FF2B5EF4-FFF2-40B4-BE49-F238E27FC236}">
              <a16:creationId xmlns:a16="http://schemas.microsoft.com/office/drawing/2014/main" id="{9F459589-5764-4EC2-BBD4-1D3F505CF330}"/>
            </a:ext>
          </a:extLst>
        </xdr:cNvPr>
        <xdr:cNvSpPr/>
      </xdr:nvSpPr>
      <xdr:spPr>
        <a:xfrm rot="10800000">
          <a:off x="5372100" y="93284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665</xdr:row>
      <xdr:rowOff>0</xdr:rowOff>
    </xdr:from>
    <xdr:to>
      <xdr:col>14</xdr:col>
      <xdr:colOff>83820</xdr:colOff>
      <xdr:row>665</xdr:row>
      <xdr:rowOff>114300</xdr:rowOff>
    </xdr:to>
    <xdr:sp macro="" textlink="">
      <xdr:nvSpPr>
        <xdr:cNvPr id="681" name="Arrow: Down 680">
          <a:extLst>
            <a:ext uri="{FF2B5EF4-FFF2-40B4-BE49-F238E27FC236}">
              <a16:creationId xmlns:a16="http://schemas.microsoft.com/office/drawing/2014/main" id="{77776122-1793-49D4-A537-F4B0ED5323C9}"/>
            </a:ext>
          </a:extLst>
        </xdr:cNvPr>
        <xdr:cNvSpPr/>
      </xdr:nvSpPr>
      <xdr:spPr>
        <a:xfrm>
          <a:off x="5372100" y="9346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666</xdr:row>
      <xdr:rowOff>0</xdr:rowOff>
    </xdr:from>
    <xdr:to>
      <xdr:col>14</xdr:col>
      <xdr:colOff>83820</xdr:colOff>
      <xdr:row>666</xdr:row>
      <xdr:rowOff>114300</xdr:rowOff>
    </xdr:to>
    <xdr:sp macro="" textlink="">
      <xdr:nvSpPr>
        <xdr:cNvPr id="690" name="Arrow: Down 689">
          <a:extLst>
            <a:ext uri="{FF2B5EF4-FFF2-40B4-BE49-F238E27FC236}">
              <a16:creationId xmlns:a16="http://schemas.microsoft.com/office/drawing/2014/main" id="{63C2256F-0A7E-4949-B45C-57599285565C}"/>
            </a:ext>
          </a:extLst>
        </xdr:cNvPr>
        <xdr:cNvSpPr/>
      </xdr:nvSpPr>
      <xdr:spPr>
        <a:xfrm rot="10800000">
          <a:off x="5372100" y="93649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668</xdr:row>
      <xdr:rowOff>0</xdr:rowOff>
    </xdr:from>
    <xdr:to>
      <xdr:col>14</xdr:col>
      <xdr:colOff>83820</xdr:colOff>
      <xdr:row>668</xdr:row>
      <xdr:rowOff>114300</xdr:rowOff>
    </xdr:to>
    <xdr:sp macro="" textlink="">
      <xdr:nvSpPr>
        <xdr:cNvPr id="667" name="Arrow: Down 666">
          <a:extLst>
            <a:ext uri="{FF2B5EF4-FFF2-40B4-BE49-F238E27FC236}">
              <a16:creationId xmlns:a16="http://schemas.microsoft.com/office/drawing/2014/main" id="{D06F271D-9F8A-411A-B355-55B1E9F6F238}"/>
            </a:ext>
          </a:extLst>
        </xdr:cNvPr>
        <xdr:cNvSpPr/>
      </xdr:nvSpPr>
      <xdr:spPr>
        <a:xfrm rot="10800000">
          <a:off x="5372100" y="93832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667</xdr:row>
      <xdr:rowOff>0</xdr:rowOff>
    </xdr:from>
    <xdr:to>
      <xdr:col>14</xdr:col>
      <xdr:colOff>83820</xdr:colOff>
      <xdr:row>667</xdr:row>
      <xdr:rowOff>114300</xdr:rowOff>
    </xdr:to>
    <xdr:sp macro="" textlink="">
      <xdr:nvSpPr>
        <xdr:cNvPr id="675" name="Arrow: Down 674">
          <a:extLst>
            <a:ext uri="{FF2B5EF4-FFF2-40B4-BE49-F238E27FC236}">
              <a16:creationId xmlns:a16="http://schemas.microsoft.com/office/drawing/2014/main" id="{4F9DBBD6-F627-4AF4-BDBC-AB0F8BCE8B99}"/>
            </a:ext>
          </a:extLst>
        </xdr:cNvPr>
        <xdr:cNvSpPr/>
      </xdr:nvSpPr>
      <xdr:spPr>
        <a:xfrm>
          <a:off x="5372100" y="9383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670</xdr:row>
      <xdr:rowOff>0</xdr:rowOff>
    </xdr:from>
    <xdr:to>
      <xdr:col>14</xdr:col>
      <xdr:colOff>83820</xdr:colOff>
      <xdr:row>670</xdr:row>
      <xdr:rowOff>114300</xdr:rowOff>
    </xdr:to>
    <xdr:sp macro="" textlink="">
      <xdr:nvSpPr>
        <xdr:cNvPr id="685" name="Arrow: Down 684">
          <a:extLst>
            <a:ext uri="{FF2B5EF4-FFF2-40B4-BE49-F238E27FC236}">
              <a16:creationId xmlns:a16="http://schemas.microsoft.com/office/drawing/2014/main" id="{08372786-D007-48F8-A906-BC0DBDAB8D6C}"/>
            </a:ext>
          </a:extLst>
        </xdr:cNvPr>
        <xdr:cNvSpPr/>
      </xdr:nvSpPr>
      <xdr:spPr>
        <a:xfrm rot="10800000">
          <a:off x="5372100" y="94198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672</xdr:row>
      <xdr:rowOff>0</xdr:rowOff>
    </xdr:from>
    <xdr:to>
      <xdr:col>14</xdr:col>
      <xdr:colOff>83820</xdr:colOff>
      <xdr:row>672</xdr:row>
      <xdr:rowOff>114300</xdr:rowOff>
    </xdr:to>
    <xdr:sp macro="" textlink="">
      <xdr:nvSpPr>
        <xdr:cNvPr id="691" name="Arrow: Down 690">
          <a:extLst>
            <a:ext uri="{FF2B5EF4-FFF2-40B4-BE49-F238E27FC236}">
              <a16:creationId xmlns:a16="http://schemas.microsoft.com/office/drawing/2014/main" id="{10DF0AC5-FFF8-466E-8F50-BEB30A53DDBC}"/>
            </a:ext>
          </a:extLst>
        </xdr:cNvPr>
        <xdr:cNvSpPr/>
      </xdr:nvSpPr>
      <xdr:spPr>
        <a:xfrm rot="10800000">
          <a:off x="5372100" y="9456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669</xdr:row>
      <xdr:rowOff>0</xdr:rowOff>
    </xdr:from>
    <xdr:to>
      <xdr:col>14</xdr:col>
      <xdr:colOff>83820</xdr:colOff>
      <xdr:row>669</xdr:row>
      <xdr:rowOff>114300</xdr:rowOff>
    </xdr:to>
    <xdr:sp macro="" textlink="">
      <xdr:nvSpPr>
        <xdr:cNvPr id="696" name="Arrow: Down 695">
          <a:extLst>
            <a:ext uri="{FF2B5EF4-FFF2-40B4-BE49-F238E27FC236}">
              <a16:creationId xmlns:a16="http://schemas.microsoft.com/office/drawing/2014/main" id="{45FF9A9C-1789-4836-B961-48EF15C97905}"/>
            </a:ext>
          </a:extLst>
        </xdr:cNvPr>
        <xdr:cNvSpPr/>
      </xdr:nvSpPr>
      <xdr:spPr>
        <a:xfrm>
          <a:off x="5372100" y="94198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671</xdr:row>
      <xdr:rowOff>0</xdr:rowOff>
    </xdr:from>
    <xdr:to>
      <xdr:col>14</xdr:col>
      <xdr:colOff>83820</xdr:colOff>
      <xdr:row>671</xdr:row>
      <xdr:rowOff>114300</xdr:rowOff>
    </xdr:to>
    <xdr:sp macro="" textlink="">
      <xdr:nvSpPr>
        <xdr:cNvPr id="698" name="Arrow: Down 697">
          <a:extLst>
            <a:ext uri="{FF2B5EF4-FFF2-40B4-BE49-F238E27FC236}">
              <a16:creationId xmlns:a16="http://schemas.microsoft.com/office/drawing/2014/main" id="{F973EE0A-6BA5-4C67-8764-F3040D942BC3}"/>
            </a:ext>
          </a:extLst>
        </xdr:cNvPr>
        <xdr:cNvSpPr/>
      </xdr:nvSpPr>
      <xdr:spPr>
        <a:xfrm>
          <a:off x="5372100" y="94564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674</xdr:row>
      <xdr:rowOff>0</xdr:rowOff>
    </xdr:from>
    <xdr:to>
      <xdr:col>14</xdr:col>
      <xdr:colOff>83820</xdr:colOff>
      <xdr:row>674</xdr:row>
      <xdr:rowOff>114300</xdr:rowOff>
    </xdr:to>
    <xdr:sp macro="" textlink="">
      <xdr:nvSpPr>
        <xdr:cNvPr id="701" name="Arrow: Down 700">
          <a:extLst>
            <a:ext uri="{FF2B5EF4-FFF2-40B4-BE49-F238E27FC236}">
              <a16:creationId xmlns:a16="http://schemas.microsoft.com/office/drawing/2014/main" id="{836FD1B5-834E-47A4-82FF-DD0B2F4E6A7A}"/>
            </a:ext>
          </a:extLst>
        </xdr:cNvPr>
        <xdr:cNvSpPr/>
      </xdr:nvSpPr>
      <xdr:spPr>
        <a:xfrm rot="10800000">
          <a:off x="5372100" y="94929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673</xdr:row>
      <xdr:rowOff>0</xdr:rowOff>
    </xdr:from>
    <xdr:to>
      <xdr:col>14</xdr:col>
      <xdr:colOff>83820</xdr:colOff>
      <xdr:row>673</xdr:row>
      <xdr:rowOff>114300</xdr:rowOff>
    </xdr:to>
    <xdr:sp macro="" textlink="">
      <xdr:nvSpPr>
        <xdr:cNvPr id="703" name="Arrow: Down 702">
          <a:extLst>
            <a:ext uri="{FF2B5EF4-FFF2-40B4-BE49-F238E27FC236}">
              <a16:creationId xmlns:a16="http://schemas.microsoft.com/office/drawing/2014/main" id="{62A62568-6FC7-47BB-82BA-803FA815B838}"/>
            </a:ext>
          </a:extLst>
        </xdr:cNvPr>
        <xdr:cNvSpPr/>
      </xdr:nvSpPr>
      <xdr:spPr>
        <a:xfrm>
          <a:off x="5372100" y="94929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675</xdr:row>
      <xdr:rowOff>0</xdr:rowOff>
    </xdr:from>
    <xdr:to>
      <xdr:col>14</xdr:col>
      <xdr:colOff>83820</xdr:colOff>
      <xdr:row>675</xdr:row>
      <xdr:rowOff>114300</xdr:rowOff>
    </xdr:to>
    <xdr:sp macro="" textlink="">
      <xdr:nvSpPr>
        <xdr:cNvPr id="711" name="Arrow: Down 710">
          <a:extLst>
            <a:ext uri="{FF2B5EF4-FFF2-40B4-BE49-F238E27FC236}">
              <a16:creationId xmlns:a16="http://schemas.microsoft.com/office/drawing/2014/main" id="{D74D46EE-3D9F-4F4B-A20E-F599995577D0}"/>
            </a:ext>
          </a:extLst>
        </xdr:cNvPr>
        <xdr:cNvSpPr/>
      </xdr:nvSpPr>
      <xdr:spPr>
        <a:xfrm>
          <a:off x="5372100" y="95295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676</xdr:row>
      <xdr:rowOff>0</xdr:rowOff>
    </xdr:from>
    <xdr:to>
      <xdr:col>14</xdr:col>
      <xdr:colOff>83820</xdr:colOff>
      <xdr:row>676</xdr:row>
      <xdr:rowOff>114300</xdr:rowOff>
    </xdr:to>
    <xdr:sp macro="" textlink="">
      <xdr:nvSpPr>
        <xdr:cNvPr id="713" name="Arrow: Down 712">
          <a:extLst>
            <a:ext uri="{FF2B5EF4-FFF2-40B4-BE49-F238E27FC236}">
              <a16:creationId xmlns:a16="http://schemas.microsoft.com/office/drawing/2014/main" id="{36DE95FD-AA86-477B-8621-5F19EFDD63E2}"/>
            </a:ext>
          </a:extLst>
        </xdr:cNvPr>
        <xdr:cNvSpPr/>
      </xdr:nvSpPr>
      <xdr:spPr>
        <a:xfrm>
          <a:off x="5372100" y="9547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677</xdr:row>
      <xdr:rowOff>0</xdr:rowOff>
    </xdr:from>
    <xdr:to>
      <xdr:col>14</xdr:col>
      <xdr:colOff>83820</xdr:colOff>
      <xdr:row>677</xdr:row>
      <xdr:rowOff>114300</xdr:rowOff>
    </xdr:to>
    <xdr:sp macro="" textlink="">
      <xdr:nvSpPr>
        <xdr:cNvPr id="715" name="Arrow: Down 714">
          <a:extLst>
            <a:ext uri="{FF2B5EF4-FFF2-40B4-BE49-F238E27FC236}">
              <a16:creationId xmlns:a16="http://schemas.microsoft.com/office/drawing/2014/main" id="{EB76195E-ACDB-42A2-8B3D-9839D52A98CC}"/>
            </a:ext>
          </a:extLst>
        </xdr:cNvPr>
        <xdr:cNvSpPr/>
      </xdr:nvSpPr>
      <xdr:spPr>
        <a:xfrm>
          <a:off x="5372100" y="9566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678</xdr:row>
      <xdr:rowOff>0</xdr:rowOff>
    </xdr:from>
    <xdr:to>
      <xdr:col>14</xdr:col>
      <xdr:colOff>83820</xdr:colOff>
      <xdr:row>678</xdr:row>
      <xdr:rowOff>114300</xdr:rowOff>
    </xdr:to>
    <xdr:sp macro="" textlink="">
      <xdr:nvSpPr>
        <xdr:cNvPr id="677" name="Arrow: Down 676">
          <a:extLst>
            <a:ext uri="{FF2B5EF4-FFF2-40B4-BE49-F238E27FC236}">
              <a16:creationId xmlns:a16="http://schemas.microsoft.com/office/drawing/2014/main" id="{DE200F0D-0058-48CD-871A-8593F537455F}"/>
            </a:ext>
          </a:extLst>
        </xdr:cNvPr>
        <xdr:cNvSpPr/>
      </xdr:nvSpPr>
      <xdr:spPr>
        <a:xfrm rot="10800000">
          <a:off x="5372100" y="9584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679</xdr:row>
      <xdr:rowOff>0</xdr:rowOff>
    </xdr:from>
    <xdr:to>
      <xdr:col>14</xdr:col>
      <xdr:colOff>83820</xdr:colOff>
      <xdr:row>679</xdr:row>
      <xdr:rowOff>114300</xdr:rowOff>
    </xdr:to>
    <xdr:sp macro="" textlink="">
      <xdr:nvSpPr>
        <xdr:cNvPr id="689" name="Arrow: Down 688">
          <a:extLst>
            <a:ext uri="{FF2B5EF4-FFF2-40B4-BE49-F238E27FC236}">
              <a16:creationId xmlns:a16="http://schemas.microsoft.com/office/drawing/2014/main" id="{912E5847-8E7C-4526-A504-0B09B6A0BEF4}"/>
            </a:ext>
          </a:extLst>
        </xdr:cNvPr>
        <xdr:cNvSpPr/>
      </xdr:nvSpPr>
      <xdr:spPr>
        <a:xfrm>
          <a:off x="5372100" y="9602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680</xdr:row>
      <xdr:rowOff>0</xdr:rowOff>
    </xdr:from>
    <xdr:to>
      <xdr:col>14</xdr:col>
      <xdr:colOff>83820</xdr:colOff>
      <xdr:row>680</xdr:row>
      <xdr:rowOff>114300</xdr:rowOff>
    </xdr:to>
    <xdr:sp macro="" textlink="">
      <xdr:nvSpPr>
        <xdr:cNvPr id="693" name="Arrow: Down 692">
          <a:extLst>
            <a:ext uri="{FF2B5EF4-FFF2-40B4-BE49-F238E27FC236}">
              <a16:creationId xmlns:a16="http://schemas.microsoft.com/office/drawing/2014/main" id="{DB91DA61-67AC-4B36-8371-405736BDD59C}"/>
            </a:ext>
          </a:extLst>
        </xdr:cNvPr>
        <xdr:cNvSpPr/>
      </xdr:nvSpPr>
      <xdr:spPr>
        <a:xfrm>
          <a:off x="5372100" y="9602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682</xdr:row>
      <xdr:rowOff>0</xdr:rowOff>
    </xdr:from>
    <xdr:to>
      <xdr:col>14</xdr:col>
      <xdr:colOff>83820</xdr:colOff>
      <xdr:row>682</xdr:row>
      <xdr:rowOff>114300</xdr:rowOff>
    </xdr:to>
    <xdr:sp macro="" textlink="">
      <xdr:nvSpPr>
        <xdr:cNvPr id="700" name="Arrow: Down 699">
          <a:extLst>
            <a:ext uri="{FF2B5EF4-FFF2-40B4-BE49-F238E27FC236}">
              <a16:creationId xmlns:a16="http://schemas.microsoft.com/office/drawing/2014/main" id="{CFF9FBE4-399C-4CD5-8CAB-DA5578EF0E9E}"/>
            </a:ext>
          </a:extLst>
        </xdr:cNvPr>
        <xdr:cNvSpPr/>
      </xdr:nvSpPr>
      <xdr:spPr>
        <a:xfrm>
          <a:off x="5372100" y="9639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681</xdr:row>
      <xdr:rowOff>0</xdr:rowOff>
    </xdr:from>
    <xdr:to>
      <xdr:col>14</xdr:col>
      <xdr:colOff>83820</xdr:colOff>
      <xdr:row>681</xdr:row>
      <xdr:rowOff>114300</xdr:rowOff>
    </xdr:to>
    <xdr:sp macro="" textlink="">
      <xdr:nvSpPr>
        <xdr:cNvPr id="704" name="Arrow: Down 703">
          <a:extLst>
            <a:ext uri="{FF2B5EF4-FFF2-40B4-BE49-F238E27FC236}">
              <a16:creationId xmlns:a16="http://schemas.microsoft.com/office/drawing/2014/main" id="{1AF0EE0F-FBDD-4250-8634-5ED7A0F1499F}"/>
            </a:ext>
          </a:extLst>
        </xdr:cNvPr>
        <xdr:cNvSpPr/>
      </xdr:nvSpPr>
      <xdr:spPr>
        <a:xfrm rot="10800000">
          <a:off x="5372100" y="96393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683</xdr:row>
      <xdr:rowOff>0</xdr:rowOff>
    </xdr:from>
    <xdr:to>
      <xdr:col>14</xdr:col>
      <xdr:colOff>83820</xdr:colOff>
      <xdr:row>683</xdr:row>
      <xdr:rowOff>114300</xdr:rowOff>
    </xdr:to>
    <xdr:sp macro="" textlink="">
      <xdr:nvSpPr>
        <xdr:cNvPr id="712" name="Arrow: Down 711">
          <a:extLst>
            <a:ext uri="{FF2B5EF4-FFF2-40B4-BE49-F238E27FC236}">
              <a16:creationId xmlns:a16="http://schemas.microsoft.com/office/drawing/2014/main" id="{91134B71-B959-484F-A5F2-64C67011B14B}"/>
            </a:ext>
          </a:extLst>
        </xdr:cNvPr>
        <xdr:cNvSpPr/>
      </xdr:nvSpPr>
      <xdr:spPr>
        <a:xfrm>
          <a:off x="5372100" y="96575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685</xdr:row>
      <xdr:rowOff>0</xdr:rowOff>
    </xdr:from>
    <xdr:to>
      <xdr:col>14</xdr:col>
      <xdr:colOff>83820</xdr:colOff>
      <xdr:row>685</xdr:row>
      <xdr:rowOff>114300</xdr:rowOff>
    </xdr:to>
    <xdr:sp macro="" textlink="">
      <xdr:nvSpPr>
        <xdr:cNvPr id="716" name="Arrow: Down 715">
          <a:extLst>
            <a:ext uri="{FF2B5EF4-FFF2-40B4-BE49-F238E27FC236}">
              <a16:creationId xmlns:a16="http://schemas.microsoft.com/office/drawing/2014/main" id="{13496210-B1D7-495C-A677-0351994B452C}"/>
            </a:ext>
          </a:extLst>
        </xdr:cNvPr>
        <xdr:cNvSpPr/>
      </xdr:nvSpPr>
      <xdr:spPr>
        <a:xfrm>
          <a:off x="5372100" y="96941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684</xdr:row>
      <xdr:rowOff>0</xdr:rowOff>
    </xdr:from>
    <xdr:to>
      <xdr:col>14</xdr:col>
      <xdr:colOff>83820</xdr:colOff>
      <xdr:row>684</xdr:row>
      <xdr:rowOff>114300</xdr:rowOff>
    </xdr:to>
    <xdr:sp macro="" textlink="">
      <xdr:nvSpPr>
        <xdr:cNvPr id="718" name="Arrow: Down 717">
          <a:extLst>
            <a:ext uri="{FF2B5EF4-FFF2-40B4-BE49-F238E27FC236}">
              <a16:creationId xmlns:a16="http://schemas.microsoft.com/office/drawing/2014/main" id="{7A1DEA72-0CF2-4EF6-8459-0C2307E472F8}"/>
            </a:ext>
          </a:extLst>
        </xdr:cNvPr>
        <xdr:cNvSpPr/>
      </xdr:nvSpPr>
      <xdr:spPr>
        <a:xfrm rot="10800000">
          <a:off x="5372100" y="96941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686</xdr:row>
      <xdr:rowOff>0</xdr:rowOff>
    </xdr:from>
    <xdr:to>
      <xdr:col>14</xdr:col>
      <xdr:colOff>83820</xdr:colOff>
      <xdr:row>686</xdr:row>
      <xdr:rowOff>114300</xdr:rowOff>
    </xdr:to>
    <xdr:sp macro="" textlink="">
      <xdr:nvSpPr>
        <xdr:cNvPr id="720" name="Arrow: Down 719">
          <a:extLst>
            <a:ext uri="{FF2B5EF4-FFF2-40B4-BE49-F238E27FC236}">
              <a16:creationId xmlns:a16="http://schemas.microsoft.com/office/drawing/2014/main" id="{6637348B-F601-4D85-B3E9-828946A64AC6}"/>
            </a:ext>
          </a:extLst>
        </xdr:cNvPr>
        <xdr:cNvSpPr/>
      </xdr:nvSpPr>
      <xdr:spPr>
        <a:xfrm>
          <a:off x="5372100" y="97124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688</xdr:row>
      <xdr:rowOff>0</xdr:rowOff>
    </xdr:from>
    <xdr:to>
      <xdr:col>14</xdr:col>
      <xdr:colOff>83820</xdr:colOff>
      <xdr:row>688</xdr:row>
      <xdr:rowOff>114300</xdr:rowOff>
    </xdr:to>
    <xdr:sp macro="" textlink="">
      <xdr:nvSpPr>
        <xdr:cNvPr id="724" name="Arrow: Down 723">
          <a:extLst>
            <a:ext uri="{FF2B5EF4-FFF2-40B4-BE49-F238E27FC236}">
              <a16:creationId xmlns:a16="http://schemas.microsoft.com/office/drawing/2014/main" id="{850995F5-9B95-472E-9A49-A8BA6704CEF3}"/>
            </a:ext>
          </a:extLst>
        </xdr:cNvPr>
        <xdr:cNvSpPr/>
      </xdr:nvSpPr>
      <xdr:spPr>
        <a:xfrm>
          <a:off x="5372100" y="97490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687</xdr:row>
      <xdr:rowOff>0</xdr:rowOff>
    </xdr:from>
    <xdr:to>
      <xdr:col>14</xdr:col>
      <xdr:colOff>83820</xdr:colOff>
      <xdr:row>687</xdr:row>
      <xdr:rowOff>114300</xdr:rowOff>
    </xdr:to>
    <xdr:sp macro="" textlink="">
      <xdr:nvSpPr>
        <xdr:cNvPr id="726" name="Arrow: Down 725">
          <a:extLst>
            <a:ext uri="{FF2B5EF4-FFF2-40B4-BE49-F238E27FC236}">
              <a16:creationId xmlns:a16="http://schemas.microsoft.com/office/drawing/2014/main" id="{752BD187-EE63-4002-B10A-A2928212AF41}"/>
            </a:ext>
          </a:extLst>
        </xdr:cNvPr>
        <xdr:cNvSpPr/>
      </xdr:nvSpPr>
      <xdr:spPr>
        <a:xfrm rot="10800000">
          <a:off x="5372100" y="97490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690</xdr:row>
      <xdr:rowOff>0</xdr:rowOff>
    </xdr:from>
    <xdr:to>
      <xdr:col>14</xdr:col>
      <xdr:colOff>83820</xdr:colOff>
      <xdr:row>690</xdr:row>
      <xdr:rowOff>114300</xdr:rowOff>
    </xdr:to>
    <xdr:sp macro="" textlink="">
      <xdr:nvSpPr>
        <xdr:cNvPr id="730" name="Arrow: Down 729">
          <a:extLst>
            <a:ext uri="{FF2B5EF4-FFF2-40B4-BE49-F238E27FC236}">
              <a16:creationId xmlns:a16="http://schemas.microsoft.com/office/drawing/2014/main" id="{9F5FC780-9439-4F7B-BF45-33919DDDD71C}"/>
            </a:ext>
          </a:extLst>
        </xdr:cNvPr>
        <xdr:cNvSpPr/>
      </xdr:nvSpPr>
      <xdr:spPr>
        <a:xfrm>
          <a:off x="5372100" y="97856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689</xdr:row>
      <xdr:rowOff>0</xdr:rowOff>
    </xdr:from>
    <xdr:to>
      <xdr:col>14</xdr:col>
      <xdr:colOff>83820</xdr:colOff>
      <xdr:row>689</xdr:row>
      <xdr:rowOff>114300</xdr:rowOff>
    </xdr:to>
    <xdr:sp macro="" textlink="">
      <xdr:nvSpPr>
        <xdr:cNvPr id="732" name="Arrow: Down 731">
          <a:extLst>
            <a:ext uri="{FF2B5EF4-FFF2-40B4-BE49-F238E27FC236}">
              <a16:creationId xmlns:a16="http://schemas.microsoft.com/office/drawing/2014/main" id="{36B2D778-3E67-4229-A1CA-EBEB9DD0BD82}"/>
            </a:ext>
          </a:extLst>
        </xdr:cNvPr>
        <xdr:cNvSpPr/>
      </xdr:nvSpPr>
      <xdr:spPr>
        <a:xfrm rot="10800000">
          <a:off x="5372100" y="97856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691</xdr:row>
      <xdr:rowOff>0</xdr:rowOff>
    </xdr:from>
    <xdr:to>
      <xdr:col>14</xdr:col>
      <xdr:colOff>83820</xdr:colOff>
      <xdr:row>691</xdr:row>
      <xdr:rowOff>114300</xdr:rowOff>
    </xdr:to>
    <xdr:sp macro="" textlink="">
      <xdr:nvSpPr>
        <xdr:cNvPr id="734" name="Arrow: Down 733">
          <a:extLst>
            <a:ext uri="{FF2B5EF4-FFF2-40B4-BE49-F238E27FC236}">
              <a16:creationId xmlns:a16="http://schemas.microsoft.com/office/drawing/2014/main" id="{8DEC9D75-3281-4168-A34D-BEB1F1B1AF7F}"/>
            </a:ext>
          </a:extLst>
        </xdr:cNvPr>
        <xdr:cNvSpPr/>
      </xdr:nvSpPr>
      <xdr:spPr>
        <a:xfrm>
          <a:off x="5372100" y="9803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693</xdr:row>
      <xdr:rowOff>0</xdr:rowOff>
    </xdr:from>
    <xdr:to>
      <xdr:col>14</xdr:col>
      <xdr:colOff>83820</xdr:colOff>
      <xdr:row>693</xdr:row>
      <xdr:rowOff>114300</xdr:rowOff>
    </xdr:to>
    <xdr:sp macro="" textlink="">
      <xdr:nvSpPr>
        <xdr:cNvPr id="679" name="Arrow: Down 678">
          <a:extLst>
            <a:ext uri="{FF2B5EF4-FFF2-40B4-BE49-F238E27FC236}">
              <a16:creationId xmlns:a16="http://schemas.microsoft.com/office/drawing/2014/main" id="{61F1CD47-352D-4F34-B84C-B8460D44665E}"/>
            </a:ext>
          </a:extLst>
        </xdr:cNvPr>
        <xdr:cNvSpPr/>
      </xdr:nvSpPr>
      <xdr:spPr>
        <a:xfrm>
          <a:off x="5372100" y="98404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692</xdr:row>
      <xdr:rowOff>0</xdr:rowOff>
    </xdr:from>
    <xdr:to>
      <xdr:col>14</xdr:col>
      <xdr:colOff>83820</xdr:colOff>
      <xdr:row>692</xdr:row>
      <xdr:rowOff>114300</xdr:rowOff>
    </xdr:to>
    <xdr:sp macro="" textlink="">
      <xdr:nvSpPr>
        <xdr:cNvPr id="705" name="Arrow: Down 704">
          <a:extLst>
            <a:ext uri="{FF2B5EF4-FFF2-40B4-BE49-F238E27FC236}">
              <a16:creationId xmlns:a16="http://schemas.microsoft.com/office/drawing/2014/main" id="{158F0F5C-FFA0-4A10-9E2B-F840F06640D7}"/>
            </a:ext>
          </a:extLst>
        </xdr:cNvPr>
        <xdr:cNvSpPr/>
      </xdr:nvSpPr>
      <xdr:spPr>
        <a:xfrm rot="10800000">
          <a:off x="5372100" y="98404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695</xdr:row>
      <xdr:rowOff>0</xdr:rowOff>
    </xdr:from>
    <xdr:to>
      <xdr:col>14</xdr:col>
      <xdr:colOff>83820</xdr:colOff>
      <xdr:row>695</xdr:row>
      <xdr:rowOff>114300</xdr:rowOff>
    </xdr:to>
    <xdr:sp macro="" textlink="">
      <xdr:nvSpPr>
        <xdr:cNvPr id="707" name="Arrow: Down 706">
          <a:extLst>
            <a:ext uri="{FF2B5EF4-FFF2-40B4-BE49-F238E27FC236}">
              <a16:creationId xmlns:a16="http://schemas.microsoft.com/office/drawing/2014/main" id="{4973FB05-1AC7-40A1-A09F-A0595E119E99}"/>
            </a:ext>
          </a:extLst>
        </xdr:cNvPr>
        <xdr:cNvSpPr/>
      </xdr:nvSpPr>
      <xdr:spPr>
        <a:xfrm>
          <a:off x="5372100" y="98770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694</xdr:row>
      <xdr:rowOff>0</xdr:rowOff>
    </xdr:from>
    <xdr:to>
      <xdr:col>14</xdr:col>
      <xdr:colOff>83820</xdr:colOff>
      <xdr:row>694</xdr:row>
      <xdr:rowOff>114300</xdr:rowOff>
    </xdr:to>
    <xdr:sp macro="" textlink="">
      <xdr:nvSpPr>
        <xdr:cNvPr id="708" name="Arrow: Down 707">
          <a:extLst>
            <a:ext uri="{FF2B5EF4-FFF2-40B4-BE49-F238E27FC236}">
              <a16:creationId xmlns:a16="http://schemas.microsoft.com/office/drawing/2014/main" id="{31048BF4-2172-4BCF-ADAA-F8492B2D3EA9}"/>
            </a:ext>
          </a:extLst>
        </xdr:cNvPr>
        <xdr:cNvSpPr/>
      </xdr:nvSpPr>
      <xdr:spPr>
        <a:xfrm rot="10800000">
          <a:off x="5372100" y="98770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696</xdr:row>
      <xdr:rowOff>0</xdr:rowOff>
    </xdr:from>
    <xdr:to>
      <xdr:col>14</xdr:col>
      <xdr:colOff>83820</xdr:colOff>
      <xdr:row>696</xdr:row>
      <xdr:rowOff>114300</xdr:rowOff>
    </xdr:to>
    <xdr:sp macro="" textlink="">
      <xdr:nvSpPr>
        <xdr:cNvPr id="710" name="Arrow: Down 709">
          <a:extLst>
            <a:ext uri="{FF2B5EF4-FFF2-40B4-BE49-F238E27FC236}">
              <a16:creationId xmlns:a16="http://schemas.microsoft.com/office/drawing/2014/main" id="{9094E7B3-6081-4170-B6C2-FBD368066075}"/>
            </a:ext>
          </a:extLst>
        </xdr:cNvPr>
        <xdr:cNvSpPr/>
      </xdr:nvSpPr>
      <xdr:spPr>
        <a:xfrm>
          <a:off x="5372100" y="9895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697</xdr:row>
      <xdr:rowOff>0</xdr:rowOff>
    </xdr:from>
    <xdr:to>
      <xdr:col>14</xdr:col>
      <xdr:colOff>83820</xdr:colOff>
      <xdr:row>697</xdr:row>
      <xdr:rowOff>114300</xdr:rowOff>
    </xdr:to>
    <xdr:sp macro="" textlink="">
      <xdr:nvSpPr>
        <xdr:cNvPr id="717" name="Arrow: Down 716">
          <a:extLst>
            <a:ext uri="{FF2B5EF4-FFF2-40B4-BE49-F238E27FC236}">
              <a16:creationId xmlns:a16="http://schemas.microsoft.com/office/drawing/2014/main" id="{7CD1E4A3-3E9C-41CD-A92E-CDCBEECE0B1F}"/>
            </a:ext>
          </a:extLst>
        </xdr:cNvPr>
        <xdr:cNvSpPr/>
      </xdr:nvSpPr>
      <xdr:spPr>
        <a:xfrm>
          <a:off x="5372100" y="9913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698</xdr:row>
      <xdr:rowOff>0</xdr:rowOff>
    </xdr:from>
    <xdr:to>
      <xdr:col>14</xdr:col>
      <xdr:colOff>83820</xdr:colOff>
      <xdr:row>698</xdr:row>
      <xdr:rowOff>114300</xdr:rowOff>
    </xdr:to>
    <xdr:sp macro="" textlink="">
      <xdr:nvSpPr>
        <xdr:cNvPr id="721" name="Arrow: Down 720">
          <a:extLst>
            <a:ext uri="{FF2B5EF4-FFF2-40B4-BE49-F238E27FC236}">
              <a16:creationId xmlns:a16="http://schemas.microsoft.com/office/drawing/2014/main" id="{75B428A9-518A-4901-9A92-9FD7DBF92988}"/>
            </a:ext>
          </a:extLst>
        </xdr:cNvPr>
        <xdr:cNvSpPr/>
      </xdr:nvSpPr>
      <xdr:spPr>
        <a:xfrm>
          <a:off x="5372100" y="99319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700</xdr:row>
      <xdr:rowOff>0</xdr:rowOff>
    </xdr:from>
    <xdr:to>
      <xdr:col>14</xdr:col>
      <xdr:colOff>83820</xdr:colOff>
      <xdr:row>700</xdr:row>
      <xdr:rowOff>114300</xdr:rowOff>
    </xdr:to>
    <xdr:sp macro="" textlink="">
      <xdr:nvSpPr>
        <xdr:cNvPr id="699" name="Arrow: Down 698">
          <a:extLst>
            <a:ext uri="{FF2B5EF4-FFF2-40B4-BE49-F238E27FC236}">
              <a16:creationId xmlns:a16="http://schemas.microsoft.com/office/drawing/2014/main" id="{687E2F64-196D-475E-9F18-51F6AD64214E}"/>
            </a:ext>
          </a:extLst>
        </xdr:cNvPr>
        <xdr:cNvSpPr/>
      </xdr:nvSpPr>
      <xdr:spPr>
        <a:xfrm>
          <a:off x="5372100" y="99684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699</xdr:row>
      <xdr:rowOff>0</xdr:rowOff>
    </xdr:from>
    <xdr:to>
      <xdr:col>14</xdr:col>
      <xdr:colOff>83820</xdr:colOff>
      <xdr:row>699</xdr:row>
      <xdr:rowOff>114300</xdr:rowOff>
    </xdr:to>
    <xdr:sp macro="" textlink="">
      <xdr:nvSpPr>
        <xdr:cNvPr id="702" name="Arrow: Down 701">
          <a:extLst>
            <a:ext uri="{FF2B5EF4-FFF2-40B4-BE49-F238E27FC236}">
              <a16:creationId xmlns:a16="http://schemas.microsoft.com/office/drawing/2014/main" id="{74AE5E3C-3ECF-423C-914F-0264D7FEA352}"/>
            </a:ext>
          </a:extLst>
        </xdr:cNvPr>
        <xdr:cNvSpPr/>
      </xdr:nvSpPr>
      <xdr:spPr>
        <a:xfrm rot="10800000">
          <a:off x="5372100" y="99684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701</xdr:row>
      <xdr:rowOff>0</xdr:rowOff>
    </xdr:from>
    <xdr:to>
      <xdr:col>14</xdr:col>
      <xdr:colOff>83820</xdr:colOff>
      <xdr:row>701</xdr:row>
      <xdr:rowOff>114300</xdr:rowOff>
    </xdr:to>
    <xdr:sp macro="" textlink="">
      <xdr:nvSpPr>
        <xdr:cNvPr id="719" name="Arrow: Down 718">
          <a:extLst>
            <a:ext uri="{FF2B5EF4-FFF2-40B4-BE49-F238E27FC236}">
              <a16:creationId xmlns:a16="http://schemas.microsoft.com/office/drawing/2014/main" id="{4CB94F14-5A84-4671-B278-B1C8DF7124E3}"/>
            </a:ext>
          </a:extLst>
        </xdr:cNvPr>
        <xdr:cNvSpPr/>
      </xdr:nvSpPr>
      <xdr:spPr>
        <a:xfrm rot="10800000">
          <a:off x="5372100" y="10005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702</xdr:row>
      <xdr:rowOff>0</xdr:rowOff>
    </xdr:from>
    <xdr:to>
      <xdr:col>14</xdr:col>
      <xdr:colOff>83820</xdr:colOff>
      <xdr:row>702</xdr:row>
      <xdr:rowOff>114300</xdr:rowOff>
    </xdr:to>
    <xdr:sp macro="" textlink="">
      <xdr:nvSpPr>
        <xdr:cNvPr id="722" name="Arrow: Down 721">
          <a:extLst>
            <a:ext uri="{FF2B5EF4-FFF2-40B4-BE49-F238E27FC236}">
              <a16:creationId xmlns:a16="http://schemas.microsoft.com/office/drawing/2014/main" id="{C597841F-3DD0-4328-9AE0-4F5EA1CB5B1E}"/>
            </a:ext>
          </a:extLst>
        </xdr:cNvPr>
        <xdr:cNvSpPr/>
      </xdr:nvSpPr>
      <xdr:spPr>
        <a:xfrm rot="10800000">
          <a:off x="5372100" y="10005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703</xdr:row>
      <xdr:rowOff>0</xdr:rowOff>
    </xdr:from>
    <xdr:to>
      <xdr:col>14</xdr:col>
      <xdr:colOff>83820</xdr:colOff>
      <xdr:row>703</xdr:row>
      <xdr:rowOff>114300</xdr:rowOff>
    </xdr:to>
    <xdr:sp macro="" textlink="">
      <xdr:nvSpPr>
        <xdr:cNvPr id="729" name="Arrow: Down 728">
          <a:extLst>
            <a:ext uri="{FF2B5EF4-FFF2-40B4-BE49-F238E27FC236}">
              <a16:creationId xmlns:a16="http://schemas.microsoft.com/office/drawing/2014/main" id="{B6A4839C-ADA9-43FD-A4BF-EFEA38E52882}"/>
            </a:ext>
          </a:extLst>
        </xdr:cNvPr>
        <xdr:cNvSpPr/>
      </xdr:nvSpPr>
      <xdr:spPr>
        <a:xfrm>
          <a:off x="5372100" y="10041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704</xdr:row>
      <xdr:rowOff>0</xdr:rowOff>
    </xdr:from>
    <xdr:to>
      <xdr:col>14</xdr:col>
      <xdr:colOff>83820</xdr:colOff>
      <xdr:row>704</xdr:row>
      <xdr:rowOff>114300</xdr:rowOff>
    </xdr:to>
    <xdr:sp macro="" textlink="">
      <xdr:nvSpPr>
        <xdr:cNvPr id="740" name="Arrow: Down 739">
          <a:extLst>
            <a:ext uri="{FF2B5EF4-FFF2-40B4-BE49-F238E27FC236}">
              <a16:creationId xmlns:a16="http://schemas.microsoft.com/office/drawing/2014/main" id="{26BAC8C5-9AD4-4D32-A8E5-BE6FEC090737}"/>
            </a:ext>
          </a:extLst>
        </xdr:cNvPr>
        <xdr:cNvSpPr/>
      </xdr:nvSpPr>
      <xdr:spPr>
        <a:xfrm>
          <a:off x="5372100" y="100599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705</xdr:row>
      <xdr:rowOff>0</xdr:rowOff>
    </xdr:from>
    <xdr:to>
      <xdr:col>14</xdr:col>
      <xdr:colOff>83820</xdr:colOff>
      <xdr:row>705</xdr:row>
      <xdr:rowOff>114300</xdr:rowOff>
    </xdr:to>
    <xdr:sp macro="" textlink="">
      <xdr:nvSpPr>
        <xdr:cNvPr id="741" name="Arrow: Down 740">
          <a:extLst>
            <a:ext uri="{FF2B5EF4-FFF2-40B4-BE49-F238E27FC236}">
              <a16:creationId xmlns:a16="http://schemas.microsoft.com/office/drawing/2014/main" id="{16C78C36-EFE4-470D-B8BD-CCD9195FE676}"/>
            </a:ext>
          </a:extLst>
        </xdr:cNvPr>
        <xdr:cNvSpPr/>
      </xdr:nvSpPr>
      <xdr:spPr>
        <a:xfrm>
          <a:off x="5372100" y="10078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706</xdr:row>
      <xdr:rowOff>0</xdr:rowOff>
    </xdr:from>
    <xdr:to>
      <xdr:col>14</xdr:col>
      <xdr:colOff>83820</xdr:colOff>
      <xdr:row>706</xdr:row>
      <xdr:rowOff>114300</xdr:rowOff>
    </xdr:to>
    <xdr:sp macro="" textlink="">
      <xdr:nvSpPr>
        <xdr:cNvPr id="742" name="Arrow: Down 741">
          <a:extLst>
            <a:ext uri="{FF2B5EF4-FFF2-40B4-BE49-F238E27FC236}">
              <a16:creationId xmlns:a16="http://schemas.microsoft.com/office/drawing/2014/main" id="{1E5E8158-0AAC-48B6-B3DF-9FCA6A996D4A}"/>
            </a:ext>
          </a:extLst>
        </xdr:cNvPr>
        <xdr:cNvSpPr/>
      </xdr:nvSpPr>
      <xdr:spPr>
        <a:xfrm>
          <a:off x="5372100" y="10078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707</xdr:row>
      <xdr:rowOff>0</xdr:rowOff>
    </xdr:from>
    <xdr:to>
      <xdr:col>14</xdr:col>
      <xdr:colOff>83820</xdr:colOff>
      <xdr:row>707</xdr:row>
      <xdr:rowOff>114300</xdr:rowOff>
    </xdr:to>
    <xdr:sp macro="" textlink="">
      <xdr:nvSpPr>
        <xdr:cNvPr id="743" name="Arrow: Down 742">
          <a:extLst>
            <a:ext uri="{FF2B5EF4-FFF2-40B4-BE49-F238E27FC236}">
              <a16:creationId xmlns:a16="http://schemas.microsoft.com/office/drawing/2014/main" id="{A07CB7BB-C0DF-4D6B-BE87-90B2DADDE7A9}"/>
            </a:ext>
          </a:extLst>
        </xdr:cNvPr>
        <xdr:cNvSpPr/>
      </xdr:nvSpPr>
      <xdr:spPr>
        <a:xfrm>
          <a:off x="5372100" y="100965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708</xdr:row>
      <xdr:rowOff>0</xdr:rowOff>
    </xdr:from>
    <xdr:to>
      <xdr:col>14</xdr:col>
      <xdr:colOff>83820</xdr:colOff>
      <xdr:row>708</xdr:row>
      <xdr:rowOff>114300</xdr:rowOff>
    </xdr:to>
    <xdr:sp macro="" textlink="">
      <xdr:nvSpPr>
        <xdr:cNvPr id="746" name="Arrow: Down 745">
          <a:extLst>
            <a:ext uri="{FF2B5EF4-FFF2-40B4-BE49-F238E27FC236}">
              <a16:creationId xmlns:a16="http://schemas.microsoft.com/office/drawing/2014/main" id="{06094EFD-F228-463B-A228-873EDEF7EDC5}"/>
            </a:ext>
          </a:extLst>
        </xdr:cNvPr>
        <xdr:cNvSpPr/>
      </xdr:nvSpPr>
      <xdr:spPr>
        <a:xfrm rot="10800000">
          <a:off x="5372100" y="101330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709</xdr:row>
      <xdr:rowOff>0</xdr:rowOff>
    </xdr:from>
    <xdr:to>
      <xdr:col>14</xdr:col>
      <xdr:colOff>83820</xdr:colOff>
      <xdr:row>709</xdr:row>
      <xdr:rowOff>114300</xdr:rowOff>
    </xdr:to>
    <xdr:sp macro="" textlink="">
      <xdr:nvSpPr>
        <xdr:cNvPr id="750" name="Arrow: Down 749">
          <a:extLst>
            <a:ext uri="{FF2B5EF4-FFF2-40B4-BE49-F238E27FC236}">
              <a16:creationId xmlns:a16="http://schemas.microsoft.com/office/drawing/2014/main" id="{8CD26E59-EE0F-435C-A4BB-BE92327B51D7}"/>
            </a:ext>
          </a:extLst>
        </xdr:cNvPr>
        <xdr:cNvSpPr/>
      </xdr:nvSpPr>
      <xdr:spPr>
        <a:xfrm>
          <a:off x="5372100" y="101513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710</xdr:row>
      <xdr:rowOff>0</xdr:rowOff>
    </xdr:from>
    <xdr:to>
      <xdr:col>14</xdr:col>
      <xdr:colOff>83820</xdr:colOff>
      <xdr:row>710</xdr:row>
      <xdr:rowOff>114300</xdr:rowOff>
    </xdr:to>
    <xdr:sp macro="" textlink="">
      <xdr:nvSpPr>
        <xdr:cNvPr id="753" name="Arrow: Down 752">
          <a:extLst>
            <a:ext uri="{FF2B5EF4-FFF2-40B4-BE49-F238E27FC236}">
              <a16:creationId xmlns:a16="http://schemas.microsoft.com/office/drawing/2014/main" id="{B16ACA9C-5813-471B-94EC-BAE6F66F3D6B}"/>
            </a:ext>
          </a:extLst>
        </xdr:cNvPr>
        <xdr:cNvSpPr/>
      </xdr:nvSpPr>
      <xdr:spPr>
        <a:xfrm rot="10800000">
          <a:off x="5372100" y="101696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711</xdr:row>
      <xdr:rowOff>0</xdr:rowOff>
    </xdr:from>
    <xdr:to>
      <xdr:col>14</xdr:col>
      <xdr:colOff>83820</xdr:colOff>
      <xdr:row>711</xdr:row>
      <xdr:rowOff>114300</xdr:rowOff>
    </xdr:to>
    <xdr:sp macro="" textlink="">
      <xdr:nvSpPr>
        <xdr:cNvPr id="757" name="Arrow: Down 756">
          <a:extLst>
            <a:ext uri="{FF2B5EF4-FFF2-40B4-BE49-F238E27FC236}">
              <a16:creationId xmlns:a16="http://schemas.microsoft.com/office/drawing/2014/main" id="{C35A0557-157F-4775-B25B-1F1E551FC1AE}"/>
            </a:ext>
          </a:extLst>
        </xdr:cNvPr>
        <xdr:cNvSpPr/>
      </xdr:nvSpPr>
      <xdr:spPr>
        <a:xfrm>
          <a:off x="5372100" y="101879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712</xdr:row>
      <xdr:rowOff>0</xdr:rowOff>
    </xdr:from>
    <xdr:to>
      <xdr:col>14</xdr:col>
      <xdr:colOff>83820</xdr:colOff>
      <xdr:row>712</xdr:row>
      <xdr:rowOff>114300</xdr:rowOff>
    </xdr:to>
    <xdr:sp macro="" textlink="">
      <xdr:nvSpPr>
        <xdr:cNvPr id="758" name="Arrow: Down 757">
          <a:extLst>
            <a:ext uri="{FF2B5EF4-FFF2-40B4-BE49-F238E27FC236}">
              <a16:creationId xmlns:a16="http://schemas.microsoft.com/office/drawing/2014/main" id="{29EB94BE-615C-450D-87F7-72617181F89C}"/>
            </a:ext>
          </a:extLst>
        </xdr:cNvPr>
        <xdr:cNvSpPr/>
      </xdr:nvSpPr>
      <xdr:spPr>
        <a:xfrm>
          <a:off x="5372100" y="101879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713</xdr:row>
      <xdr:rowOff>0</xdr:rowOff>
    </xdr:from>
    <xdr:to>
      <xdr:col>14</xdr:col>
      <xdr:colOff>83820</xdr:colOff>
      <xdr:row>713</xdr:row>
      <xdr:rowOff>114300</xdr:rowOff>
    </xdr:to>
    <xdr:sp macro="" textlink="">
      <xdr:nvSpPr>
        <xdr:cNvPr id="761" name="Arrow: Down 760">
          <a:extLst>
            <a:ext uri="{FF2B5EF4-FFF2-40B4-BE49-F238E27FC236}">
              <a16:creationId xmlns:a16="http://schemas.microsoft.com/office/drawing/2014/main" id="{0DA8D94E-E0B1-4116-8306-4D0C70EA08BF}"/>
            </a:ext>
          </a:extLst>
        </xdr:cNvPr>
        <xdr:cNvSpPr/>
      </xdr:nvSpPr>
      <xdr:spPr>
        <a:xfrm rot="10800000">
          <a:off x="5372100" y="102245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714</xdr:row>
      <xdr:rowOff>0</xdr:rowOff>
    </xdr:from>
    <xdr:to>
      <xdr:col>14</xdr:col>
      <xdr:colOff>83820</xdr:colOff>
      <xdr:row>714</xdr:row>
      <xdr:rowOff>114300</xdr:rowOff>
    </xdr:to>
    <xdr:sp macro="" textlink="">
      <xdr:nvSpPr>
        <xdr:cNvPr id="763" name="Arrow: Down 762">
          <a:extLst>
            <a:ext uri="{FF2B5EF4-FFF2-40B4-BE49-F238E27FC236}">
              <a16:creationId xmlns:a16="http://schemas.microsoft.com/office/drawing/2014/main" id="{70BB3D18-08E4-4396-95A9-845AEC04DD3D}"/>
            </a:ext>
          </a:extLst>
        </xdr:cNvPr>
        <xdr:cNvSpPr/>
      </xdr:nvSpPr>
      <xdr:spPr>
        <a:xfrm rot="10800000">
          <a:off x="5372100" y="102245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715</xdr:row>
      <xdr:rowOff>0</xdr:rowOff>
    </xdr:from>
    <xdr:to>
      <xdr:col>14</xdr:col>
      <xdr:colOff>83820</xdr:colOff>
      <xdr:row>715</xdr:row>
      <xdr:rowOff>114300</xdr:rowOff>
    </xdr:to>
    <xdr:sp macro="" textlink="">
      <xdr:nvSpPr>
        <xdr:cNvPr id="767" name="Arrow: Down 766">
          <a:extLst>
            <a:ext uri="{FF2B5EF4-FFF2-40B4-BE49-F238E27FC236}">
              <a16:creationId xmlns:a16="http://schemas.microsoft.com/office/drawing/2014/main" id="{0BDF8C41-8BBF-43C7-828A-7664BEEE6C5D}"/>
            </a:ext>
          </a:extLst>
        </xdr:cNvPr>
        <xdr:cNvSpPr/>
      </xdr:nvSpPr>
      <xdr:spPr>
        <a:xfrm>
          <a:off x="5372100" y="10261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716</xdr:row>
      <xdr:rowOff>0</xdr:rowOff>
    </xdr:from>
    <xdr:to>
      <xdr:col>14</xdr:col>
      <xdr:colOff>83820</xdr:colOff>
      <xdr:row>716</xdr:row>
      <xdr:rowOff>114300</xdr:rowOff>
    </xdr:to>
    <xdr:sp macro="" textlink="">
      <xdr:nvSpPr>
        <xdr:cNvPr id="769" name="Arrow: Down 768">
          <a:extLst>
            <a:ext uri="{FF2B5EF4-FFF2-40B4-BE49-F238E27FC236}">
              <a16:creationId xmlns:a16="http://schemas.microsoft.com/office/drawing/2014/main" id="{347F6BD5-8BC4-4B90-95B8-B2122DD7D025}"/>
            </a:ext>
          </a:extLst>
        </xdr:cNvPr>
        <xdr:cNvSpPr/>
      </xdr:nvSpPr>
      <xdr:spPr>
        <a:xfrm>
          <a:off x="5372100" y="10261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718</xdr:row>
      <xdr:rowOff>0</xdr:rowOff>
    </xdr:from>
    <xdr:to>
      <xdr:col>14</xdr:col>
      <xdr:colOff>83820</xdr:colOff>
      <xdr:row>718</xdr:row>
      <xdr:rowOff>114300</xdr:rowOff>
    </xdr:to>
    <xdr:sp macro="" textlink="">
      <xdr:nvSpPr>
        <xdr:cNvPr id="772" name="Arrow: Down 771">
          <a:extLst>
            <a:ext uri="{FF2B5EF4-FFF2-40B4-BE49-F238E27FC236}">
              <a16:creationId xmlns:a16="http://schemas.microsoft.com/office/drawing/2014/main" id="{5386A7C4-E339-42F7-9B9F-92964AA74EB0}"/>
            </a:ext>
          </a:extLst>
        </xdr:cNvPr>
        <xdr:cNvSpPr/>
      </xdr:nvSpPr>
      <xdr:spPr>
        <a:xfrm>
          <a:off x="5372100" y="10297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717</xdr:row>
      <xdr:rowOff>0</xdr:rowOff>
    </xdr:from>
    <xdr:to>
      <xdr:col>14</xdr:col>
      <xdr:colOff>83820</xdr:colOff>
      <xdr:row>717</xdr:row>
      <xdr:rowOff>114300</xdr:rowOff>
    </xdr:to>
    <xdr:sp macro="" textlink="">
      <xdr:nvSpPr>
        <xdr:cNvPr id="774" name="Arrow: Down 773">
          <a:extLst>
            <a:ext uri="{FF2B5EF4-FFF2-40B4-BE49-F238E27FC236}">
              <a16:creationId xmlns:a16="http://schemas.microsoft.com/office/drawing/2014/main" id="{36CDAC16-9447-4F4E-B646-E9C39153CC35}"/>
            </a:ext>
          </a:extLst>
        </xdr:cNvPr>
        <xdr:cNvSpPr/>
      </xdr:nvSpPr>
      <xdr:spPr>
        <a:xfrm rot="10800000">
          <a:off x="5372100" y="102976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719</xdr:row>
      <xdr:rowOff>0</xdr:rowOff>
    </xdr:from>
    <xdr:to>
      <xdr:col>14</xdr:col>
      <xdr:colOff>83820</xdr:colOff>
      <xdr:row>719</xdr:row>
      <xdr:rowOff>114300</xdr:rowOff>
    </xdr:to>
    <xdr:sp macro="" textlink="">
      <xdr:nvSpPr>
        <xdr:cNvPr id="775" name="Arrow: Down 774">
          <a:extLst>
            <a:ext uri="{FF2B5EF4-FFF2-40B4-BE49-F238E27FC236}">
              <a16:creationId xmlns:a16="http://schemas.microsoft.com/office/drawing/2014/main" id="{BBFA184C-9DDE-4128-A7D8-A3C9B70C636E}"/>
            </a:ext>
          </a:extLst>
        </xdr:cNvPr>
        <xdr:cNvSpPr/>
      </xdr:nvSpPr>
      <xdr:spPr>
        <a:xfrm>
          <a:off x="5372100" y="103159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721</xdr:row>
      <xdr:rowOff>0</xdr:rowOff>
    </xdr:from>
    <xdr:to>
      <xdr:col>14</xdr:col>
      <xdr:colOff>83820</xdr:colOff>
      <xdr:row>721</xdr:row>
      <xdr:rowOff>114300</xdr:rowOff>
    </xdr:to>
    <xdr:sp macro="" textlink="">
      <xdr:nvSpPr>
        <xdr:cNvPr id="714" name="Arrow: Down 713">
          <a:extLst>
            <a:ext uri="{FF2B5EF4-FFF2-40B4-BE49-F238E27FC236}">
              <a16:creationId xmlns:a16="http://schemas.microsoft.com/office/drawing/2014/main" id="{8E6B1ED5-5236-44BD-AB3E-94CBE271AE3A}"/>
            </a:ext>
          </a:extLst>
        </xdr:cNvPr>
        <xdr:cNvSpPr/>
      </xdr:nvSpPr>
      <xdr:spPr>
        <a:xfrm>
          <a:off x="5372100" y="103525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720</xdr:row>
      <xdr:rowOff>0</xdr:rowOff>
    </xdr:from>
    <xdr:to>
      <xdr:col>14</xdr:col>
      <xdr:colOff>83820</xdr:colOff>
      <xdr:row>720</xdr:row>
      <xdr:rowOff>114300</xdr:rowOff>
    </xdr:to>
    <xdr:sp macro="" textlink="">
      <xdr:nvSpPr>
        <xdr:cNvPr id="727" name="Arrow: Down 726">
          <a:extLst>
            <a:ext uri="{FF2B5EF4-FFF2-40B4-BE49-F238E27FC236}">
              <a16:creationId xmlns:a16="http://schemas.microsoft.com/office/drawing/2014/main" id="{3608FEDD-4A2C-4E8F-B35B-E5E080371BB7}"/>
            </a:ext>
          </a:extLst>
        </xdr:cNvPr>
        <xdr:cNvSpPr/>
      </xdr:nvSpPr>
      <xdr:spPr>
        <a:xfrm rot="10800000">
          <a:off x="5372100" y="10352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724</xdr:row>
      <xdr:rowOff>0</xdr:rowOff>
    </xdr:from>
    <xdr:to>
      <xdr:col>14</xdr:col>
      <xdr:colOff>83820</xdr:colOff>
      <xdr:row>724</xdr:row>
      <xdr:rowOff>114300</xdr:rowOff>
    </xdr:to>
    <xdr:sp macro="" textlink="">
      <xdr:nvSpPr>
        <xdr:cNvPr id="737" name="Arrow: Down 736">
          <a:extLst>
            <a:ext uri="{FF2B5EF4-FFF2-40B4-BE49-F238E27FC236}">
              <a16:creationId xmlns:a16="http://schemas.microsoft.com/office/drawing/2014/main" id="{D9B6341C-00DD-4C32-B68B-71C52C97ABD9}"/>
            </a:ext>
          </a:extLst>
        </xdr:cNvPr>
        <xdr:cNvSpPr/>
      </xdr:nvSpPr>
      <xdr:spPr>
        <a:xfrm>
          <a:off x="5372100" y="10407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726</xdr:row>
      <xdr:rowOff>0</xdr:rowOff>
    </xdr:from>
    <xdr:to>
      <xdr:col>14</xdr:col>
      <xdr:colOff>83820</xdr:colOff>
      <xdr:row>726</xdr:row>
      <xdr:rowOff>114300</xdr:rowOff>
    </xdr:to>
    <xdr:sp macro="" textlink="">
      <xdr:nvSpPr>
        <xdr:cNvPr id="745" name="Arrow: Down 744">
          <a:extLst>
            <a:ext uri="{FF2B5EF4-FFF2-40B4-BE49-F238E27FC236}">
              <a16:creationId xmlns:a16="http://schemas.microsoft.com/office/drawing/2014/main" id="{77671DF2-AE7B-46F6-9003-C56ED33D0E02}"/>
            </a:ext>
          </a:extLst>
        </xdr:cNvPr>
        <xdr:cNvSpPr/>
      </xdr:nvSpPr>
      <xdr:spPr>
        <a:xfrm>
          <a:off x="5372100" y="104439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722</xdr:row>
      <xdr:rowOff>0</xdr:rowOff>
    </xdr:from>
    <xdr:to>
      <xdr:col>14</xdr:col>
      <xdr:colOff>83820</xdr:colOff>
      <xdr:row>722</xdr:row>
      <xdr:rowOff>114300</xdr:rowOff>
    </xdr:to>
    <xdr:sp macro="" textlink="">
      <xdr:nvSpPr>
        <xdr:cNvPr id="748" name="Arrow: Down 747">
          <a:extLst>
            <a:ext uri="{FF2B5EF4-FFF2-40B4-BE49-F238E27FC236}">
              <a16:creationId xmlns:a16="http://schemas.microsoft.com/office/drawing/2014/main" id="{81F6F99A-9A7D-4E20-B431-9762AF16D30C}"/>
            </a:ext>
          </a:extLst>
        </xdr:cNvPr>
        <xdr:cNvSpPr/>
      </xdr:nvSpPr>
      <xdr:spPr>
        <a:xfrm rot="10800000">
          <a:off x="5372100" y="103891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725</xdr:row>
      <xdr:rowOff>0</xdr:rowOff>
    </xdr:from>
    <xdr:to>
      <xdr:col>14</xdr:col>
      <xdr:colOff>83820</xdr:colOff>
      <xdr:row>725</xdr:row>
      <xdr:rowOff>114300</xdr:rowOff>
    </xdr:to>
    <xdr:sp macro="" textlink="">
      <xdr:nvSpPr>
        <xdr:cNvPr id="751" name="Arrow: Down 750">
          <a:extLst>
            <a:ext uri="{FF2B5EF4-FFF2-40B4-BE49-F238E27FC236}">
              <a16:creationId xmlns:a16="http://schemas.microsoft.com/office/drawing/2014/main" id="{D3DE2607-BCB0-4A6F-9DBC-959A093B4769}"/>
            </a:ext>
          </a:extLst>
        </xdr:cNvPr>
        <xdr:cNvSpPr/>
      </xdr:nvSpPr>
      <xdr:spPr>
        <a:xfrm rot="10800000">
          <a:off x="5372100" y="104439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723</xdr:row>
      <xdr:rowOff>0</xdr:rowOff>
    </xdr:from>
    <xdr:to>
      <xdr:col>14</xdr:col>
      <xdr:colOff>83820</xdr:colOff>
      <xdr:row>723</xdr:row>
      <xdr:rowOff>114300</xdr:rowOff>
    </xdr:to>
    <xdr:sp macro="" textlink="">
      <xdr:nvSpPr>
        <xdr:cNvPr id="752" name="Arrow: Down 751">
          <a:extLst>
            <a:ext uri="{FF2B5EF4-FFF2-40B4-BE49-F238E27FC236}">
              <a16:creationId xmlns:a16="http://schemas.microsoft.com/office/drawing/2014/main" id="{E1F72B4C-40FD-4195-BC7F-52C4309C3481}"/>
            </a:ext>
          </a:extLst>
        </xdr:cNvPr>
        <xdr:cNvSpPr/>
      </xdr:nvSpPr>
      <xdr:spPr>
        <a:xfrm rot="10800000">
          <a:off x="5372100" y="10407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728</xdr:row>
      <xdr:rowOff>0</xdr:rowOff>
    </xdr:from>
    <xdr:to>
      <xdr:col>14</xdr:col>
      <xdr:colOff>83820</xdr:colOff>
      <xdr:row>728</xdr:row>
      <xdr:rowOff>114300</xdr:rowOff>
    </xdr:to>
    <xdr:sp macro="" textlink="">
      <xdr:nvSpPr>
        <xdr:cNvPr id="723" name="Arrow: Down 722">
          <a:extLst>
            <a:ext uri="{FF2B5EF4-FFF2-40B4-BE49-F238E27FC236}">
              <a16:creationId xmlns:a16="http://schemas.microsoft.com/office/drawing/2014/main" id="{19E11998-4E8F-423B-B3A0-CA6301ACF344}"/>
            </a:ext>
          </a:extLst>
        </xdr:cNvPr>
        <xdr:cNvSpPr/>
      </xdr:nvSpPr>
      <xdr:spPr>
        <a:xfrm>
          <a:off x="5372100" y="104805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727</xdr:row>
      <xdr:rowOff>0</xdr:rowOff>
    </xdr:from>
    <xdr:to>
      <xdr:col>14</xdr:col>
      <xdr:colOff>83820</xdr:colOff>
      <xdr:row>727</xdr:row>
      <xdr:rowOff>114300</xdr:rowOff>
    </xdr:to>
    <xdr:sp macro="" textlink="">
      <xdr:nvSpPr>
        <xdr:cNvPr id="728" name="Arrow: Down 727">
          <a:extLst>
            <a:ext uri="{FF2B5EF4-FFF2-40B4-BE49-F238E27FC236}">
              <a16:creationId xmlns:a16="http://schemas.microsoft.com/office/drawing/2014/main" id="{19B9AA15-AE71-419D-8AA6-18B5F68B17A7}"/>
            </a:ext>
          </a:extLst>
        </xdr:cNvPr>
        <xdr:cNvSpPr/>
      </xdr:nvSpPr>
      <xdr:spPr>
        <a:xfrm rot="10800000">
          <a:off x="5372100" y="104805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729</xdr:row>
      <xdr:rowOff>0</xdr:rowOff>
    </xdr:from>
    <xdr:to>
      <xdr:col>14</xdr:col>
      <xdr:colOff>83820</xdr:colOff>
      <xdr:row>729</xdr:row>
      <xdr:rowOff>114300</xdr:rowOff>
    </xdr:to>
    <xdr:sp macro="" textlink="">
      <xdr:nvSpPr>
        <xdr:cNvPr id="733" name="Arrow: Down 732">
          <a:extLst>
            <a:ext uri="{FF2B5EF4-FFF2-40B4-BE49-F238E27FC236}">
              <a16:creationId xmlns:a16="http://schemas.microsoft.com/office/drawing/2014/main" id="{9DA0BFF6-277A-44D6-8996-D3EFBB33A35C}"/>
            </a:ext>
          </a:extLst>
        </xdr:cNvPr>
        <xdr:cNvSpPr/>
      </xdr:nvSpPr>
      <xdr:spPr>
        <a:xfrm>
          <a:off x="5372100" y="104988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732</xdr:row>
      <xdr:rowOff>0</xdr:rowOff>
    </xdr:from>
    <xdr:to>
      <xdr:col>14</xdr:col>
      <xdr:colOff>83820</xdr:colOff>
      <xdr:row>732</xdr:row>
      <xdr:rowOff>114300</xdr:rowOff>
    </xdr:to>
    <xdr:sp macro="" textlink="">
      <xdr:nvSpPr>
        <xdr:cNvPr id="747" name="Arrow: Down 746">
          <a:extLst>
            <a:ext uri="{FF2B5EF4-FFF2-40B4-BE49-F238E27FC236}">
              <a16:creationId xmlns:a16="http://schemas.microsoft.com/office/drawing/2014/main" id="{D316D3F8-4A29-4F83-BA30-DA1A0F54873B}"/>
            </a:ext>
          </a:extLst>
        </xdr:cNvPr>
        <xdr:cNvSpPr/>
      </xdr:nvSpPr>
      <xdr:spPr>
        <a:xfrm>
          <a:off x="5372100" y="10553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730</xdr:row>
      <xdr:rowOff>0</xdr:rowOff>
    </xdr:from>
    <xdr:to>
      <xdr:col>14</xdr:col>
      <xdr:colOff>83820</xdr:colOff>
      <xdr:row>730</xdr:row>
      <xdr:rowOff>114300</xdr:rowOff>
    </xdr:to>
    <xdr:sp macro="" textlink="">
      <xdr:nvSpPr>
        <xdr:cNvPr id="754" name="Arrow: Down 753">
          <a:extLst>
            <a:ext uri="{FF2B5EF4-FFF2-40B4-BE49-F238E27FC236}">
              <a16:creationId xmlns:a16="http://schemas.microsoft.com/office/drawing/2014/main" id="{A4489605-84C6-44FA-80AD-459827D5C661}"/>
            </a:ext>
          </a:extLst>
        </xdr:cNvPr>
        <xdr:cNvSpPr/>
      </xdr:nvSpPr>
      <xdr:spPr>
        <a:xfrm rot="10800000">
          <a:off x="5372100" y="10535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731</xdr:row>
      <xdr:rowOff>0</xdr:rowOff>
    </xdr:from>
    <xdr:to>
      <xdr:col>14</xdr:col>
      <xdr:colOff>83820</xdr:colOff>
      <xdr:row>731</xdr:row>
      <xdr:rowOff>114300</xdr:rowOff>
    </xdr:to>
    <xdr:sp macro="" textlink="">
      <xdr:nvSpPr>
        <xdr:cNvPr id="756" name="Arrow: Down 755">
          <a:extLst>
            <a:ext uri="{FF2B5EF4-FFF2-40B4-BE49-F238E27FC236}">
              <a16:creationId xmlns:a16="http://schemas.microsoft.com/office/drawing/2014/main" id="{F8EB9107-32F8-4BDD-BCB2-8973A1C9B613}"/>
            </a:ext>
          </a:extLst>
        </xdr:cNvPr>
        <xdr:cNvSpPr/>
      </xdr:nvSpPr>
      <xdr:spPr>
        <a:xfrm rot="10800000">
          <a:off x="5372100" y="105537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733</xdr:row>
      <xdr:rowOff>0</xdr:rowOff>
    </xdr:from>
    <xdr:to>
      <xdr:col>14</xdr:col>
      <xdr:colOff>83820</xdr:colOff>
      <xdr:row>733</xdr:row>
      <xdr:rowOff>114300</xdr:rowOff>
    </xdr:to>
    <xdr:sp macro="" textlink="">
      <xdr:nvSpPr>
        <xdr:cNvPr id="760" name="Arrow: Down 759">
          <a:extLst>
            <a:ext uri="{FF2B5EF4-FFF2-40B4-BE49-F238E27FC236}">
              <a16:creationId xmlns:a16="http://schemas.microsoft.com/office/drawing/2014/main" id="{4EB0F5B1-06F8-4702-86A3-F8B4052CF208}"/>
            </a:ext>
          </a:extLst>
        </xdr:cNvPr>
        <xdr:cNvSpPr/>
      </xdr:nvSpPr>
      <xdr:spPr>
        <a:xfrm>
          <a:off x="5372100" y="105719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734</xdr:row>
      <xdr:rowOff>0</xdr:rowOff>
    </xdr:from>
    <xdr:to>
      <xdr:col>14</xdr:col>
      <xdr:colOff>83820</xdr:colOff>
      <xdr:row>734</xdr:row>
      <xdr:rowOff>114300</xdr:rowOff>
    </xdr:to>
    <xdr:sp macro="" textlink="">
      <xdr:nvSpPr>
        <xdr:cNvPr id="735" name="Arrow: Down 734">
          <a:extLst>
            <a:ext uri="{FF2B5EF4-FFF2-40B4-BE49-F238E27FC236}">
              <a16:creationId xmlns:a16="http://schemas.microsoft.com/office/drawing/2014/main" id="{808A6AD4-CA92-40E4-92FA-6C29CA92BFAA}"/>
            </a:ext>
          </a:extLst>
        </xdr:cNvPr>
        <xdr:cNvSpPr/>
      </xdr:nvSpPr>
      <xdr:spPr>
        <a:xfrm rot="10800000">
          <a:off x="5372100" y="10608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735</xdr:row>
      <xdr:rowOff>0</xdr:rowOff>
    </xdr:from>
    <xdr:to>
      <xdr:col>14</xdr:col>
      <xdr:colOff>83820</xdr:colOff>
      <xdr:row>735</xdr:row>
      <xdr:rowOff>114300</xdr:rowOff>
    </xdr:to>
    <xdr:sp macro="" textlink="">
      <xdr:nvSpPr>
        <xdr:cNvPr id="744" name="Arrow: Down 743">
          <a:extLst>
            <a:ext uri="{FF2B5EF4-FFF2-40B4-BE49-F238E27FC236}">
              <a16:creationId xmlns:a16="http://schemas.microsoft.com/office/drawing/2014/main" id="{67E0129B-3099-4F54-9B24-C73814AE2C1E}"/>
            </a:ext>
          </a:extLst>
        </xdr:cNvPr>
        <xdr:cNvSpPr/>
      </xdr:nvSpPr>
      <xdr:spPr>
        <a:xfrm>
          <a:off x="5372100" y="106268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738</xdr:row>
      <xdr:rowOff>0</xdr:rowOff>
    </xdr:from>
    <xdr:to>
      <xdr:col>14</xdr:col>
      <xdr:colOff>83820</xdr:colOff>
      <xdr:row>738</xdr:row>
      <xdr:rowOff>114300</xdr:rowOff>
    </xdr:to>
    <xdr:sp macro="" textlink="">
      <xdr:nvSpPr>
        <xdr:cNvPr id="765" name="Arrow: Down 764">
          <a:extLst>
            <a:ext uri="{FF2B5EF4-FFF2-40B4-BE49-F238E27FC236}">
              <a16:creationId xmlns:a16="http://schemas.microsoft.com/office/drawing/2014/main" id="{0CB4E2F0-1F59-44D1-A561-CB54801796E0}"/>
            </a:ext>
          </a:extLst>
        </xdr:cNvPr>
        <xdr:cNvSpPr/>
      </xdr:nvSpPr>
      <xdr:spPr>
        <a:xfrm>
          <a:off x="5372100" y="10663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736</xdr:row>
      <xdr:rowOff>0</xdr:rowOff>
    </xdr:from>
    <xdr:to>
      <xdr:col>14</xdr:col>
      <xdr:colOff>83820</xdr:colOff>
      <xdr:row>736</xdr:row>
      <xdr:rowOff>114300</xdr:rowOff>
    </xdr:to>
    <xdr:sp macro="" textlink="">
      <xdr:nvSpPr>
        <xdr:cNvPr id="768" name="Arrow: Down 767">
          <a:extLst>
            <a:ext uri="{FF2B5EF4-FFF2-40B4-BE49-F238E27FC236}">
              <a16:creationId xmlns:a16="http://schemas.microsoft.com/office/drawing/2014/main" id="{97E6439F-2409-4F28-A128-D14DFA8A920E}"/>
            </a:ext>
          </a:extLst>
        </xdr:cNvPr>
        <xdr:cNvSpPr/>
      </xdr:nvSpPr>
      <xdr:spPr>
        <a:xfrm rot="10800000">
          <a:off x="5372100" y="10645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737</xdr:row>
      <xdr:rowOff>0</xdr:rowOff>
    </xdr:from>
    <xdr:to>
      <xdr:col>14</xdr:col>
      <xdr:colOff>83820</xdr:colOff>
      <xdr:row>737</xdr:row>
      <xdr:rowOff>114300</xdr:rowOff>
    </xdr:to>
    <xdr:sp macro="" textlink="">
      <xdr:nvSpPr>
        <xdr:cNvPr id="770" name="Arrow: Down 769">
          <a:extLst>
            <a:ext uri="{FF2B5EF4-FFF2-40B4-BE49-F238E27FC236}">
              <a16:creationId xmlns:a16="http://schemas.microsoft.com/office/drawing/2014/main" id="{8BAAF4B2-0A48-40F6-A58D-C65A36396CC6}"/>
            </a:ext>
          </a:extLst>
        </xdr:cNvPr>
        <xdr:cNvSpPr/>
      </xdr:nvSpPr>
      <xdr:spPr>
        <a:xfrm rot="10800000">
          <a:off x="5372100" y="106634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739</xdr:row>
      <xdr:rowOff>0</xdr:rowOff>
    </xdr:from>
    <xdr:to>
      <xdr:col>14</xdr:col>
      <xdr:colOff>83820</xdr:colOff>
      <xdr:row>739</xdr:row>
      <xdr:rowOff>114300</xdr:rowOff>
    </xdr:to>
    <xdr:sp macro="" textlink="">
      <xdr:nvSpPr>
        <xdr:cNvPr id="778" name="Arrow: Down 777">
          <a:extLst>
            <a:ext uri="{FF2B5EF4-FFF2-40B4-BE49-F238E27FC236}">
              <a16:creationId xmlns:a16="http://schemas.microsoft.com/office/drawing/2014/main" id="{61EB7440-2569-49C8-B8F2-19106F254722}"/>
            </a:ext>
          </a:extLst>
        </xdr:cNvPr>
        <xdr:cNvSpPr/>
      </xdr:nvSpPr>
      <xdr:spPr>
        <a:xfrm rot="10800000">
          <a:off x="5372100" y="107000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740</xdr:row>
      <xdr:rowOff>0</xdr:rowOff>
    </xdr:from>
    <xdr:to>
      <xdr:col>14</xdr:col>
      <xdr:colOff>83820</xdr:colOff>
      <xdr:row>740</xdr:row>
      <xdr:rowOff>114300</xdr:rowOff>
    </xdr:to>
    <xdr:sp macro="" textlink="">
      <xdr:nvSpPr>
        <xdr:cNvPr id="781" name="Arrow: Down 780">
          <a:extLst>
            <a:ext uri="{FF2B5EF4-FFF2-40B4-BE49-F238E27FC236}">
              <a16:creationId xmlns:a16="http://schemas.microsoft.com/office/drawing/2014/main" id="{3F7534DB-A094-40BA-9C55-C83996DBD30D}"/>
            </a:ext>
          </a:extLst>
        </xdr:cNvPr>
        <xdr:cNvSpPr/>
      </xdr:nvSpPr>
      <xdr:spPr>
        <a:xfrm>
          <a:off x="5372100" y="107182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741</xdr:row>
      <xdr:rowOff>0</xdr:rowOff>
    </xdr:from>
    <xdr:to>
      <xdr:col>14</xdr:col>
      <xdr:colOff>83820</xdr:colOff>
      <xdr:row>741</xdr:row>
      <xdr:rowOff>114300</xdr:rowOff>
    </xdr:to>
    <xdr:sp macro="" textlink="">
      <xdr:nvSpPr>
        <xdr:cNvPr id="731" name="Arrow: Down 730">
          <a:extLst>
            <a:ext uri="{FF2B5EF4-FFF2-40B4-BE49-F238E27FC236}">
              <a16:creationId xmlns:a16="http://schemas.microsoft.com/office/drawing/2014/main" id="{A8E21446-18BF-4EB8-9E0A-911C85F986A0}"/>
            </a:ext>
          </a:extLst>
        </xdr:cNvPr>
        <xdr:cNvSpPr/>
      </xdr:nvSpPr>
      <xdr:spPr>
        <a:xfrm>
          <a:off x="5372100" y="107182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742</xdr:row>
      <xdr:rowOff>0</xdr:rowOff>
    </xdr:from>
    <xdr:to>
      <xdr:col>14</xdr:col>
      <xdr:colOff>83820</xdr:colOff>
      <xdr:row>742</xdr:row>
      <xdr:rowOff>114300</xdr:rowOff>
    </xdr:to>
    <xdr:sp macro="" textlink="">
      <xdr:nvSpPr>
        <xdr:cNvPr id="749" name="Arrow: Down 748">
          <a:extLst>
            <a:ext uri="{FF2B5EF4-FFF2-40B4-BE49-F238E27FC236}">
              <a16:creationId xmlns:a16="http://schemas.microsoft.com/office/drawing/2014/main" id="{10B2FD71-3200-427F-9E8B-8B127796240B}"/>
            </a:ext>
          </a:extLst>
        </xdr:cNvPr>
        <xdr:cNvSpPr/>
      </xdr:nvSpPr>
      <xdr:spPr>
        <a:xfrm rot="10800000">
          <a:off x="5372100" y="10754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743</xdr:row>
      <xdr:rowOff>0</xdr:rowOff>
    </xdr:from>
    <xdr:to>
      <xdr:col>14</xdr:col>
      <xdr:colOff>83820</xdr:colOff>
      <xdr:row>743</xdr:row>
      <xdr:rowOff>114300</xdr:rowOff>
    </xdr:to>
    <xdr:sp macro="" textlink="">
      <xdr:nvSpPr>
        <xdr:cNvPr id="764" name="Arrow: Down 763">
          <a:extLst>
            <a:ext uri="{FF2B5EF4-FFF2-40B4-BE49-F238E27FC236}">
              <a16:creationId xmlns:a16="http://schemas.microsoft.com/office/drawing/2014/main" id="{F993F4C8-2596-427B-9BB4-54EE89B0072C}"/>
            </a:ext>
          </a:extLst>
        </xdr:cNvPr>
        <xdr:cNvSpPr/>
      </xdr:nvSpPr>
      <xdr:spPr>
        <a:xfrm>
          <a:off x="5372100" y="10773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745</xdr:row>
      <xdr:rowOff>0</xdr:rowOff>
    </xdr:from>
    <xdr:to>
      <xdr:col>14</xdr:col>
      <xdr:colOff>83820</xdr:colOff>
      <xdr:row>745</xdr:row>
      <xdr:rowOff>114300</xdr:rowOff>
    </xdr:to>
    <xdr:sp macro="" textlink="">
      <xdr:nvSpPr>
        <xdr:cNvPr id="773" name="Arrow: Down 772">
          <a:extLst>
            <a:ext uri="{FF2B5EF4-FFF2-40B4-BE49-F238E27FC236}">
              <a16:creationId xmlns:a16="http://schemas.microsoft.com/office/drawing/2014/main" id="{1507D658-58E2-4D99-8469-A5A66F71B3F8}"/>
            </a:ext>
          </a:extLst>
        </xdr:cNvPr>
        <xdr:cNvSpPr/>
      </xdr:nvSpPr>
      <xdr:spPr>
        <a:xfrm>
          <a:off x="5372100" y="10791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744</xdr:row>
      <xdr:rowOff>0</xdr:rowOff>
    </xdr:from>
    <xdr:to>
      <xdr:col>14</xdr:col>
      <xdr:colOff>83820</xdr:colOff>
      <xdr:row>744</xdr:row>
      <xdr:rowOff>114300</xdr:rowOff>
    </xdr:to>
    <xdr:sp macro="" textlink="">
      <xdr:nvSpPr>
        <xdr:cNvPr id="777" name="Arrow: Down 776">
          <a:extLst>
            <a:ext uri="{FF2B5EF4-FFF2-40B4-BE49-F238E27FC236}">
              <a16:creationId xmlns:a16="http://schemas.microsoft.com/office/drawing/2014/main" id="{AEFE43CF-F242-4D42-9EE4-E017EC862E41}"/>
            </a:ext>
          </a:extLst>
        </xdr:cNvPr>
        <xdr:cNvSpPr/>
      </xdr:nvSpPr>
      <xdr:spPr>
        <a:xfrm rot="10800000">
          <a:off x="5372100" y="107914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746</xdr:row>
      <xdr:rowOff>0</xdr:rowOff>
    </xdr:from>
    <xdr:to>
      <xdr:col>14</xdr:col>
      <xdr:colOff>83820</xdr:colOff>
      <xdr:row>746</xdr:row>
      <xdr:rowOff>114300</xdr:rowOff>
    </xdr:to>
    <xdr:sp macro="" textlink="">
      <xdr:nvSpPr>
        <xdr:cNvPr id="780" name="Arrow: Down 779">
          <a:extLst>
            <a:ext uri="{FF2B5EF4-FFF2-40B4-BE49-F238E27FC236}">
              <a16:creationId xmlns:a16="http://schemas.microsoft.com/office/drawing/2014/main" id="{EC0F68F7-EB56-405A-9E26-D221F51C1ABB}"/>
            </a:ext>
          </a:extLst>
        </xdr:cNvPr>
        <xdr:cNvSpPr/>
      </xdr:nvSpPr>
      <xdr:spPr>
        <a:xfrm>
          <a:off x="5372100" y="10809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747</xdr:row>
      <xdr:rowOff>0</xdr:rowOff>
    </xdr:from>
    <xdr:to>
      <xdr:col>14</xdr:col>
      <xdr:colOff>83820</xdr:colOff>
      <xdr:row>747</xdr:row>
      <xdr:rowOff>114300</xdr:rowOff>
    </xdr:to>
    <xdr:sp macro="" textlink="">
      <xdr:nvSpPr>
        <xdr:cNvPr id="783" name="Arrow: Down 782">
          <a:extLst>
            <a:ext uri="{FF2B5EF4-FFF2-40B4-BE49-F238E27FC236}">
              <a16:creationId xmlns:a16="http://schemas.microsoft.com/office/drawing/2014/main" id="{4F54CE03-2983-4A45-A331-634D71C7DACC}"/>
            </a:ext>
          </a:extLst>
        </xdr:cNvPr>
        <xdr:cNvSpPr/>
      </xdr:nvSpPr>
      <xdr:spPr>
        <a:xfrm>
          <a:off x="5372100" y="108280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749</xdr:row>
      <xdr:rowOff>0</xdr:rowOff>
    </xdr:from>
    <xdr:to>
      <xdr:col>14</xdr:col>
      <xdr:colOff>83820</xdr:colOff>
      <xdr:row>749</xdr:row>
      <xdr:rowOff>114300</xdr:rowOff>
    </xdr:to>
    <xdr:sp macro="" textlink="">
      <xdr:nvSpPr>
        <xdr:cNvPr id="787" name="Arrow: Down 786">
          <a:extLst>
            <a:ext uri="{FF2B5EF4-FFF2-40B4-BE49-F238E27FC236}">
              <a16:creationId xmlns:a16="http://schemas.microsoft.com/office/drawing/2014/main" id="{F97EFB07-33B8-4BF2-9E35-9B3429929AFB}"/>
            </a:ext>
          </a:extLst>
        </xdr:cNvPr>
        <xdr:cNvSpPr/>
      </xdr:nvSpPr>
      <xdr:spPr>
        <a:xfrm>
          <a:off x="5372100" y="10864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748</xdr:row>
      <xdr:rowOff>0</xdr:rowOff>
    </xdr:from>
    <xdr:to>
      <xdr:col>14</xdr:col>
      <xdr:colOff>83820</xdr:colOff>
      <xdr:row>748</xdr:row>
      <xdr:rowOff>114300</xdr:rowOff>
    </xdr:to>
    <xdr:sp macro="" textlink="">
      <xdr:nvSpPr>
        <xdr:cNvPr id="788" name="Arrow: Down 787">
          <a:extLst>
            <a:ext uri="{FF2B5EF4-FFF2-40B4-BE49-F238E27FC236}">
              <a16:creationId xmlns:a16="http://schemas.microsoft.com/office/drawing/2014/main" id="{507DC438-C1B6-4BCC-9100-80BA77CFB9B9}"/>
            </a:ext>
          </a:extLst>
        </xdr:cNvPr>
        <xdr:cNvSpPr/>
      </xdr:nvSpPr>
      <xdr:spPr>
        <a:xfrm rot="10800000">
          <a:off x="5372100" y="10864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751</xdr:row>
      <xdr:rowOff>0</xdr:rowOff>
    </xdr:from>
    <xdr:to>
      <xdr:col>14</xdr:col>
      <xdr:colOff>83820</xdr:colOff>
      <xdr:row>751</xdr:row>
      <xdr:rowOff>114300</xdr:rowOff>
    </xdr:to>
    <xdr:sp macro="" textlink="">
      <xdr:nvSpPr>
        <xdr:cNvPr id="792" name="Arrow: Down 791">
          <a:extLst>
            <a:ext uri="{FF2B5EF4-FFF2-40B4-BE49-F238E27FC236}">
              <a16:creationId xmlns:a16="http://schemas.microsoft.com/office/drawing/2014/main" id="{409AEC9C-EC49-47CD-957E-7F4FBB64D229}"/>
            </a:ext>
          </a:extLst>
        </xdr:cNvPr>
        <xdr:cNvSpPr/>
      </xdr:nvSpPr>
      <xdr:spPr>
        <a:xfrm>
          <a:off x="5372100" y="109011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750</xdr:row>
      <xdr:rowOff>0</xdr:rowOff>
    </xdr:from>
    <xdr:to>
      <xdr:col>14</xdr:col>
      <xdr:colOff>83820</xdr:colOff>
      <xdr:row>750</xdr:row>
      <xdr:rowOff>114300</xdr:rowOff>
    </xdr:to>
    <xdr:sp macro="" textlink="">
      <xdr:nvSpPr>
        <xdr:cNvPr id="794" name="Arrow: Down 793">
          <a:extLst>
            <a:ext uri="{FF2B5EF4-FFF2-40B4-BE49-F238E27FC236}">
              <a16:creationId xmlns:a16="http://schemas.microsoft.com/office/drawing/2014/main" id="{B2DD1621-88B6-4080-9A84-45A08BB1D543}"/>
            </a:ext>
          </a:extLst>
        </xdr:cNvPr>
        <xdr:cNvSpPr/>
      </xdr:nvSpPr>
      <xdr:spPr>
        <a:xfrm rot="10800000">
          <a:off x="5372100" y="10901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752</xdr:row>
      <xdr:rowOff>0</xdr:rowOff>
    </xdr:from>
    <xdr:to>
      <xdr:col>14</xdr:col>
      <xdr:colOff>83820</xdr:colOff>
      <xdr:row>752</xdr:row>
      <xdr:rowOff>114300</xdr:rowOff>
    </xdr:to>
    <xdr:sp macro="" textlink="">
      <xdr:nvSpPr>
        <xdr:cNvPr id="796" name="Arrow: Down 795">
          <a:extLst>
            <a:ext uri="{FF2B5EF4-FFF2-40B4-BE49-F238E27FC236}">
              <a16:creationId xmlns:a16="http://schemas.microsoft.com/office/drawing/2014/main" id="{56FF22BE-51EC-44A5-BC4E-29ED29B8FB8B}"/>
            </a:ext>
          </a:extLst>
        </xdr:cNvPr>
        <xdr:cNvSpPr/>
      </xdr:nvSpPr>
      <xdr:spPr>
        <a:xfrm>
          <a:off x="5372100" y="10919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753</xdr:row>
      <xdr:rowOff>0</xdr:rowOff>
    </xdr:from>
    <xdr:to>
      <xdr:col>14</xdr:col>
      <xdr:colOff>83820</xdr:colOff>
      <xdr:row>753</xdr:row>
      <xdr:rowOff>114300</xdr:rowOff>
    </xdr:to>
    <xdr:sp macro="" textlink="">
      <xdr:nvSpPr>
        <xdr:cNvPr id="800" name="Arrow: Down 799">
          <a:extLst>
            <a:ext uri="{FF2B5EF4-FFF2-40B4-BE49-F238E27FC236}">
              <a16:creationId xmlns:a16="http://schemas.microsoft.com/office/drawing/2014/main" id="{3920A840-A209-4BF4-9A7C-1B1DB84B4949}"/>
            </a:ext>
          </a:extLst>
        </xdr:cNvPr>
        <xdr:cNvSpPr/>
      </xdr:nvSpPr>
      <xdr:spPr>
        <a:xfrm rot="10800000">
          <a:off x="5372100" y="10956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754</xdr:row>
      <xdr:rowOff>0</xdr:rowOff>
    </xdr:from>
    <xdr:to>
      <xdr:col>14</xdr:col>
      <xdr:colOff>83820</xdr:colOff>
      <xdr:row>754</xdr:row>
      <xdr:rowOff>114300</xdr:rowOff>
    </xdr:to>
    <xdr:sp macro="" textlink="">
      <xdr:nvSpPr>
        <xdr:cNvPr id="803" name="Arrow: Down 802">
          <a:extLst>
            <a:ext uri="{FF2B5EF4-FFF2-40B4-BE49-F238E27FC236}">
              <a16:creationId xmlns:a16="http://schemas.microsoft.com/office/drawing/2014/main" id="{87DCA271-4EC6-4185-9763-91DCA5110353}"/>
            </a:ext>
          </a:extLst>
        </xdr:cNvPr>
        <xdr:cNvSpPr/>
      </xdr:nvSpPr>
      <xdr:spPr>
        <a:xfrm>
          <a:off x="5372100" y="109743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755</xdr:row>
      <xdr:rowOff>0</xdr:rowOff>
    </xdr:from>
    <xdr:to>
      <xdr:col>14</xdr:col>
      <xdr:colOff>83820</xdr:colOff>
      <xdr:row>755</xdr:row>
      <xdr:rowOff>114300</xdr:rowOff>
    </xdr:to>
    <xdr:sp macro="" textlink="">
      <xdr:nvSpPr>
        <xdr:cNvPr id="806" name="Arrow: Down 805">
          <a:extLst>
            <a:ext uri="{FF2B5EF4-FFF2-40B4-BE49-F238E27FC236}">
              <a16:creationId xmlns:a16="http://schemas.microsoft.com/office/drawing/2014/main" id="{9B3A86B3-80EF-4F9A-AE11-4E98BFEC099C}"/>
            </a:ext>
          </a:extLst>
        </xdr:cNvPr>
        <xdr:cNvSpPr/>
      </xdr:nvSpPr>
      <xdr:spPr>
        <a:xfrm rot="10800000">
          <a:off x="5372100" y="10992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756</xdr:row>
      <xdr:rowOff>0</xdr:rowOff>
    </xdr:from>
    <xdr:to>
      <xdr:col>14</xdr:col>
      <xdr:colOff>83820</xdr:colOff>
      <xdr:row>756</xdr:row>
      <xdr:rowOff>114300</xdr:rowOff>
    </xdr:to>
    <xdr:sp macro="" textlink="">
      <xdr:nvSpPr>
        <xdr:cNvPr id="809" name="Arrow: Down 808">
          <a:extLst>
            <a:ext uri="{FF2B5EF4-FFF2-40B4-BE49-F238E27FC236}">
              <a16:creationId xmlns:a16="http://schemas.microsoft.com/office/drawing/2014/main" id="{3858A1D2-63AA-4B91-8FAB-5CA777F5B838}"/>
            </a:ext>
          </a:extLst>
        </xdr:cNvPr>
        <xdr:cNvSpPr/>
      </xdr:nvSpPr>
      <xdr:spPr>
        <a:xfrm>
          <a:off x="5372100" y="11010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757</xdr:row>
      <xdr:rowOff>0</xdr:rowOff>
    </xdr:from>
    <xdr:to>
      <xdr:col>14</xdr:col>
      <xdr:colOff>83820</xdr:colOff>
      <xdr:row>757</xdr:row>
      <xdr:rowOff>114300</xdr:rowOff>
    </xdr:to>
    <xdr:sp macro="" textlink="">
      <xdr:nvSpPr>
        <xdr:cNvPr id="811" name="Arrow: Down 810">
          <a:extLst>
            <a:ext uri="{FF2B5EF4-FFF2-40B4-BE49-F238E27FC236}">
              <a16:creationId xmlns:a16="http://schemas.microsoft.com/office/drawing/2014/main" id="{59283D5B-240C-4447-9B88-E33FC0295CBE}"/>
            </a:ext>
          </a:extLst>
        </xdr:cNvPr>
        <xdr:cNvSpPr/>
      </xdr:nvSpPr>
      <xdr:spPr>
        <a:xfrm rot="10800000">
          <a:off x="5372100" y="11029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759</xdr:row>
      <xdr:rowOff>0</xdr:rowOff>
    </xdr:from>
    <xdr:to>
      <xdr:col>14</xdr:col>
      <xdr:colOff>83820</xdr:colOff>
      <xdr:row>759</xdr:row>
      <xdr:rowOff>114300</xdr:rowOff>
    </xdr:to>
    <xdr:sp macro="" textlink="">
      <xdr:nvSpPr>
        <xdr:cNvPr id="814" name="Arrow: Down 813">
          <a:extLst>
            <a:ext uri="{FF2B5EF4-FFF2-40B4-BE49-F238E27FC236}">
              <a16:creationId xmlns:a16="http://schemas.microsoft.com/office/drawing/2014/main" id="{4C54572E-A21F-45FD-BC5C-E9EF284229C9}"/>
            </a:ext>
          </a:extLst>
        </xdr:cNvPr>
        <xdr:cNvSpPr/>
      </xdr:nvSpPr>
      <xdr:spPr>
        <a:xfrm rot="10800000">
          <a:off x="5372100" y="11047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758</xdr:row>
      <xdr:rowOff>0</xdr:rowOff>
    </xdr:from>
    <xdr:to>
      <xdr:col>14</xdr:col>
      <xdr:colOff>83820</xdr:colOff>
      <xdr:row>758</xdr:row>
      <xdr:rowOff>114300</xdr:rowOff>
    </xdr:to>
    <xdr:sp macro="" textlink="">
      <xdr:nvSpPr>
        <xdr:cNvPr id="816" name="Arrow: Down 815">
          <a:extLst>
            <a:ext uri="{FF2B5EF4-FFF2-40B4-BE49-F238E27FC236}">
              <a16:creationId xmlns:a16="http://schemas.microsoft.com/office/drawing/2014/main" id="{5AE46B98-B392-4AFC-A5F3-14C98D474FAF}"/>
            </a:ext>
          </a:extLst>
        </xdr:cNvPr>
        <xdr:cNvSpPr/>
      </xdr:nvSpPr>
      <xdr:spPr>
        <a:xfrm>
          <a:off x="5372100" y="110474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760</xdr:row>
      <xdr:rowOff>0</xdr:rowOff>
    </xdr:from>
    <xdr:to>
      <xdr:col>14</xdr:col>
      <xdr:colOff>83820</xdr:colOff>
      <xdr:row>760</xdr:row>
      <xdr:rowOff>114300</xdr:rowOff>
    </xdr:to>
    <xdr:sp macro="" textlink="">
      <xdr:nvSpPr>
        <xdr:cNvPr id="820" name="Arrow: Down 819">
          <a:extLst>
            <a:ext uri="{FF2B5EF4-FFF2-40B4-BE49-F238E27FC236}">
              <a16:creationId xmlns:a16="http://schemas.microsoft.com/office/drawing/2014/main" id="{E86901B1-712B-4CF6-A8DF-B614FFB2AB09}"/>
            </a:ext>
          </a:extLst>
        </xdr:cNvPr>
        <xdr:cNvSpPr/>
      </xdr:nvSpPr>
      <xdr:spPr>
        <a:xfrm>
          <a:off x="5372100" y="110840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761</xdr:row>
      <xdr:rowOff>0</xdr:rowOff>
    </xdr:from>
    <xdr:to>
      <xdr:col>14</xdr:col>
      <xdr:colOff>83820</xdr:colOff>
      <xdr:row>761</xdr:row>
      <xdr:rowOff>114300</xdr:rowOff>
    </xdr:to>
    <xdr:sp macro="" textlink="">
      <xdr:nvSpPr>
        <xdr:cNvPr id="822" name="Arrow: Down 821">
          <a:extLst>
            <a:ext uri="{FF2B5EF4-FFF2-40B4-BE49-F238E27FC236}">
              <a16:creationId xmlns:a16="http://schemas.microsoft.com/office/drawing/2014/main" id="{AB2125C5-DDBE-490B-9D3A-B170A5A40099}"/>
            </a:ext>
          </a:extLst>
        </xdr:cNvPr>
        <xdr:cNvSpPr/>
      </xdr:nvSpPr>
      <xdr:spPr>
        <a:xfrm>
          <a:off x="5372100" y="110840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0</xdr:colOff>
      <xdr:row>6</xdr:row>
      <xdr:rowOff>0</xdr:rowOff>
    </xdr:from>
    <xdr:to>
      <xdr:col>34</xdr:col>
      <xdr:colOff>83820</xdr:colOff>
      <xdr:row>6</xdr:row>
      <xdr:rowOff>114300</xdr:rowOff>
    </xdr:to>
    <xdr:sp macro="" textlink="">
      <xdr:nvSpPr>
        <xdr:cNvPr id="13" name="Arrow: Down 12">
          <a:extLst>
            <a:ext uri="{FF2B5EF4-FFF2-40B4-BE49-F238E27FC236}">
              <a16:creationId xmlns:a16="http://schemas.microsoft.com/office/drawing/2014/main" id="{D59BD568-AC7A-431B-BC3B-8972441F2196}"/>
            </a:ext>
          </a:extLst>
        </xdr:cNvPr>
        <xdr:cNvSpPr/>
      </xdr:nvSpPr>
      <xdr:spPr>
        <a:xfrm>
          <a:off x="12900660" y="120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34</xdr:col>
      <xdr:colOff>0</xdr:colOff>
      <xdr:row>7</xdr:row>
      <xdr:rowOff>0</xdr:rowOff>
    </xdr:from>
    <xdr:to>
      <xdr:col>34</xdr:col>
      <xdr:colOff>83820</xdr:colOff>
      <xdr:row>7</xdr:row>
      <xdr:rowOff>114300</xdr:rowOff>
    </xdr:to>
    <xdr:sp macro="" textlink="">
      <xdr:nvSpPr>
        <xdr:cNvPr id="14" name="Arrow: Down 13">
          <a:extLst>
            <a:ext uri="{FF2B5EF4-FFF2-40B4-BE49-F238E27FC236}">
              <a16:creationId xmlns:a16="http://schemas.microsoft.com/office/drawing/2014/main" id="{3AA201FC-42FD-4814-ACAA-FEF785BEAB12}"/>
            </a:ext>
          </a:extLst>
        </xdr:cNvPr>
        <xdr:cNvSpPr/>
      </xdr:nvSpPr>
      <xdr:spPr>
        <a:xfrm rot="10800000">
          <a:off x="12900660" y="1402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83820</xdr:colOff>
      <xdr:row>6</xdr:row>
      <xdr:rowOff>114300</xdr:rowOff>
    </xdr:to>
    <xdr:sp macro="" textlink="">
      <xdr:nvSpPr>
        <xdr:cNvPr id="15" name="Arrow: Down 14">
          <a:extLst>
            <a:ext uri="{FF2B5EF4-FFF2-40B4-BE49-F238E27FC236}">
              <a16:creationId xmlns:a16="http://schemas.microsoft.com/office/drawing/2014/main" id="{C26C8065-6676-4F21-AC4B-C92B373A483B}"/>
            </a:ext>
          </a:extLst>
        </xdr:cNvPr>
        <xdr:cNvSpPr/>
      </xdr:nvSpPr>
      <xdr:spPr>
        <a:xfrm rot="10800000">
          <a:off x="10111740" y="120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</xdr:row>
      <xdr:rowOff>0</xdr:rowOff>
    </xdr:from>
    <xdr:to>
      <xdr:col>28</xdr:col>
      <xdr:colOff>83820</xdr:colOff>
      <xdr:row>7</xdr:row>
      <xdr:rowOff>114300</xdr:rowOff>
    </xdr:to>
    <xdr:sp macro="" textlink="">
      <xdr:nvSpPr>
        <xdr:cNvPr id="16" name="Arrow: Down 15">
          <a:extLst>
            <a:ext uri="{FF2B5EF4-FFF2-40B4-BE49-F238E27FC236}">
              <a16:creationId xmlns:a16="http://schemas.microsoft.com/office/drawing/2014/main" id="{67C53A91-A24C-451E-9956-580F397DA733}"/>
            </a:ext>
          </a:extLst>
        </xdr:cNvPr>
        <xdr:cNvSpPr/>
      </xdr:nvSpPr>
      <xdr:spPr>
        <a:xfrm rot="10800000">
          <a:off x="10111740" y="1402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</xdr:row>
      <xdr:rowOff>0</xdr:rowOff>
    </xdr:from>
    <xdr:to>
      <xdr:col>28</xdr:col>
      <xdr:colOff>83820</xdr:colOff>
      <xdr:row>8</xdr:row>
      <xdr:rowOff>114300</xdr:rowOff>
    </xdr:to>
    <xdr:sp macro="" textlink="">
      <xdr:nvSpPr>
        <xdr:cNvPr id="17" name="Arrow: Down 16">
          <a:extLst>
            <a:ext uri="{FF2B5EF4-FFF2-40B4-BE49-F238E27FC236}">
              <a16:creationId xmlns:a16="http://schemas.microsoft.com/office/drawing/2014/main" id="{2092C389-6361-42FA-A88D-599244F68125}"/>
            </a:ext>
          </a:extLst>
        </xdr:cNvPr>
        <xdr:cNvSpPr/>
      </xdr:nvSpPr>
      <xdr:spPr>
        <a:xfrm rot="10800000">
          <a:off x="10111740" y="160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</xdr:row>
      <xdr:rowOff>0</xdr:rowOff>
    </xdr:from>
    <xdr:to>
      <xdr:col>28</xdr:col>
      <xdr:colOff>83820</xdr:colOff>
      <xdr:row>9</xdr:row>
      <xdr:rowOff>114300</xdr:rowOff>
    </xdr:to>
    <xdr:sp macro="" textlink="">
      <xdr:nvSpPr>
        <xdr:cNvPr id="18" name="Arrow: Down 17">
          <a:extLst>
            <a:ext uri="{FF2B5EF4-FFF2-40B4-BE49-F238E27FC236}">
              <a16:creationId xmlns:a16="http://schemas.microsoft.com/office/drawing/2014/main" id="{435914F6-7C09-413F-A7AD-DE178B81BA9B}"/>
            </a:ext>
          </a:extLst>
        </xdr:cNvPr>
        <xdr:cNvSpPr/>
      </xdr:nvSpPr>
      <xdr:spPr>
        <a:xfrm rot="10800000">
          <a:off x="10111740" y="1798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</xdr:row>
      <xdr:rowOff>0</xdr:rowOff>
    </xdr:from>
    <xdr:to>
      <xdr:col>28</xdr:col>
      <xdr:colOff>83820</xdr:colOff>
      <xdr:row>10</xdr:row>
      <xdr:rowOff>114300</xdr:rowOff>
    </xdr:to>
    <xdr:sp macro="" textlink="">
      <xdr:nvSpPr>
        <xdr:cNvPr id="19" name="Arrow: Down 18">
          <a:extLst>
            <a:ext uri="{FF2B5EF4-FFF2-40B4-BE49-F238E27FC236}">
              <a16:creationId xmlns:a16="http://schemas.microsoft.com/office/drawing/2014/main" id="{3A47319F-703D-4BBF-AEBD-82AAE445E156}"/>
            </a:ext>
          </a:extLst>
        </xdr:cNvPr>
        <xdr:cNvSpPr/>
      </xdr:nvSpPr>
      <xdr:spPr>
        <a:xfrm>
          <a:off x="10111740" y="199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</xdr:row>
      <xdr:rowOff>0</xdr:rowOff>
    </xdr:from>
    <xdr:to>
      <xdr:col>28</xdr:col>
      <xdr:colOff>83820</xdr:colOff>
      <xdr:row>11</xdr:row>
      <xdr:rowOff>114300</xdr:rowOff>
    </xdr:to>
    <xdr:sp macro="" textlink="">
      <xdr:nvSpPr>
        <xdr:cNvPr id="20" name="Arrow: Down 19">
          <a:extLst>
            <a:ext uri="{FF2B5EF4-FFF2-40B4-BE49-F238E27FC236}">
              <a16:creationId xmlns:a16="http://schemas.microsoft.com/office/drawing/2014/main" id="{82BD62E8-DD57-44CA-A2C4-B0E404A890AD}"/>
            </a:ext>
          </a:extLst>
        </xdr:cNvPr>
        <xdr:cNvSpPr/>
      </xdr:nvSpPr>
      <xdr:spPr>
        <a:xfrm>
          <a:off x="10111740" y="2194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</xdr:row>
      <xdr:rowOff>0</xdr:rowOff>
    </xdr:from>
    <xdr:to>
      <xdr:col>28</xdr:col>
      <xdr:colOff>83820</xdr:colOff>
      <xdr:row>12</xdr:row>
      <xdr:rowOff>114300</xdr:rowOff>
    </xdr:to>
    <xdr:sp macro="" textlink="">
      <xdr:nvSpPr>
        <xdr:cNvPr id="12" name="Arrow: Down 11">
          <a:extLst>
            <a:ext uri="{FF2B5EF4-FFF2-40B4-BE49-F238E27FC236}">
              <a16:creationId xmlns:a16="http://schemas.microsoft.com/office/drawing/2014/main" id="{F1E55AAD-6755-4F83-AE75-D35334FE5765}"/>
            </a:ext>
          </a:extLst>
        </xdr:cNvPr>
        <xdr:cNvSpPr/>
      </xdr:nvSpPr>
      <xdr:spPr>
        <a:xfrm rot="10800000">
          <a:off x="10111740" y="2392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</xdr:row>
      <xdr:rowOff>0</xdr:rowOff>
    </xdr:from>
    <xdr:to>
      <xdr:col>28</xdr:col>
      <xdr:colOff>83820</xdr:colOff>
      <xdr:row>13</xdr:row>
      <xdr:rowOff>114300</xdr:rowOff>
    </xdr:to>
    <xdr:sp macro="" textlink="">
      <xdr:nvSpPr>
        <xdr:cNvPr id="23" name="Arrow: Down 22">
          <a:extLst>
            <a:ext uri="{FF2B5EF4-FFF2-40B4-BE49-F238E27FC236}">
              <a16:creationId xmlns:a16="http://schemas.microsoft.com/office/drawing/2014/main" id="{29F8C385-F8CB-4463-BE55-EE19EFB84384}"/>
            </a:ext>
          </a:extLst>
        </xdr:cNvPr>
        <xdr:cNvSpPr/>
      </xdr:nvSpPr>
      <xdr:spPr>
        <a:xfrm>
          <a:off x="10111740" y="2590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83820</xdr:colOff>
      <xdr:row>14</xdr:row>
      <xdr:rowOff>114300</xdr:rowOff>
    </xdr:to>
    <xdr:sp macro="" textlink="">
      <xdr:nvSpPr>
        <xdr:cNvPr id="21" name="Arrow: Down 20">
          <a:extLst>
            <a:ext uri="{FF2B5EF4-FFF2-40B4-BE49-F238E27FC236}">
              <a16:creationId xmlns:a16="http://schemas.microsoft.com/office/drawing/2014/main" id="{E3CB6E84-6396-4387-99EB-B81B0A2667F3}"/>
            </a:ext>
          </a:extLst>
        </xdr:cNvPr>
        <xdr:cNvSpPr/>
      </xdr:nvSpPr>
      <xdr:spPr>
        <a:xfrm>
          <a:off x="10111740" y="2590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</xdr:row>
      <xdr:rowOff>0</xdr:rowOff>
    </xdr:from>
    <xdr:to>
      <xdr:col>28</xdr:col>
      <xdr:colOff>83820</xdr:colOff>
      <xdr:row>15</xdr:row>
      <xdr:rowOff>114300</xdr:rowOff>
    </xdr:to>
    <xdr:sp macro="" textlink="">
      <xdr:nvSpPr>
        <xdr:cNvPr id="24" name="Arrow: Down 23">
          <a:extLst>
            <a:ext uri="{FF2B5EF4-FFF2-40B4-BE49-F238E27FC236}">
              <a16:creationId xmlns:a16="http://schemas.microsoft.com/office/drawing/2014/main" id="{54FE7436-90E7-466A-A9C5-6523F5A66D51}"/>
            </a:ext>
          </a:extLst>
        </xdr:cNvPr>
        <xdr:cNvSpPr/>
      </xdr:nvSpPr>
      <xdr:spPr>
        <a:xfrm>
          <a:off x="10111740" y="278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</xdr:row>
      <xdr:rowOff>0</xdr:rowOff>
    </xdr:from>
    <xdr:to>
      <xdr:col>28</xdr:col>
      <xdr:colOff>83820</xdr:colOff>
      <xdr:row>16</xdr:row>
      <xdr:rowOff>114300</xdr:rowOff>
    </xdr:to>
    <xdr:sp macro="" textlink="">
      <xdr:nvSpPr>
        <xdr:cNvPr id="25" name="Arrow: Down 24">
          <a:extLst>
            <a:ext uri="{FF2B5EF4-FFF2-40B4-BE49-F238E27FC236}">
              <a16:creationId xmlns:a16="http://schemas.microsoft.com/office/drawing/2014/main" id="{87A68717-5342-484C-B24F-E5CAD3DE43A5}"/>
            </a:ext>
          </a:extLst>
        </xdr:cNvPr>
        <xdr:cNvSpPr/>
      </xdr:nvSpPr>
      <xdr:spPr>
        <a:xfrm>
          <a:off x="10111740" y="297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</xdr:row>
      <xdr:rowOff>0</xdr:rowOff>
    </xdr:from>
    <xdr:to>
      <xdr:col>28</xdr:col>
      <xdr:colOff>83820</xdr:colOff>
      <xdr:row>17</xdr:row>
      <xdr:rowOff>114300</xdr:rowOff>
    </xdr:to>
    <xdr:sp macro="" textlink="">
      <xdr:nvSpPr>
        <xdr:cNvPr id="27" name="Arrow: Down 26">
          <a:extLst>
            <a:ext uri="{FF2B5EF4-FFF2-40B4-BE49-F238E27FC236}">
              <a16:creationId xmlns:a16="http://schemas.microsoft.com/office/drawing/2014/main" id="{FF10AB23-76FB-4A4D-B3DB-8D0CD75BC378}"/>
            </a:ext>
          </a:extLst>
        </xdr:cNvPr>
        <xdr:cNvSpPr/>
      </xdr:nvSpPr>
      <xdr:spPr>
        <a:xfrm>
          <a:off x="10111740" y="3154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</xdr:row>
      <xdr:rowOff>0</xdr:rowOff>
    </xdr:from>
    <xdr:to>
      <xdr:col>28</xdr:col>
      <xdr:colOff>83820</xdr:colOff>
      <xdr:row>18</xdr:row>
      <xdr:rowOff>114300</xdr:rowOff>
    </xdr:to>
    <xdr:sp macro="" textlink="">
      <xdr:nvSpPr>
        <xdr:cNvPr id="22" name="Arrow: Down 21">
          <a:extLst>
            <a:ext uri="{FF2B5EF4-FFF2-40B4-BE49-F238E27FC236}">
              <a16:creationId xmlns:a16="http://schemas.microsoft.com/office/drawing/2014/main" id="{777638DC-EA5B-4401-915A-ED454BBEDEC3}"/>
            </a:ext>
          </a:extLst>
        </xdr:cNvPr>
        <xdr:cNvSpPr/>
      </xdr:nvSpPr>
      <xdr:spPr>
        <a:xfrm>
          <a:off x="10111740" y="3345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</xdr:row>
      <xdr:rowOff>0</xdr:rowOff>
    </xdr:from>
    <xdr:to>
      <xdr:col>28</xdr:col>
      <xdr:colOff>83820</xdr:colOff>
      <xdr:row>19</xdr:row>
      <xdr:rowOff>114300</xdr:rowOff>
    </xdr:to>
    <xdr:sp macro="" textlink="">
      <xdr:nvSpPr>
        <xdr:cNvPr id="26" name="Arrow: Down 25">
          <a:extLst>
            <a:ext uri="{FF2B5EF4-FFF2-40B4-BE49-F238E27FC236}">
              <a16:creationId xmlns:a16="http://schemas.microsoft.com/office/drawing/2014/main" id="{1E0A250E-6E49-44AF-92B8-34A228617572}"/>
            </a:ext>
          </a:extLst>
        </xdr:cNvPr>
        <xdr:cNvSpPr/>
      </xdr:nvSpPr>
      <xdr:spPr>
        <a:xfrm>
          <a:off x="10111740" y="372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</xdr:row>
      <xdr:rowOff>0</xdr:rowOff>
    </xdr:from>
    <xdr:to>
      <xdr:col>28</xdr:col>
      <xdr:colOff>83820</xdr:colOff>
      <xdr:row>20</xdr:row>
      <xdr:rowOff>114300</xdr:rowOff>
    </xdr:to>
    <xdr:sp macro="" textlink="">
      <xdr:nvSpPr>
        <xdr:cNvPr id="29" name="Arrow: Down 28">
          <a:extLst>
            <a:ext uri="{FF2B5EF4-FFF2-40B4-BE49-F238E27FC236}">
              <a16:creationId xmlns:a16="http://schemas.microsoft.com/office/drawing/2014/main" id="{4D91081E-327E-419C-BC3C-7C47BE9E64CC}"/>
            </a:ext>
          </a:extLst>
        </xdr:cNvPr>
        <xdr:cNvSpPr/>
      </xdr:nvSpPr>
      <xdr:spPr>
        <a:xfrm>
          <a:off x="10111740" y="372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</xdr:row>
      <xdr:rowOff>0</xdr:rowOff>
    </xdr:from>
    <xdr:to>
      <xdr:col>28</xdr:col>
      <xdr:colOff>83820</xdr:colOff>
      <xdr:row>21</xdr:row>
      <xdr:rowOff>114300</xdr:rowOff>
    </xdr:to>
    <xdr:sp macro="" textlink="">
      <xdr:nvSpPr>
        <xdr:cNvPr id="30" name="Arrow: Down 29">
          <a:extLst>
            <a:ext uri="{FF2B5EF4-FFF2-40B4-BE49-F238E27FC236}">
              <a16:creationId xmlns:a16="http://schemas.microsoft.com/office/drawing/2014/main" id="{8E5CD8F9-1F98-448C-8E66-831197EE08B7}"/>
            </a:ext>
          </a:extLst>
        </xdr:cNvPr>
        <xdr:cNvSpPr/>
      </xdr:nvSpPr>
      <xdr:spPr>
        <a:xfrm>
          <a:off x="10111740" y="390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</xdr:row>
      <xdr:rowOff>0</xdr:rowOff>
    </xdr:from>
    <xdr:to>
      <xdr:col>28</xdr:col>
      <xdr:colOff>83820</xdr:colOff>
      <xdr:row>22</xdr:row>
      <xdr:rowOff>114300</xdr:rowOff>
    </xdr:to>
    <xdr:sp macro="" textlink="">
      <xdr:nvSpPr>
        <xdr:cNvPr id="32" name="Arrow: Down 31">
          <a:extLst>
            <a:ext uri="{FF2B5EF4-FFF2-40B4-BE49-F238E27FC236}">
              <a16:creationId xmlns:a16="http://schemas.microsoft.com/office/drawing/2014/main" id="{14038397-6260-489F-AC40-7615895AE53D}"/>
            </a:ext>
          </a:extLst>
        </xdr:cNvPr>
        <xdr:cNvSpPr/>
      </xdr:nvSpPr>
      <xdr:spPr>
        <a:xfrm>
          <a:off x="10111740" y="427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</xdr:row>
      <xdr:rowOff>0</xdr:rowOff>
    </xdr:from>
    <xdr:to>
      <xdr:col>28</xdr:col>
      <xdr:colOff>83820</xdr:colOff>
      <xdr:row>23</xdr:row>
      <xdr:rowOff>114300</xdr:rowOff>
    </xdr:to>
    <xdr:sp macro="" textlink="">
      <xdr:nvSpPr>
        <xdr:cNvPr id="33" name="Arrow: Down 32">
          <a:extLst>
            <a:ext uri="{FF2B5EF4-FFF2-40B4-BE49-F238E27FC236}">
              <a16:creationId xmlns:a16="http://schemas.microsoft.com/office/drawing/2014/main" id="{6580D11E-99F1-4BA9-896E-0ADC19E8943B}"/>
            </a:ext>
          </a:extLst>
        </xdr:cNvPr>
        <xdr:cNvSpPr/>
      </xdr:nvSpPr>
      <xdr:spPr>
        <a:xfrm>
          <a:off x="10111740" y="445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</xdr:row>
      <xdr:rowOff>0</xdr:rowOff>
    </xdr:from>
    <xdr:to>
      <xdr:col>28</xdr:col>
      <xdr:colOff>83820</xdr:colOff>
      <xdr:row>24</xdr:row>
      <xdr:rowOff>114300</xdr:rowOff>
    </xdr:to>
    <xdr:sp macro="" textlink="">
      <xdr:nvSpPr>
        <xdr:cNvPr id="31" name="Arrow: Down 30">
          <a:extLst>
            <a:ext uri="{FF2B5EF4-FFF2-40B4-BE49-F238E27FC236}">
              <a16:creationId xmlns:a16="http://schemas.microsoft.com/office/drawing/2014/main" id="{323BEF39-EC82-4B89-85BE-11C77719DD13}"/>
            </a:ext>
          </a:extLst>
        </xdr:cNvPr>
        <xdr:cNvSpPr/>
      </xdr:nvSpPr>
      <xdr:spPr>
        <a:xfrm>
          <a:off x="10111740" y="445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</xdr:row>
      <xdr:rowOff>0</xdr:rowOff>
    </xdr:from>
    <xdr:to>
      <xdr:col>28</xdr:col>
      <xdr:colOff>83820</xdr:colOff>
      <xdr:row>25</xdr:row>
      <xdr:rowOff>114300</xdr:rowOff>
    </xdr:to>
    <xdr:sp macro="" textlink="">
      <xdr:nvSpPr>
        <xdr:cNvPr id="28" name="Arrow: Down 27">
          <a:extLst>
            <a:ext uri="{FF2B5EF4-FFF2-40B4-BE49-F238E27FC236}">
              <a16:creationId xmlns:a16="http://schemas.microsoft.com/office/drawing/2014/main" id="{77A3E097-F54B-4197-BC1D-AC714843F65E}"/>
            </a:ext>
          </a:extLst>
        </xdr:cNvPr>
        <xdr:cNvSpPr/>
      </xdr:nvSpPr>
      <xdr:spPr>
        <a:xfrm>
          <a:off x="10111740" y="464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</xdr:row>
      <xdr:rowOff>0</xdr:rowOff>
    </xdr:from>
    <xdr:to>
      <xdr:col>28</xdr:col>
      <xdr:colOff>83820</xdr:colOff>
      <xdr:row>26</xdr:row>
      <xdr:rowOff>114300</xdr:rowOff>
    </xdr:to>
    <xdr:sp macro="" textlink="">
      <xdr:nvSpPr>
        <xdr:cNvPr id="35" name="Arrow: Down 34">
          <a:extLst>
            <a:ext uri="{FF2B5EF4-FFF2-40B4-BE49-F238E27FC236}">
              <a16:creationId xmlns:a16="http://schemas.microsoft.com/office/drawing/2014/main" id="{7DDFBDA7-F0C6-4AE5-8779-A2A0D2413B93}"/>
            </a:ext>
          </a:extLst>
        </xdr:cNvPr>
        <xdr:cNvSpPr/>
      </xdr:nvSpPr>
      <xdr:spPr>
        <a:xfrm>
          <a:off x="10111740" y="482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</xdr:row>
      <xdr:rowOff>0</xdr:rowOff>
    </xdr:from>
    <xdr:to>
      <xdr:col>28</xdr:col>
      <xdr:colOff>83820</xdr:colOff>
      <xdr:row>27</xdr:row>
      <xdr:rowOff>114300</xdr:rowOff>
    </xdr:to>
    <xdr:sp macro="" textlink="">
      <xdr:nvSpPr>
        <xdr:cNvPr id="34" name="Arrow: Down 33">
          <a:extLst>
            <a:ext uri="{FF2B5EF4-FFF2-40B4-BE49-F238E27FC236}">
              <a16:creationId xmlns:a16="http://schemas.microsoft.com/office/drawing/2014/main" id="{FE1FAE1E-6BAE-490A-83F5-B755D3345EE3}"/>
            </a:ext>
          </a:extLst>
        </xdr:cNvPr>
        <xdr:cNvSpPr/>
      </xdr:nvSpPr>
      <xdr:spPr>
        <a:xfrm>
          <a:off x="10355580" y="500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</xdr:row>
      <xdr:rowOff>0</xdr:rowOff>
    </xdr:from>
    <xdr:to>
      <xdr:col>28</xdr:col>
      <xdr:colOff>83820</xdr:colOff>
      <xdr:row>28</xdr:row>
      <xdr:rowOff>114300</xdr:rowOff>
    </xdr:to>
    <xdr:sp macro="" textlink="">
      <xdr:nvSpPr>
        <xdr:cNvPr id="37" name="Arrow: Down 36">
          <a:extLst>
            <a:ext uri="{FF2B5EF4-FFF2-40B4-BE49-F238E27FC236}">
              <a16:creationId xmlns:a16="http://schemas.microsoft.com/office/drawing/2014/main" id="{603C9D4C-844E-4E3B-9CB3-F766EF3611D6}"/>
            </a:ext>
          </a:extLst>
        </xdr:cNvPr>
        <xdr:cNvSpPr/>
      </xdr:nvSpPr>
      <xdr:spPr>
        <a:xfrm>
          <a:off x="10355580" y="519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</xdr:row>
      <xdr:rowOff>0</xdr:rowOff>
    </xdr:from>
    <xdr:to>
      <xdr:col>28</xdr:col>
      <xdr:colOff>83820</xdr:colOff>
      <xdr:row>29</xdr:row>
      <xdr:rowOff>114300</xdr:rowOff>
    </xdr:to>
    <xdr:sp macro="" textlink="">
      <xdr:nvSpPr>
        <xdr:cNvPr id="36" name="Arrow: Down 35">
          <a:extLst>
            <a:ext uri="{FF2B5EF4-FFF2-40B4-BE49-F238E27FC236}">
              <a16:creationId xmlns:a16="http://schemas.microsoft.com/office/drawing/2014/main" id="{F14D1C4D-A1BC-44C6-8BC6-C708E6A23B94}"/>
            </a:ext>
          </a:extLst>
        </xdr:cNvPr>
        <xdr:cNvSpPr/>
      </xdr:nvSpPr>
      <xdr:spPr>
        <a:xfrm>
          <a:off x="10355580" y="5394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</xdr:row>
      <xdr:rowOff>0</xdr:rowOff>
    </xdr:from>
    <xdr:to>
      <xdr:col>28</xdr:col>
      <xdr:colOff>83820</xdr:colOff>
      <xdr:row>30</xdr:row>
      <xdr:rowOff>114300</xdr:rowOff>
    </xdr:to>
    <xdr:sp macro="" textlink="">
      <xdr:nvSpPr>
        <xdr:cNvPr id="41" name="Arrow: Down 40">
          <a:extLst>
            <a:ext uri="{FF2B5EF4-FFF2-40B4-BE49-F238E27FC236}">
              <a16:creationId xmlns:a16="http://schemas.microsoft.com/office/drawing/2014/main" id="{47B24F3D-8B27-48FF-B432-46660CC335C0}"/>
            </a:ext>
          </a:extLst>
        </xdr:cNvPr>
        <xdr:cNvSpPr/>
      </xdr:nvSpPr>
      <xdr:spPr>
        <a:xfrm rot="10800000">
          <a:off x="10355580" y="5783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</xdr:row>
      <xdr:rowOff>0</xdr:rowOff>
    </xdr:from>
    <xdr:to>
      <xdr:col>28</xdr:col>
      <xdr:colOff>83820</xdr:colOff>
      <xdr:row>31</xdr:row>
      <xdr:rowOff>114300</xdr:rowOff>
    </xdr:to>
    <xdr:sp macro="" textlink="">
      <xdr:nvSpPr>
        <xdr:cNvPr id="40" name="Arrow: Down 39">
          <a:extLst>
            <a:ext uri="{FF2B5EF4-FFF2-40B4-BE49-F238E27FC236}">
              <a16:creationId xmlns:a16="http://schemas.microsoft.com/office/drawing/2014/main" id="{CF4B3D71-1749-4D8B-973E-31F4A89FCAC6}"/>
            </a:ext>
          </a:extLst>
        </xdr:cNvPr>
        <xdr:cNvSpPr/>
      </xdr:nvSpPr>
      <xdr:spPr>
        <a:xfrm>
          <a:off x="10355580" y="598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</xdr:row>
      <xdr:rowOff>0</xdr:rowOff>
    </xdr:from>
    <xdr:to>
      <xdr:col>28</xdr:col>
      <xdr:colOff>83820</xdr:colOff>
      <xdr:row>32</xdr:row>
      <xdr:rowOff>114300</xdr:rowOff>
    </xdr:to>
    <xdr:sp macro="" textlink="">
      <xdr:nvSpPr>
        <xdr:cNvPr id="39" name="Arrow: Down 38">
          <a:extLst>
            <a:ext uri="{FF2B5EF4-FFF2-40B4-BE49-F238E27FC236}">
              <a16:creationId xmlns:a16="http://schemas.microsoft.com/office/drawing/2014/main" id="{FEEC7A05-FAFB-4884-8F5B-CAC7A6BBBBA1}"/>
            </a:ext>
          </a:extLst>
        </xdr:cNvPr>
        <xdr:cNvSpPr/>
      </xdr:nvSpPr>
      <xdr:spPr>
        <a:xfrm>
          <a:off x="10355580" y="598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</xdr:row>
      <xdr:rowOff>0</xdr:rowOff>
    </xdr:from>
    <xdr:to>
      <xdr:col>28</xdr:col>
      <xdr:colOff>83820</xdr:colOff>
      <xdr:row>33</xdr:row>
      <xdr:rowOff>114300</xdr:rowOff>
    </xdr:to>
    <xdr:sp macro="" textlink="">
      <xdr:nvSpPr>
        <xdr:cNvPr id="38" name="Arrow: Down 37">
          <a:extLst>
            <a:ext uri="{FF2B5EF4-FFF2-40B4-BE49-F238E27FC236}">
              <a16:creationId xmlns:a16="http://schemas.microsoft.com/office/drawing/2014/main" id="{B8B7987E-6543-407E-8004-97397046E6F9}"/>
            </a:ext>
          </a:extLst>
        </xdr:cNvPr>
        <xdr:cNvSpPr/>
      </xdr:nvSpPr>
      <xdr:spPr>
        <a:xfrm>
          <a:off x="10355580" y="6172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</xdr:row>
      <xdr:rowOff>0</xdr:rowOff>
    </xdr:from>
    <xdr:to>
      <xdr:col>28</xdr:col>
      <xdr:colOff>83820</xdr:colOff>
      <xdr:row>34</xdr:row>
      <xdr:rowOff>114300</xdr:rowOff>
    </xdr:to>
    <xdr:sp macro="" textlink="">
      <xdr:nvSpPr>
        <xdr:cNvPr id="42" name="Arrow: Down 41">
          <a:extLst>
            <a:ext uri="{FF2B5EF4-FFF2-40B4-BE49-F238E27FC236}">
              <a16:creationId xmlns:a16="http://schemas.microsoft.com/office/drawing/2014/main" id="{B5518BD5-0567-446A-8AA3-A96A5FDD0D72}"/>
            </a:ext>
          </a:extLst>
        </xdr:cNvPr>
        <xdr:cNvSpPr/>
      </xdr:nvSpPr>
      <xdr:spPr>
        <a:xfrm>
          <a:off x="10355580" y="6355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</xdr:row>
      <xdr:rowOff>0</xdr:rowOff>
    </xdr:from>
    <xdr:to>
      <xdr:col>28</xdr:col>
      <xdr:colOff>83820</xdr:colOff>
      <xdr:row>35</xdr:row>
      <xdr:rowOff>114300</xdr:rowOff>
    </xdr:to>
    <xdr:sp macro="" textlink="">
      <xdr:nvSpPr>
        <xdr:cNvPr id="43" name="Arrow: Down 42">
          <a:extLst>
            <a:ext uri="{FF2B5EF4-FFF2-40B4-BE49-F238E27FC236}">
              <a16:creationId xmlns:a16="http://schemas.microsoft.com/office/drawing/2014/main" id="{B7FC846B-4393-4EA0-BA61-BA45C68E1546}"/>
            </a:ext>
          </a:extLst>
        </xdr:cNvPr>
        <xdr:cNvSpPr/>
      </xdr:nvSpPr>
      <xdr:spPr>
        <a:xfrm>
          <a:off x="10355580" y="653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</xdr:row>
      <xdr:rowOff>0</xdr:rowOff>
    </xdr:from>
    <xdr:to>
      <xdr:col>28</xdr:col>
      <xdr:colOff>83820</xdr:colOff>
      <xdr:row>36</xdr:row>
      <xdr:rowOff>114300</xdr:rowOff>
    </xdr:to>
    <xdr:sp macro="" textlink="">
      <xdr:nvSpPr>
        <xdr:cNvPr id="45" name="Arrow: Down 44">
          <a:extLst>
            <a:ext uri="{FF2B5EF4-FFF2-40B4-BE49-F238E27FC236}">
              <a16:creationId xmlns:a16="http://schemas.microsoft.com/office/drawing/2014/main" id="{D6D82D71-1F58-42F1-A0C8-505E07B46646}"/>
            </a:ext>
          </a:extLst>
        </xdr:cNvPr>
        <xdr:cNvSpPr/>
      </xdr:nvSpPr>
      <xdr:spPr>
        <a:xfrm>
          <a:off x="10355580" y="6720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</xdr:row>
      <xdr:rowOff>0</xdr:rowOff>
    </xdr:from>
    <xdr:to>
      <xdr:col>28</xdr:col>
      <xdr:colOff>83820</xdr:colOff>
      <xdr:row>37</xdr:row>
      <xdr:rowOff>114300</xdr:rowOff>
    </xdr:to>
    <xdr:sp macro="" textlink="">
      <xdr:nvSpPr>
        <xdr:cNvPr id="48" name="Arrow: Down 47">
          <a:extLst>
            <a:ext uri="{FF2B5EF4-FFF2-40B4-BE49-F238E27FC236}">
              <a16:creationId xmlns:a16="http://schemas.microsoft.com/office/drawing/2014/main" id="{A29313D3-7EC1-4F3B-A24C-6D35D7AAA4FF}"/>
            </a:ext>
          </a:extLst>
        </xdr:cNvPr>
        <xdr:cNvSpPr/>
      </xdr:nvSpPr>
      <xdr:spPr>
        <a:xfrm rot="10800000">
          <a:off x="10668000" y="71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</xdr:row>
      <xdr:rowOff>0</xdr:rowOff>
    </xdr:from>
    <xdr:to>
      <xdr:col>28</xdr:col>
      <xdr:colOff>83820</xdr:colOff>
      <xdr:row>38</xdr:row>
      <xdr:rowOff>114300</xdr:rowOff>
    </xdr:to>
    <xdr:sp macro="" textlink="">
      <xdr:nvSpPr>
        <xdr:cNvPr id="44" name="Arrow: Down 43">
          <a:extLst>
            <a:ext uri="{FF2B5EF4-FFF2-40B4-BE49-F238E27FC236}">
              <a16:creationId xmlns:a16="http://schemas.microsoft.com/office/drawing/2014/main" id="{C68760EF-6EB4-424E-8888-38215BECC906}"/>
            </a:ext>
          </a:extLst>
        </xdr:cNvPr>
        <xdr:cNvSpPr/>
      </xdr:nvSpPr>
      <xdr:spPr>
        <a:xfrm>
          <a:off x="10668000" y="72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</xdr:row>
      <xdr:rowOff>0</xdr:rowOff>
    </xdr:from>
    <xdr:to>
      <xdr:col>28</xdr:col>
      <xdr:colOff>83820</xdr:colOff>
      <xdr:row>39</xdr:row>
      <xdr:rowOff>114300</xdr:rowOff>
    </xdr:to>
    <xdr:sp macro="" textlink="">
      <xdr:nvSpPr>
        <xdr:cNvPr id="47" name="Arrow: Down 46">
          <a:extLst>
            <a:ext uri="{FF2B5EF4-FFF2-40B4-BE49-F238E27FC236}">
              <a16:creationId xmlns:a16="http://schemas.microsoft.com/office/drawing/2014/main" id="{0E31F7B2-0D46-47BD-8186-CF58E3B8CF42}"/>
            </a:ext>
          </a:extLst>
        </xdr:cNvPr>
        <xdr:cNvSpPr/>
      </xdr:nvSpPr>
      <xdr:spPr>
        <a:xfrm>
          <a:off x="10668000" y="72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</xdr:row>
      <xdr:rowOff>0</xdr:rowOff>
    </xdr:from>
    <xdr:to>
      <xdr:col>28</xdr:col>
      <xdr:colOff>83820</xdr:colOff>
      <xdr:row>40</xdr:row>
      <xdr:rowOff>114300</xdr:rowOff>
    </xdr:to>
    <xdr:sp macro="" textlink="">
      <xdr:nvSpPr>
        <xdr:cNvPr id="46" name="Arrow: Down 45">
          <a:extLst>
            <a:ext uri="{FF2B5EF4-FFF2-40B4-BE49-F238E27FC236}">
              <a16:creationId xmlns:a16="http://schemas.microsoft.com/office/drawing/2014/main" id="{0745A72D-2767-49A8-8BA1-698E6CE5BB78}"/>
            </a:ext>
          </a:extLst>
        </xdr:cNvPr>
        <xdr:cNvSpPr/>
      </xdr:nvSpPr>
      <xdr:spPr>
        <a:xfrm>
          <a:off x="10668000" y="74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</xdr:row>
      <xdr:rowOff>0</xdr:rowOff>
    </xdr:from>
    <xdr:to>
      <xdr:col>28</xdr:col>
      <xdr:colOff>83820</xdr:colOff>
      <xdr:row>41</xdr:row>
      <xdr:rowOff>114300</xdr:rowOff>
    </xdr:to>
    <xdr:sp macro="" textlink="">
      <xdr:nvSpPr>
        <xdr:cNvPr id="51" name="Arrow: Down 50">
          <a:extLst>
            <a:ext uri="{FF2B5EF4-FFF2-40B4-BE49-F238E27FC236}">
              <a16:creationId xmlns:a16="http://schemas.microsoft.com/office/drawing/2014/main" id="{28D54AC1-DAC7-4498-961B-05A1931F48AF}"/>
            </a:ext>
          </a:extLst>
        </xdr:cNvPr>
        <xdr:cNvSpPr/>
      </xdr:nvSpPr>
      <xdr:spPr>
        <a:xfrm rot="10800000">
          <a:off x="10668000" y="7856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</xdr:row>
      <xdr:rowOff>0</xdr:rowOff>
    </xdr:from>
    <xdr:to>
      <xdr:col>28</xdr:col>
      <xdr:colOff>83820</xdr:colOff>
      <xdr:row>42</xdr:row>
      <xdr:rowOff>114300</xdr:rowOff>
    </xdr:to>
    <xdr:sp macro="" textlink="">
      <xdr:nvSpPr>
        <xdr:cNvPr id="52" name="Arrow: Down 51">
          <a:extLst>
            <a:ext uri="{FF2B5EF4-FFF2-40B4-BE49-F238E27FC236}">
              <a16:creationId xmlns:a16="http://schemas.microsoft.com/office/drawing/2014/main" id="{6121BE24-FB54-40DD-8A63-A4823407A374}"/>
            </a:ext>
          </a:extLst>
        </xdr:cNvPr>
        <xdr:cNvSpPr/>
      </xdr:nvSpPr>
      <xdr:spPr>
        <a:xfrm rot="10800000">
          <a:off x="10668000" y="8046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</xdr:row>
      <xdr:rowOff>0</xdr:rowOff>
    </xdr:from>
    <xdr:to>
      <xdr:col>28</xdr:col>
      <xdr:colOff>83820</xdr:colOff>
      <xdr:row>43</xdr:row>
      <xdr:rowOff>114300</xdr:rowOff>
    </xdr:to>
    <xdr:sp macro="" textlink="">
      <xdr:nvSpPr>
        <xdr:cNvPr id="49" name="Arrow: Down 48">
          <a:extLst>
            <a:ext uri="{FF2B5EF4-FFF2-40B4-BE49-F238E27FC236}">
              <a16:creationId xmlns:a16="http://schemas.microsoft.com/office/drawing/2014/main" id="{32BA1133-B51B-4795-9482-A41737FEDA24}"/>
            </a:ext>
          </a:extLst>
        </xdr:cNvPr>
        <xdr:cNvSpPr/>
      </xdr:nvSpPr>
      <xdr:spPr>
        <a:xfrm rot="10800000">
          <a:off x="10668000" y="8046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44</xdr:row>
      <xdr:rowOff>0</xdr:rowOff>
    </xdr:from>
    <xdr:to>
      <xdr:col>28</xdr:col>
      <xdr:colOff>83820</xdr:colOff>
      <xdr:row>44</xdr:row>
      <xdr:rowOff>114300</xdr:rowOff>
    </xdr:to>
    <xdr:sp macro="" textlink="">
      <xdr:nvSpPr>
        <xdr:cNvPr id="53" name="Arrow: Down 52">
          <a:extLst>
            <a:ext uri="{FF2B5EF4-FFF2-40B4-BE49-F238E27FC236}">
              <a16:creationId xmlns:a16="http://schemas.microsoft.com/office/drawing/2014/main" id="{0C78A928-A2BD-4243-BD58-237FA2E0772A}"/>
            </a:ext>
          </a:extLst>
        </xdr:cNvPr>
        <xdr:cNvSpPr/>
      </xdr:nvSpPr>
      <xdr:spPr>
        <a:xfrm>
          <a:off x="10668000" y="8412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45</xdr:row>
      <xdr:rowOff>0</xdr:rowOff>
    </xdr:from>
    <xdr:to>
      <xdr:col>28</xdr:col>
      <xdr:colOff>83820</xdr:colOff>
      <xdr:row>45</xdr:row>
      <xdr:rowOff>114300</xdr:rowOff>
    </xdr:to>
    <xdr:sp macro="" textlink="">
      <xdr:nvSpPr>
        <xdr:cNvPr id="50" name="Arrow: Down 49">
          <a:extLst>
            <a:ext uri="{FF2B5EF4-FFF2-40B4-BE49-F238E27FC236}">
              <a16:creationId xmlns:a16="http://schemas.microsoft.com/office/drawing/2014/main" id="{D1186F85-EDF9-4A8A-BAB8-ED74D04191EA}"/>
            </a:ext>
          </a:extLst>
        </xdr:cNvPr>
        <xdr:cNvSpPr/>
      </xdr:nvSpPr>
      <xdr:spPr>
        <a:xfrm>
          <a:off x="10668000" y="8412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46</xdr:row>
      <xdr:rowOff>0</xdr:rowOff>
    </xdr:from>
    <xdr:to>
      <xdr:col>28</xdr:col>
      <xdr:colOff>83820</xdr:colOff>
      <xdr:row>46</xdr:row>
      <xdr:rowOff>114300</xdr:rowOff>
    </xdr:to>
    <xdr:sp macro="" textlink="">
      <xdr:nvSpPr>
        <xdr:cNvPr id="54" name="Arrow: Down 53">
          <a:extLst>
            <a:ext uri="{FF2B5EF4-FFF2-40B4-BE49-F238E27FC236}">
              <a16:creationId xmlns:a16="http://schemas.microsoft.com/office/drawing/2014/main" id="{C679AE4C-85EF-4E36-A360-DD2F13D2229F}"/>
            </a:ext>
          </a:extLst>
        </xdr:cNvPr>
        <xdr:cNvSpPr/>
      </xdr:nvSpPr>
      <xdr:spPr>
        <a:xfrm>
          <a:off x="10668000" y="8595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</xdr:row>
      <xdr:rowOff>0</xdr:rowOff>
    </xdr:from>
    <xdr:to>
      <xdr:col>28</xdr:col>
      <xdr:colOff>83820</xdr:colOff>
      <xdr:row>47</xdr:row>
      <xdr:rowOff>114300</xdr:rowOff>
    </xdr:to>
    <xdr:sp macro="" textlink="">
      <xdr:nvSpPr>
        <xdr:cNvPr id="56" name="Arrow: Down 55">
          <a:extLst>
            <a:ext uri="{FF2B5EF4-FFF2-40B4-BE49-F238E27FC236}">
              <a16:creationId xmlns:a16="http://schemas.microsoft.com/office/drawing/2014/main" id="{1AEF285E-0B4B-4CA3-8A3B-7FD0A9AD5788}"/>
            </a:ext>
          </a:extLst>
        </xdr:cNvPr>
        <xdr:cNvSpPr/>
      </xdr:nvSpPr>
      <xdr:spPr>
        <a:xfrm>
          <a:off x="10668000" y="8778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48</xdr:row>
      <xdr:rowOff>0</xdr:rowOff>
    </xdr:from>
    <xdr:to>
      <xdr:col>28</xdr:col>
      <xdr:colOff>83820</xdr:colOff>
      <xdr:row>48</xdr:row>
      <xdr:rowOff>114300</xdr:rowOff>
    </xdr:to>
    <xdr:sp macro="" textlink="">
      <xdr:nvSpPr>
        <xdr:cNvPr id="59" name="Arrow: Down 58">
          <a:extLst>
            <a:ext uri="{FF2B5EF4-FFF2-40B4-BE49-F238E27FC236}">
              <a16:creationId xmlns:a16="http://schemas.microsoft.com/office/drawing/2014/main" id="{34E1BD0A-ECA8-406E-AAC7-6CF9B092A02F}"/>
            </a:ext>
          </a:extLst>
        </xdr:cNvPr>
        <xdr:cNvSpPr/>
      </xdr:nvSpPr>
      <xdr:spPr>
        <a:xfrm rot="10800000">
          <a:off x="10668000" y="9144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</xdr:row>
      <xdr:rowOff>0</xdr:rowOff>
    </xdr:from>
    <xdr:to>
      <xdr:col>28</xdr:col>
      <xdr:colOff>83820</xdr:colOff>
      <xdr:row>49</xdr:row>
      <xdr:rowOff>114300</xdr:rowOff>
    </xdr:to>
    <xdr:sp macro="" textlink="">
      <xdr:nvSpPr>
        <xdr:cNvPr id="61" name="Arrow: Down 60">
          <a:extLst>
            <a:ext uri="{FF2B5EF4-FFF2-40B4-BE49-F238E27FC236}">
              <a16:creationId xmlns:a16="http://schemas.microsoft.com/office/drawing/2014/main" id="{4CC6B6DA-D731-41BD-B2B9-B29A8A6DC3E6}"/>
            </a:ext>
          </a:extLst>
        </xdr:cNvPr>
        <xdr:cNvSpPr/>
      </xdr:nvSpPr>
      <xdr:spPr>
        <a:xfrm>
          <a:off x="10668000" y="932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</xdr:row>
      <xdr:rowOff>0</xdr:rowOff>
    </xdr:from>
    <xdr:to>
      <xdr:col>28</xdr:col>
      <xdr:colOff>83820</xdr:colOff>
      <xdr:row>50</xdr:row>
      <xdr:rowOff>114300</xdr:rowOff>
    </xdr:to>
    <xdr:sp macro="" textlink="">
      <xdr:nvSpPr>
        <xdr:cNvPr id="62" name="Arrow: Down 61">
          <a:extLst>
            <a:ext uri="{FF2B5EF4-FFF2-40B4-BE49-F238E27FC236}">
              <a16:creationId xmlns:a16="http://schemas.microsoft.com/office/drawing/2014/main" id="{ED457425-10C3-4575-8068-7BE3B3B2CE9C}"/>
            </a:ext>
          </a:extLst>
        </xdr:cNvPr>
        <xdr:cNvSpPr/>
      </xdr:nvSpPr>
      <xdr:spPr>
        <a:xfrm>
          <a:off x="10668000" y="932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</xdr:row>
      <xdr:rowOff>0</xdr:rowOff>
    </xdr:from>
    <xdr:to>
      <xdr:col>28</xdr:col>
      <xdr:colOff>83820</xdr:colOff>
      <xdr:row>51</xdr:row>
      <xdr:rowOff>114300</xdr:rowOff>
    </xdr:to>
    <xdr:sp macro="" textlink="">
      <xdr:nvSpPr>
        <xdr:cNvPr id="57" name="Arrow: Down 56">
          <a:extLst>
            <a:ext uri="{FF2B5EF4-FFF2-40B4-BE49-F238E27FC236}">
              <a16:creationId xmlns:a16="http://schemas.microsoft.com/office/drawing/2014/main" id="{12DE48BE-8EF0-4B68-8D05-FF1AB56472F1}"/>
            </a:ext>
          </a:extLst>
        </xdr:cNvPr>
        <xdr:cNvSpPr/>
      </xdr:nvSpPr>
      <xdr:spPr>
        <a:xfrm>
          <a:off x="10668000" y="951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</xdr:row>
      <xdr:rowOff>0</xdr:rowOff>
    </xdr:from>
    <xdr:to>
      <xdr:col>28</xdr:col>
      <xdr:colOff>83820</xdr:colOff>
      <xdr:row>52</xdr:row>
      <xdr:rowOff>114300</xdr:rowOff>
    </xdr:to>
    <xdr:sp macro="" textlink="">
      <xdr:nvSpPr>
        <xdr:cNvPr id="63" name="Arrow: Down 62">
          <a:extLst>
            <a:ext uri="{FF2B5EF4-FFF2-40B4-BE49-F238E27FC236}">
              <a16:creationId xmlns:a16="http://schemas.microsoft.com/office/drawing/2014/main" id="{C1A55307-F3E5-4C84-90BF-7057AEB5ED67}"/>
            </a:ext>
          </a:extLst>
        </xdr:cNvPr>
        <xdr:cNvSpPr/>
      </xdr:nvSpPr>
      <xdr:spPr>
        <a:xfrm rot="10800000">
          <a:off x="10668000" y="99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</xdr:row>
      <xdr:rowOff>0</xdr:rowOff>
    </xdr:from>
    <xdr:to>
      <xdr:col>28</xdr:col>
      <xdr:colOff>83820</xdr:colOff>
      <xdr:row>53</xdr:row>
      <xdr:rowOff>114300</xdr:rowOff>
    </xdr:to>
    <xdr:sp macro="" textlink="">
      <xdr:nvSpPr>
        <xdr:cNvPr id="66" name="Arrow: Down 65">
          <a:extLst>
            <a:ext uri="{FF2B5EF4-FFF2-40B4-BE49-F238E27FC236}">
              <a16:creationId xmlns:a16="http://schemas.microsoft.com/office/drawing/2014/main" id="{DFD4C6C7-08E4-437F-9738-FECB9DC9C93D}"/>
            </a:ext>
          </a:extLst>
        </xdr:cNvPr>
        <xdr:cNvSpPr/>
      </xdr:nvSpPr>
      <xdr:spPr>
        <a:xfrm rot="10800000">
          <a:off x="10668000" y="99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12</xdr:col>
      <xdr:colOff>38100</xdr:colOff>
      <xdr:row>27</xdr:row>
      <xdr:rowOff>22860</xdr:rowOff>
    </xdr:from>
    <xdr:to>
      <xdr:col>12</xdr:col>
      <xdr:colOff>152400</xdr:colOff>
      <xdr:row>27</xdr:row>
      <xdr:rowOff>167640</xdr:rowOff>
    </xdr:to>
    <xdr:sp macro="" textlink="">
      <xdr:nvSpPr>
        <xdr:cNvPr id="67" name="Arrow: Down 66">
          <a:extLst>
            <a:ext uri="{FF2B5EF4-FFF2-40B4-BE49-F238E27FC236}">
              <a16:creationId xmlns:a16="http://schemas.microsoft.com/office/drawing/2014/main" id="{4CCF61E6-6E39-4151-9FD1-60DE711A4915}"/>
            </a:ext>
          </a:extLst>
        </xdr:cNvPr>
        <xdr:cNvSpPr/>
      </xdr:nvSpPr>
      <xdr:spPr>
        <a:xfrm rot="10800000">
          <a:off x="5052060" y="5219700"/>
          <a:ext cx="114300" cy="14478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</xdr:row>
      <xdr:rowOff>0</xdr:rowOff>
    </xdr:from>
    <xdr:to>
      <xdr:col>28</xdr:col>
      <xdr:colOff>83820</xdr:colOff>
      <xdr:row>54</xdr:row>
      <xdr:rowOff>114300</xdr:rowOff>
    </xdr:to>
    <xdr:sp macro="" textlink="">
      <xdr:nvSpPr>
        <xdr:cNvPr id="68" name="Arrow: Down 67">
          <a:extLst>
            <a:ext uri="{FF2B5EF4-FFF2-40B4-BE49-F238E27FC236}">
              <a16:creationId xmlns:a16="http://schemas.microsoft.com/office/drawing/2014/main" id="{88D9FED3-A2E1-4AE8-8F51-C1E9ECAC16EC}"/>
            </a:ext>
          </a:extLst>
        </xdr:cNvPr>
        <xdr:cNvSpPr/>
      </xdr:nvSpPr>
      <xdr:spPr>
        <a:xfrm rot="10800000">
          <a:off x="10668000" y="1010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</xdr:row>
      <xdr:rowOff>0</xdr:rowOff>
    </xdr:from>
    <xdr:to>
      <xdr:col>28</xdr:col>
      <xdr:colOff>83820</xdr:colOff>
      <xdr:row>55</xdr:row>
      <xdr:rowOff>114300</xdr:rowOff>
    </xdr:to>
    <xdr:sp macro="" textlink="">
      <xdr:nvSpPr>
        <xdr:cNvPr id="65" name="Arrow: Down 64">
          <a:extLst>
            <a:ext uri="{FF2B5EF4-FFF2-40B4-BE49-F238E27FC236}">
              <a16:creationId xmlns:a16="http://schemas.microsoft.com/office/drawing/2014/main" id="{BB7805AE-09FA-4962-B3D3-A061B54992DB}"/>
            </a:ext>
          </a:extLst>
        </xdr:cNvPr>
        <xdr:cNvSpPr/>
      </xdr:nvSpPr>
      <xdr:spPr>
        <a:xfrm rot="10800000">
          <a:off x="10668000" y="1049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</xdr:row>
      <xdr:rowOff>0</xdr:rowOff>
    </xdr:from>
    <xdr:to>
      <xdr:col>28</xdr:col>
      <xdr:colOff>83820</xdr:colOff>
      <xdr:row>56</xdr:row>
      <xdr:rowOff>114300</xdr:rowOff>
    </xdr:to>
    <xdr:sp macro="" textlink="">
      <xdr:nvSpPr>
        <xdr:cNvPr id="69" name="Arrow: Down 68">
          <a:extLst>
            <a:ext uri="{FF2B5EF4-FFF2-40B4-BE49-F238E27FC236}">
              <a16:creationId xmlns:a16="http://schemas.microsoft.com/office/drawing/2014/main" id="{42123A6A-D946-4FA2-B400-D11B45B0A3FC}"/>
            </a:ext>
          </a:extLst>
        </xdr:cNvPr>
        <xdr:cNvSpPr/>
      </xdr:nvSpPr>
      <xdr:spPr>
        <a:xfrm rot="10800000">
          <a:off x="10668000" y="1049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33</xdr:col>
      <xdr:colOff>114300</xdr:colOff>
      <xdr:row>30</xdr:row>
      <xdr:rowOff>91440</xdr:rowOff>
    </xdr:from>
    <xdr:to>
      <xdr:col>33</xdr:col>
      <xdr:colOff>220980</xdr:colOff>
      <xdr:row>31</xdr:row>
      <xdr:rowOff>15240</xdr:rowOff>
    </xdr:to>
    <xdr:sp macro="" textlink="">
      <xdr:nvSpPr>
        <xdr:cNvPr id="58" name="Arrow: Down 57">
          <a:extLst>
            <a:ext uri="{FF2B5EF4-FFF2-40B4-BE49-F238E27FC236}">
              <a16:creationId xmlns:a16="http://schemas.microsoft.com/office/drawing/2014/main" id="{6D469EA8-3AD2-414F-8C94-D6731866E791}"/>
            </a:ext>
          </a:extLst>
        </xdr:cNvPr>
        <xdr:cNvSpPr/>
      </xdr:nvSpPr>
      <xdr:spPr>
        <a:xfrm>
          <a:off x="14043660" y="5875020"/>
          <a:ext cx="106680" cy="12954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</xdr:row>
      <xdr:rowOff>0</xdr:rowOff>
    </xdr:from>
    <xdr:to>
      <xdr:col>28</xdr:col>
      <xdr:colOff>83820</xdr:colOff>
      <xdr:row>59</xdr:row>
      <xdr:rowOff>114300</xdr:rowOff>
    </xdr:to>
    <xdr:sp macro="" textlink="">
      <xdr:nvSpPr>
        <xdr:cNvPr id="83" name="Arrow: Down 82">
          <a:extLst>
            <a:ext uri="{FF2B5EF4-FFF2-40B4-BE49-F238E27FC236}">
              <a16:creationId xmlns:a16="http://schemas.microsoft.com/office/drawing/2014/main" id="{EE6CEAD4-3CF5-44E1-A1E1-220BB8DEE570}"/>
            </a:ext>
          </a:extLst>
        </xdr:cNvPr>
        <xdr:cNvSpPr/>
      </xdr:nvSpPr>
      <xdr:spPr>
        <a:xfrm rot="10800000">
          <a:off x="10668000" y="1104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</xdr:row>
      <xdr:rowOff>0</xdr:rowOff>
    </xdr:from>
    <xdr:to>
      <xdr:col>28</xdr:col>
      <xdr:colOff>83820</xdr:colOff>
      <xdr:row>60</xdr:row>
      <xdr:rowOff>114300</xdr:rowOff>
    </xdr:to>
    <xdr:sp macro="" textlink="">
      <xdr:nvSpPr>
        <xdr:cNvPr id="84" name="Arrow: Down 83">
          <a:extLst>
            <a:ext uri="{FF2B5EF4-FFF2-40B4-BE49-F238E27FC236}">
              <a16:creationId xmlns:a16="http://schemas.microsoft.com/office/drawing/2014/main" id="{3DEC3632-B8C4-4AA6-889F-FC72C03AE990}"/>
            </a:ext>
          </a:extLst>
        </xdr:cNvPr>
        <xdr:cNvSpPr/>
      </xdr:nvSpPr>
      <xdr:spPr>
        <a:xfrm rot="10800000">
          <a:off x="11430000" y="1123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</xdr:row>
      <xdr:rowOff>0</xdr:rowOff>
    </xdr:from>
    <xdr:to>
      <xdr:col>28</xdr:col>
      <xdr:colOff>83820</xdr:colOff>
      <xdr:row>61</xdr:row>
      <xdr:rowOff>114300</xdr:rowOff>
    </xdr:to>
    <xdr:sp macro="" textlink="">
      <xdr:nvSpPr>
        <xdr:cNvPr id="85" name="Arrow: Down 84">
          <a:extLst>
            <a:ext uri="{FF2B5EF4-FFF2-40B4-BE49-F238E27FC236}">
              <a16:creationId xmlns:a16="http://schemas.microsoft.com/office/drawing/2014/main" id="{73AC904E-9F94-462A-9213-DBF3142E1451}"/>
            </a:ext>
          </a:extLst>
        </xdr:cNvPr>
        <xdr:cNvSpPr/>
      </xdr:nvSpPr>
      <xdr:spPr>
        <a:xfrm rot="10800000">
          <a:off x="11430000" y="11422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</xdr:row>
      <xdr:rowOff>0</xdr:rowOff>
    </xdr:from>
    <xdr:to>
      <xdr:col>28</xdr:col>
      <xdr:colOff>83820</xdr:colOff>
      <xdr:row>58</xdr:row>
      <xdr:rowOff>114300</xdr:rowOff>
    </xdr:to>
    <xdr:sp macro="" textlink="">
      <xdr:nvSpPr>
        <xdr:cNvPr id="86" name="Arrow: Down 85">
          <a:extLst>
            <a:ext uri="{FF2B5EF4-FFF2-40B4-BE49-F238E27FC236}">
              <a16:creationId xmlns:a16="http://schemas.microsoft.com/office/drawing/2014/main" id="{621C4801-37C3-4469-AE6F-D244BA01948F}"/>
            </a:ext>
          </a:extLst>
        </xdr:cNvPr>
        <xdr:cNvSpPr/>
      </xdr:nvSpPr>
      <xdr:spPr>
        <a:xfrm>
          <a:off x="11430000" y="1104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</xdr:row>
      <xdr:rowOff>0</xdr:rowOff>
    </xdr:from>
    <xdr:to>
      <xdr:col>28</xdr:col>
      <xdr:colOff>83820</xdr:colOff>
      <xdr:row>57</xdr:row>
      <xdr:rowOff>114300</xdr:rowOff>
    </xdr:to>
    <xdr:sp macro="" textlink="">
      <xdr:nvSpPr>
        <xdr:cNvPr id="87" name="Arrow: Down 86">
          <a:extLst>
            <a:ext uri="{FF2B5EF4-FFF2-40B4-BE49-F238E27FC236}">
              <a16:creationId xmlns:a16="http://schemas.microsoft.com/office/drawing/2014/main" id="{21A7A62A-4797-4DBD-A74B-B420436CB953}"/>
            </a:ext>
          </a:extLst>
        </xdr:cNvPr>
        <xdr:cNvSpPr/>
      </xdr:nvSpPr>
      <xdr:spPr>
        <a:xfrm rot="10800000">
          <a:off x="11430000" y="1085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62</xdr:row>
      <xdr:rowOff>0</xdr:rowOff>
    </xdr:from>
    <xdr:to>
      <xdr:col>28</xdr:col>
      <xdr:colOff>83820</xdr:colOff>
      <xdr:row>62</xdr:row>
      <xdr:rowOff>114300</xdr:rowOff>
    </xdr:to>
    <xdr:sp macro="" textlink="">
      <xdr:nvSpPr>
        <xdr:cNvPr id="64" name="Arrow: Down 63">
          <a:extLst>
            <a:ext uri="{FF2B5EF4-FFF2-40B4-BE49-F238E27FC236}">
              <a16:creationId xmlns:a16="http://schemas.microsoft.com/office/drawing/2014/main" id="{1A7D7757-A742-4CC5-B742-17E122A59EFD}"/>
            </a:ext>
          </a:extLst>
        </xdr:cNvPr>
        <xdr:cNvSpPr/>
      </xdr:nvSpPr>
      <xdr:spPr>
        <a:xfrm rot="10800000">
          <a:off x="11430000" y="11612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</xdr:row>
      <xdr:rowOff>0</xdr:rowOff>
    </xdr:from>
    <xdr:to>
      <xdr:col>28</xdr:col>
      <xdr:colOff>83820</xdr:colOff>
      <xdr:row>63</xdr:row>
      <xdr:rowOff>114300</xdr:rowOff>
    </xdr:to>
    <xdr:sp macro="" textlink="">
      <xdr:nvSpPr>
        <xdr:cNvPr id="70" name="Arrow: Down 69">
          <a:extLst>
            <a:ext uri="{FF2B5EF4-FFF2-40B4-BE49-F238E27FC236}">
              <a16:creationId xmlns:a16="http://schemas.microsoft.com/office/drawing/2014/main" id="{C4079E28-6E66-44FA-969C-D7874955C1C5}"/>
            </a:ext>
          </a:extLst>
        </xdr:cNvPr>
        <xdr:cNvSpPr/>
      </xdr:nvSpPr>
      <xdr:spPr>
        <a:xfrm rot="10800000">
          <a:off x="11430000" y="11811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</xdr:row>
      <xdr:rowOff>0</xdr:rowOff>
    </xdr:from>
    <xdr:to>
      <xdr:col>28</xdr:col>
      <xdr:colOff>83820</xdr:colOff>
      <xdr:row>64</xdr:row>
      <xdr:rowOff>114300</xdr:rowOff>
    </xdr:to>
    <xdr:sp macro="" textlink="">
      <xdr:nvSpPr>
        <xdr:cNvPr id="71" name="Arrow: Down 70">
          <a:extLst>
            <a:ext uri="{FF2B5EF4-FFF2-40B4-BE49-F238E27FC236}">
              <a16:creationId xmlns:a16="http://schemas.microsoft.com/office/drawing/2014/main" id="{1CFEE201-9B04-4FB8-B73E-A6B5CD310C17}"/>
            </a:ext>
          </a:extLst>
        </xdr:cNvPr>
        <xdr:cNvSpPr/>
      </xdr:nvSpPr>
      <xdr:spPr>
        <a:xfrm rot="10800000">
          <a:off x="11430000" y="12001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</xdr:row>
      <xdr:rowOff>0</xdr:rowOff>
    </xdr:from>
    <xdr:to>
      <xdr:col>28</xdr:col>
      <xdr:colOff>83820</xdr:colOff>
      <xdr:row>65</xdr:row>
      <xdr:rowOff>114300</xdr:rowOff>
    </xdr:to>
    <xdr:sp macro="" textlink="">
      <xdr:nvSpPr>
        <xdr:cNvPr id="72" name="Arrow: Down 71">
          <a:extLst>
            <a:ext uri="{FF2B5EF4-FFF2-40B4-BE49-F238E27FC236}">
              <a16:creationId xmlns:a16="http://schemas.microsoft.com/office/drawing/2014/main" id="{2E46D07B-F4DD-4D26-B1D3-C50BBC57E745}"/>
            </a:ext>
          </a:extLst>
        </xdr:cNvPr>
        <xdr:cNvSpPr/>
      </xdr:nvSpPr>
      <xdr:spPr>
        <a:xfrm rot="10800000">
          <a:off x="11430000" y="12192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</xdr:row>
      <xdr:rowOff>0</xdr:rowOff>
    </xdr:from>
    <xdr:to>
      <xdr:col>28</xdr:col>
      <xdr:colOff>83820</xdr:colOff>
      <xdr:row>66</xdr:row>
      <xdr:rowOff>114300</xdr:rowOff>
    </xdr:to>
    <xdr:sp macro="" textlink="">
      <xdr:nvSpPr>
        <xdr:cNvPr id="73" name="Arrow: Down 72">
          <a:extLst>
            <a:ext uri="{FF2B5EF4-FFF2-40B4-BE49-F238E27FC236}">
              <a16:creationId xmlns:a16="http://schemas.microsoft.com/office/drawing/2014/main" id="{96986A11-CFE9-4A58-972B-1B3BD33E178C}"/>
            </a:ext>
          </a:extLst>
        </xdr:cNvPr>
        <xdr:cNvSpPr/>
      </xdr:nvSpPr>
      <xdr:spPr>
        <a:xfrm rot="10800000">
          <a:off x="11430000" y="12374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</xdr:row>
      <xdr:rowOff>0</xdr:rowOff>
    </xdr:from>
    <xdr:to>
      <xdr:col>28</xdr:col>
      <xdr:colOff>83820</xdr:colOff>
      <xdr:row>67</xdr:row>
      <xdr:rowOff>114300</xdr:rowOff>
    </xdr:to>
    <xdr:sp macro="" textlink="">
      <xdr:nvSpPr>
        <xdr:cNvPr id="74" name="Arrow: Down 73">
          <a:extLst>
            <a:ext uri="{FF2B5EF4-FFF2-40B4-BE49-F238E27FC236}">
              <a16:creationId xmlns:a16="http://schemas.microsoft.com/office/drawing/2014/main" id="{9A184AE2-8A40-494B-A9AC-D3CD46BBEF7C}"/>
            </a:ext>
          </a:extLst>
        </xdr:cNvPr>
        <xdr:cNvSpPr/>
      </xdr:nvSpPr>
      <xdr:spPr>
        <a:xfrm rot="10800000">
          <a:off x="11430000" y="12557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</xdr:row>
      <xdr:rowOff>0</xdr:rowOff>
    </xdr:from>
    <xdr:to>
      <xdr:col>28</xdr:col>
      <xdr:colOff>83820</xdr:colOff>
      <xdr:row>68</xdr:row>
      <xdr:rowOff>114300</xdr:rowOff>
    </xdr:to>
    <xdr:sp macro="" textlink="">
      <xdr:nvSpPr>
        <xdr:cNvPr id="75" name="Arrow: Down 74">
          <a:extLst>
            <a:ext uri="{FF2B5EF4-FFF2-40B4-BE49-F238E27FC236}">
              <a16:creationId xmlns:a16="http://schemas.microsoft.com/office/drawing/2014/main" id="{04F35C61-85CA-4830-9698-7360ADB2B517}"/>
            </a:ext>
          </a:extLst>
        </xdr:cNvPr>
        <xdr:cNvSpPr/>
      </xdr:nvSpPr>
      <xdr:spPr>
        <a:xfrm rot="10800000">
          <a:off x="11430000" y="12740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</xdr:row>
      <xdr:rowOff>0</xdr:rowOff>
    </xdr:from>
    <xdr:to>
      <xdr:col>28</xdr:col>
      <xdr:colOff>83820</xdr:colOff>
      <xdr:row>69</xdr:row>
      <xdr:rowOff>114300</xdr:rowOff>
    </xdr:to>
    <xdr:sp macro="" textlink="">
      <xdr:nvSpPr>
        <xdr:cNvPr id="77" name="Arrow: Down 76">
          <a:extLst>
            <a:ext uri="{FF2B5EF4-FFF2-40B4-BE49-F238E27FC236}">
              <a16:creationId xmlns:a16="http://schemas.microsoft.com/office/drawing/2014/main" id="{2DF279E2-6664-4F6C-91C9-94AC05593C1D}"/>
            </a:ext>
          </a:extLst>
        </xdr:cNvPr>
        <xdr:cNvSpPr/>
      </xdr:nvSpPr>
      <xdr:spPr>
        <a:xfrm rot="10800000">
          <a:off x="11430000" y="1293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</xdr:row>
      <xdr:rowOff>0</xdr:rowOff>
    </xdr:from>
    <xdr:to>
      <xdr:col>28</xdr:col>
      <xdr:colOff>83820</xdr:colOff>
      <xdr:row>70</xdr:row>
      <xdr:rowOff>114300</xdr:rowOff>
    </xdr:to>
    <xdr:sp macro="" textlink="">
      <xdr:nvSpPr>
        <xdr:cNvPr id="78" name="Arrow: Down 77">
          <a:extLst>
            <a:ext uri="{FF2B5EF4-FFF2-40B4-BE49-F238E27FC236}">
              <a16:creationId xmlns:a16="http://schemas.microsoft.com/office/drawing/2014/main" id="{39282826-DC55-4589-9D00-E93B4D8A6857}"/>
            </a:ext>
          </a:extLst>
        </xdr:cNvPr>
        <xdr:cNvSpPr/>
      </xdr:nvSpPr>
      <xdr:spPr>
        <a:xfrm rot="10800000">
          <a:off x="11430000" y="1311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</xdr:row>
      <xdr:rowOff>0</xdr:rowOff>
    </xdr:from>
    <xdr:to>
      <xdr:col>28</xdr:col>
      <xdr:colOff>83820</xdr:colOff>
      <xdr:row>71</xdr:row>
      <xdr:rowOff>114300</xdr:rowOff>
    </xdr:to>
    <xdr:sp macro="" textlink="">
      <xdr:nvSpPr>
        <xdr:cNvPr id="79" name="Arrow: Down 78">
          <a:extLst>
            <a:ext uri="{FF2B5EF4-FFF2-40B4-BE49-F238E27FC236}">
              <a16:creationId xmlns:a16="http://schemas.microsoft.com/office/drawing/2014/main" id="{0CDBB2C4-0FE4-4127-9C0F-836B7CBAC3CA}"/>
            </a:ext>
          </a:extLst>
        </xdr:cNvPr>
        <xdr:cNvSpPr/>
      </xdr:nvSpPr>
      <xdr:spPr>
        <a:xfrm rot="10800000">
          <a:off x="11430000" y="1329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72</xdr:row>
      <xdr:rowOff>0</xdr:rowOff>
    </xdr:from>
    <xdr:to>
      <xdr:col>28</xdr:col>
      <xdr:colOff>83820</xdr:colOff>
      <xdr:row>72</xdr:row>
      <xdr:rowOff>114300</xdr:rowOff>
    </xdr:to>
    <xdr:sp macro="" textlink="">
      <xdr:nvSpPr>
        <xdr:cNvPr id="81" name="Arrow: Down 80">
          <a:extLst>
            <a:ext uri="{FF2B5EF4-FFF2-40B4-BE49-F238E27FC236}">
              <a16:creationId xmlns:a16="http://schemas.microsoft.com/office/drawing/2014/main" id="{174D2146-EC83-47B0-A60B-AB23B97F5CA5}"/>
            </a:ext>
          </a:extLst>
        </xdr:cNvPr>
        <xdr:cNvSpPr/>
      </xdr:nvSpPr>
      <xdr:spPr>
        <a:xfrm rot="10800000">
          <a:off x="11430000" y="1348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</xdr:row>
      <xdr:rowOff>0</xdr:rowOff>
    </xdr:from>
    <xdr:to>
      <xdr:col>28</xdr:col>
      <xdr:colOff>83820</xdr:colOff>
      <xdr:row>73</xdr:row>
      <xdr:rowOff>114300</xdr:rowOff>
    </xdr:to>
    <xdr:sp macro="" textlink="">
      <xdr:nvSpPr>
        <xdr:cNvPr id="76" name="Arrow: Down 75">
          <a:extLst>
            <a:ext uri="{FF2B5EF4-FFF2-40B4-BE49-F238E27FC236}">
              <a16:creationId xmlns:a16="http://schemas.microsoft.com/office/drawing/2014/main" id="{FD41DD27-E053-4EBA-9E8F-D056CE8E4A81}"/>
            </a:ext>
          </a:extLst>
        </xdr:cNvPr>
        <xdr:cNvSpPr/>
      </xdr:nvSpPr>
      <xdr:spPr>
        <a:xfrm rot="10800000">
          <a:off x="11430000" y="13677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74</xdr:row>
      <xdr:rowOff>0</xdr:rowOff>
    </xdr:from>
    <xdr:to>
      <xdr:col>28</xdr:col>
      <xdr:colOff>83820</xdr:colOff>
      <xdr:row>74</xdr:row>
      <xdr:rowOff>114300</xdr:rowOff>
    </xdr:to>
    <xdr:sp macro="" textlink="">
      <xdr:nvSpPr>
        <xdr:cNvPr id="82" name="Arrow: Down 81">
          <a:extLst>
            <a:ext uri="{FF2B5EF4-FFF2-40B4-BE49-F238E27FC236}">
              <a16:creationId xmlns:a16="http://schemas.microsoft.com/office/drawing/2014/main" id="{743AF66E-3087-4C2E-9F9A-4655BF6A5963}"/>
            </a:ext>
          </a:extLst>
        </xdr:cNvPr>
        <xdr:cNvSpPr/>
      </xdr:nvSpPr>
      <xdr:spPr>
        <a:xfrm rot="10800000">
          <a:off x="11430000" y="1386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</xdr:row>
      <xdr:rowOff>0</xdr:rowOff>
    </xdr:from>
    <xdr:to>
      <xdr:col>28</xdr:col>
      <xdr:colOff>83820</xdr:colOff>
      <xdr:row>75</xdr:row>
      <xdr:rowOff>114300</xdr:rowOff>
    </xdr:to>
    <xdr:sp macro="" textlink="">
      <xdr:nvSpPr>
        <xdr:cNvPr id="80" name="Arrow: Down 79">
          <a:extLst>
            <a:ext uri="{FF2B5EF4-FFF2-40B4-BE49-F238E27FC236}">
              <a16:creationId xmlns:a16="http://schemas.microsoft.com/office/drawing/2014/main" id="{14EE3FE2-D562-4FED-A2D9-F17D5B5FA654}"/>
            </a:ext>
          </a:extLst>
        </xdr:cNvPr>
        <xdr:cNvSpPr/>
      </xdr:nvSpPr>
      <xdr:spPr>
        <a:xfrm rot="10800000">
          <a:off x="11430000" y="1405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76</xdr:row>
      <xdr:rowOff>0</xdr:rowOff>
    </xdr:from>
    <xdr:to>
      <xdr:col>28</xdr:col>
      <xdr:colOff>83820</xdr:colOff>
      <xdr:row>76</xdr:row>
      <xdr:rowOff>114300</xdr:rowOff>
    </xdr:to>
    <xdr:sp macro="" textlink="">
      <xdr:nvSpPr>
        <xdr:cNvPr id="88" name="Arrow: Down 87">
          <a:extLst>
            <a:ext uri="{FF2B5EF4-FFF2-40B4-BE49-F238E27FC236}">
              <a16:creationId xmlns:a16="http://schemas.microsoft.com/office/drawing/2014/main" id="{4D1EBFC9-F0E7-457F-AA63-6DAFEA11683F}"/>
            </a:ext>
          </a:extLst>
        </xdr:cNvPr>
        <xdr:cNvSpPr/>
      </xdr:nvSpPr>
      <xdr:spPr>
        <a:xfrm rot="10800000">
          <a:off x="11430000" y="1423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77</xdr:row>
      <xdr:rowOff>0</xdr:rowOff>
    </xdr:from>
    <xdr:to>
      <xdr:col>28</xdr:col>
      <xdr:colOff>83820</xdr:colOff>
      <xdr:row>77</xdr:row>
      <xdr:rowOff>114300</xdr:rowOff>
    </xdr:to>
    <xdr:sp macro="" textlink="">
      <xdr:nvSpPr>
        <xdr:cNvPr id="89" name="Arrow: Down 88">
          <a:extLst>
            <a:ext uri="{FF2B5EF4-FFF2-40B4-BE49-F238E27FC236}">
              <a16:creationId xmlns:a16="http://schemas.microsoft.com/office/drawing/2014/main" id="{F1B56A0D-E5C3-47FB-9CA0-5659AF8C6B83}"/>
            </a:ext>
          </a:extLst>
        </xdr:cNvPr>
        <xdr:cNvSpPr/>
      </xdr:nvSpPr>
      <xdr:spPr>
        <a:xfrm rot="10800000">
          <a:off x="11430000" y="14417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78</xdr:row>
      <xdr:rowOff>0</xdr:rowOff>
    </xdr:from>
    <xdr:to>
      <xdr:col>28</xdr:col>
      <xdr:colOff>83820</xdr:colOff>
      <xdr:row>78</xdr:row>
      <xdr:rowOff>114300</xdr:rowOff>
    </xdr:to>
    <xdr:sp macro="" textlink="">
      <xdr:nvSpPr>
        <xdr:cNvPr id="90" name="Arrow: Down 89">
          <a:extLst>
            <a:ext uri="{FF2B5EF4-FFF2-40B4-BE49-F238E27FC236}">
              <a16:creationId xmlns:a16="http://schemas.microsoft.com/office/drawing/2014/main" id="{3FD6C278-EB4E-4685-883E-82DF66A75EA4}"/>
            </a:ext>
          </a:extLst>
        </xdr:cNvPr>
        <xdr:cNvSpPr/>
      </xdr:nvSpPr>
      <xdr:spPr>
        <a:xfrm rot="10800000">
          <a:off x="11430000" y="14599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79</xdr:row>
      <xdr:rowOff>0</xdr:rowOff>
    </xdr:from>
    <xdr:to>
      <xdr:col>28</xdr:col>
      <xdr:colOff>83820</xdr:colOff>
      <xdr:row>79</xdr:row>
      <xdr:rowOff>114300</xdr:rowOff>
    </xdr:to>
    <xdr:sp macro="" textlink="">
      <xdr:nvSpPr>
        <xdr:cNvPr id="91" name="Arrow: Down 90">
          <a:extLst>
            <a:ext uri="{FF2B5EF4-FFF2-40B4-BE49-F238E27FC236}">
              <a16:creationId xmlns:a16="http://schemas.microsoft.com/office/drawing/2014/main" id="{6943DD06-8287-44FF-802B-B4819DA278E0}"/>
            </a:ext>
          </a:extLst>
        </xdr:cNvPr>
        <xdr:cNvSpPr/>
      </xdr:nvSpPr>
      <xdr:spPr>
        <a:xfrm rot="10800000">
          <a:off x="11612880" y="1478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80</xdr:row>
      <xdr:rowOff>0</xdr:rowOff>
    </xdr:from>
    <xdr:to>
      <xdr:col>28</xdr:col>
      <xdr:colOff>83820</xdr:colOff>
      <xdr:row>80</xdr:row>
      <xdr:rowOff>114300</xdr:rowOff>
    </xdr:to>
    <xdr:sp macro="" textlink="">
      <xdr:nvSpPr>
        <xdr:cNvPr id="92" name="Arrow: Down 91">
          <a:extLst>
            <a:ext uri="{FF2B5EF4-FFF2-40B4-BE49-F238E27FC236}">
              <a16:creationId xmlns:a16="http://schemas.microsoft.com/office/drawing/2014/main" id="{33253388-9ADF-49C6-8437-FE7758963339}"/>
            </a:ext>
          </a:extLst>
        </xdr:cNvPr>
        <xdr:cNvSpPr/>
      </xdr:nvSpPr>
      <xdr:spPr>
        <a:xfrm rot="10800000">
          <a:off x="11612880" y="1496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81</xdr:row>
      <xdr:rowOff>0</xdr:rowOff>
    </xdr:from>
    <xdr:to>
      <xdr:col>28</xdr:col>
      <xdr:colOff>83820</xdr:colOff>
      <xdr:row>81</xdr:row>
      <xdr:rowOff>114300</xdr:rowOff>
    </xdr:to>
    <xdr:sp macro="" textlink="">
      <xdr:nvSpPr>
        <xdr:cNvPr id="93" name="Arrow: Down 92">
          <a:extLst>
            <a:ext uri="{FF2B5EF4-FFF2-40B4-BE49-F238E27FC236}">
              <a16:creationId xmlns:a16="http://schemas.microsoft.com/office/drawing/2014/main" id="{FE111041-65D6-49E3-BB5F-C5EC9246C73C}"/>
            </a:ext>
          </a:extLst>
        </xdr:cNvPr>
        <xdr:cNvSpPr/>
      </xdr:nvSpPr>
      <xdr:spPr>
        <a:xfrm rot="10800000">
          <a:off x="11612880" y="1514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82</xdr:row>
      <xdr:rowOff>0</xdr:rowOff>
    </xdr:from>
    <xdr:to>
      <xdr:col>28</xdr:col>
      <xdr:colOff>83820</xdr:colOff>
      <xdr:row>82</xdr:row>
      <xdr:rowOff>114300</xdr:rowOff>
    </xdr:to>
    <xdr:sp macro="" textlink="">
      <xdr:nvSpPr>
        <xdr:cNvPr id="94" name="Arrow: Down 93">
          <a:extLst>
            <a:ext uri="{FF2B5EF4-FFF2-40B4-BE49-F238E27FC236}">
              <a16:creationId xmlns:a16="http://schemas.microsoft.com/office/drawing/2014/main" id="{07C901A3-A957-4AB9-AF7D-E83C4A262861}"/>
            </a:ext>
          </a:extLst>
        </xdr:cNvPr>
        <xdr:cNvSpPr/>
      </xdr:nvSpPr>
      <xdr:spPr>
        <a:xfrm rot="10800000">
          <a:off x="11612880" y="1533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83</xdr:row>
      <xdr:rowOff>0</xdr:rowOff>
    </xdr:from>
    <xdr:to>
      <xdr:col>28</xdr:col>
      <xdr:colOff>83820</xdr:colOff>
      <xdr:row>83</xdr:row>
      <xdr:rowOff>114300</xdr:rowOff>
    </xdr:to>
    <xdr:sp macro="" textlink="">
      <xdr:nvSpPr>
        <xdr:cNvPr id="95" name="Arrow: Down 94">
          <a:extLst>
            <a:ext uri="{FF2B5EF4-FFF2-40B4-BE49-F238E27FC236}">
              <a16:creationId xmlns:a16="http://schemas.microsoft.com/office/drawing/2014/main" id="{C29D740F-96A2-4B7F-9864-186F40C24CAD}"/>
            </a:ext>
          </a:extLst>
        </xdr:cNvPr>
        <xdr:cNvSpPr/>
      </xdr:nvSpPr>
      <xdr:spPr>
        <a:xfrm rot="10800000">
          <a:off x="11612880" y="15537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84</xdr:row>
      <xdr:rowOff>0</xdr:rowOff>
    </xdr:from>
    <xdr:to>
      <xdr:col>28</xdr:col>
      <xdr:colOff>83820</xdr:colOff>
      <xdr:row>84</xdr:row>
      <xdr:rowOff>114300</xdr:rowOff>
    </xdr:to>
    <xdr:sp macro="" textlink="">
      <xdr:nvSpPr>
        <xdr:cNvPr id="97" name="Arrow: Down 96">
          <a:extLst>
            <a:ext uri="{FF2B5EF4-FFF2-40B4-BE49-F238E27FC236}">
              <a16:creationId xmlns:a16="http://schemas.microsoft.com/office/drawing/2014/main" id="{A59AB5D6-B694-49B7-A53D-3E333701720A}"/>
            </a:ext>
          </a:extLst>
        </xdr:cNvPr>
        <xdr:cNvSpPr/>
      </xdr:nvSpPr>
      <xdr:spPr>
        <a:xfrm rot="10800000">
          <a:off x="11612880" y="1573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85</xdr:row>
      <xdr:rowOff>0</xdr:rowOff>
    </xdr:from>
    <xdr:to>
      <xdr:col>28</xdr:col>
      <xdr:colOff>83820</xdr:colOff>
      <xdr:row>85</xdr:row>
      <xdr:rowOff>114300</xdr:rowOff>
    </xdr:to>
    <xdr:sp macro="" textlink="">
      <xdr:nvSpPr>
        <xdr:cNvPr id="98" name="Arrow: Down 97">
          <a:extLst>
            <a:ext uri="{FF2B5EF4-FFF2-40B4-BE49-F238E27FC236}">
              <a16:creationId xmlns:a16="http://schemas.microsoft.com/office/drawing/2014/main" id="{3247D568-6607-4EB0-90B0-426766102067}"/>
            </a:ext>
          </a:extLst>
        </xdr:cNvPr>
        <xdr:cNvSpPr/>
      </xdr:nvSpPr>
      <xdr:spPr>
        <a:xfrm rot="10800000">
          <a:off x="11612880" y="1591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86</xdr:row>
      <xdr:rowOff>0</xdr:rowOff>
    </xdr:from>
    <xdr:to>
      <xdr:col>28</xdr:col>
      <xdr:colOff>83820</xdr:colOff>
      <xdr:row>86</xdr:row>
      <xdr:rowOff>114300</xdr:rowOff>
    </xdr:to>
    <xdr:sp macro="" textlink="">
      <xdr:nvSpPr>
        <xdr:cNvPr id="102" name="Arrow: Down 101">
          <a:extLst>
            <a:ext uri="{FF2B5EF4-FFF2-40B4-BE49-F238E27FC236}">
              <a16:creationId xmlns:a16="http://schemas.microsoft.com/office/drawing/2014/main" id="{640D2FC6-A766-4A4E-A7EF-DEE4CF19647D}"/>
            </a:ext>
          </a:extLst>
        </xdr:cNvPr>
        <xdr:cNvSpPr/>
      </xdr:nvSpPr>
      <xdr:spPr>
        <a:xfrm>
          <a:off x="11612880" y="1628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87</xdr:row>
      <xdr:rowOff>0</xdr:rowOff>
    </xdr:from>
    <xdr:to>
      <xdr:col>28</xdr:col>
      <xdr:colOff>83820</xdr:colOff>
      <xdr:row>87</xdr:row>
      <xdr:rowOff>114300</xdr:rowOff>
    </xdr:to>
    <xdr:sp macro="" textlink="">
      <xdr:nvSpPr>
        <xdr:cNvPr id="96" name="Arrow: Down 95">
          <a:extLst>
            <a:ext uri="{FF2B5EF4-FFF2-40B4-BE49-F238E27FC236}">
              <a16:creationId xmlns:a16="http://schemas.microsoft.com/office/drawing/2014/main" id="{BA0A0827-6DE6-4E3E-B382-3045EFFABB32}"/>
            </a:ext>
          </a:extLst>
        </xdr:cNvPr>
        <xdr:cNvSpPr/>
      </xdr:nvSpPr>
      <xdr:spPr>
        <a:xfrm>
          <a:off x="11612880" y="1628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88</xdr:row>
      <xdr:rowOff>0</xdr:rowOff>
    </xdr:from>
    <xdr:to>
      <xdr:col>28</xdr:col>
      <xdr:colOff>83820</xdr:colOff>
      <xdr:row>88</xdr:row>
      <xdr:rowOff>114300</xdr:rowOff>
    </xdr:to>
    <xdr:sp macro="" textlink="">
      <xdr:nvSpPr>
        <xdr:cNvPr id="101" name="Arrow: Down 100">
          <a:extLst>
            <a:ext uri="{FF2B5EF4-FFF2-40B4-BE49-F238E27FC236}">
              <a16:creationId xmlns:a16="http://schemas.microsoft.com/office/drawing/2014/main" id="{544421F5-0F30-43A3-8B82-7AF3B0567B48}"/>
            </a:ext>
          </a:extLst>
        </xdr:cNvPr>
        <xdr:cNvSpPr/>
      </xdr:nvSpPr>
      <xdr:spPr>
        <a:xfrm rot="10800000">
          <a:off x="11612880" y="1664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89</xdr:row>
      <xdr:rowOff>0</xdr:rowOff>
    </xdr:from>
    <xdr:to>
      <xdr:col>28</xdr:col>
      <xdr:colOff>83820</xdr:colOff>
      <xdr:row>89</xdr:row>
      <xdr:rowOff>114300</xdr:rowOff>
    </xdr:to>
    <xdr:sp macro="" textlink="">
      <xdr:nvSpPr>
        <xdr:cNvPr id="99" name="Arrow: Down 98">
          <a:extLst>
            <a:ext uri="{FF2B5EF4-FFF2-40B4-BE49-F238E27FC236}">
              <a16:creationId xmlns:a16="http://schemas.microsoft.com/office/drawing/2014/main" id="{12CEA806-8C89-4DB7-8EC7-E4924D43B6FB}"/>
            </a:ext>
          </a:extLst>
        </xdr:cNvPr>
        <xdr:cNvSpPr/>
      </xdr:nvSpPr>
      <xdr:spPr>
        <a:xfrm rot="10800000">
          <a:off x="11612880" y="1664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90</xdr:row>
      <xdr:rowOff>0</xdr:rowOff>
    </xdr:from>
    <xdr:to>
      <xdr:col>28</xdr:col>
      <xdr:colOff>83820</xdr:colOff>
      <xdr:row>90</xdr:row>
      <xdr:rowOff>114300</xdr:rowOff>
    </xdr:to>
    <xdr:sp macro="" textlink="">
      <xdr:nvSpPr>
        <xdr:cNvPr id="100" name="Arrow: Down 99">
          <a:extLst>
            <a:ext uri="{FF2B5EF4-FFF2-40B4-BE49-F238E27FC236}">
              <a16:creationId xmlns:a16="http://schemas.microsoft.com/office/drawing/2014/main" id="{AF40614E-6EFC-4C96-96E4-31D8502791C9}"/>
            </a:ext>
          </a:extLst>
        </xdr:cNvPr>
        <xdr:cNvSpPr/>
      </xdr:nvSpPr>
      <xdr:spPr>
        <a:xfrm rot="10800000">
          <a:off x="11612880" y="1683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91</xdr:row>
      <xdr:rowOff>0</xdr:rowOff>
    </xdr:from>
    <xdr:to>
      <xdr:col>28</xdr:col>
      <xdr:colOff>83820</xdr:colOff>
      <xdr:row>91</xdr:row>
      <xdr:rowOff>114300</xdr:rowOff>
    </xdr:to>
    <xdr:sp macro="" textlink="">
      <xdr:nvSpPr>
        <xdr:cNvPr id="104" name="Arrow: Down 103">
          <a:extLst>
            <a:ext uri="{FF2B5EF4-FFF2-40B4-BE49-F238E27FC236}">
              <a16:creationId xmlns:a16="http://schemas.microsoft.com/office/drawing/2014/main" id="{D331026C-DF8F-4967-ADC1-FF548A66FCF6}"/>
            </a:ext>
          </a:extLst>
        </xdr:cNvPr>
        <xdr:cNvSpPr/>
      </xdr:nvSpPr>
      <xdr:spPr>
        <a:xfrm rot="10800000">
          <a:off x="11612880" y="1701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92</xdr:row>
      <xdr:rowOff>0</xdr:rowOff>
    </xdr:from>
    <xdr:to>
      <xdr:col>28</xdr:col>
      <xdr:colOff>83820</xdr:colOff>
      <xdr:row>92</xdr:row>
      <xdr:rowOff>114300</xdr:rowOff>
    </xdr:to>
    <xdr:sp macro="" textlink="">
      <xdr:nvSpPr>
        <xdr:cNvPr id="108" name="Arrow: Down 107">
          <a:extLst>
            <a:ext uri="{FF2B5EF4-FFF2-40B4-BE49-F238E27FC236}">
              <a16:creationId xmlns:a16="http://schemas.microsoft.com/office/drawing/2014/main" id="{7B966DE7-D619-4358-89D3-F17782EEB327}"/>
            </a:ext>
          </a:extLst>
        </xdr:cNvPr>
        <xdr:cNvSpPr/>
      </xdr:nvSpPr>
      <xdr:spPr>
        <a:xfrm>
          <a:off x="11612880" y="17388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93</xdr:row>
      <xdr:rowOff>0</xdr:rowOff>
    </xdr:from>
    <xdr:to>
      <xdr:col>28</xdr:col>
      <xdr:colOff>83820</xdr:colOff>
      <xdr:row>93</xdr:row>
      <xdr:rowOff>114300</xdr:rowOff>
    </xdr:to>
    <xdr:sp macro="" textlink="">
      <xdr:nvSpPr>
        <xdr:cNvPr id="125" name="Arrow: Down 124">
          <a:extLst>
            <a:ext uri="{FF2B5EF4-FFF2-40B4-BE49-F238E27FC236}">
              <a16:creationId xmlns:a16="http://schemas.microsoft.com/office/drawing/2014/main" id="{47EECA7C-C20F-4BA7-83BE-633A52919536}"/>
            </a:ext>
          </a:extLst>
        </xdr:cNvPr>
        <xdr:cNvSpPr/>
      </xdr:nvSpPr>
      <xdr:spPr>
        <a:xfrm>
          <a:off x="11612880" y="1738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94</xdr:row>
      <xdr:rowOff>0</xdr:rowOff>
    </xdr:from>
    <xdr:to>
      <xdr:col>28</xdr:col>
      <xdr:colOff>83820</xdr:colOff>
      <xdr:row>94</xdr:row>
      <xdr:rowOff>114300</xdr:rowOff>
    </xdr:to>
    <xdr:sp macro="" textlink="">
      <xdr:nvSpPr>
        <xdr:cNvPr id="126" name="Arrow: Down 125">
          <a:extLst>
            <a:ext uri="{FF2B5EF4-FFF2-40B4-BE49-F238E27FC236}">
              <a16:creationId xmlns:a16="http://schemas.microsoft.com/office/drawing/2014/main" id="{EF07D103-A5A8-4642-ABD3-CC78B307FA0A}"/>
            </a:ext>
          </a:extLst>
        </xdr:cNvPr>
        <xdr:cNvSpPr/>
      </xdr:nvSpPr>
      <xdr:spPr>
        <a:xfrm>
          <a:off x="11612880" y="1774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95</xdr:row>
      <xdr:rowOff>0</xdr:rowOff>
    </xdr:from>
    <xdr:to>
      <xdr:col>28</xdr:col>
      <xdr:colOff>83820</xdr:colOff>
      <xdr:row>95</xdr:row>
      <xdr:rowOff>114300</xdr:rowOff>
    </xdr:to>
    <xdr:sp macro="" textlink="">
      <xdr:nvSpPr>
        <xdr:cNvPr id="106" name="Arrow: Down 105">
          <a:extLst>
            <a:ext uri="{FF2B5EF4-FFF2-40B4-BE49-F238E27FC236}">
              <a16:creationId xmlns:a16="http://schemas.microsoft.com/office/drawing/2014/main" id="{252B8931-8A02-4BD8-8FEA-9A7E8039C915}"/>
            </a:ext>
          </a:extLst>
        </xdr:cNvPr>
        <xdr:cNvSpPr/>
      </xdr:nvSpPr>
      <xdr:spPr>
        <a:xfrm rot="10800000">
          <a:off x="11612880" y="1792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96</xdr:row>
      <xdr:rowOff>0</xdr:rowOff>
    </xdr:from>
    <xdr:to>
      <xdr:col>28</xdr:col>
      <xdr:colOff>83820</xdr:colOff>
      <xdr:row>96</xdr:row>
      <xdr:rowOff>114300</xdr:rowOff>
    </xdr:to>
    <xdr:sp macro="" textlink="">
      <xdr:nvSpPr>
        <xdr:cNvPr id="107" name="Arrow: Down 106">
          <a:extLst>
            <a:ext uri="{FF2B5EF4-FFF2-40B4-BE49-F238E27FC236}">
              <a16:creationId xmlns:a16="http://schemas.microsoft.com/office/drawing/2014/main" id="{80843F92-C6E3-4872-85D6-01F129A8B45F}"/>
            </a:ext>
          </a:extLst>
        </xdr:cNvPr>
        <xdr:cNvSpPr/>
      </xdr:nvSpPr>
      <xdr:spPr>
        <a:xfrm rot="10800000">
          <a:off x="11612880" y="1792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97</xdr:row>
      <xdr:rowOff>0</xdr:rowOff>
    </xdr:from>
    <xdr:to>
      <xdr:col>28</xdr:col>
      <xdr:colOff>83820</xdr:colOff>
      <xdr:row>97</xdr:row>
      <xdr:rowOff>114300</xdr:rowOff>
    </xdr:to>
    <xdr:sp macro="" textlink="">
      <xdr:nvSpPr>
        <xdr:cNvPr id="110" name="Arrow: Down 109">
          <a:extLst>
            <a:ext uri="{FF2B5EF4-FFF2-40B4-BE49-F238E27FC236}">
              <a16:creationId xmlns:a16="http://schemas.microsoft.com/office/drawing/2014/main" id="{B203A764-4AC8-43FE-86C3-0BBCD1F3CB79}"/>
            </a:ext>
          </a:extLst>
        </xdr:cNvPr>
        <xdr:cNvSpPr/>
      </xdr:nvSpPr>
      <xdr:spPr>
        <a:xfrm rot="10800000">
          <a:off x="11612880" y="1811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98</xdr:row>
      <xdr:rowOff>0</xdr:rowOff>
    </xdr:from>
    <xdr:to>
      <xdr:col>28</xdr:col>
      <xdr:colOff>83820</xdr:colOff>
      <xdr:row>98</xdr:row>
      <xdr:rowOff>114300</xdr:rowOff>
    </xdr:to>
    <xdr:sp macro="" textlink="">
      <xdr:nvSpPr>
        <xdr:cNvPr id="112" name="Arrow: Down 111">
          <a:extLst>
            <a:ext uri="{FF2B5EF4-FFF2-40B4-BE49-F238E27FC236}">
              <a16:creationId xmlns:a16="http://schemas.microsoft.com/office/drawing/2014/main" id="{305A3BE3-82E9-4896-AA2B-F7059E12D317}"/>
            </a:ext>
          </a:extLst>
        </xdr:cNvPr>
        <xdr:cNvSpPr/>
      </xdr:nvSpPr>
      <xdr:spPr>
        <a:xfrm>
          <a:off x="11612880" y="1847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99</xdr:row>
      <xdr:rowOff>0</xdr:rowOff>
    </xdr:from>
    <xdr:to>
      <xdr:col>28</xdr:col>
      <xdr:colOff>83820</xdr:colOff>
      <xdr:row>99</xdr:row>
      <xdr:rowOff>114300</xdr:rowOff>
    </xdr:to>
    <xdr:sp macro="" textlink="">
      <xdr:nvSpPr>
        <xdr:cNvPr id="113" name="Arrow: Down 112">
          <a:extLst>
            <a:ext uri="{FF2B5EF4-FFF2-40B4-BE49-F238E27FC236}">
              <a16:creationId xmlns:a16="http://schemas.microsoft.com/office/drawing/2014/main" id="{28B87D41-8C52-45E0-86DD-48F54F219C77}"/>
            </a:ext>
          </a:extLst>
        </xdr:cNvPr>
        <xdr:cNvSpPr/>
      </xdr:nvSpPr>
      <xdr:spPr>
        <a:xfrm>
          <a:off x="11612880" y="1847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100</xdr:row>
      <xdr:rowOff>0</xdr:rowOff>
    </xdr:from>
    <xdr:to>
      <xdr:col>28</xdr:col>
      <xdr:colOff>83820</xdr:colOff>
      <xdr:row>100</xdr:row>
      <xdr:rowOff>114300</xdr:rowOff>
    </xdr:to>
    <xdr:sp macro="" textlink="">
      <xdr:nvSpPr>
        <xdr:cNvPr id="114" name="Arrow: Down 113">
          <a:extLst>
            <a:ext uri="{FF2B5EF4-FFF2-40B4-BE49-F238E27FC236}">
              <a16:creationId xmlns:a16="http://schemas.microsoft.com/office/drawing/2014/main" id="{E2BDB706-C169-40FC-92C9-D94EC45B51F9}"/>
            </a:ext>
          </a:extLst>
        </xdr:cNvPr>
        <xdr:cNvSpPr/>
      </xdr:nvSpPr>
      <xdr:spPr>
        <a:xfrm>
          <a:off x="11612880" y="1866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101</xdr:row>
      <xdr:rowOff>0</xdr:rowOff>
    </xdr:from>
    <xdr:to>
      <xdr:col>28</xdr:col>
      <xdr:colOff>83820</xdr:colOff>
      <xdr:row>101</xdr:row>
      <xdr:rowOff>114300</xdr:rowOff>
    </xdr:to>
    <xdr:sp macro="" textlink="">
      <xdr:nvSpPr>
        <xdr:cNvPr id="103" name="Arrow: Down 102">
          <a:extLst>
            <a:ext uri="{FF2B5EF4-FFF2-40B4-BE49-F238E27FC236}">
              <a16:creationId xmlns:a16="http://schemas.microsoft.com/office/drawing/2014/main" id="{B5D23E5D-058C-46AF-935D-A9B47370B6F8}"/>
            </a:ext>
          </a:extLst>
        </xdr:cNvPr>
        <xdr:cNvSpPr/>
      </xdr:nvSpPr>
      <xdr:spPr>
        <a:xfrm>
          <a:off x="11612880" y="1884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102</xdr:row>
      <xdr:rowOff>0</xdr:rowOff>
    </xdr:from>
    <xdr:to>
      <xdr:col>28</xdr:col>
      <xdr:colOff>83820</xdr:colOff>
      <xdr:row>102</xdr:row>
      <xdr:rowOff>114300</xdr:rowOff>
    </xdr:to>
    <xdr:sp macro="" textlink="">
      <xdr:nvSpPr>
        <xdr:cNvPr id="105" name="Arrow: Down 104">
          <a:extLst>
            <a:ext uri="{FF2B5EF4-FFF2-40B4-BE49-F238E27FC236}">
              <a16:creationId xmlns:a16="http://schemas.microsoft.com/office/drawing/2014/main" id="{564E031A-D09E-449F-A73D-B0B234C5757E}"/>
            </a:ext>
          </a:extLst>
        </xdr:cNvPr>
        <xdr:cNvSpPr/>
      </xdr:nvSpPr>
      <xdr:spPr>
        <a:xfrm>
          <a:off x="11803380" y="1902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103</xdr:row>
      <xdr:rowOff>0</xdr:rowOff>
    </xdr:from>
    <xdr:to>
      <xdr:col>28</xdr:col>
      <xdr:colOff>83820</xdr:colOff>
      <xdr:row>103</xdr:row>
      <xdr:rowOff>114300</xdr:rowOff>
    </xdr:to>
    <xdr:sp macro="" textlink="">
      <xdr:nvSpPr>
        <xdr:cNvPr id="109" name="Arrow: Down 108">
          <a:extLst>
            <a:ext uri="{FF2B5EF4-FFF2-40B4-BE49-F238E27FC236}">
              <a16:creationId xmlns:a16="http://schemas.microsoft.com/office/drawing/2014/main" id="{C418EDFA-18FA-49C5-B326-3ED9858D7B8E}"/>
            </a:ext>
          </a:extLst>
        </xdr:cNvPr>
        <xdr:cNvSpPr/>
      </xdr:nvSpPr>
      <xdr:spPr>
        <a:xfrm>
          <a:off x="11803380" y="1921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104</xdr:row>
      <xdr:rowOff>0</xdr:rowOff>
    </xdr:from>
    <xdr:to>
      <xdr:col>28</xdr:col>
      <xdr:colOff>83820</xdr:colOff>
      <xdr:row>104</xdr:row>
      <xdr:rowOff>114300</xdr:rowOff>
    </xdr:to>
    <xdr:sp macro="" textlink="">
      <xdr:nvSpPr>
        <xdr:cNvPr id="115" name="Arrow: Down 114">
          <a:extLst>
            <a:ext uri="{FF2B5EF4-FFF2-40B4-BE49-F238E27FC236}">
              <a16:creationId xmlns:a16="http://schemas.microsoft.com/office/drawing/2014/main" id="{04F05858-D19D-4933-BC4B-8323FAF2A278}"/>
            </a:ext>
          </a:extLst>
        </xdr:cNvPr>
        <xdr:cNvSpPr/>
      </xdr:nvSpPr>
      <xdr:spPr>
        <a:xfrm>
          <a:off x="11803380" y="1939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105</xdr:row>
      <xdr:rowOff>0</xdr:rowOff>
    </xdr:from>
    <xdr:to>
      <xdr:col>28</xdr:col>
      <xdr:colOff>83820</xdr:colOff>
      <xdr:row>105</xdr:row>
      <xdr:rowOff>114300</xdr:rowOff>
    </xdr:to>
    <xdr:sp macro="" textlink="">
      <xdr:nvSpPr>
        <xdr:cNvPr id="111" name="Arrow: Down 110">
          <a:extLst>
            <a:ext uri="{FF2B5EF4-FFF2-40B4-BE49-F238E27FC236}">
              <a16:creationId xmlns:a16="http://schemas.microsoft.com/office/drawing/2014/main" id="{9B117132-D902-434D-AD6A-8CA56B4EEF36}"/>
            </a:ext>
          </a:extLst>
        </xdr:cNvPr>
        <xdr:cNvSpPr/>
      </xdr:nvSpPr>
      <xdr:spPr>
        <a:xfrm>
          <a:off x="11803380" y="1957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106</xdr:row>
      <xdr:rowOff>0</xdr:rowOff>
    </xdr:from>
    <xdr:to>
      <xdr:col>28</xdr:col>
      <xdr:colOff>83820</xdr:colOff>
      <xdr:row>106</xdr:row>
      <xdr:rowOff>114300</xdr:rowOff>
    </xdr:to>
    <xdr:sp macro="" textlink="">
      <xdr:nvSpPr>
        <xdr:cNvPr id="116" name="Arrow: Down 115">
          <a:extLst>
            <a:ext uri="{FF2B5EF4-FFF2-40B4-BE49-F238E27FC236}">
              <a16:creationId xmlns:a16="http://schemas.microsoft.com/office/drawing/2014/main" id="{0B7B67E6-2B97-45F3-A298-67CEA040ABBC}"/>
            </a:ext>
          </a:extLst>
        </xdr:cNvPr>
        <xdr:cNvSpPr/>
      </xdr:nvSpPr>
      <xdr:spPr>
        <a:xfrm>
          <a:off x="11803380" y="1975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107</xdr:row>
      <xdr:rowOff>0</xdr:rowOff>
    </xdr:from>
    <xdr:to>
      <xdr:col>28</xdr:col>
      <xdr:colOff>83820</xdr:colOff>
      <xdr:row>107</xdr:row>
      <xdr:rowOff>114300</xdr:rowOff>
    </xdr:to>
    <xdr:sp macro="" textlink="">
      <xdr:nvSpPr>
        <xdr:cNvPr id="117" name="Arrow: Down 116">
          <a:extLst>
            <a:ext uri="{FF2B5EF4-FFF2-40B4-BE49-F238E27FC236}">
              <a16:creationId xmlns:a16="http://schemas.microsoft.com/office/drawing/2014/main" id="{603C2505-9E1B-42B6-BD77-4584261B6FF4}"/>
            </a:ext>
          </a:extLst>
        </xdr:cNvPr>
        <xdr:cNvSpPr/>
      </xdr:nvSpPr>
      <xdr:spPr>
        <a:xfrm>
          <a:off x="11803380" y="1994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108</xdr:row>
      <xdr:rowOff>0</xdr:rowOff>
    </xdr:from>
    <xdr:to>
      <xdr:col>28</xdr:col>
      <xdr:colOff>83820</xdr:colOff>
      <xdr:row>108</xdr:row>
      <xdr:rowOff>114300</xdr:rowOff>
    </xdr:to>
    <xdr:sp macro="" textlink="">
      <xdr:nvSpPr>
        <xdr:cNvPr id="119" name="Arrow: Down 118">
          <a:extLst>
            <a:ext uri="{FF2B5EF4-FFF2-40B4-BE49-F238E27FC236}">
              <a16:creationId xmlns:a16="http://schemas.microsoft.com/office/drawing/2014/main" id="{AA181258-B002-48E9-9826-C3B027497B9B}"/>
            </a:ext>
          </a:extLst>
        </xdr:cNvPr>
        <xdr:cNvSpPr/>
      </xdr:nvSpPr>
      <xdr:spPr>
        <a:xfrm>
          <a:off x="11803380" y="2012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109</xdr:row>
      <xdr:rowOff>0</xdr:rowOff>
    </xdr:from>
    <xdr:to>
      <xdr:col>28</xdr:col>
      <xdr:colOff>83820</xdr:colOff>
      <xdr:row>109</xdr:row>
      <xdr:rowOff>114300</xdr:rowOff>
    </xdr:to>
    <xdr:sp macro="" textlink="">
      <xdr:nvSpPr>
        <xdr:cNvPr id="120" name="Arrow: Down 119">
          <a:extLst>
            <a:ext uri="{FF2B5EF4-FFF2-40B4-BE49-F238E27FC236}">
              <a16:creationId xmlns:a16="http://schemas.microsoft.com/office/drawing/2014/main" id="{D3B696C3-35C6-4C00-A30F-A2F366FCA776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110</xdr:row>
      <xdr:rowOff>0</xdr:rowOff>
    </xdr:from>
    <xdr:to>
      <xdr:col>28</xdr:col>
      <xdr:colOff>83820</xdr:colOff>
      <xdr:row>110</xdr:row>
      <xdr:rowOff>114300</xdr:rowOff>
    </xdr:to>
    <xdr:sp macro="" textlink="">
      <xdr:nvSpPr>
        <xdr:cNvPr id="121" name="Arrow: Down 120">
          <a:extLst>
            <a:ext uri="{FF2B5EF4-FFF2-40B4-BE49-F238E27FC236}">
              <a16:creationId xmlns:a16="http://schemas.microsoft.com/office/drawing/2014/main" id="{9F7C1D66-D8B3-4802-8212-69DBF79C159F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111</xdr:row>
      <xdr:rowOff>0</xdr:rowOff>
    </xdr:from>
    <xdr:to>
      <xdr:col>28</xdr:col>
      <xdr:colOff>83820</xdr:colOff>
      <xdr:row>111</xdr:row>
      <xdr:rowOff>114300</xdr:rowOff>
    </xdr:to>
    <xdr:sp macro="" textlink="">
      <xdr:nvSpPr>
        <xdr:cNvPr id="123" name="Arrow: Down 122">
          <a:extLst>
            <a:ext uri="{FF2B5EF4-FFF2-40B4-BE49-F238E27FC236}">
              <a16:creationId xmlns:a16="http://schemas.microsoft.com/office/drawing/2014/main" id="{E91D113C-8087-4306-A44E-860AF9B9D0F3}"/>
            </a:ext>
          </a:extLst>
        </xdr:cNvPr>
        <xdr:cNvSpPr/>
      </xdr:nvSpPr>
      <xdr:spPr>
        <a:xfrm rot="10800000">
          <a:off x="11803380" y="2067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112</xdr:row>
      <xdr:rowOff>0</xdr:rowOff>
    </xdr:from>
    <xdr:to>
      <xdr:col>28</xdr:col>
      <xdr:colOff>83820</xdr:colOff>
      <xdr:row>112</xdr:row>
      <xdr:rowOff>114300</xdr:rowOff>
    </xdr:to>
    <xdr:sp macro="" textlink="">
      <xdr:nvSpPr>
        <xdr:cNvPr id="127" name="Arrow: Down 126">
          <a:extLst>
            <a:ext uri="{FF2B5EF4-FFF2-40B4-BE49-F238E27FC236}">
              <a16:creationId xmlns:a16="http://schemas.microsoft.com/office/drawing/2014/main" id="{EC2C4429-A4B8-462C-9502-E7A63530B69F}"/>
            </a:ext>
          </a:extLst>
        </xdr:cNvPr>
        <xdr:cNvSpPr/>
      </xdr:nvSpPr>
      <xdr:spPr>
        <a:xfrm>
          <a:off x="11803380" y="2103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113</xdr:row>
      <xdr:rowOff>0</xdr:rowOff>
    </xdr:from>
    <xdr:to>
      <xdr:col>28</xdr:col>
      <xdr:colOff>83820</xdr:colOff>
      <xdr:row>113</xdr:row>
      <xdr:rowOff>114300</xdr:rowOff>
    </xdr:to>
    <xdr:sp macro="" textlink="">
      <xdr:nvSpPr>
        <xdr:cNvPr id="128" name="Arrow: Down 127">
          <a:extLst>
            <a:ext uri="{FF2B5EF4-FFF2-40B4-BE49-F238E27FC236}">
              <a16:creationId xmlns:a16="http://schemas.microsoft.com/office/drawing/2014/main" id="{2B564377-EA76-41D7-8675-BBCD221DD470}"/>
            </a:ext>
          </a:extLst>
        </xdr:cNvPr>
        <xdr:cNvSpPr/>
      </xdr:nvSpPr>
      <xdr:spPr>
        <a:xfrm>
          <a:off x="11803380" y="2103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114</xdr:row>
      <xdr:rowOff>0</xdr:rowOff>
    </xdr:from>
    <xdr:to>
      <xdr:col>28</xdr:col>
      <xdr:colOff>83820</xdr:colOff>
      <xdr:row>114</xdr:row>
      <xdr:rowOff>114300</xdr:rowOff>
    </xdr:to>
    <xdr:sp macro="" textlink="">
      <xdr:nvSpPr>
        <xdr:cNvPr id="129" name="Arrow: Down 128">
          <a:extLst>
            <a:ext uri="{FF2B5EF4-FFF2-40B4-BE49-F238E27FC236}">
              <a16:creationId xmlns:a16="http://schemas.microsoft.com/office/drawing/2014/main" id="{91722AF9-9694-4DB4-9820-705A5B6D81E3}"/>
            </a:ext>
          </a:extLst>
        </xdr:cNvPr>
        <xdr:cNvSpPr/>
      </xdr:nvSpPr>
      <xdr:spPr>
        <a:xfrm>
          <a:off x="11803380" y="2122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115</xdr:row>
      <xdr:rowOff>0</xdr:rowOff>
    </xdr:from>
    <xdr:to>
      <xdr:col>28</xdr:col>
      <xdr:colOff>83820</xdr:colOff>
      <xdr:row>115</xdr:row>
      <xdr:rowOff>114300</xdr:rowOff>
    </xdr:to>
    <xdr:sp macro="" textlink="">
      <xdr:nvSpPr>
        <xdr:cNvPr id="118" name="Arrow: Down 117">
          <a:extLst>
            <a:ext uri="{FF2B5EF4-FFF2-40B4-BE49-F238E27FC236}">
              <a16:creationId xmlns:a16="http://schemas.microsoft.com/office/drawing/2014/main" id="{DA3171A7-6925-49E6-8D8A-61978AC12C61}"/>
            </a:ext>
          </a:extLst>
        </xdr:cNvPr>
        <xdr:cNvSpPr/>
      </xdr:nvSpPr>
      <xdr:spPr>
        <a:xfrm>
          <a:off x="11803380" y="2140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116</xdr:row>
      <xdr:rowOff>0</xdr:rowOff>
    </xdr:from>
    <xdr:to>
      <xdr:col>28</xdr:col>
      <xdr:colOff>83820</xdr:colOff>
      <xdr:row>116</xdr:row>
      <xdr:rowOff>114300</xdr:rowOff>
    </xdr:to>
    <xdr:sp macro="" textlink="">
      <xdr:nvSpPr>
        <xdr:cNvPr id="124" name="Arrow: Down 123">
          <a:extLst>
            <a:ext uri="{FF2B5EF4-FFF2-40B4-BE49-F238E27FC236}">
              <a16:creationId xmlns:a16="http://schemas.microsoft.com/office/drawing/2014/main" id="{B06208D8-D6C3-46D6-B267-1A1605A9F832}"/>
            </a:ext>
          </a:extLst>
        </xdr:cNvPr>
        <xdr:cNvSpPr/>
      </xdr:nvSpPr>
      <xdr:spPr>
        <a:xfrm>
          <a:off x="11803380" y="2158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117</xdr:row>
      <xdr:rowOff>0</xdr:rowOff>
    </xdr:from>
    <xdr:to>
      <xdr:col>28</xdr:col>
      <xdr:colOff>83820</xdr:colOff>
      <xdr:row>117</xdr:row>
      <xdr:rowOff>114300</xdr:rowOff>
    </xdr:to>
    <xdr:sp macro="" textlink="">
      <xdr:nvSpPr>
        <xdr:cNvPr id="130" name="Arrow: Down 129">
          <a:extLst>
            <a:ext uri="{FF2B5EF4-FFF2-40B4-BE49-F238E27FC236}">
              <a16:creationId xmlns:a16="http://schemas.microsoft.com/office/drawing/2014/main" id="{2240E10C-602A-47BA-8958-33E2286299EB}"/>
            </a:ext>
          </a:extLst>
        </xdr:cNvPr>
        <xdr:cNvSpPr/>
      </xdr:nvSpPr>
      <xdr:spPr>
        <a:xfrm>
          <a:off x="11803380" y="2177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118</xdr:row>
      <xdr:rowOff>0</xdr:rowOff>
    </xdr:from>
    <xdr:to>
      <xdr:col>28</xdr:col>
      <xdr:colOff>83820</xdr:colOff>
      <xdr:row>118</xdr:row>
      <xdr:rowOff>114300</xdr:rowOff>
    </xdr:to>
    <xdr:sp macro="" textlink="">
      <xdr:nvSpPr>
        <xdr:cNvPr id="132" name="Arrow: Down 131">
          <a:extLst>
            <a:ext uri="{FF2B5EF4-FFF2-40B4-BE49-F238E27FC236}">
              <a16:creationId xmlns:a16="http://schemas.microsoft.com/office/drawing/2014/main" id="{AC2CB8EE-0E6C-4E1F-9196-CEBE7E523599}"/>
            </a:ext>
          </a:extLst>
        </xdr:cNvPr>
        <xdr:cNvSpPr/>
      </xdr:nvSpPr>
      <xdr:spPr>
        <a:xfrm>
          <a:off x="11803380" y="2195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119</xdr:row>
      <xdr:rowOff>0</xdr:rowOff>
    </xdr:from>
    <xdr:to>
      <xdr:col>28</xdr:col>
      <xdr:colOff>83820</xdr:colOff>
      <xdr:row>119</xdr:row>
      <xdr:rowOff>114300</xdr:rowOff>
    </xdr:to>
    <xdr:sp macro="" textlink="">
      <xdr:nvSpPr>
        <xdr:cNvPr id="131" name="Arrow: Down 130">
          <a:extLst>
            <a:ext uri="{FF2B5EF4-FFF2-40B4-BE49-F238E27FC236}">
              <a16:creationId xmlns:a16="http://schemas.microsoft.com/office/drawing/2014/main" id="{916EAC12-5C83-47F0-B655-11818865048F}"/>
            </a:ext>
          </a:extLst>
        </xdr:cNvPr>
        <xdr:cNvSpPr/>
      </xdr:nvSpPr>
      <xdr:spPr>
        <a:xfrm>
          <a:off x="11803380" y="2213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120</xdr:row>
      <xdr:rowOff>0</xdr:rowOff>
    </xdr:from>
    <xdr:to>
      <xdr:col>28</xdr:col>
      <xdr:colOff>83820</xdr:colOff>
      <xdr:row>120</xdr:row>
      <xdr:rowOff>114300</xdr:rowOff>
    </xdr:to>
    <xdr:sp macro="" textlink="">
      <xdr:nvSpPr>
        <xdr:cNvPr id="133" name="Arrow: Down 132">
          <a:extLst>
            <a:ext uri="{FF2B5EF4-FFF2-40B4-BE49-F238E27FC236}">
              <a16:creationId xmlns:a16="http://schemas.microsoft.com/office/drawing/2014/main" id="{7C9A79A0-F98F-43C9-A1B1-F34376F8A37F}"/>
            </a:ext>
          </a:extLst>
        </xdr:cNvPr>
        <xdr:cNvSpPr/>
      </xdr:nvSpPr>
      <xdr:spPr>
        <a:xfrm>
          <a:off x="11803380" y="2231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121</xdr:row>
      <xdr:rowOff>0</xdr:rowOff>
    </xdr:from>
    <xdr:to>
      <xdr:col>28</xdr:col>
      <xdr:colOff>83820</xdr:colOff>
      <xdr:row>121</xdr:row>
      <xdr:rowOff>114300</xdr:rowOff>
    </xdr:to>
    <xdr:sp macro="" textlink="">
      <xdr:nvSpPr>
        <xdr:cNvPr id="134" name="Arrow: Down 133">
          <a:extLst>
            <a:ext uri="{FF2B5EF4-FFF2-40B4-BE49-F238E27FC236}">
              <a16:creationId xmlns:a16="http://schemas.microsoft.com/office/drawing/2014/main" id="{5033E43C-54EE-4D43-B6BC-B82E4694E84C}"/>
            </a:ext>
          </a:extLst>
        </xdr:cNvPr>
        <xdr:cNvSpPr/>
      </xdr:nvSpPr>
      <xdr:spPr>
        <a:xfrm>
          <a:off x="11803380" y="2250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122</xdr:row>
      <xdr:rowOff>0</xdr:rowOff>
    </xdr:from>
    <xdr:to>
      <xdr:col>28</xdr:col>
      <xdr:colOff>83820</xdr:colOff>
      <xdr:row>122</xdr:row>
      <xdr:rowOff>114300</xdr:rowOff>
    </xdr:to>
    <xdr:sp macro="" textlink="">
      <xdr:nvSpPr>
        <xdr:cNvPr id="135" name="Arrow: Down 134">
          <a:extLst>
            <a:ext uri="{FF2B5EF4-FFF2-40B4-BE49-F238E27FC236}">
              <a16:creationId xmlns:a16="http://schemas.microsoft.com/office/drawing/2014/main" id="{6706F9A5-3821-4954-B517-AD3AC8036C90}"/>
            </a:ext>
          </a:extLst>
        </xdr:cNvPr>
        <xdr:cNvSpPr/>
      </xdr:nvSpPr>
      <xdr:spPr>
        <a:xfrm>
          <a:off x="11803380" y="2268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123</xdr:row>
      <xdr:rowOff>0</xdr:rowOff>
    </xdr:from>
    <xdr:to>
      <xdr:col>28</xdr:col>
      <xdr:colOff>83820</xdr:colOff>
      <xdr:row>123</xdr:row>
      <xdr:rowOff>114300</xdr:rowOff>
    </xdr:to>
    <xdr:sp macro="" textlink="">
      <xdr:nvSpPr>
        <xdr:cNvPr id="138" name="Arrow: Down 137">
          <a:extLst>
            <a:ext uri="{FF2B5EF4-FFF2-40B4-BE49-F238E27FC236}">
              <a16:creationId xmlns:a16="http://schemas.microsoft.com/office/drawing/2014/main" id="{DBF2BEAC-72F5-40AB-BF25-842BE363E2B1}"/>
            </a:ext>
          </a:extLst>
        </xdr:cNvPr>
        <xdr:cNvSpPr/>
      </xdr:nvSpPr>
      <xdr:spPr>
        <a:xfrm rot="10800000">
          <a:off x="11803380" y="2305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124</xdr:row>
      <xdr:rowOff>0</xdr:rowOff>
    </xdr:from>
    <xdr:to>
      <xdr:col>28</xdr:col>
      <xdr:colOff>83820</xdr:colOff>
      <xdr:row>124</xdr:row>
      <xdr:rowOff>114300</xdr:rowOff>
    </xdr:to>
    <xdr:sp macro="" textlink="">
      <xdr:nvSpPr>
        <xdr:cNvPr id="139" name="Arrow: Down 138">
          <a:extLst>
            <a:ext uri="{FF2B5EF4-FFF2-40B4-BE49-F238E27FC236}">
              <a16:creationId xmlns:a16="http://schemas.microsoft.com/office/drawing/2014/main" id="{9DD0C338-5FA4-45F1-A2D5-A5189D51B6ED}"/>
            </a:ext>
          </a:extLst>
        </xdr:cNvPr>
        <xdr:cNvSpPr/>
      </xdr:nvSpPr>
      <xdr:spPr>
        <a:xfrm rot="10800000">
          <a:off x="11803380" y="2305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125</xdr:row>
      <xdr:rowOff>0</xdr:rowOff>
    </xdr:from>
    <xdr:to>
      <xdr:col>28</xdr:col>
      <xdr:colOff>83820</xdr:colOff>
      <xdr:row>125</xdr:row>
      <xdr:rowOff>114300</xdr:rowOff>
    </xdr:to>
    <xdr:sp macro="" textlink="">
      <xdr:nvSpPr>
        <xdr:cNvPr id="140" name="Arrow: Down 139">
          <a:extLst>
            <a:ext uri="{FF2B5EF4-FFF2-40B4-BE49-F238E27FC236}">
              <a16:creationId xmlns:a16="http://schemas.microsoft.com/office/drawing/2014/main" id="{D4473209-040F-4E0E-B7A1-A8DA37743506}"/>
            </a:ext>
          </a:extLst>
        </xdr:cNvPr>
        <xdr:cNvSpPr/>
      </xdr:nvSpPr>
      <xdr:spPr>
        <a:xfrm rot="10800000">
          <a:off x="11803380" y="2323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126</xdr:row>
      <xdr:rowOff>0</xdr:rowOff>
    </xdr:from>
    <xdr:to>
      <xdr:col>28</xdr:col>
      <xdr:colOff>83820</xdr:colOff>
      <xdr:row>126</xdr:row>
      <xdr:rowOff>114300</xdr:rowOff>
    </xdr:to>
    <xdr:sp macro="" textlink="">
      <xdr:nvSpPr>
        <xdr:cNvPr id="142" name="Arrow: Down 141">
          <a:extLst>
            <a:ext uri="{FF2B5EF4-FFF2-40B4-BE49-F238E27FC236}">
              <a16:creationId xmlns:a16="http://schemas.microsoft.com/office/drawing/2014/main" id="{7D3F94A4-93F5-4B01-957A-11400BC1A5C7}"/>
            </a:ext>
          </a:extLst>
        </xdr:cNvPr>
        <xdr:cNvSpPr/>
      </xdr:nvSpPr>
      <xdr:spPr>
        <a:xfrm>
          <a:off x="11803380" y="2359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127</xdr:row>
      <xdr:rowOff>0</xdr:rowOff>
    </xdr:from>
    <xdr:to>
      <xdr:col>28</xdr:col>
      <xdr:colOff>83820</xdr:colOff>
      <xdr:row>127</xdr:row>
      <xdr:rowOff>114300</xdr:rowOff>
    </xdr:to>
    <xdr:sp macro="" textlink="">
      <xdr:nvSpPr>
        <xdr:cNvPr id="144" name="Arrow: Down 143">
          <a:extLst>
            <a:ext uri="{FF2B5EF4-FFF2-40B4-BE49-F238E27FC236}">
              <a16:creationId xmlns:a16="http://schemas.microsoft.com/office/drawing/2014/main" id="{3F7CF259-6E87-4ECA-A964-63BD5FCF1FF4}"/>
            </a:ext>
          </a:extLst>
        </xdr:cNvPr>
        <xdr:cNvSpPr/>
      </xdr:nvSpPr>
      <xdr:spPr>
        <a:xfrm>
          <a:off x="11803380" y="2359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128</xdr:row>
      <xdr:rowOff>0</xdr:rowOff>
    </xdr:from>
    <xdr:to>
      <xdr:col>28</xdr:col>
      <xdr:colOff>83820</xdr:colOff>
      <xdr:row>128</xdr:row>
      <xdr:rowOff>114300</xdr:rowOff>
    </xdr:to>
    <xdr:sp macro="" textlink="">
      <xdr:nvSpPr>
        <xdr:cNvPr id="146" name="Arrow: Down 145">
          <a:extLst>
            <a:ext uri="{FF2B5EF4-FFF2-40B4-BE49-F238E27FC236}">
              <a16:creationId xmlns:a16="http://schemas.microsoft.com/office/drawing/2014/main" id="{5774972C-47AC-4FFE-993E-29FF5AFFFE67}"/>
            </a:ext>
          </a:extLst>
        </xdr:cNvPr>
        <xdr:cNvSpPr/>
      </xdr:nvSpPr>
      <xdr:spPr>
        <a:xfrm>
          <a:off x="11803380" y="2378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129</xdr:row>
      <xdr:rowOff>0</xdr:rowOff>
    </xdr:from>
    <xdr:to>
      <xdr:col>28</xdr:col>
      <xdr:colOff>83820</xdr:colOff>
      <xdr:row>129</xdr:row>
      <xdr:rowOff>114300</xdr:rowOff>
    </xdr:to>
    <xdr:sp macro="" textlink="">
      <xdr:nvSpPr>
        <xdr:cNvPr id="147" name="Arrow: Down 146">
          <a:extLst>
            <a:ext uri="{FF2B5EF4-FFF2-40B4-BE49-F238E27FC236}">
              <a16:creationId xmlns:a16="http://schemas.microsoft.com/office/drawing/2014/main" id="{B064AD02-2972-43D7-B816-6CA71D96B061}"/>
            </a:ext>
          </a:extLst>
        </xdr:cNvPr>
        <xdr:cNvSpPr/>
      </xdr:nvSpPr>
      <xdr:spPr>
        <a:xfrm>
          <a:off x="11803380" y="2396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130</xdr:row>
      <xdr:rowOff>0</xdr:rowOff>
    </xdr:from>
    <xdr:to>
      <xdr:col>28</xdr:col>
      <xdr:colOff>83820</xdr:colOff>
      <xdr:row>130</xdr:row>
      <xdr:rowOff>114300</xdr:rowOff>
    </xdr:to>
    <xdr:sp macro="" textlink="">
      <xdr:nvSpPr>
        <xdr:cNvPr id="150" name="Arrow: Down 149">
          <a:extLst>
            <a:ext uri="{FF2B5EF4-FFF2-40B4-BE49-F238E27FC236}">
              <a16:creationId xmlns:a16="http://schemas.microsoft.com/office/drawing/2014/main" id="{7E9CDF2B-7670-47B9-9DF7-9E0194788C99}"/>
            </a:ext>
          </a:extLst>
        </xdr:cNvPr>
        <xdr:cNvSpPr/>
      </xdr:nvSpPr>
      <xdr:spPr>
        <a:xfrm rot="10800000">
          <a:off x="11803380" y="2433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131</xdr:row>
      <xdr:rowOff>0</xdr:rowOff>
    </xdr:from>
    <xdr:to>
      <xdr:col>28</xdr:col>
      <xdr:colOff>83820</xdr:colOff>
      <xdr:row>131</xdr:row>
      <xdr:rowOff>114300</xdr:rowOff>
    </xdr:to>
    <xdr:sp macro="" textlink="">
      <xdr:nvSpPr>
        <xdr:cNvPr id="151" name="Arrow: Down 150">
          <a:extLst>
            <a:ext uri="{FF2B5EF4-FFF2-40B4-BE49-F238E27FC236}">
              <a16:creationId xmlns:a16="http://schemas.microsoft.com/office/drawing/2014/main" id="{C4CE6E74-8B22-4753-ACF3-B3ED3308FCCA}"/>
            </a:ext>
          </a:extLst>
        </xdr:cNvPr>
        <xdr:cNvSpPr/>
      </xdr:nvSpPr>
      <xdr:spPr>
        <a:xfrm rot="10800000">
          <a:off x="11803380" y="2433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132</xdr:row>
      <xdr:rowOff>0</xdr:rowOff>
    </xdr:from>
    <xdr:to>
      <xdr:col>28</xdr:col>
      <xdr:colOff>83820</xdr:colOff>
      <xdr:row>132</xdr:row>
      <xdr:rowOff>114300</xdr:rowOff>
    </xdr:to>
    <xdr:sp macro="" textlink="">
      <xdr:nvSpPr>
        <xdr:cNvPr id="153" name="Arrow: Down 152">
          <a:extLst>
            <a:ext uri="{FF2B5EF4-FFF2-40B4-BE49-F238E27FC236}">
              <a16:creationId xmlns:a16="http://schemas.microsoft.com/office/drawing/2014/main" id="{CB4C492C-2D8B-4750-8119-F6F3A85E7128}"/>
            </a:ext>
          </a:extLst>
        </xdr:cNvPr>
        <xdr:cNvSpPr/>
      </xdr:nvSpPr>
      <xdr:spPr>
        <a:xfrm rot="10800000">
          <a:off x="11803380" y="2451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133</xdr:row>
      <xdr:rowOff>0</xdr:rowOff>
    </xdr:from>
    <xdr:to>
      <xdr:col>28</xdr:col>
      <xdr:colOff>83820</xdr:colOff>
      <xdr:row>133</xdr:row>
      <xdr:rowOff>114300</xdr:rowOff>
    </xdr:to>
    <xdr:sp macro="" textlink="">
      <xdr:nvSpPr>
        <xdr:cNvPr id="157" name="Arrow: Down 156">
          <a:extLst>
            <a:ext uri="{FF2B5EF4-FFF2-40B4-BE49-F238E27FC236}">
              <a16:creationId xmlns:a16="http://schemas.microsoft.com/office/drawing/2014/main" id="{3B259D3E-7326-4DEF-AD6F-E87E2F0481C2}"/>
            </a:ext>
          </a:extLst>
        </xdr:cNvPr>
        <xdr:cNvSpPr/>
      </xdr:nvSpPr>
      <xdr:spPr>
        <a:xfrm>
          <a:off x="11803380" y="2487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134</xdr:row>
      <xdr:rowOff>0</xdr:rowOff>
    </xdr:from>
    <xdr:to>
      <xdr:col>28</xdr:col>
      <xdr:colOff>83820</xdr:colOff>
      <xdr:row>134</xdr:row>
      <xdr:rowOff>114300</xdr:rowOff>
    </xdr:to>
    <xdr:sp macro="" textlink="">
      <xdr:nvSpPr>
        <xdr:cNvPr id="158" name="Arrow: Down 157">
          <a:extLst>
            <a:ext uri="{FF2B5EF4-FFF2-40B4-BE49-F238E27FC236}">
              <a16:creationId xmlns:a16="http://schemas.microsoft.com/office/drawing/2014/main" id="{3C265BFF-B76D-457E-96E6-909523530ED1}"/>
            </a:ext>
          </a:extLst>
        </xdr:cNvPr>
        <xdr:cNvSpPr/>
      </xdr:nvSpPr>
      <xdr:spPr>
        <a:xfrm>
          <a:off x="11803380" y="2506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135</xdr:row>
      <xdr:rowOff>0</xdr:rowOff>
    </xdr:from>
    <xdr:to>
      <xdr:col>28</xdr:col>
      <xdr:colOff>83820</xdr:colOff>
      <xdr:row>135</xdr:row>
      <xdr:rowOff>114300</xdr:rowOff>
    </xdr:to>
    <xdr:sp macro="" textlink="">
      <xdr:nvSpPr>
        <xdr:cNvPr id="160" name="Arrow: Down 159">
          <a:extLst>
            <a:ext uri="{FF2B5EF4-FFF2-40B4-BE49-F238E27FC236}">
              <a16:creationId xmlns:a16="http://schemas.microsoft.com/office/drawing/2014/main" id="{FE7CAE4E-5F58-4409-858E-8483016F8413}"/>
            </a:ext>
          </a:extLst>
        </xdr:cNvPr>
        <xdr:cNvSpPr/>
      </xdr:nvSpPr>
      <xdr:spPr>
        <a:xfrm>
          <a:off x="11803380" y="2506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136</xdr:row>
      <xdr:rowOff>0</xdr:rowOff>
    </xdr:from>
    <xdr:to>
      <xdr:col>28</xdr:col>
      <xdr:colOff>83820</xdr:colOff>
      <xdr:row>136</xdr:row>
      <xdr:rowOff>114300</xdr:rowOff>
    </xdr:to>
    <xdr:sp macro="" textlink="">
      <xdr:nvSpPr>
        <xdr:cNvPr id="163" name="Arrow: Down 162">
          <a:extLst>
            <a:ext uri="{FF2B5EF4-FFF2-40B4-BE49-F238E27FC236}">
              <a16:creationId xmlns:a16="http://schemas.microsoft.com/office/drawing/2014/main" id="{10542596-BC0F-4B9F-BA2E-7E1EB4F1AAD0}"/>
            </a:ext>
          </a:extLst>
        </xdr:cNvPr>
        <xdr:cNvSpPr/>
      </xdr:nvSpPr>
      <xdr:spPr>
        <a:xfrm>
          <a:off x="11803380" y="2524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137</xdr:row>
      <xdr:rowOff>0</xdr:rowOff>
    </xdr:from>
    <xdr:to>
      <xdr:col>28</xdr:col>
      <xdr:colOff>83820</xdr:colOff>
      <xdr:row>137</xdr:row>
      <xdr:rowOff>114300</xdr:rowOff>
    </xdr:to>
    <xdr:sp macro="" textlink="">
      <xdr:nvSpPr>
        <xdr:cNvPr id="145" name="Arrow: Down 144">
          <a:extLst>
            <a:ext uri="{FF2B5EF4-FFF2-40B4-BE49-F238E27FC236}">
              <a16:creationId xmlns:a16="http://schemas.microsoft.com/office/drawing/2014/main" id="{3FA8B422-DBA6-4A73-A967-8BDD3D768C11}"/>
            </a:ext>
          </a:extLst>
        </xdr:cNvPr>
        <xdr:cNvSpPr/>
      </xdr:nvSpPr>
      <xdr:spPr>
        <a:xfrm rot="10800000">
          <a:off x="11803380" y="2561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138</xdr:row>
      <xdr:rowOff>0</xdr:rowOff>
    </xdr:from>
    <xdr:to>
      <xdr:col>28</xdr:col>
      <xdr:colOff>83820</xdr:colOff>
      <xdr:row>138</xdr:row>
      <xdr:rowOff>114300</xdr:rowOff>
    </xdr:to>
    <xdr:sp macro="" textlink="">
      <xdr:nvSpPr>
        <xdr:cNvPr id="149" name="Arrow: Down 148">
          <a:extLst>
            <a:ext uri="{FF2B5EF4-FFF2-40B4-BE49-F238E27FC236}">
              <a16:creationId xmlns:a16="http://schemas.microsoft.com/office/drawing/2014/main" id="{6C677CB9-C52C-41F7-9229-C7D359EA21B8}"/>
            </a:ext>
          </a:extLst>
        </xdr:cNvPr>
        <xdr:cNvSpPr/>
      </xdr:nvSpPr>
      <xdr:spPr>
        <a:xfrm rot="10800000">
          <a:off x="11803380" y="2561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139</xdr:row>
      <xdr:rowOff>0</xdr:rowOff>
    </xdr:from>
    <xdr:to>
      <xdr:col>28</xdr:col>
      <xdr:colOff>83820</xdr:colOff>
      <xdr:row>139</xdr:row>
      <xdr:rowOff>114300</xdr:rowOff>
    </xdr:to>
    <xdr:sp macro="" textlink="">
      <xdr:nvSpPr>
        <xdr:cNvPr id="154" name="Arrow: Down 153">
          <a:extLst>
            <a:ext uri="{FF2B5EF4-FFF2-40B4-BE49-F238E27FC236}">
              <a16:creationId xmlns:a16="http://schemas.microsoft.com/office/drawing/2014/main" id="{72B5136B-C772-4B57-81B8-9382E285E6F1}"/>
            </a:ext>
          </a:extLst>
        </xdr:cNvPr>
        <xdr:cNvSpPr/>
      </xdr:nvSpPr>
      <xdr:spPr>
        <a:xfrm rot="10800000">
          <a:off x="11803380" y="2579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140</xdr:row>
      <xdr:rowOff>0</xdr:rowOff>
    </xdr:from>
    <xdr:to>
      <xdr:col>28</xdr:col>
      <xdr:colOff>83820</xdr:colOff>
      <xdr:row>140</xdr:row>
      <xdr:rowOff>114300</xdr:rowOff>
    </xdr:to>
    <xdr:sp macro="" textlink="">
      <xdr:nvSpPr>
        <xdr:cNvPr id="161" name="Arrow: Down 160">
          <a:extLst>
            <a:ext uri="{FF2B5EF4-FFF2-40B4-BE49-F238E27FC236}">
              <a16:creationId xmlns:a16="http://schemas.microsoft.com/office/drawing/2014/main" id="{2DD54026-2385-4F42-A3C2-E7ED0422D41D}"/>
            </a:ext>
          </a:extLst>
        </xdr:cNvPr>
        <xdr:cNvSpPr/>
      </xdr:nvSpPr>
      <xdr:spPr>
        <a:xfrm>
          <a:off x="11803380" y="2615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141</xdr:row>
      <xdr:rowOff>0</xdr:rowOff>
    </xdr:from>
    <xdr:to>
      <xdr:col>28</xdr:col>
      <xdr:colOff>83820</xdr:colOff>
      <xdr:row>141</xdr:row>
      <xdr:rowOff>114300</xdr:rowOff>
    </xdr:to>
    <xdr:sp macro="" textlink="">
      <xdr:nvSpPr>
        <xdr:cNvPr id="164" name="Arrow: Down 163">
          <a:extLst>
            <a:ext uri="{FF2B5EF4-FFF2-40B4-BE49-F238E27FC236}">
              <a16:creationId xmlns:a16="http://schemas.microsoft.com/office/drawing/2014/main" id="{69863C41-044F-42A2-912B-14A7ECF393BB}"/>
            </a:ext>
          </a:extLst>
        </xdr:cNvPr>
        <xdr:cNvSpPr/>
      </xdr:nvSpPr>
      <xdr:spPr>
        <a:xfrm>
          <a:off x="11803380" y="2615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142</xdr:row>
      <xdr:rowOff>0</xdr:rowOff>
    </xdr:from>
    <xdr:to>
      <xdr:col>28</xdr:col>
      <xdr:colOff>83820</xdr:colOff>
      <xdr:row>142</xdr:row>
      <xdr:rowOff>114300</xdr:rowOff>
    </xdr:to>
    <xdr:sp macro="" textlink="">
      <xdr:nvSpPr>
        <xdr:cNvPr id="143" name="Arrow: Down 142">
          <a:extLst>
            <a:ext uri="{FF2B5EF4-FFF2-40B4-BE49-F238E27FC236}">
              <a16:creationId xmlns:a16="http://schemas.microsoft.com/office/drawing/2014/main" id="{E69DD497-C7BE-4985-BC35-190FF0B6B088}"/>
            </a:ext>
          </a:extLst>
        </xdr:cNvPr>
        <xdr:cNvSpPr/>
      </xdr:nvSpPr>
      <xdr:spPr>
        <a:xfrm>
          <a:off x="11803380" y="2634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143</xdr:row>
      <xdr:rowOff>0</xdr:rowOff>
    </xdr:from>
    <xdr:to>
      <xdr:col>28</xdr:col>
      <xdr:colOff>83820</xdr:colOff>
      <xdr:row>143</xdr:row>
      <xdr:rowOff>114300</xdr:rowOff>
    </xdr:to>
    <xdr:sp macro="" textlink="">
      <xdr:nvSpPr>
        <xdr:cNvPr id="148" name="Arrow: Down 147">
          <a:extLst>
            <a:ext uri="{FF2B5EF4-FFF2-40B4-BE49-F238E27FC236}">
              <a16:creationId xmlns:a16="http://schemas.microsoft.com/office/drawing/2014/main" id="{D6E92128-ACA9-4B9D-9EDF-C1E0BB98D000}"/>
            </a:ext>
          </a:extLst>
        </xdr:cNvPr>
        <xdr:cNvSpPr/>
      </xdr:nvSpPr>
      <xdr:spPr>
        <a:xfrm>
          <a:off x="11803380" y="2652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144</xdr:row>
      <xdr:rowOff>0</xdr:rowOff>
    </xdr:from>
    <xdr:to>
      <xdr:col>28</xdr:col>
      <xdr:colOff>83820</xdr:colOff>
      <xdr:row>144</xdr:row>
      <xdr:rowOff>114300</xdr:rowOff>
    </xdr:to>
    <xdr:sp macro="" textlink="">
      <xdr:nvSpPr>
        <xdr:cNvPr id="156" name="Arrow: Down 155">
          <a:extLst>
            <a:ext uri="{FF2B5EF4-FFF2-40B4-BE49-F238E27FC236}">
              <a16:creationId xmlns:a16="http://schemas.microsoft.com/office/drawing/2014/main" id="{A21EC505-4945-43DE-9FA8-2A71FA0902E9}"/>
            </a:ext>
          </a:extLst>
        </xdr:cNvPr>
        <xdr:cNvSpPr/>
      </xdr:nvSpPr>
      <xdr:spPr>
        <a:xfrm rot="10800000">
          <a:off x="11803380" y="2689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145</xdr:row>
      <xdr:rowOff>0</xdr:rowOff>
    </xdr:from>
    <xdr:to>
      <xdr:col>28</xdr:col>
      <xdr:colOff>83820</xdr:colOff>
      <xdr:row>145</xdr:row>
      <xdr:rowOff>114300</xdr:rowOff>
    </xdr:to>
    <xdr:sp macro="" textlink="">
      <xdr:nvSpPr>
        <xdr:cNvPr id="159" name="Arrow: Down 158">
          <a:extLst>
            <a:ext uri="{FF2B5EF4-FFF2-40B4-BE49-F238E27FC236}">
              <a16:creationId xmlns:a16="http://schemas.microsoft.com/office/drawing/2014/main" id="{4081BC35-0A05-480C-85C5-6442B95BA9B6}"/>
            </a:ext>
          </a:extLst>
        </xdr:cNvPr>
        <xdr:cNvSpPr/>
      </xdr:nvSpPr>
      <xdr:spPr>
        <a:xfrm rot="10800000">
          <a:off x="11803380" y="2689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146</xdr:row>
      <xdr:rowOff>0</xdr:rowOff>
    </xdr:from>
    <xdr:to>
      <xdr:col>28</xdr:col>
      <xdr:colOff>83820</xdr:colOff>
      <xdr:row>146</xdr:row>
      <xdr:rowOff>114300</xdr:rowOff>
    </xdr:to>
    <xdr:sp macro="" textlink="">
      <xdr:nvSpPr>
        <xdr:cNvPr id="152" name="Arrow: Down 151">
          <a:extLst>
            <a:ext uri="{FF2B5EF4-FFF2-40B4-BE49-F238E27FC236}">
              <a16:creationId xmlns:a16="http://schemas.microsoft.com/office/drawing/2014/main" id="{06B824FC-3FB5-474A-B67F-4E9C02FA1A36}"/>
            </a:ext>
          </a:extLst>
        </xdr:cNvPr>
        <xdr:cNvSpPr/>
      </xdr:nvSpPr>
      <xdr:spPr>
        <a:xfrm rot="10800000">
          <a:off x="11803380" y="2707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147</xdr:row>
      <xdr:rowOff>0</xdr:rowOff>
    </xdr:from>
    <xdr:to>
      <xdr:col>28</xdr:col>
      <xdr:colOff>83820</xdr:colOff>
      <xdr:row>147</xdr:row>
      <xdr:rowOff>114300</xdr:rowOff>
    </xdr:to>
    <xdr:sp macro="" textlink="">
      <xdr:nvSpPr>
        <xdr:cNvPr id="155" name="Arrow: Down 154">
          <a:extLst>
            <a:ext uri="{FF2B5EF4-FFF2-40B4-BE49-F238E27FC236}">
              <a16:creationId xmlns:a16="http://schemas.microsoft.com/office/drawing/2014/main" id="{013276CD-9DFB-4432-9E8E-49A9F356FE86}"/>
            </a:ext>
          </a:extLst>
        </xdr:cNvPr>
        <xdr:cNvSpPr/>
      </xdr:nvSpPr>
      <xdr:spPr>
        <a:xfrm rot="10800000">
          <a:off x="11803380" y="2725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148</xdr:row>
      <xdr:rowOff>0</xdr:rowOff>
    </xdr:from>
    <xdr:to>
      <xdr:col>28</xdr:col>
      <xdr:colOff>83820</xdr:colOff>
      <xdr:row>148</xdr:row>
      <xdr:rowOff>114300</xdr:rowOff>
    </xdr:to>
    <xdr:sp macro="" textlink="">
      <xdr:nvSpPr>
        <xdr:cNvPr id="162" name="Arrow: Down 161">
          <a:extLst>
            <a:ext uri="{FF2B5EF4-FFF2-40B4-BE49-F238E27FC236}">
              <a16:creationId xmlns:a16="http://schemas.microsoft.com/office/drawing/2014/main" id="{E700CB2F-451E-4344-BF30-07762BDD6776}"/>
            </a:ext>
          </a:extLst>
        </xdr:cNvPr>
        <xdr:cNvSpPr/>
      </xdr:nvSpPr>
      <xdr:spPr>
        <a:xfrm>
          <a:off x="11803380" y="2762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149</xdr:row>
      <xdr:rowOff>0</xdr:rowOff>
    </xdr:from>
    <xdr:to>
      <xdr:col>28</xdr:col>
      <xdr:colOff>83820</xdr:colOff>
      <xdr:row>149</xdr:row>
      <xdr:rowOff>114300</xdr:rowOff>
    </xdr:to>
    <xdr:sp macro="" textlink="">
      <xdr:nvSpPr>
        <xdr:cNvPr id="166" name="Arrow: Down 165">
          <a:extLst>
            <a:ext uri="{FF2B5EF4-FFF2-40B4-BE49-F238E27FC236}">
              <a16:creationId xmlns:a16="http://schemas.microsoft.com/office/drawing/2014/main" id="{A17D9D00-99D2-41AF-A54A-C75F72C3ECFF}"/>
            </a:ext>
          </a:extLst>
        </xdr:cNvPr>
        <xdr:cNvSpPr/>
      </xdr:nvSpPr>
      <xdr:spPr>
        <a:xfrm>
          <a:off x="11803380" y="2762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150</xdr:row>
      <xdr:rowOff>0</xdr:rowOff>
    </xdr:from>
    <xdr:to>
      <xdr:col>28</xdr:col>
      <xdr:colOff>83820</xdr:colOff>
      <xdr:row>150</xdr:row>
      <xdr:rowOff>114300</xdr:rowOff>
    </xdr:to>
    <xdr:sp macro="" textlink="">
      <xdr:nvSpPr>
        <xdr:cNvPr id="165" name="Arrow: Down 164">
          <a:extLst>
            <a:ext uri="{FF2B5EF4-FFF2-40B4-BE49-F238E27FC236}">
              <a16:creationId xmlns:a16="http://schemas.microsoft.com/office/drawing/2014/main" id="{B0418E2C-7975-4562-8288-067E5253B254}"/>
            </a:ext>
          </a:extLst>
        </xdr:cNvPr>
        <xdr:cNvSpPr/>
      </xdr:nvSpPr>
      <xdr:spPr>
        <a:xfrm>
          <a:off x="11803380" y="2780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151</xdr:row>
      <xdr:rowOff>0</xdr:rowOff>
    </xdr:from>
    <xdr:to>
      <xdr:col>28</xdr:col>
      <xdr:colOff>83820</xdr:colOff>
      <xdr:row>151</xdr:row>
      <xdr:rowOff>114300</xdr:rowOff>
    </xdr:to>
    <xdr:sp macro="" textlink="">
      <xdr:nvSpPr>
        <xdr:cNvPr id="169" name="Arrow: Down 168">
          <a:extLst>
            <a:ext uri="{FF2B5EF4-FFF2-40B4-BE49-F238E27FC236}">
              <a16:creationId xmlns:a16="http://schemas.microsoft.com/office/drawing/2014/main" id="{D6E5E69A-5069-4B54-A04E-615F0625BA5B}"/>
            </a:ext>
          </a:extLst>
        </xdr:cNvPr>
        <xdr:cNvSpPr/>
      </xdr:nvSpPr>
      <xdr:spPr>
        <a:xfrm rot="10800000">
          <a:off x="11803380" y="2817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152</xdr:row>
      <xdr:rowOff>0</xdr:rowOff>
    </xdr:from>
    <xdr:to>
      <xdr:col>28</xdr:col>
      <xdr:colOff>83820</xdr:colOff>
      <xdr:row>152</xdr:row>
      <xdr:rowOff>114300</xdr:rowOff>
    </xdr:to>
    <xdr:sp macro="" textlink="">
      <xdr:nvSpPr>
        <xdr:cNvPr id="171" name="Arrow: Down 170">
          <a:extLst>
            <a:ext uri="{FF2B5EF4-FFF2-40B4-BE49-F238E27FC236}">
              <a16:creationId xmlns:a16="http://schemas.microsoft.com/office/drawing/2014/main" id="{935B34CC-FEE7-4357-872B-E47A295E276C}"/>
            </a:ext>
          </a:extLst>
        </xdr:cNvPr>
        <xdr:cNvSpPr/>
      </xdr:nvSpPr>
      <xdr:spPr>
        <a:xfrm rot="10800000">
          <a:off x="11803380" y="2835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153</xdr:row>
      <xdr:rowOff>0</xdr:rowOff>
    </xdr:from>
    <xdr:to>
      <xdr:col>28</xdr:col>
      <xdr:colOff>83820</xdr:colOff>
      <xdr:row>153</xdr:row>
      <xdr:rowOff>114300</xdr:rowOff>
    </xdr:to>
    <xdr:sp macro="" textlink="">
      <xdr:nvSpPr>
        <xdr:cNvPr id="172" name="Arrow: Down 171">
          <a:extLst>
            <a:ext uri="{FF2B5EF4-FFF2-40B4-BE49-F238E27FC236}">
              <a16:creationId xmlns:a16="http://schemas.microsoft.com/office/drawing/2014/main" id="{258A5F2E-3B31-40DD-944A-1AE91F4719A0}"/>
            </a:ext>
          </a:extLst>
        </xdr:cNvPr>
        <xdr:cNvSpPr/>
      </xdr:nvSpPr>
      <xdr:spPr>
        <a:xfrm rot="10800000">
          <a:off x="11803380" y="2835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154</xdr:row>
      <xdr:rowOff>0</xdr:rowOff>
    </xdr:from>
    <xdr:to>
      <xdr:col>28</xdr:col>
      <xdr:colOff>83820</xdr:colOff>
      <xdr:row>154</xdr:row>
      <xdr:rowOff>114300</xdr:rowOff>
    </xdr:to>
    <xdr:sp macro="" textlink="">
      <xdr:nvSpPr>
        <xdr:cNvPr id="173" name="Arrow: Down 172">
          <a:extLst>
            <a:ext uri="{FF2B5EF4-FFF2-40B4-BE49-F238E27FC236}">
              <a16:creationId xmlns:a16="http://schemas.microsoft.com/office/drawing/2014/main" id="{0F4000A7-03EF-4921-9E51-6FB2341AA939}"/>
            </a:ext>
          </a:extLst>
        </xdr:cNvPr>
        <xdr:cNvSpPr/>
      </xdr:nvSpPr>
      <xdr:spPr>
        <a:xfrm rot="10800000">
          <a:off x="11803380" y="2853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155</xdr:row>
      <xdr:rowOff>0</xdr:rowOff>
    </xdr:from>
    <xdr:to>
      <xdr:col>28</xdr:col>
      <xdr:colOff>83820</xdr:colOff>
      <xdr:row>155</xdr:row>
      <xdr:rowOff>114300</xdr:rowOff>
    </xdr:to>
    <xdr:sp macro="" textlink="">
      <xdr:nvSpPr>
        <xdr:cNvPr id="176" name="Arrow: Down 175">
          <a:extLst>
            <a:ext uri="{FF2B5EF4-FFF2-40B4-BE49-F238E27FC236}">
              <a16:creationId xmlns:a16="http://schemas.microsoft.com/office/drawing/2014/main" id="{789BB356-D1A8-4C5E-A2C8-5060C0F1A0DA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156</xdr:row>
      <xdr:rowOff>0</xdr:rowOff>
    </xdr:from>
    <xdr:to>
      <xdr:col>28</xdr:col>
      <xdr:colOff>83820</xdr:colOff>
      <xdr:row>156</xdr:row>
      <xdr:rowOff>114300</xdr:rowOff>
    </xdr:to>
    <xdr:sp macro="" textlink="">
      <xdr:nvSpPr>
        <xdr:cNvPr id="178" name="Arrow: Down 177">
          <a:extLst>
            <a:ext uri="{FF2B5EF4-FFF2-40B4-BE49-F238E27FC236}">
              <a16:creationId xmlns:a16="http://schemas.microsoft.com/office/drawing/2014/main" id="{44E6D267-6B6F-4538-9D61-814B40210D08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157</xdr:row>
      <xdr:rowOff>0</xdr:rowOff>
    </xdr:from>
    <xdr:to>
      <xdr:col>28</xdr:col>
      <xdr:colOff>83820</xdr:colOff>
      <xdr:row>157</xdr:row>
      <xdr:rowOff>114300</xdr:rowOff>
    </xdr:to>
    <xdr:sp macro="" textlink="">
      <xdr:nvSpPr>
        <xdr:cNvPr id="180" name="Arrow: Down 179">
          <a:extLst>
            <a:ext uri="{FF2B5EF4-FFF2-40B4-BE49-F238E27FC236}">
              <a16:creationId xmlns:a16="http://schemas.microsoft.com/office/drawing/2014/main" id="{8B953CA8-E799-4FDA-AE4B-F34DC2BBF61F}"/>
            </a:ext>
          </a:extLst>
        </xdr:cNvPr>
        <xdr:cNvSpPr/>
      </xdr:nvSpPr>
      <xdr:spPr>
        <a:xfrm rot="10800000">
          <a:off x="11803380" y="2926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158</xdr:row>
      <xdr:rowOff>0</xdr:rowOff>
    </xdr:from>
    <xdr:to>
      <xdr:col>28</xdr:col>
      <xdr:colOff>83820</xdr:colOff>
      <xdr:row>158</xdr:row>
      <xdr:rowOff>114300</xdr:rowOff>
    </xdr:to>
    <xdr:sp macro="" textlink="">
      <xdr:nvSpPr>
        <xdr:cNvPr id="181" name="Arrow: Down 180">
          <a:extLst>
            <a:ext uri="{FF2B5EF4-FFF2-40B4-BE49-F238E27FC236}">
              <a16:creationId xmlns:a16="http://schemas.microsoft.com/office/drawing/2014/main" id="{84F42571-3E5A-47C5-A388-55F8C759C553}"/>
            </a:ext>
          </a:extLst>
        </xdr:cNvPr>
        <xdr:cNvSpPr/>
      </xdr:nvSpPr>
      <xdr:spPr>
        <a:xfrm rot="10800000">
          <a:off x="11803380" y="2926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159</xdr:row>
      <xdr:rowOff>0</xdr:rowOff>
    </xdr:from>
    <xdr:to>
      <xdr:col>28</xdr:col>
      <xdr:colOff>83820</xdr:colOff>
      <xdr:row>159</xdr:row>
      <xdr:rowOff>114300</xdr:rowOff>
    </xdr:to>
    <xdr:sp macro="" textlink="">
      <xdr:nvSpPr>
        <xdr:cNvPr id="168" name="Arrow: Down 167">
          <a:extLst>
            <a:ext uri="{FF2B5EF4-FFF2-40B4-BE49-F238E27FC236}">
              <a16:creationId xmlns:a16="http://schemas.microsoft.com/office/drawing/2014/main" id="{1D2919D2-D6DB-4AFF-A642-916D4DFDCF26}"/>
            </a:ext>
          </a:extLst>
        </xdr:cNvPr>
        <xdr:cNvSpPr/>
      </xdr:nvSpPr>
      <xdr:spPr>
        <a:xfrm rot="10800000">
          <a:off x="11803380" y="2945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160</xdr:row>
      <xdr:rowOff>0</xdr:rowOff>
    </xdr:from>
    <xdr:to>
      <xdr:col>28</xdr:col>
      <xdr:colOff>83820</xdr:colOff>
      <xdr:row>160</xdr:row>
      <xdr:rowOff>114300</xdr:rowOff>
    </xdr:to>
    <xdr:sp macro="" textlink="">
      <xdr:nvSpPr>
        <xdr:cNvPr id="170" name="Arrow: Down 169">
          <a:extLst>
            <a:ext uri="{FF2B5EF4-FFF2-40B4-BE49-F238E27FC236}">
              <a16:creationId xmlns:a16="http://schemas.microsoft.com/office/drawing/2014/main" id="{9307F5B5-2799-458D-B3A9-92CC190A6735}"/>
            </a:ext>
          </a:extLst>
        </xdr:cNvPr>
        <xdr:cNvSpPr/>
      </xdr:nvSpPr>
      <xdr:spPr>
        <a:xfrm rot="10800000">
          <a:off x="11803380" y="2963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161</xdr:row>
      <xdr:rowOff>0</xdr:rowOff>
    </xdr:from>
    <xdr:to>
      <xdr:col>28</xdr:col>
      <xdr:colOff>83820</xdr:colOff>
      <xdr:row>161</xdr:row>
      <xdr:rowOff>114300</xdr:rowOff>
    </xdr:to>
    <xdr:sp macro="" textlink="">
      <xdr:nvSpPr>
        <xdr:cNvPr id="174" name="Arrow: Down 173">
          <a:extLst>
            <a:ext uri="{FF2B5EF4-FFF2-40B4-BE49-F238E27FC236}">
              <a16:creationId xmlns:a16="http://schemas.microsoft.com/office/drawing/2014/main" id="{A5C66E21-F383-41E1-938A-9C173B5B311B}"/>
            </a:ext>
          </a:extLst>
        </xdr:cNvPr>
        <xdr:cNvSpPr/>
      </xdr:nvSpPr>
      <xdr:spPr>
        <a:xfrm rot="10800000">
          <a:off x="11803380" y="2981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162</xdr:row>
      <xdr:rowOff>0</xdr:rowOff>
    </xdr:from>
    <xdr:to>
      <xdr:col>28</xdr:col>
      <xdr:colOff>83820</xdr:colOff>
      <xdr:row>162</xdr:row>
      <xdr:rowOff>114300</xdr:rowOff>
    </xdr:to>
    <xdr:sp macro="" textlink="">
      <xdr:nvSpPr>
        <xdr:cNvPr id="182" name="Arrow: Down 181">
          <a:extLst>
            <a:ext uri="{FF2B5EF4-FFF2-40B4-BE49-F238E27FC236}">
              <a16:creationId xmlns:a16="http://schemas.microsoft.com/office/drawing/2014/main" id="{44DF6A42-4D23-4023-9C7A-4B4189E480F3}"/>
            </a:ext>
          </a:extLst>
        </xdr:cNvPr>
        <xdr:cNvSpPr/>
      </xdr:nvSpPr>
      <xdr:spPr>
        <a:xfrm>
          <a:off x="11803380" y="3018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163</xdr:row>
      <xdr:rowOff>0</xdr:rowOff>
    </xdr:from>
    <xdr:to>
      <xdr:col>28</xdr:col>
      <xdr:colOff>83820</xdr:colOff>
      <xdr:row>163</xdr:row>
      <xdr:rowOff>114300</xdr:rowOff>
    </xdr:to>
    <xdr:sp macro="" textlink="">
      <xdr:nvSpPr>
        <xdr:cNvPr id="183" name="Arrow: Down 182">
          <a:extLst>
            <a:ext uri="{FF2B5EF4-FFF2-40B4-BE49-F238E27FC236}">
              <a16:creationId xmlns:a16="http://schemas.microsoft.com/office/drawing/2014/main" id="{3DB92C4F-40AC-49CE-93F8-3227D2E8E6A2}"/>
            </a:ext>
          </a:extLst>
        </xdr:cNvPr>
        <xdr:cNvSpPr/>
      </xdr:nvSpPr>
      <xdr:spPr>
        <a:xfrm>
          <a:off x="11803380" y="3018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164</xdr:row>
      <xdr:rowOff>0</xdr:rowOff>
    </xdr:from>
    <xdr:to>
      <xdr:col>28</xdr:col>
      <xdr:colOff>83820</xdr:colOff>
      <xdr:row>164</xdr:row>
      <xdr:rowOff>114300</xdr:rowOff>
    </xdr:to>
    <xdr:sp macro="" textlink="">
      <xdr:nvSpPr>
        <xdr:cNvPr id="177" name="Arrow: Down 176">
          <a:extLst>
            <a:ext uri="{FF2B5EF4-FFF2-40B4-BE49-F238E27FC236}">
              <a16:creationId xmlns:a16="http://schemas.microsoft.com/office/drawing/2014/main" id="{6634F015-3F6A-4B15-A235-D381FC2A00E6}"/>
            </a:ext>
          </a:extLst>
        </xdr:cNvPr>
        <xdr:cNvSpPr/>
      </xdr:nvSpPr>
      <xdr:spPr>
        <a:xfrm rot="10800000">
          <a:off x="11803380" y="3054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165</xdr:row>
      <xdr:rowOff>0</xdr:rowOff>
    </xdr:from>
    <xdr:to>
      <xdr:col>28</xdr:col>
      <xdr:colOff>83820</xdr:colOff>
      <xdr:row>165</xdr:row>
      <xdr:rowOff>114300</xdr:rowOff>
    </xdr:to>
    <xdr:sp macro="" textlink="">
      <xdr:nvSpPr>
        <xdr:cNvPr id="184" name="Arrow: Down 183">
          <a:extLst>
            <a:ext uri="{FF2B5EF4-FFF2-40B4-BE49-F238E27FC236}">
              <a16:creationId xmlns:a16="http://schemas.microsoft.com/office/drawing/2014/main" id="{24BECBD3-EC78-470D-8F25-A76BBB646A21}"/>
            </a:ext>
          </a:extLst>
        </xdr:cNvPr>
        <xdr:cNvSpPr/>
      </xdr:nvSpPr>
      <xdr:spPr>
        <a:xfrm rot="10800000">
          <a:off x="11803380" y="3054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166</xdr:row>
      <xdr:rowOff>0</xdr:rowOff>
    </xdr:from>
    <xdr:to>
      <xdr:col>28</xdr:col>
      <xdr:colOff>83820</xdr:colOff>
      <xdr:row>166</xdr:row>
      <xdr:rowOff>114300</xdr:rowOff>
    </xdr:to>
    <xdr:sp macro="" textlink="">
      <xdr:nvSpPr>
        <xdr:cNvPr id="185" name="Arrow: Down 184">
          <a:extLst>
            <a:ext uri="{FF2B5EF4-FFF2-40B4-BE49-F238E27FC236}">
              <a16:creationId xmlns:a16="http://schemas.microsoft.com/office/drawing/2014/main" id="{72360416-8DC6-4693-9DBE-49A3711109B2}"/>
            </a:ext>
          </a:extLst>
        </xdr:cNvPr>
        <xdr:cNvSpPr/>
      </xdr:nvSpPr>
      <xdr:spPr>
        <a:xfrm rot="10800000">
          <a:off x="11803380" y="3073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167</xdr:row>
      <xdr:rowOff>0</xdr:rowOff>
    </xdr:from>
    <xdr:to>
      <xdr:col>28</xdr:col>
      <xdr:colOff>83820</xdr:colOff>
      <xdr:row>167</xdr:row>
      <xdr:rowOff>114300</xdr:rowOff>
    </xdr:to>
    <xdr:sp macro="" textlink="">
      <xdr:nvSpPr>
        <xdr:cNvPr id="167" name="Arrow: Down 166">
          <a:extLst>
            <a:ext uri="{FF2B5EF4-FFF2-40B4-BE49-F238E27FC236}">
              <a16:creationId xmlns:a16="http://schemas.microsoft.com/office/drawing/2014/main" id="{298D79C9-882F-4E04-BB19-08055E82800B}"/>
            </a:ext>
          </a:extLst>
        </xdr:cNvPr>
        <xdr:cNvSpPr/>
      </xdr:nvSpPr>
      <xdr:spPr>
        <a:xfrm rot="10800000">
          <a:off x="11803380" y="3091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168</xdr:row>
      <xdr:rowOff>0</xdr:rowOff>
    </xdr:from>
    <xdr:to>
      <xdr:col>28</xdr:col>
      <xdr:colOff>83820</xdr:colOff>
      <xdr:row>168</xdr:row>
      <xdr:rowOff>114300</xdr:rowOff>
    </xdr:to>
    <xdr:sp macro="" textlink="">
      <xdr:nvSpPr>
        <xdr:cNvPr id="175" name="Arrow: Down 174">
          <a:extLst>
            <a:ext uri="{FF2B5EF4-FFF2-40B4-BE49-F238E27FC236}">
              <a16:creationId xmlns:a16="http://schemas.microsoft.com/office/drawing/2014/main" id="{1F66E442-4B4C-4D76-BCA1-F6851F610760}"/>
            </a:ext>
          </a:extLst>
        </xdr:cNvPr>
        <xdr:cNvSpPr/>
      </xdr:nvSpPr>
      <xdr:spPr>
        <a:xfrm rot="10800000">
          <a:off x="11803380" y="3109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169</xdr:row>
      <xdr:rowOff>0</xdr:rowOff>
    </xdr:from>
    <xdr:to>
      <xdr:col>28</xdr:col>
      <xdr:colOff>83820</xdr:colOff>
      <xdr:row>169</xdr:row>
      <xdr:rowOff>114300</xdr:rowOff>
    </xdr:to>
    <xdr:sp macro="" textlink="">
      <xdr:nvSpPr>
        <xdr:cNvPr id="186" name="Arrow: Down 185">
          <a:extLst>
            <a:ext uri="{FF2B5EF4-FFF2-40B4-BE49-F238E27FC236}">
              <a16:creationId xmlns:a16="http://schemas.microsoft.com/office/drawing/2014/main" id="{268ABF79-0B72-4FBF-AD11-C25215DB7268}"/>
            </a:ext>
          </a:extLst>
        </xdr:cNvPr>
        <xdr:cNvSpPr/>
      </xdr:nvSpPr>
      <xdr:spPr>
        <a:xfrm>
          <a:off x="11803380" y="3146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170</xdr:row>
      <xdr:rowOff>0</xdr:rowOff>
    </xdr:from>
    <xdr:to>
      <xdr:col>28</xdr:col>
      <xdr:colOff>83820</xdr:colOff>
      <xdr:row>170</xdr:row>
      <xdr:rowOff>114300</xdr:rowOff>
    </xdr:to>
    <xdr:sp macro="" textlink="">
      <xdr:nvSpPr>
        <xdr:cNvPr id="190" name="Arrow: Down 189">
          <a:extLst>
            <a:ext uri="{FF2B5EF4-FFF2-40B4-BE49-F238E27FC236}">
              <a16:creationId xmlns:a16="http://schemas.microsoft.com/office/drawing/2014/main" id="{5D3BDA3B-0D5C-4D41-819B-1191BE6B0D38}"/>
            </a:ext>
          </a:extLst>
        </xdr:cNvPr>
        <xdr:cNvSpPr/>
      </xdr:nvSpPr>
      <xdr:spPr>
        <a:xfrm rot="10800000">
          <a:off x="11803380" y="3164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171</xdr:row>
      <xdr:rowOff>0</xdr:rowOff>
    </xdr:from>
    <xdr:to>
      <xdr:col>28</xdr:col>
      <xdr:colOff>83820</xdr:colOff>
      <xdr:row>171</xdr:row>
      <xdr:rowOff>114300</xdr:rowOff>
    </xdr:to>
    <xdr:sp macro="" textlink="">
      <xdr:nvSpPr>
        <xdr:cNvPr id="179" name="Arrow: Down 178">
          <a:extLst>
            <a:ext uri="{FF2B5EF4-FFF2-40B4-BE49-F238E27FC236}">
              <a16:creationId xmlns:a16="http://schemas.microsoft.com/office/drawing/2014/main" id="{1A319BCE-CF85-4403-B68C-F7EDFB8C1CE1}"/>
            </a:ext>
          </a:extLst>
        </xdr:cNvPr>
        <xdr:cNvSpPr/>
      </xdr:nvSpPr>
      <xdr:spPr>
        <a:xfrm rot="10800000">
          <a:off x="11803380" y="3164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172</xdr:row>
      <xdr:rowOff>0</xdr:rowOff>
    </xdr:from>
    <xdr:to>
      <xdr:col>28</xdr:col>
      <xdr:colOff>83820</xdr:colOff>
      <xdr:row>172</xdr:row>
      <xdr:rowOff>114300</xdr:rowOff>
    </xdr:to>
    <xdr:sp macro="" textlink="">
      <xdr:nvSpPr>
        <xdr:cNvPr id="187" name="Arrow: Down 186">
          <a:extLst>
            <a:ext uri="{FF2B5EF4-FFF2-40B4-BE49-F238E27FC236}">
              <a16:creationId xmlns:a16="http://schemas.microsoft.com/office/drawing/2014/main" id="{CF6923B1-7D77-40F3-A3C0-7937D80CF5E8}"/>
            </a:ext>
          </a:extLst>
        </xdr:cNvPr>
        <xdr:cNvSpPr/>
      </xdr:nvSpPr>
      <xdr:spPr>
        <a:xfrm rot="10800000">
          <a:off x="11803380" y="3182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173</xdr:row>
      <xdr:rowOff>0</xdr:rowOff>
    </xdr:from>
    <xdr:to>
      <xdr:col>28</xdr:col>
      <xdr:colOff>83820</xdr:colOff>
      <xdr:row>173</xdr:row>
      <xdr:rowOff>114300</xdr:rowOff>
    </xdr:to>
    <xdr:sp macro="" textlink="">
      <xdr:nvSpPr>
        <xdr:cNvPr id="189" name="Arrow: Down 188">
          <a:extLst>
            <a:ext uri="{FF2B5EF4-FFF2-40B4-BE49-F238E27FC236}">
              <a16:creationId xmlns:a16="http://schemas.microsoft.com/office/drawing/2014/main" id="{C8BC37AD-C434-4BB7-B7AE-FE6AB56B94E7}"/>
            </a:ext>
          </a:extLst>
        </xdr:cNvPr>
        <xdr:cNvSpPr/>
      </xdr:nvSpPr>
      <xdr:spPr>
        <a:xfrm rot="10800000">
          <a:off x="11803380" y="3201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174</xdr:row>
      <xdr:rowOff>0</xdr:rowOff>
    </xdr:from>
    <xdr:to>
      <xdr:col>28</xdr:col>
      <xdr:colOff>83820</xdr:colOff>
      <xdr:row>174</xdr:row>
      <xdr:rowOff>114300</xdr:rowOff>
    </xdr:to>
    <xdr:sp macro="" textlink="">
      <xdr:nvSpPr>
        <xdr:cNvPr id="191" name="Arrow: Down 190">
          <a:extLst>
            <a:ext uri="{FF2B5EF4-FFF2-40B4-BE49-F238E27FC236}">
              <a16:creationId xmlns:a16="http://schemas.microsoft.com/office/drawing/2014/main" id="{A58CF172-F2D8-4DA6-89FD-68F2FAE04DA4}"/>
            </a:ext>
          </a:extLst>
        </xdr:cNvPr>
        <xdr:cNvSpPr/>
      </xdr:nvSpPr>
      <xdr:spPr>
        <a:xfrm rot="10800000">
          <a:off x="11803380" y="3219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175</xdr:row>
      <xdr:rowOff>0</xdr:rowOff>
    </xdr:from>
    <xdr:to>
      <xdr:col>28</xdr:col>
      <xdr:colOff>83820</xdr:colOff>
      <xdr:row>175</xdr:row>
      <xdr:rowOff>114300</xdr:rowOff>
    </xdr:to>
    <xdr:sp macro="" textlink="">
      <xdr:nvSpPr>
        <xdr:cNvPr id="193" name="Arrow: Down 192">
          <a:extLst>
            <a:ext uri="{FF2B5EF4-FFF2-40B4-BE49-F238E27FC236}">
              <a16:creationId xmlns:a16="http://schemas.microsoft.com/office/drawing/2014/main" id="{53DD8C40-6BD9-44A7-BCB0-97456593428A}"/>
            </a:ext>
          </a:extLst>
        </xdr:cNvPr>
        <xdr:cNvSpPr/>
      </xdr:nvSpPr>
      <xdr:spPr>
        <a:xfrm rot="10800000">
          <a:off x="11803380" y="3237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176</xdr:row>
      <xdr:rowOff>0</xdr:rowOff>
    </xdr:from>
    <xdr:to>
      <xdr:col>28</xdr:col>
      <xdr:colOff>83820</xdr:colOff>
      <xdr:row>176</xdr:row>
      <xdr:rowOff>114300</xdr:rowOff>
    </xdr:to>
    <xdr:sp macro="" textlink="">
      <xdr:nvSpPr>
        <xdr:cNvPr id="195" name="Arrow: Down 194">
          <a:extLst>
            <a:ext uri="{FF2B5EF4-FFF2-40B4-BE49-F238E27FC236}">
              <a16:creationId xmlns:a16="http://schemas.microsoft.com/office/drawing/2014/main" id="{0F74C8C0-CE54-4AFB-A003-33D376E0019D}"/>
            </a:ext>
          </a:extLst>
        </xdr:cNvPr>
        <xdr:cNvSpPr/>
      </xdr:nvSpPr>
      <xdr:spPr>
        <a:xfrm>
          <a:off x="11803380" y="3274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177</xdr:row>
      <xdr:rowOff>0</xdr:rowOff>
    </xdr:from>
    <xdr:to>
      <xdr:col>28</xdr:col>
      <xdr:colOff>83820</xdr:colOff>
      <xdr:row>177</xdr:row>
      <xdr:rowOff>114300</xdr:rowOff>
    </xdr:to>
    <xdr:sp macro="" textlink="">
      <xdr:nvSpPr>
        <xdr:cNvPr id="192" name="Arrow: Down 191">
          <a:extLst>
            <a:ext uri="{FF2B5EF4-FFF2-40B4-BE49-F238E27FC236}">
              <a16:creationId xmlns:a16="http://schemas.microsoft.com/office/drawing/2014/main" id="{E96CFBC7-8616-4707-A16C-B71CFDDA4F2F}"/>
            </a:ext>
          </a:extLst>
        </xdr:cNvPr>
        <xdr:cNvSpPr/>
      </xdr:nvSpPr>
      <xdr:spPr>
        <a:xfrm>
          <a:off x="11803380" y="3274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178</xdr:row>
      <xdr:rowOff>0</xdr:rowOff>
    </xdr:from>
    <xdr:to>
      <xdr:col>28</xdr:col>
      <xdr:colOff>83820</xdr:colOff>
      <xdr:row>178</xdr:row>
      <xdr:rowOff>114300</xdr:rowOff>
    </xdr:to>
    <xdr:sp macro="" textlink="">
      <xdr:nvSpPr>
        <xdr:cNvPr id="194" name="Arrow: Down 193">
          <a:extLst>
            <a:ext uri="{FF2B5EF4-FFF2-40B4-BE49-F238E27FC236}">
              <a16:creationId xmlns:a16="http://schemas.microsoft.com/office/drawing/2014/main" id="{08012365-0C69-45EE-9334-CC31E7675C87}"/>
            </a:ext>
          </a:extLst>
        </xdr:cNvPr>
        <xdr:cNvSpPr/>
      </xdr:nvSpPr>
      <xdr:spPr>
        <a:xfrm rot="10800000">
          <a:off x="11803380" y="1701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179</xdr:row>
      <xdr:rowOff>0</xdr:rowOff>
    </xdr:from>
    <xdr:to>
      <xdr:col>28</xdr:col>
      <xdr:colOff>83820</xdr:colOff>
      <xdr:row>179</xdr:row>
      <xdr:rowOff>114300</xdr:rowOff>
    </xdr:to>
    <xdr:sp macro="" textlink="">
      <xdr:nvSpPr>
        <xdr:cNvPr id="196" name="Arrow: Down 195">
          <a:extLst>
            <a:ext uri="{FF2B5EF4-FFF2-40B4-BE49-F238E27FC236}">
              <a16:creationId xmlns:a16="http://schemas.microsoft.com/office/drawing/2014/main" id="{AA52A398-B49A-4B52-B020-D6F9ABAF16D4}"/>
            </a:ext>
          </a:extLst>
        </xdr:cNvPr>
        <xdr:cNvSpPr/>
      </xdr:nvSpPr>
      <xdr:spPr>
        <a:xfrm rot="10800000">
          <a:off x="11803380" y="1701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180</xdr:row>
      <xdr:rowOff>0</xdr:rowOff>
    </xdr:from>
    <xdr:to>
      <xdr:col>28</xdr:col>
      <xdr:colOff>83820</xdr:colOff>
      <xdr:row>180</xdr:row>
      <xdr:rowOff>114300</xdr:rowOff>
    </xdr:to>
    <xdr:sp macro="" textlink="">
      <xdr:nvSpPr>
        <xdr:cNvPr id="188" name="Arrow: Down 187">
          <a:extLst>
            <a:ext uri="{FF2B5EF4-FFF2-40B4-BE49-F238E27FC236}">
              <a16:creationId xmlns:a16="http://schemas.microsoft.com/office/drawing/2014/main" id="{23B770F7-35C3-43C2-9EC9-C3DFAC1C9450}"/>
            </a:ext>
          </a:extLst>
        </xdr:cNvPr>
        <xdr:cNvSpPr/>
      </xdr:nvSpPr>
      <xdr:spPr>
        <a:xfrm rot="10800000">
          <a:off x="11803380" y="1719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181</xdr:row>
      <xdr:rowOff>0</xdr:rowOff>
    </xdr:from>
    <xdr:to>
      <xdr:col>28</xdr:col>
      <xdr:colOff>83820</xdr:colOff>
      <xdr:row>181</xdr:row>
      <xdr:rowOff>114300</xdr:rowOff>
    </xdr:to>
    <xdr:sp macro="" textlink="">
      <xdr:nvSpPr>
        <xdr:cNvPr id="197" name="Arrow: Down 196">
          <a:extLst>
            <a:ext uri="{FF2B5EF4-FFF2-40B4-BE49-F238E27FC236}">
              <a16:creationId xmlns:a16="http://schemas.microsoft.com/office/drawing/2014/main" id="{F583438B-E3EF-41ED-885C-E5119576DD5B}"/>
            </a:ext>
          </a:extLst>
        </xdr:cNvPr>
        <xdr:cNvSpPr/>
      </xdr:nvSpPr>
      <xdr:spPr>
        <a:xfrm rot="10800000">
          <a:off x="11803380" y="1738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182</xdr:row>
      <xdr:rowOff>0</xdr:rowOff>
    </xdr:from>
    <xdr:to>
      <xdr:col>28</xdr:col>
      <xdr:colOff>83820</xdr:colOff>
      <xdr:row>182</xdr:row>
      <xdr:rowOff>114300</xdr:rowOff>
    </xdr:to>
    <xdr:sp macro="" textlink="">
      <xdr:nvSpPr>
        <xdr:cNvPr id="199" name="Arrow: Down 198">
          <a:extLst>
            <a:ext uri="{FF2B5EF4-FFF2-40B4-BE49-F238E27FC236}">
              <a16:creationId xmlns:a16="http://schemas.microsoft.com/office/drawing/2014/main" id="{18CA8307-8F3E-494A-8DE8-952AE58A6289}"/>
            </a:ext>
          </a:extLst>
        </xdr:cNvPr>
        <xdr:cNvSpPr/>
      </xdr:nvSpPr>
      <xdr:spPr>
        <a:xfrm rot="10800000">
          <a:off x="11803380" y="1756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183</xdr:row>
      <xdr:rowOff>0</xdr:rowOff>
    </xdr:from>
    <xdr:to>
      <xdr:col>28</xdr:col>
      <xdr:colOff>83820</xdr:colOff>
      <xdr:row>183</xdr:row>
      <xdr:rowOff>114300</xdr:rowOff>
    </xdr:to>
    <xdr:sp macro="" textlink="">
      <xdr:nvSpPr>
        <xdr:cNvPr id="204" name="Arrow: Down 203">
          <a:extLst>
            <a:ext uri="{FF2B5EF4-FFF2-40B4-BE49-F238E27FC236}">
              <a16:creationId xmlns:a16="http://schemas.microsoft.com/office/drawing/2014/main" id="{6D62601D-38C8-4F20-B593-6367C895B4F8}"/>
            </a:ext>
          </a:extLst>
        </xdr:cNvPr>
        <xdr:cNvSpPr/>
      </xdr:nvSpPr>
      <xdr:spPr>
        <a:xfrm>
          <a:off x="11803380" y="1792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184</xdr:row>
      <xdr:rowOff>0</xdr:rowOff>
    </xdr:from>
    <xdr:to>
      <xdr:col>28</xdr:col>
      <xdr:colOff>83820</xdr:colOff>
      <xdr:row>184</xdr:row>
      <xdr:rowOff>114300</xdr:rowOff>
    </xdr:to>
    <xdr:sp macro="" textlink="">
      <xdr:nvSpPr>
        <xdr:cNvPr id="198" name="Arrow: Down 197">
          <a:extLst>
            <a:ext uri="{FF2B5EF4-FFF2-40B4-BE49-F238E27FC236}">
              <a16:creationId xmlns:a16="http://schemas.microsoft.com/office/drawing/2014/main" id="{08530636-69EE-455D-9F1B-7844F917E039}"/>
            </a:ext>
          </a:extLst>
        </xdr:cNvPr>
        <xdr:cNvSpPr/>
      </xdr:nvSpPr>
      <xdr:spPr>
        <a:xfrm>
          <a:off x="11803380" y="1792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185</xdr:row>
      <xdr:rowOff>0</xdr:rowOff>
    </xdr:from>
    <xdr:to>
      <xdr:col>28</xdr:col>
      <xdr:colOff>83820</xdr:colOff>
      <xdr:row>185</xdr:row>
      <xdr:rowOff>114300</xdr:rowOff>
    </xdr:to>
    <xdr:sp macro="" textlink="">
      <xdr:nvSpPr>
        <xdr:cNvPr id="206" name="Arrow: Down 205">
          <a:extLst>
            <a:ext uri="{FF2B5EF4-FFF2-40B4-BE49-F238E27FC236}">
              <a16:creationId xmlns:a16="http://schemas.microsoft.com/office/drawing/2014/main" id="{513B6CE0-1F7C-4C97-B7DD-AD9189684A47}"/>
            </a:ext>
          </a:extLst>
        </xdr:cNvPr>
        <xdr:cNvSpPr/>
      </xdr:nvSpPr>
      <xdr:spPr>
        <a:xfrm rot="10800000">
          <a:off x="11803380" y="1829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186</xdr:row>
      <xdr:rowOff>0</xdr:rowOff>
    </xdr:from>
    <xdr:to>
      <xdr:col>28</xdr:col>
      <xdr:colOff>83820</xdr:colOff>
      <xdr:row>186</xdr:row>
      <xdr:rowOff>114300</xdr:rowOff>
    </xdr:to>
    <xdr:sp macro="" textlink="">
      <xdr:nvSpPr>
        <xdr:cNvPr id="208" name="Arrow: Down 207">
          <a:extLst>
            <a:ext uri="{FF2B5EF4-FFF2-40B4-BE49-F238E27FC236}">
              <a16:creationId xmlns:a16="http://schemas.microsoft.com/office/drawing/2014/main" id="{4D3B4CC8-D5DF-4C89-BDCC-C7FA6CE9FDD1}"/>
            </a:ext>
          </a:extLst>
        </xdr:cNvPr>
        <xdr:cNvSpPr/>
      </xdr:nvSpPr>
      <xdr:spPr>
        <a:xfrm rot="10800000">
          <a:off x="11803380" y="1847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187</xdr:row>
      <xdr:rowOff>0</xdr:rowOff>
    </xdr:from>
    <xdr:to>
      <xdr:col>28</xdr:col>
      <xdr:colOff>83820</xdr:colOff>
      <xdr:row>187</xdr:row>
      <xdr:rowOff>114300</xdr:rowOff>
    </xdr:to>
    <xdr:sp macro="" textlink="">
      <xdr:nvSpPr>
        <xdr:cNvPr id="200" name="Arrow: Down 199">
          <a:extLst>
            <a:ext uri="{FF2B5EF4-FFF2-40B4-BE49-F238E27FC236}">
              <a16:creationId xmlns:a16="http://schemas.microsoft.com/office/drawing/2014/main" id="{44115B54-3134-4F3E-9591-C1AFC5424484}"/>
            </a:ext>
          </a:extLst>
        </xdr:cNvPr>
        <xdr:cNvSpPr/>
      </xdr:nvSpPr>
      <xdr:spPr>
        <a:xfrm rot="10800000">
          <a:off x="11803380" y="1847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188</xdr:row>
      <xdr:rowOff>0</xdr:rowOff>
    </xdr:from>
    <xdr:to>
      <xdr:col>28</xdr:col>
      <xdr:colOff>83820</xdr:colOff>
      <xdr:row>188</xdr:row>
      <xdr:rowOff>114300</xdr:rowOff>
    </xdr:to>
    <xdr:sp macro="" textlink="">
      <xdr:nvSpPr>
        <xdr:cNvPr id="201" name="Arrow: Down 200">
          <a:extLst>
            <a:ext uri="{FF2B5EF4-FFF2-40B4-BE49-F238E27FC236}">
              <a16:creationId xmlns:a16="http://schemas.microsoft.com/office/drawing/2014/main" id="{580D1142-E65B-44E4-B567-DAAB4680C334}"/>
            </a:ext>
          </a:extLst>
        </xdr:cNvPr>
        <xdr:cNvSpPr/>
      </xdr:nvSpPr>
      <xdr:spPr>
        <a:xfrm rot="10800000">
          <a:off x="11803380" y="1866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189</xdr:row>
      <xdr:rowOff>0</xdr:rowOff>
    </xdr:from>
    <xdr:to>
      <xdr:col>28</xdr:col>
      <xdr:colOff>83820</xdr:colOff>
      <xdr:row>189</xdr:row>
      <xdr:rowOff>114300</xdr:rowOff>
    </xdr:to>
    <xdr:sp macro="" textlink="">
      <xdr:nvSpPr>
        <xdr:cNvPr id="203" name="Arrow: Down 202">
          <a:extLst>
            <a:ext uri="{FF2B5EF4-FFF2-40B4-BE49-F238E27FC236}">
              <a16:creationId xmlns:a16="http://schemas.microsoft.com/office/drawing/2014/main" id="{446DFEC4-436F-47E4-96B2-299D7E071042}"/>
            </a:ext>
          </a:extLst>
        </xdr:cNvPr>
        <xdr:cNvSpPr/>
      </xdr:nvSpPr>
      <xdr:spPr>
        <a:xfrm rot="10800000">
          <a:off x="11803380" y="1884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190</xdr:row>
      <xdr:rowOff>0</xdr:rowOff>
    </xdr:from>
    <xdr:to>
      <xdr:col>28</xdr:col>
      <xdr:colOff>83820</xdr:colOff>
      <xdr:row>190</xdr:row>
      <xdr:rowOff>114300</xdr:rowOff>
    </xdr:to>
    <xdr:sp macro="" textlink="">
      <xdr:nvSpPr>
        <xdr:cNvPr id="209" name="Arrow: Down 208">
          <a:extLst>
            <a:ext uri="{FF2B5EF4-FFF2-40B4-BE49-F238E27FC236}">
              <a16:creationId xmlns:a16="http://schemas.microsoft.com/office/drawing/2014/main" id="{81A60978-18EE-4056-B3B7-AB06A61D7335}"/>
            </a:ext>
          </a:extLst>
        </xdr:cNvPr>
        <xdr:cNvSpPr/>
      </xdr:nvSpPr>
      <xdr:spPr>
        <a:xfrm>
          <a:off x="11803380" y="1921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191</xdr:row>
      <xdr:rowOff>0</xdr:rowOff>
    </xdr:from>
    <xdr:to>
      <xdr:col>28</xdr:col>
      <xdr:colOff>83820</xdr:colOff>
      <xdr:row>191</xdr:row>
      <xdr:rowOff>114300</xdr:rowOff>
    </xdr:to>
    <xdr:sp macro="" textlink="">
      <xdr:nvSpPr>
        <xdr:cNvPr id="210" name="Arrow: Down 209">
          <a:extLst>
            <a:ext uri="{FF2B5EF4-FFF2-40B4-BE49-F238E27FC236}">
              <a16:creationId xmlns:a16="http://schemas.microsoft.com/office/drawing/2014/main" id="{3FE31784-AE56-4E34-8B46-2303A54D8355}"/>
            </a:ext>
          </a:extLst>
        </xdr:cNvPr>
        <xdr:cNvSpPr/>
      </xdr:nvSpPr>
      <xdr:spPr>
        <a:xfrm rot="10800000">
          <a:off x="11803380" y="1939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192</xdr:row>
      <xdr:rowOff>0</xdr:rowOff>
    </xdr:from>
    <xdr:to>
      <xdr:col>28</xdr:col>
      <xdr:colOff>83820</xdr:colOff>
      <xdr:row>192</xdr:row>
      <xdr:rowOff>114300</xdr:rowOff>
    </xdr:to>
    <xdr:sp macro="" textlink="">
      <xdr:nvSpPr>
        <xdr:cNvPr id="202" name="Arrow: Down 201">
          <a:extLst>
            <a:ext uri="{FF2B5EF4-FFF2-40B4-BE49-F238E27FC236}">
              <a16:creationId xmlns:a16="http://schemas.microsoft.com/office/drawing/2014/main" id="{CADD74F4-B58A-4A6C-8E44-0E7B12B1E889}"/>
            </a:ext>
          </a:extLst>
        </xdr:cNvPr>
        <xdr:cNvSpPr/>
      </xdr:nvSpPr>
      <xdr:spPr>
        <a:xfrm rot="10800000">
          <a:off x="11803380" y="1939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193</xdr:row>
      <xdr:rowOff>0</xdr:rowOff>
    </xdr:from>
    <xdr:to>
      <xdr:col>28</xdr:col>
      <xdr:colOff>83820</xdr:colOff>
      <xdr:row>193</xdr:row>
      <xdr:rowOff>114300</xdr:rowOff>
    </xdr:to>
    <xdr:sp macro="" textlink="">
      <xdr:nvSpPr>
        <xdr:cNvPr id="207" name="Arrow: Down 206">
          <a:extLst>
            <a:ext uri="{FF2B5EF4-FFF2-40B4-BE49-F238E27FC236}">
              <a16:creationId xmlns:a16="http://schemas.microsoft.com/office/drawing/2014/main" id="{6C1A01DF-D83B-470B-89AA-4D4FB4EB5C92}"/>
            </a:ext>
          </a:extLst>
        </xdr:cNvPr>
        <xdr:cNvSpPr/>
      </xdr:nvSpPr>
      <xdr:spPr>
        <a:xfrm rot="10800000">
          <a:off x="11803380" y="1957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194</xdr:row>
      <xdr:rowOff>0</xdr:rowOff>
    </xdr:from>
    <xdr:to>
      <xdr:col>28</xdr:col>
      <xdr:colOff>83820</xdr:colOff>
      <xdr:row>194</xdr:row>
      <xdr:rowOff>114300</xdr:rowOff>
    </xdr:to>
    <xdr:sp macro="" textlink="">
      <xdr:nvSpPr>
        <xdr:cNvPr id="211" name="Arrow: Down 210">
          <a:extLst>
            <a:ext uri="{FF2B5EF4-FFF2-40B4-BE49-F238E27FC236}">
              <a16:creationId xmlns:a16="http://schemas.microsoft.com/office/drawing/2014/main" id="{2D42E5D5-361D-4BEB-A81C-B1B61272BD54}"/>
            </a:ext>
          </a:extLst>
        </xdr:cNvPr>
        <xdr:cNvSpPr/>
      </xdr:nvSpPr>
      <xdr:spPr>
        <a:xfrm rot="10800000">
          <a:off x="11803380" y="1975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195</xdr:row>
      <xdr:rowOff>0</xdr:rowOff>
    </xdr:from>
    <xdr:to>
      <xdr:col>28</xdr:col>
      <xdr:colOff>83820</xdr:colOff>
      <xdr:row>195</xdr:row>
      <xdr:rowOff>114300</xdr:rowOff>
    </xdr:to>
    <xdr:sp macro="" textlink="">
      <xdr:nvSpPr>
        <xdr:cNvPr id="213" name="Arrow: Down 212">
          <a:extLst>
            <a:ext uri="{FF2B5EF4-FFF2-40B4-BE49-F238E27FC236}">
              <a16:creationId xmlns:a16="http://schemas.microsoft.com/office/drawing/2014/main" id="{F22F32FF-53B7-4414-905E-02E0693F432C}"/>
            </a:ext>
          </a:extLst>
        </xdr:cNvPr>
        <xdr:cNvSpPr/>
      </xdr:nvSpPr>
      <xdr:spPr>
        <a:xfrm>
          <a:off x="11803380" y="2012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196</xdr:row>
      <xdr:rowOff>0</xdr:rowOff>
    </xdr:from>
    <xdr:to>
      <xdr:col>28</xdr:col>
      <xdr:colOff>83820</xdr:colOff>
      <xdr:row>196</xdr:row>
      <xdr:rowOff>114300</xdr:rowOff>
    </xdr:to>
    <xdr:sp macro="" textlink="">
      <xdr:nvSpPr>
        <xdr:cNvPr id="214" name="Arrow: Down 213">
          <a:extLst>
            <a:ext uri="{FF2B5EF4-FFF2-40B4-BE49-F238E27FC236}">
              <a16:creationId xmlns:a16="http://schemas.microsoft.com/office/drawing/2014/main" id="{C99A61E9-8C50-47EA-8D01-7A28F80B6576}"/>
            </a:ext>
          </a:extLst>
        </xdr:cNvPr>
        <xdr:cNvSpPr/>
      </xdr:nvSpPr>
      <xdr:spPr>
        <a:xfrm>
          <a:off x="11803380" y="2030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197</xdr:row>
      <xdr:rowOff>0</xdr:rowOff>
    </xdr:from>
    <xdr:to>
      <xdr:col>28</xdr:col>
      <xdr:colOff>83820</xdr:colOff>
      <xdr:row>197</xdr:row>
      <xdr:rowOff>114300</xdr:rowOff>
    </xdr:to>
    <xdr:sp macro="" textlink="">
      <xdr:nvSpPr>
        <xdr:cNvPr id="216" name="Arrow: Down 215">
          <a:extLst>
            <a:ext uri="{FF2B5EF4-FFF2-40B4-BE49-F238E27FC236}">
              <a16:creationId xmlns:a16="http://schemas.microsoft.com/office/drawing/2014/main" id="{41EFB0A0-3487-4392-B0DC-2E76C19DFFA6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198</xdr:row>
      <xdr:rowOff>0</xdr:rowOff>
    </xdr:from>
    <xdr:to>
      <xdr:col>28</xdr:col>
      <xdr:colOff>83820</xdr:colOff>
      <xdr:row>198</xdr:row>
      <xdr:rowOff>114300</xdr:rowOff>
    </xdr:to>
    <xdr:sp macro="" textlink="">
      <xdr:nvSpPr>
        <xdr:cNvPr id="205" name="Arrow: Down 204">
          <a:extLst>
            <a:ext uri="{FF2B5EF4-FFF2-40B4-BE49-F238E27FC236}">
              <a16:creationId xmlns:a16="http://schemas.microsoft.com/office/drawing/2014/main" id="{89114FD1-806E-4732-8477-6C3667C52CCA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199</xdr:row>
      <xdr:rowOff>0</xdr:rowOff>
    </xdr:from>
    <xdr:to>
      <xdr:col>28</xdr:col>
      <xdr:colOff>83820</xdr:colOff>
      <xdr:row>199</xdr:row>
      <xdr:rowOff>114300</xdr:rowOff>
    </xdr:to>
    <xdr:sp macro="" textlink="">
      <xdr:nvSpPr>
        <xdr:cNvPr id="212" name="Arrow: Down 211">
          <a:extLst>
            <a:ext uri="{FF2B5EF4-FFF2-40B4-BE49-F238E27FC236}">
              <a16:creationId xmlns:a16="http://schemas.microsoft.com/office/drawing/2014/main" id="{E0E015DA-076F-408E-831A-B7DA9B50FF66}"/>
            </a:ext>
          </a:extLst>
        </xdr:cNvPr>
        <xdr:cNvSpPr/>
      </xdr:nvSpPr>
      <xdr:spPr>
        <a:xfrm rot="10800000">
          <a:off x="11803380" y="2067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200</xdr:row>
      <xdr:rowOff>0</xdr:rowOff>
    </xdr:from>
    <xdr:to>
      <xdr:col>28</xdr:col>
      <xdr:colOff>83820</xdr:colOff>
      <xdr:row>200</xdr:row>
      <xdr:rowOff>114300</xdr:rowOff>
    </xdr:to>
    <xdr:sp macro="" textlink="">
      <xdr:nvSpPr>
        <xdr:cNvPr id="217" name="Arrow: Down 216">
          <a:extLst>
            <a:ext uri="{FF2B5EF4-FFF2-40B4-BE49-F238E27FC236}">
              <a16:creationId xmlns:a16="http://schemas.microsoft.com/office/drawing/2014/main" id="{00CE59F9-3A2D-45B5-B9A0-1A4FC9990E7B}"/>
            </a:ext>
          </a:extLst>
        </xdr:cNvPr>
        <xdr:cNvSpPr/>
      </xdr:nvSpPr>
      <xdr:spPr>
        <a:xfrm rot="10800000">
          <a:off x="11803380" y="2085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201</xdr:row>
      <xdr:rowOff>0</xdr:rowOff>
    </xdr:from>
    <xdr:to>
      <xdr:col>28</xdr:col>
      <xdr:colOff>83820</xdr:colOff>
      <xdr:row>201</xdr:row>
      <xdr:rowOff>114300</xdr:rowOff>
    </xdr:to>
    <xdr:sp macro="" textlink="">
      <xdr:nvSpPr>
        <xdr:cNvPr id="215" name="Arrow: Down 214">
          <a:extLst>
            <a:ext uri="{FF2B5EF4-FFF2-40B4-BE49-F238E27FC236}">
              <a16:creationId xmlns:a16="http://schemas.microsoft.com/office/drawing/2014/main" id="{EBD1D496-63F1-450D-92D6-8C7887FA3E3D}"/>
            </a:ext>
          </a:extLst>
        </xdr:cNvPr>
        <xdr:cNvSpPr/>
      </xdr:nvSpPr>
      <xdr:spPr>
        <a:xfrm rot="10800000">
          <a:off x="11803380" y="2103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202</xdr:row>
      <xdr:rowOff>0</xdr:rowOff>
    </xdr:from>
    <xdr:to>
      <xdr:col>28</xdr:col>
      <xdr:colOff>83820</xdr:colOff>
      <xdr:row>202</xdr:row>
      <xdr:rowOff>114300</xdr:rowOff>
    </xdr:to>
    <xdr:sp macro="" textlink="">
      <xdr:nvSpPr>
        <xdr:cNvPr id="219" name="Arrow: Down 218">
          <a:extLst>
            <a:ext uri="{FF2B5EF4-FFF2-40B4-BE49-F238E27FC236}">
              <a16:creationId xmlns:a16="http://schemas.microsoft.com/office/drawing/2014/main" id="{C74A79CF-861C-49CF-8D3C-CD7C1448F4C0}"/>
            </a:ext>
          </a:extLst>
        </xdr:cNvPr>
        <xdr:cNvSpPr/>
      </xdr:nvSpPr>
      <xdr:spPr>
        <a:xfrm rot="10800000">
          <a:off x="11803380" y="2122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203</xdr:row>
      <xdr:rowOff>0</xdr:rowOff>
    </xdr:from>
    <xdr:to>
      <xdr:col>28</xdr:col>
      <xdr:colOff>83820</xdr:colOff>
      <xdr:row>203</xdr:row>
      <xdr:rowOff>114300</xdr:rowOff>
    </xdr:to>
    <xdr:sp macro="" textlink="">
      <xdr:nvSpPr>
        <xdr:cNvPr id="221" name="Arrow: Down 220">
          <a:extLst>
            <a:ext uri="{FF2B5EF4-FFF2-40B4-BE49-F238E27FC236}">
              <a16:creationId xmlns:a16="http://schemas.microsoft.com/office/drawing/2014/main" id="{D2198615-5E59-48BB-AA66-29E95765C0B0}"/>
            </a:ext>
          </a:extLst>
        </xdr:cNvPr>
        <xdr:cNvSpPr/>
      </xdr:nvSpPr>
      <xdr:spPr>
        <a:xfrm rot="10800000">
          <a:off x="11803380" y="2140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204</xdr:row>
      <xdr:rowOff>0</xdr:rowOff>
    </xdr:from>
    <xdr:to>
      <xdr:col>28</xdr:col>
      <xdr:colOff>83820</xdr:colOff>
      <xdr:row>204</xdr:row>
      <xdr:rowOff>114300</xdr:rowOff>
    </xdr:to>
    <xdr:sp macro="" textlink="">
      <xdr:nvSpPr>
        <xdr:cNvPr id="222" name="Arrow: Down 221">
          <a:extLst>
            <a:ext uri="{FF2B5EF4-FFF2-40B4-BE49-F238E27FC236}">
              <a16:creationId xmlns:a16="http://schemas.microsoft.com/office/drawing/2014/main" id="{7E0BF32D-D098-4EC4-84E8-CE26B5E1EB7C}"/>
            </a:ext>
          </a:extLst>
        </xdr:cNvPr>
        <xdr:cNvSpPr/>
      </xdr:nvSpPr>
      <xdr:spPr>
        <a:xfrm rot="10800000">
          <a:off x="11803380" y="2158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205</xdr:row>
      <xdr:rowOff>0</xdr:rowOff>
    </xdr:from>
    <xdr:to>
      <xdr:col>28</xdr:col>
      <xdr:colOff>83820</xdr:colOff>
      <xdr:row>205</xdr:row>
      <xdr:rowOff>114300</xdr:rowOff>
    </xdr:to>
    <xdr:sp macro="" textlink="">
      <xdr:nvSpPr>
        <xdr:cNvPr id="224" name="Arrow: Down 223">
          <a:extLst>
            <a:ext uri="{FF2B5EF4-FFF2-40B4-BE49-F238E27FC236}">
              <a16:creationId xmlns:a16="http://schemas.microsoft.com/office/drawing/2014/main" id="{96985E43-CC33-4F09-A499-76A3A99BA5BF}"/>
            </a:ext>
          </a:extLst>
        </xdr:cNvPr>
        <xdr:cNvSpPr/>
      </xdr:nvSpPr>
      <xdr:spPr>
        <a:xfrm rot="10800000">
          <a:off x="11803380" y="2177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206</xdr:row>
      <xdr:rowOff>0</xdr:rowOff>
    </xdr:from>
    <xdr:to>
      <xdr:col>28</xdr:col>
      <xdr:colOff>83820</xdr:colOff>
      <xdr:row>206</xdr:row>
      <xdr:rowOff>114300</xdr:rowOff>
    </xdr:to>
    <xdr:sp macro="" textlink="">
      <xdr:nvSpPr>
        <xdr:cNvPr id="220" name="Arrow: Down 219">
          <a:extLst>
            <a:ext uri="{FF2B5EF4-FFF2-40B4-BE49-F238E27FC236}">
              <a16:creationId xmlns:a16="http://schemas.microsoft.com/office/drawing/2014/main" id="{6A38A8B3-06E6-4F5C-BB41-5EA618C3B206}"/>
            </a:ext>
          </a:extLst>
        </xdr:cNvPr>
        <xdr:cNvSpPr/>
      </xdr:nvSpPr>
      <xdr:spPr>
        <a:xfrm rot="10800000">
          <a:off x="11803380" y="2195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207</xdr:row>
      <xdr:rowOff>0</xdr:rowOff>
    </xdr:from>
    <xdr:to>
      <xdr:col>28</xdr:col>
      <xdr:colOff>83820</xdr:colOff>
      <xdr:row>207</xdr:row>
      <xdr:rowOff>114300</xdr:rowOff>
    </xdr:to>
    <xdr:sp macro="" textlink="">
      <xdr:nvSpPr>
        <xdr:cNvPr id="218" name="Arrow: Down 217">
          <a:extLst>
            <a:ext uri="{FF2B5EF4-FFF2-40B4-BE49-F238E27FC236}">
              <a16:creationId xmlns:a16="http://schemas.microsoft.com/office/drawing/2014/main" id="{9F2ED279-07F4-4C9D-BA65-CEAD3AC89E3E}"/>
            </a:ext>
          </a:extLst>
        </xdr:cNvPr>
        <xdr:cNvSpPr/>
      </xdr:nvSpPr>
      <xdr:spPr>
        <a:xfrm rot="10800000">
          <a:off x="11803380" y="2213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208</xdr:row>
      <xdr:rowOff>0</xdr:rowOff>
    </xdr:from>
    <xdr:to>
      <xdr:col>28</xdr:col>
      <xdr:colOff>83820</xdr:colOff>
      <xdr:row>208</xdr:row>
      <xdr:rowOff>114300</xdr:rowOff>
    </xdr:to>
    <xdr:sp macro="" textlink="">
      <xdr:nvSpPr>
        <xdr:cNvPr id="225" name="Arrow: Down 224">
          <a:extLst>
            <a:ext uri="{FF2B5EF4-FFF2-40B4-BE49-F238E27FC236}">
              <a16:creationId xmlns:a16="http://schemas.microsoft.com/office/drawing/2014/main" id="{7C021097-DCE2-4A90-8C40-25FBFDC8F148}"/>
            </a:ext>
          </a:extLst>
        </xdr:cNvPr>
        <xdr:cNvSpPr/>
      </xdr:nvSpPr>
      <xdr:spPr>
        <a:xfrm rot="10800000">
          <a:off x="11803380" y="2231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209</xdr:row>
      <xdr:rowOff>0</xdr:rowOff>
    </xdr:from>
    <xdr:to>
      <xdr:col>28</xdr:col>
      <xdr:colOff>83820</xdr:colOff>
      <xdr:row>209</xdr:row>
      <xdr:rowOff>114300</xdr:rowOff>
    </xdr:to>
    <xdr:sp macro="" textlink="">
      <xdr:nvSpPr>
        <xdr:cNvPr id="226" name="Arrow: Down 225">
          <a:extLst>
            <a:ext uri="{FF2B5EF4-FFF2-40B4-BE49-F238E27FC236}">
              <a16:creationId xmlns:a16="http://schemas.microsoft.com/office/drawing/2014/main" id="{67463B83-599B-499C-B69E-AE703690EBCD}"/>
            </a:ext>
          </a:extLst>
        </xdr:cNvPr>
        <xdr:cNvSpPr/>
      </xdr:nvSpPr>
      <xdr:spPr>
        <a:xfrm rot="10800000">
          <a:off x="11803380" y="2250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211</xdr:row>
      <xdr:rowOff>0</xdr:rowOff>
    </xdr:from>
    <xdr:to>
      <xdr:col>28</xdr:col>
      <xdr:colOff>83820</xdr:colOff>
      <xdr:row>211</xdr:row>
      <xdr:rowOff>114300</xdr:rowOff>
    </xdr:to>
    <xdr:sp macro="" textlink="">
      <xdr:nvSpPr>
        <xdr:cNvPr id="229" name="Arrow: Down 228">
          <a:extLst>
            <a:ext uri="{FF2B5EF4-FFF2-40B4-BE49-F238E27FC236}">
              <a16:creationId xmlns:a16="http://schemas.microsoft.com/office/drawing/2014/main" id="{71311B86-84D2-426D-B3DB-8DDA3BF26C17}"/>
            </a:ext>
          </a:extLst>
        </xdr:cNvPr>
        <xdr:cNvSpPr/>
      </xdr:nvSpPr>
      <xdr:spPr>
        <a:xfrm>
          <a:off x="11803380" y="2305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212</xdr:row>
      <xdr:rowOff>0</xdr:rowOff>
    </xdr:from>
    <xdr:to>
      <xdr:col>28</xdr:col>
      <xdr:colOff>83820</xdr:colOff>
      <xdr:row>212</xdr:row>
      <xdr:rowOff>114300</xdr:rowOff>
    </xdr:to>
    <xdr:sp macro="" textlink="">
      <xdr:nvSpPr>
        <xdr:cNvPr id="232" name="Arrow: Down 231">
          <a:extLst>
            <a:ext uri="{FF2B5EF4-FFF2-40B4-BE49-F238E27FC236}">
              <a16:creationId xmlns:a16="http://schemas.microsoft.com/office/drawing/2014/main" id="{FE02506B-2FBC-424F-BC5E-6357D42EEC5E}"/>
            </a:ext>
          </a:extLst>
        </xdr:cNvPr>
        <xdr:cNvSpPr/>
      </xdr:nvSpPr>
      <xdr:spPr>
        <a:xfrm rot="10800000">
          <a:off x="11803380" y="2323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210</xdr:row>
      <xdr:rowOff>0</xdr:rowOff>
    </xdr:from>
    <xdr:to>
      <xdr:col>28</xdr:col>
      <xdr:colOff>83820</xdr:colOff>
      <xdr:row>210</xdr:row>
      <xdr:rowOff>114300</xdr:rowOff>
    </xdr:to>
    <xdr:sp macro="" textlink="">
      <xdr:nvSpPr>
        <xdr:cNvPr id="234" name="Arrow: Down 233">
          <a:extLst>
            <a:ext uri="{FF2B5EF4-FFF2-40B4-BE49-F238E27FC236}">
              <a16:creationId xmlns:a16="http://schemas.microsoft.com/office/drawing/2014/main" id="{2A8FF5F7-BA7B-4BF9-B204-5C742475E83E}"/>
            </a:ext>
          </a:extLst>
        </xdr:cNvPr>
        <xdr:cNvSpPr/>
      </xdr:nvSpPr>
      <xdr:spPr>
        <a:xfrm rot="10800000">
          <a:off x="11803380" y="2286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213</xdr:row>
      <xdr:rowOff>0</xdr:rowOff>
    </xdr:from>
    <xdr:to>
      <xdr:col>28</xdr:col>
      <xdr:colOff>83820</xdr:colOff>
      <xdr:row>213</xdr:row>
      <xdr:rowOff>114300</xdr:rowOff>
    </xdr:to>
    <xdr:sp macro="" textlink="">
      <xdr:nvSpPr>
        <xdr:cNvPr id="236" name="Arrow: Down 235">
          <a:extLst>
            <a:ext uri="{FF2B5EF4-FFF2-40B4-BE49-F238E27FC236}">
              <a16:creationId xmlns:a16="http://schemas.microsoft.com/office/drawing/2014/main" id="{8A063BB7-ABA5-43DA-A093-5CC7832253D6}"/>
            </a:ext>
          </a:extLst>
        </xdr:cNvPr>
        <xdr:cNvSpPr/>
      </xdr:nvSpPr>
      <xdr:spPr>
        <a:xfrm rot="10800000">
          <a:off x="11803380" y="2323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214</xdr:row>
      <xdr:rowOff>0</xdr:rowOff>
    </xdr:from>
    <xdr:to>
      <xdr:col>28</xdr:col>
      <xdr:colOff>83820</xdr:colOff>
      <xdr:row>214</xdr:row>
      <xdr:rowOff>114300</xdr:rowOff>
    </xdr:to>
    <xdr:sp macro="" textlink="">
      <xdr:nvSpPr>
        <xdr:cNvPr id="237" name="Arrow: Down 236">
          <a:extLst>
            <a:ext uri="{FF2B5EF4-FFF2-40B4-BE49-F238E27FC236}">
              <a16:creationId xmlns:a16="http://schemas.microsoft.com/office/drawing/2014/main" id="{4F0025AC-1A5C-4A2F-925E-5911FFD08858}"/>
            </a:ext>
          </a:extLst>
        </xdr:cNvPr>
        <xdr:cNvSpPr/>
      </xdr:nvSpPr>
      <xdr:spPr>
        <a:xfrm rot="10800000">
          <a:off x="11803380" y="2341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215</xdr:row>
      <xdr:rowOff>0</xdr:rowOff>
    </xdr:from>
    <xdr:to>
      <xdr:col>28</xdr:col>
      <xdr:colOff>83820</xdr:colOff>
      <xdr:row>215</xdr:row>
      <xdr:rowOff>114300</xdr:rowOff>
    </xdr:to>
    <xdr:sp macro="" textlink="">
      <xdr:nvSpPr>
        <xdr:cNvPr id="228" name="Arrow: Down 227">
          <a:extLst>
            <a:ext uri="{FF2B5EF4-FFF2-40B4-BE49-F238E27FC236}">
              <a16:creationId xmlns:a16="http://schemas.microsoft.com/office/drawing/2014/main" id="{07B21E86-261F-484D-83B6-A1CAF93E9178}"/>
            </a:ext>
          </a:extLst>
        </xdr:cNvPr>
        <xdr:cNvSpPr/>
      </xdr:nvSpPr>
      <xdr:spPr>
        <a:xfrm>
          <a:off x="11803380" y="2378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216</xdr:row>
      <xdr:rowOff>0</xdr:rowOff>
    </xdr:from>
    <xdr:to>
      <xdr:col>28</xdr:col>
      <xdr:colOff>83820</xdr:colOff>
      <xdr:row>216</xdr:row>
      <xdr:rowOff>114300</xdr:rowOff>
    </xdr:to>
    <xdr:sp macro="" textlink="">
      <xdr:nvSpPr>
        <xdr:cNvPr id="231" name="Arrow: Down 230">
          <a:extLst>
            <a:ext uri="{FF2B5EF4-FFF2-40B4-BE49-F238E27FC236}">
              <a16:creationId xmlns:a16="http://schemas.microsoft.com/office/drawing/2014/main" id="{BA0C8444-6860-473A-B93B-B685B0782F5D}"/>
            </a:ext>
          </a:extLst>
        </xdr:cNvPr>
        <xdr:cNvSpPr/>
      </xdr:nvSpPr>
      <xdr:spPr>
        <a:xfrm>
          <a:off x="11803380" y="2378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217</xdr:row>
      <xdr:rowOff>0</xdr:rowOff>
    </xdr:from>
    <xdr:to>
      <xdr:col>28</xdr:col>
      <xdr:colOff>83820</xdr:colOff>
      <xdr:row>217</xdr:row>
      <xdr:rowOff>114300</xdr:rowOff>
    </xdr:to>
    <xdr:sp macro="" textlink="">
      <xdr:nvSpPr>
        <xdr:cNvPr id="233" name="Arrow: Down 232">
          <a:extLst>
            <a:ext uri="{FF2B5EF4-FFF2-40B4-BE49-F238E27FC236}">
              <a16:creationId xmlns:a16="http://schemas.microsoft.com/office/drawing/2014/main" id="{E2FF1B70-4B2C-4177-BFDF-9D936A323617}"/>
            </a:ext>
          </a:extLst>
        </xdr:cNvPr>
        <xdr:cNvSpPr/>
      </xdr:nvSpPr>
      <xdr:spPr>
        <a:xfrm>
          <a:off x="11803380" y="2396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218</xdr:row>
      <xdr:rowOff>0</xdr:rowOff>
    </xdr:from>
    <xdr:to>
      <xdr:col>28</xdr:col>
      <xdr:colOff>83820</xdr:colOff>
      <xdr:row>218</xdr:row>
      <xdr:rowOff>114300</xdr:rowOff>
    </xdr:to>
    <xdr:sp macro="" textlink="">
      <xdr:nvSpPr>
        <xdr:cNvPr id="235" name="Arrow: Down 234">
          <a:extLst>
            <a:ext uri="{FF2B5EF4-FFF2-40B4-BE49-F238E27FC236}">
              <a16:creationId xmlns:a16="http://schemas.microsoft.com/office/drawing/2014/main" id="{9753CFC7-7D9D-40EA-BB81-A9461F142D6F}"/>
            </a:ext>
          </a:extLst>
        </xdr:cNvPr>
        <xdr:cNvSpPr/>
      </xdr:nvSpPr>
      <xdr:spPr>
        <a:xfrm>
          <a:off x="11803380" y="2414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219</xdr:row>
      <xdr:rowOff>0</xdr:rowOff>
    </xdr:from>
    <xdr:to>
      <xdr:col>28</xdr:col>
      <xdr:colOff>83820</xdr:colOff>
      <xdr:row>219</xdr:row>
      <xdr:rowOff>114300</xdr:rowOff>
    </xdr:to>
    <xdr:sp macro="" textlink="">
      <xdr:nvSpPr>
        <xdr:cNvPr id="238" name="Arrow: Down 237">
          <a:extLst>
            <a:ext uri="{FF2B5EF4-FFF2-40B4-BE49-F238E27FC236}">
              <a16:creationId xmlns:a16="http://schemas.microsoft.com/office/drawing/2014/main" id="{CEABB028-6FAA-49EF-9A44-254AF9AE1F9A}"/>
            </a:ext>
          </a:extLst>
        </xdr:cNvPr>
        <xdr:cNvSpPr/>
      </xdr:nvSpPr>
      <xdr:spPr>
        <a:xfrm>
          <a:off x="11803380" y="2433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220</xdr:row>
      <xdr:rowOff>0</xdr:rowOff>
    </xdr:from>
    <xdr:to>
      <xdr:col>28</xdr:col>
      <xdr:colOff>83820</xdr:colOff>
      <xdr:row>220</xdr:row>
      <xdr:rowOff>114300</xdr:rowOff>
    </xdr:to>
    <xdr:sp macro="" textlink="">
      <xdr:nvSpPr>
        <xdr:cNvPr id="240" name="Arrow: Down 239">
          <a:extLst>
            <a:ext uri="{FF2B5EF4-FFF2-40B4-BE49-F238E27FC236}">
              <a16:creationId xmlns:a16="http://schemas.microsoft.com/office/drawing/2014/main" id="{156B74C8-113D-4177-A5C6-5A05FF771B25}"/>
            </a:ext>
          </a:extLst>
        </xdr:cNvPr>
        <xdr:cNvSpPr/>
      </xdr:nvSpPr>
      <xdr:spPr>
        <a:xfrm rot="10800000">
          <a:off x="11803380" y="2469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221</xdr:row>
      <xdr:rowOff>0</xdr:rowOff>
    </xdr:from>
    <xdr:to>
      <xdr:col>28</xdr:col>
      <xdr:colOff>83820</xdr:colOff>
      <xdr:row>221</xdr:row>
      <xdr:rowOff>114300</xdr:rowOff>
    </xdr:to>
    <xdr:sp macro="" textlink="">
      <xdr:nvSpPr>
        <xdr:cNvPr id="241" name="Arrow: Down 240">
          <a:extLst>
            <a:ext uri="{FF2B5EF4-FFF2-40B4-BE49-F238E27FC236}">
              <a16:creationId xmlns:a16="http://schemas.microsoft.com/office/drawing/2014/main" id="{5BE598EA-E735-4584-944A-BFEBD6958F6F}"/>
            </a:ext>
          </a:extLst>
        </xdr:cNvPr>
        <xdr:cNvSpPr/>
      </xdr:nvSpPr>
      <xdr:spPr>
        <a:xfrm rot="10800000">
          <a:off x="11803380" y="2469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222</xdr:row>
      <xdr:rowOff>0</xdr:rowOff>
    </xdr:from>
    <xdr:to>
      <xdr:col>28</xdr:col>
      <xdr:colOff>83820</xdr:colOff>
      <xdr:row>222</xdr:row>
      <xdr:rowOff>114300</xdr:rowOff>
    </xdr:to>
    <xdr:sp macro="" textlink="">
      <xdr:nvSpPr>
        <xdr:cNvPr id="243" name="Arrow: Down 242">
          <a:extLst>
            <a:ext uri="{FF2B5EF4-FFF2-40B4-BE49-F238E27FC236}">
              <a16:creationId xmlns:a16="http://schemas.microsoft.com/office/drawing/2014/main" id="{A8FD7F1F-7E03-458C-A49A-A36859DAFDA8}"/>
            </a:ext>
          </a:extLst>
        </xdr:cNvPr>
        <xdr:cNvSpPr/>
      </xdr:nvSpPr>
      <xdr:spPr>
        <a:xfrm rot="10800000">
          <a:off x="11803380" y="2487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223</xdr:row>
      <xdr:rowOff>0</xdr:rowOff>
    </xdr:from>
    <xdr:to>
      <xdr:col>28</xdr:col>
      <xdr:colOff>83820</xdr:colOff>
      <xdr:row>223</xdr:row>
      <xdr:rowOff>114300</xdr:rowOff>
    </xdr:to>
    <xdr:sp macro="" textlink="">
      <xdr:nvSpPr>
        <xdr:cNvPr id="245" name="Arrow: Down 244">
          <a:extLst>
            <a:ext uri="{FF2B5EF4-FFF2-40B4-BE49-F238E27FC236}">
              <a16:creationId xmlns:a16="http://schemas.microsoft.com/office/drawing/2014/main" id="{4312BBF1-DFFC-4455-9D27-0DBD4CF1BF17}"/>
            </a:ext>
          </a:extLst>
        </xdr:cNvPr>
        <xdr:cNvSpPr/>
      </xdr:nvSpPr>
      <xdr:spPr>
        <a:xfrm rot="10800000">
          <a:off x="11803380" y="2506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224</xdr:row>
      <xdr:rowOff>0</xdr:rowOff>
    </xdr:from>
    <xdr:to>
      <xdr:col>28</xdr:col>
      <xdr:colOff>83820</xdr:colOff>
      <xdr:row>224</xdr:row>
      <xdr:rowOff>114300</xdr:rowOff>
    </xdr:to>
    <xdr:sp macro="" textlink="">
      <xdr:nvSpPr>
        <xdr:cNvPr id="227" name="Arrow: Down 226">
          <a:extLst>
            <a:ext uri="{FF2B5EF4-FFF2-40B4-BE49-F238E27FC236}">
              <a16:creationId xmlns:a16="http://schemas.microsoft.com/office/drawing/2014/main" id="{DE698BA4-D42B-42D6-93F8-99DE03528795}"/>
            </a:ext>
          </a:extLst>
        </xdr:cNvPr>
        <xdr:cNvSpPr/>
      </xdr:nvSpPr>
      <xdr:spPr>
        <a:xfrm rot="10800000">
          <a:off x="11803380" y="2524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225</xdr:row>
      <xdr:rowOff>0</xdr:rowOff>
    </xdr:from>
    <xdr:to>
      <xdr:col>28</xdr:col>
      <xdr:colOff>83820</xdr:colOff>
      <xdr:row>225</xdr:row>
      <xdr:rowOff>114300</xdr:rowOff>
    </xdr:to>
    <xdr:sp macro="" textlink="">
      <xdr:nvSpPr>
        <xdr:cNvPr id="230" name="Arrow: Down 229">
          <a:extLst>
            <a:ext uri="{FF2B5EF4-FFF2-40B4-BE49-F238E27FC236}">
              <a16:creationId xmlns:a16="http://schemas.microsoft.com/office/drawing/2014/main" id="{DF346B1C-63F0-4908-AD11-71B13840BB33}"/>
            </a:ext>
          </a:extLst>
        </xdr:cNvPr>
        <xdr:cNvSpPr/>
      </xdr:nvSpPr>
      <xdr:spPr>
        <a:xfrm rot="10800000">
          <a:off x="11803380" y="2542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226</xdr:row>
      <xdr:rowOff>0</xdr:rowOff>
    </xdr:from>
    <xdr:to>
      <xdr:col>28</xdr:col>
      <xdr:colOff>83820</xdr:colOff>
      <xdr:row>226</xdr:row>
      <xdr:rowOff>114300</xdr:rowOff>
    </xdr:to>
    <xdr:sp macro="" textlink="">
      <xdr:nvSpPr>
        <xdr:cNvPr id="239" name="Arrow: Down 238">
          <a:extLst>
            <a:ext uri="{FF2B5EF4-FFF2-40B4-BE49-F238E27FC236}">
              <a16:creationId xmlns:a16="http://schemas.microsoft.com/office/drawing/2014/main" id="{82091613-1C56-4FA4-A8F4-D8BBD639349E}"/>
            </a:ext>
          </a:extLst>
        </xdr:cNvPr>
        <xdr:cNvSpPr/>
      </xdr:nvSpPr>
      <xdr:spPr>
        <a:xfrm rot="10800000">
          <a:off x="11803380" y="2561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227</xdr:row>
      <xdr:rowOff>0</xdr:rowOff>
    </xdr:from>
    <xdr:to>
      <xdr:col>28</xdr:col>
      <xdr:colOff>83820</xdr:colOff>
      <xdr:row>227</xdr:row>
      <xdr:rowOff>114300</xdr:rowOff>
    </xdr:to>
    <xdr:sp macro="" textlink="">
      <xdr:nvSpPr>
        <xdr:cNvPr id="242" name="Arrow: Down 241">
          <a:extLst>
            <a:ext uri="{FF2B5EF4-FFF2-40B4-BE49-F238E27FC236}">
              <a16:creationId xmlns:a16="http://schemas.microsoft.com/office/drawing/2014/main" id="{F477E840-085C-453E-9A98-BCE86E636F53}"/>
            </a:ext>
          </a:extLst>
        </xdr:cNvPr>
        <xdr:cNvSpPr/>
      </xdr:nvSpPr>
      <xdr:spPr>
        <a:xfrm rot="10800000">
          <a:off x="11803380" y="2579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228</xdr:row>
      <xdr:rowOff>0</xdr:rowOff>
    </xdr:from>
    <xdr:to>
      <xdr:col>28</xdr:col>
      <xdr:colOff>83820</xdr:colOff>
      <xdr:row>228</xdr:row>
      <xdr:rowOff>114300</xdr:rowOff>
    </xdr:to>
    <xdr:sp macro="" textlink="">
      <xdr:nvSpPr>
        <xdr:cNvPr id="246" name="Arrow: Down 245">
          <a:extLst>
            <a:ext uri="{FF2B5EF4-FFF2-40B4-BE49-F238E27FC236}">
              <a16:creationId xmlns:a16="http://schemas.microsoft.com/office/drawing/2014/main" id="{7F763F69-E8D1-4410-979F-BA3A021520E2}"/>
            </a:ext>
          </a:extLst>
        </xdr:cNvPr>
        <xdr:cNvSpPr/>
      </xdr:nvSpPr>
      <xdr:spPr>
        <a:xfrm rot="10800000">
          <a:off x="11803380" y="2597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229</xdr:row>
      <xdr:rowOff>0</xdr:rowOff>
    </xdr:from>
    <xdr:to>
      <xdr:col>28</xdr:col>
      <xdr:colOff>83820</xdr:colOff>
      <xdr:row>229</xdr:row>
      <xdr:rowOff>114300</xdr:rowOff>
    </xdr:to>
    <xdr:sp macro="" textlink="">
      <xdr:nvSpPr>
        <xdr:cNvPr id="248" name="Arrow: Down 247">
          <a:extLst>
            <a:ext uri="{FF2B5EF4-FFF2-40B4-BE49-F238E27FC236}">
              <a16:creationId xmlns:a16="http://schemas.microsoft.com/office/drawing/2014/main" id="{9B7A8375-EDAF-4AB7-B6FB-BADBDC923C63}"/>
            </a:ext>
          </a:extLst>
        </xdr:cNvPr>
        <xdr:cNvSpPr/>
      </xdr:nvSpPr>
      <xdr:spPr>
        <a:xfrm rot="10800000">
          <a:off x="11803380" y="2615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230</xdr:row>
      <xdr:rowOff>0</xdr:rowOff>
    </xdr:from>
    <xdr:to>
      <xdr:col>28</xdr:col>
      <xdr:colOff>83820</xdr:colOff>
      <xdr:row>230</xdr:row>
      <xdr:rowOff>114300</xdr:rowOff>
    </xdr:to>
    <xdr:sp macro="" textlink="">
      <xdr:nvSpPr>
        <xdr:cNvPr id="249" name="Arrow: Down 248">
          <a:extLst>
            <a:ext uri="{FF2B5EF4-FFF2-40B4-BE49-F238E27FC236}">
              <a16:creationId xmlns:a16="http://schemas.microsoft.com/office/drawing/2014/main" id="{F9893FDE-C1A4-4461-920C-0F6E18D86467}"/>
            </a:ext>
          </a:extLst>
        </xdr:cNvPr>
        <xdr:cNvSpPr/>
      </xdr:nvSpPr>
      <xdr:spPr>
        <a:xfrm rot="10800000">
          <a:off x="11803380" y="2634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231</xdr:row>
      <xdr:rowOff>0</xdr:rowOff>
    </xdr:from>
    <xdr:to>
      <xdr:col>28</xdr:col>
      <xdr:colOff>83820</xdr:colOff>
      <xdr:row>231</xdr:row>
      <xdr:rowOff>114300</xdr:rowOff>
    </xdr:to>
    <xdr:sp macro="" textlink="">
      <xdr:nvSpPr>
        <xdr:cNvPr id="250" name="Arrow: Down 249">
          <a:extLst>
            <a:ext uri="{FF2B5EF4-FFF2-40B4-BE49-F238E27FC236}">
              <a16:creationId xmlns:a16="http://schemas.microsoft.com/office/drawing/2014/main" id="{4D975FEF-09CB-4D72-8A16-C235772B6BB0}"/>
            </a:ext>
          </a:extLst>
        </xdr:cNvPr>
        <xdr:cNvSpPr/>
      </xdr:nvSpPr>
      <xdr:spPr>
        <a:xfrm rot="10800000">
          <a:off x="11803380" y="2652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232</xdr:row>
      <xdr:rowOff>0</xdr:rowOff>
    </xdr:from>
    <xdr:to>
      <xdr:col>28</xdr:col>
      <xdr:colOff>83820</xdr:colOff>
      <xdr:row>232</xdr:row>
      <xdr:rowOff>114300</xdr:rowOff>
    </xdr:to>
    <xdr:sp macro="" textlink="">
      <xdr:nvSpPr>
        <xdr:cNvPr id="252" name="Arrow: Down 251">
          <a:extLst>
            <a:ext uri="{FF2B5EF4-FFF2-40B4-BE49-F238E27FC236}">
              <a16:creationId xmlns:a16="http://schemas.microsoft.com/office/drawing/2014/main" id="{B975C7C6-6EF9-4E39-A4C1-714C6AAA8E90}"/>
            </a:ext>
          </a:extLst>
        </xdr:cNvPr>
        <xdr:cNvSpPr/>
      </xdr:nvSpPr>
      <xdr:spPr>
        <a:xfrm>
          <a:off x="11803380" y="2689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233</xdr:row>
      <xdr:rowOff>0</xdr:rowOff>
    </xdr:from>
    <xdr:to>
      <xdr:col>28</xdr:col>
      <xdr:colOff>83820</xdr:colOff>
      <xdr:row>233</xdr:row>
      <xdr:rowOff>114300</xdr:rowOff>
    </xdr:to>
    <xdr:sp macro="" textlink="">
      <xdr:nvSpPr>
        <xdr:cNvPr id="253" name="Arrow: Down 252">
          <a:extLst>
            <a:ext uri="{FF2B5EF4-FFF2-40B4-BE49-F238E27FC236}">
              <a16:creationId xmlns:a16="http://schemas.microsoft.com/office/drawing/2014/main" id="{43181CF7-6322-4C8F-8A99-FD509A46C710}"/>
            </a:ext>
          </a:extLst>
        </xdr:cNvPr>
        <xdr:cNvSpPr/>
      </xdr:nvSpPr>
      <xdr:spPr>
        <a:xfrm>
          <a:off x="11803380" y="2689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234</xdr:row>
      <xdr:rowOff>0</xdr:rowOff>
    </xdr:from>
    <xdr:to>
      <xdr:col>28</xdr:col>
      <xdr:colOff>83820</xdr:colOff>
      <xdr:row>234</xdr:row>
      <xdr:rowOff>114300</xdr:rowOff>
    </xdr:to>
    <xdr:sp macro="" textlink="">
      <xdr:nvSpPr>
        <xdr:cNvPr id="255" name="Arrow: Down 254">
          <a:extLst>
            <a:ext uri="{FF2B5EF4-FFF2-40B4-BE49-F238E27FC236}">
              <a16:creationId xmlns:a16="http://schemas.microsoft.com/office/drawing/2014/main" id="{860DFD3B-5BBE-40A3-B476-FBDD946CA5B8}"/>
            </a:ext>
          </a:extLst>
        </xdr:cNvPr>
        <xdr:cNvSpPr/>
      </xdr:nvSpPr>
      <xdr:spPr>
        <a:xfrm rot="10800000">
          <a:off x="11803380" y="2725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235</xdr:row>
      <xdr:rowOff>0</xdr:rowOff>
    </xdr:from>
    <xdr:to>
      <xdr:col>28</xdr:col>
      <xdr:colOff>83820</xdr:colOff>
      <xdr:row>235</xdr:row>
      <xdr:rowOff>114300</xdr:rowOff>
    </xdr:to>
    <xdr:sp macro="" textlink="">
      <xdr:nvSpPr>
        <xdr:cNvPr id="244" name="Arrow: Down 243">
          <a:extLst>
            <a:ext uri="{FF2B5EF4-FFF2-40B4-BE49-F238E27FC236}">
              <a16:creationId xmlns:a16="http://schemas.microsoft.com/office/drawing/2014/main" id="{84B52F09-9232-41B4-B698-7597A14E7353}"/>
            </a:ext>
          </a:extLst>
        </xdr:cNvPr>
        <xdr:cNvSpPr/>
      </xdr:nvSpPr>
      <xdr:spPr>
        <a:xfrm rot="10800000">
          <a:off x="11803380" y="2725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236</xdr:row>
      <xdr:rowOff>0</xdr:rowOff>
    </xdr:from>
    <xdr:to>
      <xdr:col>28</xdr:col>
      <xdr:colOff>83820</xdr:colOff>
      <xdr:row>236</xdr:row>
      <xdr:rowOff>114300</xdr:rowOff>
    </xdr:to>
    <xdr:sp macro="" textlink="">
      <xdr:nvSpPr>
        <xdr:cNvPr id="247" name="Arrow: Down 246">
          <a:extLst>
            <a:ext uri="{FF2B5EF4-FFF2-40B4-BE49-F238E27FC236}">
              <a16:creationId xmlns:a16="http://schemas.microsoft.com/office/drawing/2014/main" id="{59E8B501-3EC0-498F-8743-4EB76D0D5782}"/>
            </a:ext>
          </a:extLst>
        </xdr:cNvPr>
        <xdr:cNvSpPr/>
      </xdr:nvSpPr>
      <xdr:spPr>
        <a:xfrm rot="10800000">
          <a:off x="11803380" y="2743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237</xdr:row>
      <xdr:rowOff>0</xdr:rowOff>
    </xdr:from>
    <xdr:to>
      <xdr:col>28</xdr:col>
      <xdr:colOff>83820</xdr:colOff>
      <xdr:row>237</xdr:row>
      <xdr:rowOff>114300</xdr:rowOff>
    </xdr:to>
    <xdr:sp macro="" textlink="">
      <xdr:nvSpPr>
        <xdr:cNvPr id="251" name="Arrow: Down 250">
          <a:extLst>
            <a:ext uri="{FF2B5EF4-FFF2-40B4-BE49-F238E27FC236}">
              <a16:creationId xmlns:a16="http://schemas.microsoft.com/office/drawing/2014/main" id="{AADE358F-62C3-4286-8523-909073F83357}"/>
            </a:ext>
          </a:extLst>
        </xdr:cNvPr>
        <xdr:cNvSpPr/>
      </xdr:nvSpPr>
      <xdr:spPr>
        <a:xfrm rot="10800000">
          <a:off x="11803380" y="2762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238</xdr:row>
      <xdr:rowOff>0</xdr:rowOff>
    </xdr:from>
    <xdr:to>
      <xdr:col>28</xdr:col>
      <xdr:colOff>83820</xdr:colOff>
      <xdr:row>238</xdr:row>
      <xdr:rowOff>114300</xdr:rowOff>
    </xdr:to>
    <xdr:sp macro="" textlink="">
      <xdr:nvSpPr>
        <xdr:cNvPr id="256" name="Arrow: Down 255">
          <a:extLst>
            <a:ext uri="{FF2B5EF4-FFF2-40B4-BE49-F238E27FC236}">
              <a16:creationId xmlns:a16="http://schemas.microsoft.com/office/drawing/2014/main" id="{CB72055D-1889-4223-BE43-A2BEDFF7FCAA}"/>
            </a:ext>
          </a:extLst>
        </xdr:cNvPr>
        <xdr:cNvSpPr/>
      </xdr:nvSpPr>
      <xdr:spPr>
        <a:xfrm>
          <a:off x="11803380" y="2798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239</xdr:row>
      <xdr:rowOff>0</xdr:rowOff>
    </xdr:from>
    <xdr:to>
      <xdr:col>28</xdr:col>
      <xdr:colOff>83820</xdr:colOff>
      <xdr:row>239</xdr:row>
      <xdr:rowOff>114300</xdr:rowOff>
    </xdr:to>
    <xdr:sp macro="" textlink="">
      <xdr:nvSpPr>
        <xdr:cNvPr id="257" name="Arrow: Down 256">
          <a:extLst>
            <a:ext uri="{FF2B5EF4-FFF2-40B4-BE49-F238E27FC236}">
              <a16:creationId xmlns:a16="http://schemas.microsoft.com/office/drawing/2014/main" id="{D29BA4E1-B803-4343-B437-34BBBE3952B9}"/>
            </a:ext>
          </a:extLst>
        </xdr:cNvPr>
        <xdr:cNvSpPr/>
      </xdr:nvSpPr>
      <xdr:spPr>
        <a:xfrm>
          <a:off x="11803380" y="2798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240</xdr:row>
      <xdr:rowOff>0</xdr:rowOff>
    </xdr:from>
    <xdr:to>
      <xdr:col>28</xdr:col>
      <xdr:colOff>83820</xdr:colOff>
      <xdr:row>240</xdr:row>
      <xdr:rowOff>114300</xdr:rowOff>
    </xdr:to>
    <xdr:sp macro="" textlink="">
      <xdr:nvSpPr>
        <xdr:cNvPr id="258" name="Arrow: Down 257">
          <a:extLst>
            <a:ext uri="{FF2B5EF4-FFF2-40B4-BE49-F238E27FC236}">
              <a16:creationId xmlns:a16="http://schemas.microsoft.com/office/drawing/2014/main" id="{5A38A058-C219-4496-A38A-2124DA86484B}"/>
            </a:ext>
          </a:extLst>
        </xdr:cNvPr>
        <xdr:cNvSpPr/>
      </xdr:nvSpPr>
      <xdr:spPr>
        <a:xfrm>
          <a:off x="11803380" y="2817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241</xdr:row>
      <xdr:rowOff>0</xdr:rowOff>
    </xdr:from>
    <xdr:to>
      <xdr:col>28</xdr:col>
      <xdr:colOff>83820</xdr:colOff>
      <xdr:row>241</xdr:row>
      <xdr:rowOff>114300</xdr:rowOff>
    </xdr:to>
    <xdr:sp macro="" textlink="">
      <xdr:nvSpPr>
        <xdr:cNvPr id="261" name="Arrow: Down 260">
          <a:extLst>
            <a:ext uri="{FF2B5EF4-FFF2-40B4-BE49-F238E27FC236}">
              <a16:creationId xmlns:a16="http://schemas.microsoft.com/office/drawing/2014/main" id="{4864C765-88FA-4911-8103-3A5ED9E871BA}"/>
            </a:ext>
          </a:extLst>
        </xdr:cNvPr>
        <xdr:cNvSpPr/>
      </xdr:nvSpPr>
      <xdr:spPr>
        <a:xfrm rot="10800000">
          <a:off x="11803380" y="2853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242</xdr:row>
      <xdr:rowOff>0</xdr:rowOff>
    </xdr:from>
    <xdr:to>
      <xdr:col>28</xdr:col>
      <xdr:colOff>83820</xdr:colOff>
      <xdr:row>242</xdr:row>
      <xdr:rowOff>114300</xdr:rowOff>
    </xdr:to>
    <xdr:sp macro="" textlink="">
      <xdr:nvSpPr>
        <xdr:cNvPr id="262" name="Arrow: Down 261">
          <a:extLst>
            <a:ext uri="{FF2B5EF4-FFF2-40B4-BE49-F238E27FC236}">
              <a16:creationId xmlns:a16="http://schemas.microsoft.com/office/drawing/2014/main" id="{01899BE2-F4E3-4116-8CC4-0F49E0643423}"/>
            </a:ext>
          </a:extLst>
        </xdr:cNvPr>
        <xdr:cNvSpPr/>
      </xdr:nvSpPr>
      <xdr:spPr>
        <a:xfrm rot="10800000">
          <a:off x="11803380" y="2853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243</xdr:row>
      <xdr:rowOff>0</xdr:rowOff>
    </xdr:from>
    <xdr:to>
      <xdr:col>28</xdr:col>
      <xdr:colOff>83820</xdr:colOff>
      <xdr:row>243</xdr:row>
      <xdr:rowOff>114300</xdr:rowOff>
    </xdr:to>
    <xdr:sp macro="" textlink="">
      <xdr:nvSpPr>
        <xdr:cNvPr id="264" name="Arrow: Down 263">
          <a:extLst>
            <a:ext uri="{FF2B5EF4-FFF2-40B4-BE49-F238E27FC236}">
              <a16:creationId xmlns:a16="http://schemas.microsoft.com/office/drawing/2014/main" id="{E0924497-C9CA-4059-8B4A-56C926D1DD9B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244</xdr:row>
      <xdr:rowOff>0</xdr:rowOff>
    </xdr:from>
    <xdr:to>
      <xdr:col>28</xdr:col>
      <xdr:colOff>83820</xdr:colOff>
      <xdr:row>244</xdr:row>
      <xdr:rowOff>114300</xdr:rowOff>
    </xdr:to>
    <xdr:sp macro="" textlink="">
      <xdr:nvSpPr>
        <xdr:cNvPr id="266" name="Arrow: Down 265">
          <a:extLst>
            <a:ext uri="{FF2B5EF4-FFF2-40B4-BE49-F238E27FC236}">
              <a16:creationId xmlns:a16="http://schemas.microsoft.com/office/drawing/2014/main" id="{70889793-A59B-4C34-9E2F-EB2B6C576053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245</xdr:row>
      <xdr:rowOff>0</xdr:rowOff>
    </xdr:from>
    <xdr:to>
      <xdr:col>28</xdr:col>
      <xdr:colOff>83820</xdr:colOff>
      <xdr:row>245</xdr:row>
      <xdr:rowOff>114300</xdr:rowOff>
    </xdr:to>
    <xdr:sp macro="" textlink="">
      <xdr:nvSpPr>
        <xdr:cNvPr id="259" name="Arrow: Down 258">
          <a:extLst>
            <a:ext uri="{FF2B5EF4-FFF2-40B4-BE49-F238E27FC236}">
              <a16:creationId xmlns:a16="http://schemas.microsoft.com/office/drawing/2014/main" id="{5CFB491E-8189-4DD9-A5A8-4FF778E09574}"/>
            </a:ext>
          </a:extLst>
        </xdr:cNvPr>
        <xdr:cNvSpPr/>
      </xdr:nvSpPr>
      <xdr:spPr>
        <a:xfrm>
          <a:off x="11803380" y="2908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246</xdr:row>
      <xdr:rowOff>0</xdr:rowOff>
    </xdr:from>
    <xdr:to>
      <xdr:col>28</xdr:col>
      <xdr:colOff>83820</xdr:colOff>
      <xdr:row>246</xdr:row>
      <xdr:rowOff>114300</xdr:rowOff>
    </xdr:to>
    <xdr:sp macro="" textlink="">
      <xdr:nvSpPr>
        <xdr:cNvPr id="260" name="Arrow: Down 259">
          <a:extLst>
            <a:ext uri="{FF2B5EF4-FFF2-40B4-BE49-F238E27FC236}">
              <a16:creationId xmlns:a16="http://schemas.microsoft.com/office/drawing/2014/main" id="{729362B5-F133-4398-BAC8-43F6F3643E91}"/>
            </a:ext>
          </a:extLst>
        </xdr:cNvPr>
        <xdr:cNvSpPr/>
      </xdr:nvSpPr>
      <xdr:spPr>
        <a:xfrm>
          <a:off x="11803380" y="2926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247</xdr:row>
      <xdr:rowOff>0</xdr:rowOff>
    </xdr:from>
    <xdr:to>
      <xdr:col>28</xdr:col>
      <xdr:colOff>83820</xdr:colOff>
      <xdr:row>247</xdr:row>
      <xdr:rowOff>114300</xdr:rowOff>
    </xdr:to>
    <xdr:sp macro="" textlink="">
      <xdr:nvSpPr>
        <xdr:cNvPr id="263" name="Arrow: Down 262">
          <a:extLst>
            <a:ext uri="{FF2B5EF4-FFF2-40B4-BE49-F238E27FC236}">
              <a16:creationId xmlns:a16="http://schemas.microsoft.com/office/drawing/2014/main" id="{EB2C38DE-FF0E-42E3-842E-F6CC83E21AE1}"/>
            </a:ext>
          </a:extLst>
        </xdr:cNvPr>
        <xdr:cNvSpPr/>
      </xdr:nvSpPr>
      <xdr:spPr>
        <a:xfrm>
          <a:off x="11803380" y="2945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248</xdr:row>
      <xdr:rowOff>0</xdr:rowOff>
    </xdr:from>
    <xdr:to>
      <xdr:col>28</xdr:col>
      <xdr:colOff>83820</xdr:colOff>
      <xdr:row>248</xdr:row>
      <xdr:rowOff>114300</xdr:rowOff>
    </xdr:to>
    <xdr:sp macro="" textlink="">
      <xdr:nvSpPr>
        <xdr:cNvPr id="268" name="Arrow: Down 267">
          <a:extLst>
            <a:ext uri="{FF2B5EF4-FFF2-40B4-BE49-F238E27FC236}">
              <a16:creationId xmlns:a16="http://schemas.microsoft.com/office/drawing/2014/main" id="{9B58AF60-5FC9-4A53-9553-E68C79C18444}"/>
            </a:ext>
          </a:extLst>
        </xdr:cNvPr>
        <xdr:cNvSpPr/>
      </xdr:nvSpPr>
      <xdr:spPr>
        <a:xfrm rot="10800000">
          <a:off x="11803380" y="2981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249</xdr:row>
      <xdr:rowOff>0</xdr:rowOff>
    </xdr:from>
    <xdr:to>
      <xdr:col>28</xdr:col>
      <xdr:colOff>83820</xdr:colOff>
      <xdr:row>249</xdr:row>
      <xdr:rowOff>114300</xdr:rowOff>
    </xdr:to>
    <xdr:sp macro="" textlink="">
      <xdr:nvSpPr>
        <xdr:cNvPr id="270" name="Arrow: Down 269">
          <a:extLst>
            <a:ext uri="{FF2B5EF4-FFF2-40B4-BE49-F238E27FC236}">
              <a16:creationId xmlns:a16="http://schemas.microsoft.com/office/drawing/2014/main" id="{7081DA59-6D0A-4EE0-9287-BB423761E2A6}"/>
            </a:ext>
          </a:extLst>
        </xdr:cNvPr>
        <xdr:cNvSpPr/>
      </xdr:nvSpPr>
      <xdr:spPr>
        <a:xfrm rot="10800000">
          <a:off x="11803380" y="2981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250</xdr:row>
      <xdr:rowOff>0</xdr:rowOff>
    </xdr:from>
    <xdr:to>
      <xdr:col>28</xdr:col>
      <xdr:colOff>83820</xdr:colOff>
      <xdr:row>250</xdr:row>
      <xdr:rowOff>114300</xdr:rowOff>
    </xdr:to>
    <xdr:sp macro="" textlink="">
      <xdr:nvSpPr>
        <xdr:cNvPr id="271" name="Arrow: Down 270">
          <a:extLst>
            <a:ext uri="{FF2B5EF4-FFF2-40B4-BE49-F238E27FC236}">
              <a16:creationId xmlns:a16="http://schemas.microsoft.com/office/drawing/2014/main" id="{9BCDDA7F-EC40-4F11-A2E1-7650625EC6A8}"/>
            </a:ext>
          </a:extLst>
        </xdr:cNvPr>
        <xdr:cNvSpPr/>
      </xdr:nvSpPr>
      <xdr:spPr>
        <a:xfrm rot="10800000">
          <a:off x="11803380" y="2999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251</xdr:row>
      <xdr:rowOff>0</xdr:rowOff>
    </xdr:from>
    <xdr:to>
      <xdr:col>28</xdr:col>
      <xdr:colOff>83820</xdr:colOff>
      <xdr:row>251</xdr:row>
      <xdr:rowOff>114300</xdr:rowOff>
    </xdr:to>
    <xdr:sp macro="" textlink="">
      <xdr:nvSpPr>
        <xdr:cNvPr id="273" name="Arrow: Down 272">
          <a:extLst>
            <a:ext uri="{FF2B5EF4-FFF2-40B4-BE49-F238E27FC236}">
              <a16:creationId xmlns:a16="http://schemas.microsoft.com/office/drawing/2014/main" id="{315D03F1-8DB4-4128-BEB8-20CEFB5E1BAD}"/>
            </a:ext>
          </a:extLst>
        </xdr:cNvPr>
        <xdr:cNvSpPr/>
      </xdr:nvSpPr>
      <xdr:spPr>
        <a:xfrm rot="10800000">
          <a:off x="11803380" y="3018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252</xdr:row>
      <xdr:rowOff>0</xdr:rowOff>
    </xdr:from>
    <xdr:to>
      <xdr:col>28</xdr:col>
      <xdr:colOff>83820</xdr:colOff>
      <xdr:row>252</xdr:row>
      <xdr:rowOff>114300</xdr:rowOff>
    </xdr:to>
    <xdr:sp macro="" textlink="">
      <xdr:nvSpPr>
        <xdr:cNvPr id="275" name="Arrow: Down 274">
          <a:extLst>
            <a:ext uri="{FF2B5EF4-FFF2-40B4-BE49-F238E27FC236}">
              <a16:creationId xmlns:a16="http://schemas.microsoft.com/office/drawing/2014/main" id="{F964DAED-3CB5-4B0F-A9AA-AECEAE4D31B9}"/>
            </a:ext>
          </a:extLst>
        </xdr:cNvPr>
        <xdr:cNvSpPr/>
      </xdr:nvSpPr>
      <xdr:spPr>
        <a:xfrm rot="10800000">
          <a:off x="11803380" y="3036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253</xdr:row>
      <xdr:rowOff>0</xdr:rowOff>
    </xdr:from>
    <xdr:to>
      <xdr:col>28</xdr:col>
      <xdr:colOff>83820</xdr:colOff>
      <xdr:row>253</xdr:row>
      <xdr:rowOff>114300</xdr:rowOff>
    </xdr:to>
    <xdr:sp macro="" textlink="">
      <xdr:nvSpPr>
        <xdr:cNvPr id="265" name="Arrow: Down 264">
          <a:extLst>
            <a:ext uri="{FF2B5EF4-FFF2-40B4-BE49-F238E27FC236}">
              <a16:creationId xmlns:a16="http://schemas.microsoft.com/office/drawing/2014/main" id="{A12F629F-D4E6-471C-A3CC-6176EAA80F74}"/>
            </a:ext>
          </a:extLst>
        </xdr:cNvPr>
        <xdr:cNvSpPr/>
      </xdr:nvSpPr>
      <xdr:spPr>
        <a:xfrm rot="10800000">
          <a:off x="11803380" y="3054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254</xdr:row>
      <xdr:rowOff>0</xdr:rowOff>
    </xdr:from>
    <xdr:to>
      <xdr:col>28</xdr:col>
      <xdr:colOff>83820</xdr:colOff>
      <xdr:row>254</xdr:row>
      <xdr:rowOff>114300</xdr:rowOff>
    </xdr:to>
    <xdr:sp macro="" textlink="">
      <xdr:nvSpPr>
        <xdr:cNvPr id="277" name="Arrow: Down 276">
          <a:extLst>
            <a:ext uri="{FF2B5EF4-FFF2-40B4-BE49-F238E27FC236}">
              <a16:creationId xmlns:a16="http://schemas.microsoft.com/office/drawing/2014/main" id="{11F471EA-D80C-4DE8-98E2-ED1ABCC11BBC}"/>
            </a:ext>
          </a:extLst>
        </xdr:cNvPr>
        <xdr:cNvSpPr/>
      </xdr:nvSpPr>
      <xdr:spPr>
        <a:xfrm>
          <a:off x="11803380" y="3091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255</xdr:row>
      <xdr:rowOff>0</xdr:rowOff>
    </xdr:from>
    <xdr:to>
      <xdr:col>28</xdr:col>
      <xdr:colOff>83820</xdr:colOff>
      <xdr:row>255</xdr:row>
      <xdr:rowOff>114300</xdr:rowOff>
    </xdr:to>
    <xdr:sp macro="" textlink="">
      <xdr:nvSpPr>
        <xdr:cNvPr id="280" name="Arrow: Down 279">
          <a:extLst>
            <a:ext uri="{FF2B5EF4-FFF2-40B4-BE49-F238E27FC236}">
              <a16:creationId xmlns:a16="http://schemas.microsoft.com/office/drawing/2014/main" id="{78696EBB-272D-469D-948D-8BD40CC9B473}"/>
            </a:ext>
          </a:extLst>
        </xdr:cNvPr>
        <xdr:cNvSpPr/>
      </xdr:nvSpPr>
      <xdr:spPr>
        <a:xfrm rot="10800000">
          <a:off x="11803380" y="3109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256</xdr:row>
      <xdr:rowOff>0</xdr:rowOff>
    </xdr:from>
    <xdr:to>
      <xdr:col>28</xdr:col>
      <xdr:colOff>83820</xdr:colOff>
      <xdr:row>256</xdr:row>
      <xdr:rowOff>114300</xdr:rowOff>
    </xdr:to>
    <xdr:sp macro="" textlink="">
      <xdr:nvSpPr>
        <xdr:cNvPr id="281" name="Arrow: Down 280">
          <a:extLst>
            <a:ext uri="{FF2B5EF4-FFF2-40B4-BE49-F238E27FC236}">
              <a16:creationId xmlns:a16="http://schemas.microsoft.com/office/drawing/2014/main" id="{B4F85D35-84AE-4811-BA96-C48AB96E1042}"/>
            </a:ext>
          </a:extLst>
        </xdr:cNvPr>
        <xdr:cNvSpPr/>
      </xdr:nvSpPr>
      <xdr:spPr>
        <a:xfrm rot="10800000">
          <a:off x="11803380" y="3109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257</xdr:row>
      <xdr:rowOff>0</xdr:rowOff>
    </xdr:from>
    <xdr:to>
      <xdr:col>28</xdr:col>
      <xdr:colOff>83820</xdr:colOff>
      <xdr:row>257</xdr:row>
      <xdr:rowOff>114300</xdr:rowOff>
    </xdr:to>
    <xdr:sp macro="" textlink="">
      <xdr:nvSpPr>
        <xdr:cNvPr id="283" name="Arrow: Down 282">
          <a:extLst>
            <a:ext uri="{FF2B5EF4-FFF2-40B4-BE49-F238E27FC236}">
              <a16:creationId xmlns:a16="http://schemas.microsoft.com/office/drawing/2014/main" id="{0243D1E6-C862-4699-A795-711990FB2415}"/>
            </a:ext>
          </a:extLst>
        </xdr:cNvPr>
        <xdr:cNvSpPr/>
      </xdr:nvSpPr>
      <xdr:spPr>
        <a:xfrm rot="10800000">
          <a:off x="11803380" y="3128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260</xdr:row>
      <xdr:rowOff>0</xdr:rowOff>
    </xdr:from>
    <xdr:to>
      <xdr:col>28</xdr:col>
      <xdr:colOff>83820</xdr:colOff>
      <xdr:row>260</xdr:row>
      <xdr:rowOff>114300</xdr:rowOff>
    </xdr:to>
    <xdr:sp macro="" textlink="">
      <xdr:nvSpPr>
        <xdr:cNvPr id="272" name="Arrow: Down 271">
          <a:extLst>
            <a:ext uri="{FF2B5EF4-FFF2-40B4-BE49-F238E27FC236}">
              <a16:creationId xmlns:a16="http://schemas.microsoft.com/office/drawing/2014/main" id="{95B4BC98-C645-40E0-8019-F2370F53354C}"/>
            </a:ext>
          </a:extLst>
        </xdr:cNvPr>
        <xdr:cNvSpPr/>
      </xdr:nvSpPr>
      <xdr:spPr>
        <a:xfrm>
          <a:off x="11803380" y="3182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259</xdr:row>
      <xdr:rowOff>0</xdr:rowOff>
    </xdr:from>
    <xdr:to>
      <xdr:col>28</xdr:col>
      <xdr:colOff>83820</xdr:colOff>
      <xdr:row>259</xdr:row>
      <xdr:rowOff>114300</xdr:rowOff>
    </xdr:to>
    <xdr:sp macro="" textlink="">
      <xdr:nvSpPr>
        <xdr:cNvPr id="276" name="Arrow: Down 275">
          <a:extLst>
            <a:ext uri="{FF2B5EF4-FFF2-40B4-BE49-F238E27FC236}">
              <a16:creationId xmlns:a16="http://schemas.microsoft.com/office/drawing/2014/main" id="{112EB732-3142-4D43-B5B3-08EE282A2A22}"/>
            </a:ext>
          </a:extLst>
        </xdr:cNvPr>
        <xdr:cNvSpPr/>
      </xdr:nvSpPr>
      <xdr:spPr>
        <a:xfrm rot="10800000">
          <a:off x="11803380" y="3182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258</xdr:row>
      <xdr:rowOff>0</xdr:rowOff>
    </xdr:from>
    <xdr:to>
      <xdr:col>28</xdr:col>
      <xdr:colOff>83820</xdr:colOff>
      <xdr:row>258</xdr:row>
      <xdr:rowOff>114300</xdr:rowOff>
    </xdr:to>
    <xdr:sp macro="" textlink="">
      <xdr:nvSpPr>
        <xdr:cNvPr id="279" name="Arrow: Down 278">
          <a:extLst>
            <a:ext uri="{FF2B5EF4-FFF2-40B4-BE49-F238E27FC236}">
              <a16:creationId xmlns:a16="http://schemas.microsoft.com/office/drawing/2014/main" id="{0A2B330A-4559-48C6-A905-52554768C3F4}"/>
            </a:ext>
          </a:extLst>
        </xdr:cNvPr>
        <xdr:cNvSpPr/>
      </xdr:nvSpPr>
      <xdr:spPr>
        <a:xfrm rot="10800000">
          <a:off x="11803380" y="3164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261</xdr:row>
      <xdr:rowOff>0</xdr:rowOff>
    </xdr:from>
    <xdr:to>
      <xdr:col>28</xdr:col>
      <xdr:colOff>83820</xdr:colOff>
      <xdr:row>261</xdr:row>
      <xdr:rowOff>114300</xdr:rowOff>
    </xdr:to>
    <xdr:sp macro="" textlink="">
      <xdr:nvSpPr>
        <xdr:cNvPr id="287" name="Arrow: Down 286">
          <a:extLst>
            <a:ext uri="{FF2B5EF4-FFF2-40B4-BE49-F238E27FC236}">
              <a16:creationId xmlns:a16="http://schemas.microsoft.com/office/drawing/2014/main" id="{C6FBB474-F3D4-467A-A5CB-691522B0D76F}"/>
            </a:ext>
          </a:extLst>
        </xdr:cNvPr>
        <xdr:cNvSpPr/>
      </xdr:nvSpPr>
      <xdr:spPr>
        <a:xfrm rot="10800000">
          <a:off x="11803380" y="3219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262</xdr:row>
      <xdr:rowOff>0</xdr:rowOff>
    </xdr:from>
    <xdr:to>
      <xdr:col>28</xdr:col>
      <xdr:colOff>83820</xdr:colOff>
      <xdr:row>262</xdr:row>
      <xdr:rowOff>114300</xdr:rowOff>
    </xdr:to>
    <xdr:sp macro="" textlink="">
      <xdr:nvSpPr>
        <xdr:cNvPr id="290" name="Arrow: Down 289">
          <a:extLst>
            <a:ext uri="{FF2B5EF4-FFF2-40B4-BE49-F238E27FC236}">
              <a16:creationId xmlns:a16="http://schemas.microsoft.com/office/drawing/2014/main" id="{4BCFAB50-2631-4FB5-95EF-F001B5DBA338}"/>
            </a:ext>
          </a:extLst>
        </xdr:cNvPr>
        <xdr:cNvSpPr/>
      </xdr:nvSpPr>
      <xdr:spPr>
        <a:xfrm>
          <a:off x="11803380" y="3237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263</xdr:row>
      <xdr:rowOff>0</xdr:rowOff>
    </xdr:from>
    <xdr:to>
      <xdr:col>28</xdr:col>
      <xdr:colOff>83820</xdr:colOff>
      <xdr:row>263</xdr:row>
      <xdr:rowOff>114300</xdr:rowOff>
    </xdr:to>
    <xdr:sp macro="" textlink="">
      <xdr:nvSpPr>
        <xdr:cNvPr id="292" name="Arrow: Down 291">
          <a:extLst>
            <a:ext uri="{FF2B5EF4-FFF2-40B4-BE49-F238E27FC236}">
              <a16:creationId xmlns:a16="http://schemas.microsoft.com/office/drawing/2014/main" id="{DD180582-9044-437F-9183-0A605BB23C68}"/>
            </a:ext>
          </a:extLst>
        </xdr:cNvPr>
        <xdr:cNvSpPr/>
      </xdr:nvSpPr>
      <xdr:spPr>
        <a:xfrm rot="10800000">
          <a:off x="11803380" y="3256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264</xdr:row>
      <xdr:rowOff>0</xdr:rowOff>
    </xdr:from>
    <xdr:to>
      <xdr:col>28</xdr:col>
      <xdr:colOff>83820</xdr:colOff>
      <xdr:row>264</xdr:row>
      <xdr:rowOff>114300</xdr:rowOff>
    </xdr:to>
    <xdr:sp macro="" textlink="">
      <xdr:nvSpPr>
        <xdr:cNvPr id="293" name="Arrow: Down 292">
          <a:extLst>
            <a:ext uri="{FF2B5EF4-FFF2-40B4-BE49-F238E27FC236}">
              <a16:creationId xmlns:a16="http://schemas.microsoft.com/office/drawing/2014/main" id="{AD9C7DF4-17BB-46F6-80DC-9759378ECAA0}"/>
            </a:ext>
          </a:extLst>
        </xdr:cNvPr>
        <xdr:cNvSpPr/>
      </xdr:nvSpPr>
      <xdr:spPr>
        <a:xfrm rot="10800000">
          <a:off x="11803380" y="3256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265</xdr:row>
      <xdr:rowOff>0</xdr:rowOff>
    </xdr:from>
    <xdr:to>
      <xdr:col>28</xdr:col>
      <xdr:colOff>83820</xdr:colOff>
      <xdr:row>265</xdr:row>
      <xdr:rowOff>114300</xdr:rowOff>
    </xdr:to>
    <xdr:sp macro="" textlink="">
      <xdr:nvSpPr>
        <xdr:cNvPr id="295" name="Arrow: Down 294">
          <a:extLst>
            <a:ext uri="{FF2B5EF4-FFF2-40B4-BE49-F238E27FC236}">
              <a16:creationId xmlns:a16="http://schemas.microsoft.com/office/drawing/2014/main" id="{B94525FE-ABCB-489F-A220-BF015BB1FCF3}"/>
            </a:ext>
          </a:extLst>
        </xdr:cNvPr>
        <xdr:cNvSpPr/>
      </xdr:nvSpPr>
      <xdr:spPr>
        <a:xfrm rot="10800000">
          <a:off x="11803380" y="3274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266</xdr:row>
      <xdr:rowOff>0</xdr:rowOff>
    </xdr:from>
    <xdr:to>
      <xdr:col>28</xdr:col>
      <xdr:colOff>83820</xdr:colOff>
      <xdr:row>266</xdr:row>
      <xdr:rowOff>114300</xdr:rowOff>
    </xdr:to>
    <xdr:sp macro="" textlink="">
      <xdr:nvSpPr>
        <xdr:cNvPr id="274" name="Arrow: Down 273">
          <a:extLst>
            <a:ext uri="{FF2B5EF4-FFF2-40B4-BE49-F238E27FC236}">
              <a16:creationId xmlns:a16="http://schemas.microsoft.com/office/drawing/2014/main" id="{1D5D4D25-617D-4302-9382-31236E9B4F2E}"/>
            </a:ext>
          </a:extLst>
        </xdr:cNvPr>
        <xdr:cNvSpPr/>
      </xdr:nvSpPr>
      <xdr:spPr>
        <a:xfrm>
          <a:off x="11803380" y="3310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267</xdr:row>
      <xdr:rowOff>0</xdr:rowOff>
    </xdr:from>
    <xdr:to>
      <xdr:col>28</xdr:col>
      <xdr:colOff>83820</xdr:colOff>
      <xdr:row>267</xdr:row>
      <xdr:rowOff>114300</xdr:rowOff>
    </xdr:to>
    <xdr:sp macro="" textlink="">
      <xdr:nvSpPr>
        <xdr:cNvPr id="269" name="Arrow: Down 268">
          <a:extLst>
            <a:ext uri="{FF2B5EF4-FFF2-40B4-BE49-F238E27FC236}">
              <a16:creationId xmlns:a16="http://schemas.microsoft.com/office/drawing/2014/main" id="{FF955DE3-743D-48C0-8845-1915ADC42EDF}"/>
            </a:ext>
          </a:extLst>
        </xdr:cNvPr>
        <xdr:cNvSpPr/>
      </xdr:nvSpPr>
      <xdr:spPr>
        <a:xfrm>
          <a:off x="11803380" y="3310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268</xdr:row>
      <xdr:rowOff>0</xdr:rowOff>
    </xdr:from>
    <xdr:to>
      <xdr:col>28</xdr:col>
      <xdr:colOff>83820</xdr:colOff>
      <xdr:row>268</xdr:row>
      <xdr:rowOff>114300</xdr:rowOff>
    </xdr:to>
    <xdr:sp macro="" textlink="">
      <xdr:nvSpPr>
        <xdr:cNvPr id="282" name="Arrow: Down 281">
          <a:extLst>
            <a:ext uri="{FF2B5EF4-FFF2-40B4-BE49-F238E27FC236}">
              <a16:creationId xmlns:a16="http://schemas.microsoft.com/office/drawing/2014/main" id="{B18FAD85-EF80-468C-B684-13DEAD90D029}"/>
            </a:ext>
          </a:extLst>
        </xdr:cNvPr>
        <xdr:cNvSpPr/>
      </xdr:nvSpPr>
      <xdr:spPr>
        <a:xfrm>
          <a:off x="11803380" y="3329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269</xdr:row>
      <xdr:rowOff>0</xdr:rowOff>
    </xdr:from>
    <xdr:to>
      <xdr:col>28</xdr:col>
      <xdr:colOff>83820</xdr:colOff>
      <xdr:row>269</xdr:row>
      <xdr:rowOff>114300</xdr:rowOff>
    </xdr:to>
    <xdr:sp macro="" textlink="">
      <xdr:nvSpPr>
        <xdr:cNvPr id="284" name="Arrow: Down 283">
          <a:extLst>
            <a:ext uri="{FF2B5EF4-FFF2-40B4-BE49-F238E27FC236}">
              <a16:creationId xmlns:a16="http://schemas.microsoft.com/office/drawing/2014/main" id="{23234644-4149-4791-A537-E5D75EEC9239}"/>
            </a:ext>
          </a:extLst>
        </xdr:cNvPr>
        <xdr:cNvSpPr/>
      </xdr:nvSpPr>
      <xdr:spPr>
        <a:xfrm>
          <a:off x="11803380" y="3347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270</xdr:row>
      <xdr:rowOff>0</xdr:rowOff>
    </xdr:from>
    <xdr:to>
      <xdr:col>28</xdr:col>
      <xdr:colOff>83820</xdr:colOff>
      <xdr:row>270</xdr:row>
      <xdr:rowOff>114300</xdr:rowOff>
    </xdr:to>
    <xdr:sp macro="" textlink="">
      <xdr:nvSpPr>
        <xdr:cNvPr id="285" name="Arrow: Down 284">
          <a:extLst>
            <a:ext uri="{FF2B5EF4-FFF2-40B4-BE49-F238E27FC236}">
              <a16:creationId xmlns:a16="http://schemas.microsoft.com/office/drawing/2014/main" id="{57212E0C-09EF-41C0-ADAE-65F520687C42}"/>
            </a:ext>
          </a:extLst>
        </xdr:cNvPr>
        <xdr:cNvSpPr/>
      </xdr:nvSpPr>
      <xdr:spPr>
        <a:xfrm>
          <a:off x="11803380" y="3365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271</xdr:row>
      <xdr:rowOff>0</xdr:rowOff>
    </xdr:from>
    <xdr:to>
      <xdr:col>28</xdr:col>
      <xdr:colOff>83820</xdr:colOff>
      <xdr:row>271</xdr:row>
      <xdr:rowOff>114300</xdr:rowOff>
    </xdr:to>
    <xdr:sp macro="" textlink="">
      <xdr:nvSpPr>
        <xdr:cNvPr id="288" name="Arrow: Down 287">
          <a:extLst>
            <a:ext uri="{FF2B5EF4-FFF2-40B4-BE49-F238E27FC236}">
              <a16:creationId xmlns:a16="http://schemas.microsoft.com/office/drawing/2014/main" id="{628A5984-01CF-4F51-B357-04B365CAFFEB}"/>
            </a:ext>
          </a:extLst>
        </xdr:cNvPr>
        <xdr:cNvSpPr/>
      </xdr:nvSpPr>
      <xdr:spPr>
        <a:xfrm>
          <a:off x="11803380" y="3384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272</xdr:row>
      <xdr:rowOff>0</xdr:rowOff>
    </xdr:from>
    <xdr:to>
      <xdr:col>28</xdr:col>
      <xdr:colOff>83820</xdr:colOff>
      <xdr:row>272</xdr:row>
      <xdr:rowOff>114300</xdr:rowOff>
    </xdr:to>
    <xdr:sp macro="" textlink="">
      <xdr:nvSpPr>
        <xdr:cNvPr id="289" name="Arrow: Down 288">
          <a:extLst>
            <a:ext uri="{FF2B5EF4-FFF2-40B4-BE49-F238E27FC236}">
              <a16:creationId xmlns:a16="http://schemas.microsoft.com/office/drawing/2014/main" id="{4E184913-38C0-417D-B5B0-4B2E0C803096}"/>
            </a:ext>
          </a:extLst>
        </xdr:cNvPr>
        <xdr:cNvSpPr/>
      </xdr:nvSpPr>
      <xdr:spPr>
        <a:xfrm>
          <a:off x="11803380" y="3402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273</xdr:row>
      <xdr:rowOff>0</xdr:rowOff>
    </xdr:from>
    <xdr:to>
      <xdr:col>28</xdr:col>
      <xdr:colOff>83820</xdr:colOff>
      <xdr:row>273</xdr:row>
      <xdr:rowOff>114300</xdr:rowOff>
    </xdr:to>
    <xdr:sp macro="" textlink="">
      <xdr:nvSpPr>
        <xdr:cNvPr id="294" name="Arrow: Down 293">
          <a:extLst>
            <a:ext uri="{FF2B5EF4-FFF2-40B4-BE49-F238E27FC236}">
              <a16:creationId xmlns:a16="http://schemas.microsoft.com/office/drawing/2014/main" id="{8F9B5338-E979-4556-9F3D-D2BA55FB7F6C}"/>
            </a:ext>
          </a:extLst>
        </xdr:cNvPr>
        <xdr:cNvSpPr/>
      </xdr:nvSpPr>
      <xdr:spPr>
        <a:xfrm>
          <a:off x="11803380" y="3420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274</xdr:row>
      <xdr:rowOff>0</xdr:rowOff>
    </xdr:from>
    <xdr:to>
      <xdr:col>28</xdr:col>
      <xdr:colOff>83820</xdr:colOff>
      <xdr:row>274</xdr:row>
      <xdr:rowOff>114300</xdr:rowOff>
    </xdr:to>
    <xdr:sp macro="" textlink="">
      <xdr:nvSpPr>
        <xdr:cNvPr id="297" name="Arrow: Down 296">
          <a:extLst>
            <a:ext uri="{FF2B5EF4-FFF2-40B4-BE49-F238E27FC236}">
              <a16:creationId xmlns:a16="http://schemas.microsoft.com/office/drawing/2014/main" id="{E4B83118-C857-4101-B91D-991127E56375}"/>
            </a:ext>
          </a:extLst>
        </xdr:cNvPr>
        <xdr:cNvSpPr/>
      </xdr:nvSpPr>
      <xdr:spPr>
        <a:xfrm>
          <a:off x="11803380" y="3438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275</xdr:row>
      <xdr:rowOff>0</xdr:rowOff>
    </xdr:from>
    <xdr:to>
      <xdr:col>28</xdr:col>
      <xdr:colOff>83820</xdr:colOff>
      <xdr:row>275</xdr:row>
      <xdr:rowOff>114300</xdr:rowOff>
    </xdr:to>
    <xdr:sp macro="" textlink="">
      <xdr:nvSpPr>
        <xdr:cNvPr id="278" name="Arrow: Down 277">
          <a:extLst>
            <a:ext uri="{FF2B5EF4-FFF2-40B4-BE49-F238E27FC236}">
              <a16:creationId xmlns:a16="http://schemas.microsoft.com/office/drawing/2014/main" id="{61F8B168-7EC2-4B00-A9E9-321240843B86}"/>
            </a:ext>
          </a:extLst>
        </xdr:cNvPr>
        <xdr:cNvSpPr/>
      </xdr:nvSpPr>
      <xdr:spPr>
        <a:xfrm>
          <a:off x="11803380" y="3457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276</xdr:row>
      <xdr:rowOff>0</xdr:rowOff>
    </xdr:from>
    <xdr:to>
      <xdr:col>28</xdr:col>
      <xdr:colOff>83820</xdr:colOff>
      <xdr:row>276</xdr:row>
      <xdr:rowOff>114300</xdr:rowOff>
    </xdr:to>
    <xdr:sp macro="" textlink="">
      <xdr:nvSpPr>
        <xdr:cNvPr id="286" name="Arrow: Down 285">
          <a:extLst>
            <a:ext uri="{FF2B5EF4-FFF2-40B4-BE49-F238E27FC236}">
              <a16:creationId xmlns:a16="http://schemas.microsoft.com/office/drawing/2014/main" id="{23EABD89-8EF4-41B8-AE24-385A599E7D8D}"/>
            </a:ext>
          </a:extLst>
        </xdr:cNvPr>
        <xdr:cNvSpPr/>
      </xdr:nvSpPr>
      <xdr:spPr>
        <a:xfrm>
          <a:off x="11803380" y="3475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277</xdr:row>
      <xdr:rowOff>0</xdr:rowOff>
    </xdr:from>
    <xdr:to>
      <xdr:col>28</xdr:col>
      <xdr:colOff>83820</xdr:colOff>
      <xdr:row>277</xdr:row>
      <xdr:rowOff>114300</xdr:rowOff>
    </xdr:to>
    <xdr:sp macro="" textlink="">
      <xdr:nvSpPr>
        <xdr:cNvPr id="298" name="Arrow: Down 297">
          <a:extLst>
            <a:ext uri="{FF2B5EF4-FFF2-40B4-BE49-F238E27FC236}">
              <a16:creationId xmlns:a16="http://schemas.microsoft.com/office/drawing/2014/main" id="{DD77A2DA-7F3A-410D-B056-27413942772F}"/>
            </a:ext>
          </a:extLst>
        </xdr:cNvPr>
        <xdr:cNvSpPr/>
      </xdr:nvSpPr>
      <xdr:spPr>
        <a:xfrm rot="10800000">
          <a:off x="11803380" y="3512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278</xdr:row>
      <xdr:rowOff>0</xdr:rowOff>
    </xdr:from>
    <xdr:to>
      <xdr:col>28</xdr:col>
      <xdr:colOff>83820</xdr:colOff>
      <xdr:row>278</xdr:row>
      <xdr:rowOff>114300</xdr:rowOff>
    </xdr:to>
    <xdr:sp macro="" textlink="">
      <xdr:nvSpPr>
        <xdr:cNvPr id="299" name="Arrow: Down 298">
          <a:extLst>
            <a:ext uri="{FF2B5EF4-FFF2-40B4-BE49-F238E27FC236}">
              <a16:creationId xmlns:a16="http://schemas.microsoft.com/office/drawing/2014/main" id="{92D68616-CD18-4134-8D37-DE6B6F48BDAA}"/>
            </a:ext>
          </a:extLst>
        </xdr:cNvPr>
        <xdr:cNvSpPr/>
      </xdr:nvSpPr>
      <xdr:spPr>
        <a:xfrm rot="10800000">
          <a:off x="11803380" y="3512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279</xdr:row>
      <xdr:rowOff>0</xdr:rowOff>
    </xdr:from>
    <xdr:to>
      <xdr:col>28</xdr:col>
      <xdr:colOff>83820</xdr:colOff>
      <xdr:row>279</xdr:row>
      <xdr:rowOff>114300</xdr:rowOff>
    </xdr:to>
    <xdr:sp macro="" textlink="">
      <xdr:nvSpPr>
        <xdr:cNvPr id="301" name="Arrow: Down 300">
          <a:extLst>
            <a:ext uri="{FF2B5EF4-FFF2-40B4-BE49-F238E27FC236}">
              <a16:creationId xmlns:a16="http://schemas.microsoft.com/office/drawing/2014/main" id="{48B7FD10-34BC-4791-83A9-6ECDA4D7CAF4}"/>
            </a:ext>
          </a:extLst>
        </xdr:cNvPr>
        <xdr:cNvSpPr/>
      </xdr:nvSpPr>
      <xdr:spPr>
        <a:xfrm>
          <a:off x="11803380" y="3548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280</xdr:row>
      <xdr:rowOff>0</xdr:rowOff>
    </xdr:from>
    <xdr:to>
      <xdr:col>28</xdr:col>
      <xdr:colOff>83820</xdr:colOff>
      <xdr:row>280</xdr:row>
      <xdr:rowOff>114300</xdr:rowOff>
    </xdr:to>
    <xdr:sp macro="" textlink="">
      <xdr:nvSpPr>
        <xdr:cNvPr id="303" name="Arrow: Down 302">
          <a:extLst>
            <a:ext uri="{FF2B5EF4-FFF2-40B4-BE49-F238E27FC236}">
              <a16:creationId xmlns:a16="http://schemas.microsoft.com/office/drawing/2014/main" id="{E9FCBA55-9408-4368-BA6A-7F8A4847ED49}"/>
            </a:ext>
          </a:extLst>
        </xdr:cNvPr>
        <xdr:cNvSpPr/>
      </xdr:nvSpPr>
      <xdr:spPr>
        <a:xfrm>
          <a:off x="11803380" y="3548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281</xdr:row>
      <xdr:rowOff>0</xdr:rowOff>
    </xdr:from>
    <xdr:to>
      <xdr:col>28</xdr:col>
      <xdr:colOff>83820</xdr:colOff>
      <xdr:row>281</xdr:row>
      <xdr:rowOff>114300</xdr:rowOff>
    </xdr:to>
    <xdr:sp macro="" textlink="">
      <xdr:nvSpPr>
        <xdr:cNvPr id="304" name="Arrow: Down 303">
          <a:extLst>
            <a:ext uri="{FF2B5EF4-FFF2-40B4-BE49-F238E27FC236}">
              <a16:creationId xmlns:a16="http://schemas.microsoft.com/office/drawing/2014/main" id="{B87CA7F6-159E-4F2B-988A-E8A53B1B9473}"/>
            </a:ext>
          </a:extLst>
        </xdr:cNvPr>
        <xdr:cNvSpPr/>
      </xdr:nvSpPr>
      <xdr:spPr>
        <a:xfrm>
          <a:off x="11803380" y="3566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282</xdr:row>
      <xdr:rowOff>0</xdr:rowOff>
    </xdr:from>
    <xdr:to>
      <xdr:col>28</xdr:col>
      <xdr:colOff>83820</xdr:colOff>
      <xdr:row>282</xdr:row>
      <xdr:rowOff>114300</xdr:rowOff>
    </xdr:to>
    <xdr:sp macro="" textlink="">
      <xdr:nvSpPr>
        <xdr:cNvPr id="296" name="Arrow: Down 295">
          <a:extLst>
            <a:ext uri="{FF2B5EF4-FFF2-40B4-BE49-F238E27FC236}">
              <a16:creationId xmlns:a16="http://schemas.microsoft.com/office/drawing/2014/main" id="{3D33EA8D-2496-4A34-8649-3D6234A78D48}"/>
            </a:ext>
          </a:extLst>
        </xdr:cNvPr>
        <xdr:cNvSpPr/>
      </xdr:nvSpPr>
      <xdr:spPr>
        <a:xfrm>
          <a:off x="11803380" y="3585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283</xdr:row>
      <xdr:rowOff>0</xdr:rowOff>
    </xdr:from>
    <xdr:to>
      <xdr:col>28</xdr:col>
      <xdr:colOff>83820</xdr:colOff>
      <xdr:row>283</xdr:row>
      <xdr:rowOff>114300</xdr:rowOff>
    </xdr:to>
    <xdr:sp macro="" textlink="">
      <xdr:nvSpPr>
        <xdr:cNvPr id="302" name="Arrow: Down 301">
          <a:extLst>
            <a:ext uri="{FF2B5EF4-FFF2-40B4-BE49-F238E27FC236}">
              <a16:creationId xmlns:a16="http://schemas.microsoft.com/office/drawing/2014/main" id="{522F6C2C-FB13-4B85-A841-2452AD6F2C59}"/>
            </a:ext>
          </a:extLst>
        </xdr:cNvPr>
        <xdr:cNvSpPr/>
      </xdr:nvSpPr>
      <xdr:spPr>
        <a:xfrm>
          <a:off x="11803380" y="3603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284</xdr:row>
      <xdr:rowOff>0</xdr:rowOff>
    </xdr:from>
    <xdr:to>
      <xdr:col>28</xdr:col>
      <xdr:colOff>83820</xdr:colOff>
      <xdr:row>284</xdr:row>
      <xdr:rowOff>114300</xdr:rowOff>
    </xdr:to>
    <xdr:sp macro="" textlink="">
      <xdr:nvSpPr>
        <xdr:cNvPr id="305" name="Arrow: Down 304">
          <a:extLst>
            <a:ext uri="{FF2B5EF4-FFF2-40B4-BE49-F238E27FC236}">
              <a16:creationId xmlns:a16="http://schemas.microsoft.com/office/drawing/2014/main" id="{44C46F8A-ECA1-40B5-AAC1-C078790BD328}"/>
            </a:ext>
          </a:extLst>
        </xdr:cNvPr>
        <xdr:cNvSpPr/>
      </xdr:nvSpPr>
      <xdr:spPr>
        <a:xfrm>
          <a:off x="11803380" y="3621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285</xdr:row>
      <xdr:rowOff>0</xdr:rowOff>
    </xdr:from>
    <xdr:to>
      <xdr:col>28</xdr:col>
      <xdr:colOff>83820</xdr:colOff>
      <xdr:row>285</xdr:row>
      <xdr:rowOff>114300</xdr:rowOff>
    </xdr:to>
    <xdr:sp macro="" textlink="">
      <xdr:nvSpPr>
        <xdr:cNvPr id="307" name="Arrow: Down 306">
          <a:extLst>
            <a:ext uri="{FF2B5EF4-FFF2-40B4-BE49-F238E27FC236}">
              <a16:creationId xmlns:a16="http://schemas.microsoft.com/office/drawing/2014/main" id="{8C11E549-91F5-446E-AF53-CC1EFDAC87E4}"/>
            </a:ext>
          </a:extLst>
        </xdr:cNvPr>
        <xdr:cNvSpPr/>
      </xdr:nvSpPr>
      <xdr:spPr>
        <a:xfrm>
          <a:off x="11803380" y="3640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286</xdr:row>
      <xdr:rowOff>0</xdr:rowOff>
    </xdr:from>
    <xdr:to>
      <xdr:col>28</xdr:col>
      <xdr:colOff>83820</xdr:colOff>
      <xdr:row>286</xdr:row>
      <xdr:rowOff>114300</xdr:rowOff>
    </xdr:to>
    <xdr:sp macro="" textlink="">
      <xdr:nvSpPr>
        <xdr:cNvPr id="309" name="Arrow: Down 308">
          <a:extLst>
            <a:ext uri="{FF2B5EF4-FFF2-40B4-BE49-F238E27FC236}">
              <a16:creationId xmlns:a16="http://schemas.microsoft.com/office/drawing/2014/main" id="{DB6D3523-0EF2-4FEA-B847-B5B8B7BC2C99}"/>
            </a:ext>
          </a:extLst>
        </xdr:cNvPr>
        <xdr:cNvSpPr/>
      </xdr:nvSpPr>
      <xdr:spPr>
        <a:xfrm>
          <a:off x="11803380" y="3658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287</xdr:row>
      <xdr:rowOff>0</xdr:rowOff>
    </xdr:from>
    <xdr:to>
      <xdr:col>28</xdr:col>
      <xdr:colOff>83820</xdr:colOff>
      <xdr:row>287</xdr:row>
      <xdr:rowOff>114300</xdr:rowOff>
    </xdr:to>
    <xdr:sp macro="" textlink="">
      <xdr:nvSpPr>
        <xdr:cNvPr id="311" name="Arrow: Down 310">
          <a:extLst>
            <a:ext uri="{FF2B5EF4-FFF2-40B4-BE49-F238E27FC236}">
              <a16:creationId xmlns:a16="http://schemas.microsoft.com/office/drawing/2014/main" id="{43FC31E8-C798-46F2-829A-58EA6E378481}"/>
            </a:ext>
          </a:extLst>
        </xdr:cNvPr>
        <xdr:cNvSpPr/>
      </xdr:nvSpPr>
      <xdr:spPr>
        <a:xfrm>
          <a:off x="11803380" y="3676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288</xdr:row>
      <xdr:rowOff>0</xdr:rowOff>
    </xdr:from>
    <xdr:to>
      <xdr:col>28</xdr:col>
      <xdr:colOff>83820</xdr:colOff>
      <xdr:row>288</xdr:row>
      <xdr:rowOff>114300</xdr:rowOff>
    </xdr:to>
    <xdr:sp macro="" textlink="">
      <xdr:nvSpPr>
        <xdr:cNvPr id="312" name="Arrow: Down 311">
          <a:extLst>
            <a:ext uri="{FF2B5EF4-FFF2-40B4-BE49-F238E27FC236}">
              <a16:creationId xmlns:a16="http://schemas.microsoft.com/office/drawing/2014/main" id="{F0A667EC-6F3C-4240-AF3B-7495F146F814}"/>
            </a:ext>
          </a:extLst>
        </xdr:cNvPr>
        <xdr:cNvSpPr/>
      </xdr:nvSpPr>
      <xdr:spPr>
        <a:xfrm>
          <a:off x="11803380" y="3694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289</xdr:row>
      <xdr:rowOff>0</xdr:rowOff>
    </xdr:from>
    <xdr:to>
      <xdr:col>28</xdr:col>
      <xdr:colOff>83820</xdr:colOff>
      <xdr:row>289</xdr:row>
      <xdr:rowOff>114300</xdr:rowOff>
    </xdr:to>
    <xdr:sp macro="" textlink="">
      <xdr:nvSpPr>
        <xdr:cNvPr id="291" name="Arrow: Down 290">
          <a:extLst>
            <a:ext uri="{FF2B5EF4-FFF2-40B4-BE49-F238E27FC236}">
              <a16:creationId xmlns:a16="http://schemas.microsoft.com/office/drawing/2014/main" id="{54B89A75-626F-438A-B3CD-B2598194A127}"/>
            </a:ext>
          </a:extLst>
        </xdr:cNvPr>
        <xdr:cNvSpPr/>
      </xdr:nvSpPr>
      <xdr:spPr>
        <a:xfrm>
          <a:off x="11803380" y="3713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290</xdr:row>
      <xdr:rowOff>0</xdr:rowOff>
    </xdr:from>
    <xdr:to>
      <xdr:col>28</xdr:col>
      <xdr:colOff>83820</xdr:colOff>
      <xdr:row>290</xdr:row>
      <xdr:rowOff>114300</xdr:rowOff>
    </xdr:to>
    <xdr:sp macro="" textlink="">
      <xdr:nvSpPr>
        <xdr:cNvPr id="306" name="Arrow: Down 305">
          <a:extLst>
            <a:ext uri="{FF2B5EF4-FFF2-40B4-BE49-F238E27FC236}">
              <a16:creationId xmlns:a16="http://schemas.microsoft.com/office/drawing/2014/main" id="{7EEE84EC-56D6-4AE7-B88F-A92454C19689}"/>
            </a:ext>
          </a:extLst>
        </xdr:cNvPr>
        <xdr:cNvSpPr/>
      </xdr:nvSpPr>
      <xdr:spPr>
        <a:xfrm>
          <a:off x="11803380" y="3731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291</xdr:row>
      <xdr:rowOff>0</xdr:rowOff>
    </xdr:from>
    <xdr:to>
      <xdr:col>28</xdr:col>
      <xdr:colOff>83820</xdr:colOff>
      <xdr:row>291</xdr:row>
      <xdr:rowOff>114300</xdr:rowOff>
    </xdr:to>
    <xdr:sp macro="" textlink="">
      <xdr:nvSpPr>
        <xdr:cNvPr id="310" name="Arrow: Down 309">
          <a:extLst>
            <a:ext uri="{FF2B5EF4-FFF2-40B4-BE49-F238E27FC236}">
              <a16:creationId xmlns:a16="http://schemas.microsoft.com/office/drawing/2014/main" id="{7CB4FC78-3D12-4A93-8FFF-75536AA9EFE7}"/>
            </a:ext>
          </a:extLst>
        </xdr:cNvPr>
        <xdr:cNvSpPr/>
      </xdr:nvSpPr>
      <xdr:spPr>
        <a:xfrm>
          <a:off x="11803380" y="3749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292</xdr:row>
      <xdr:rowOff>0</xdr:rowOff>
    </xdr:from>
    <xdr:to>
      <xdr:col>28</xdr:col>
      <xdr:colOff>83820</xdr:colOff>
      <xdr:row>292</xdr:row>
      <xdr:rowOff>114300</xdr:rowOff>
    </xdr:to>
    <xdr:sp macro="" textlink="">
      <xdr:nvSpPr>
        <xdr:cNvPr id="313" name="Arrow: Down 312">
          <a:extLst>
            <a:ext uri="{FF2B5EF4-FFF2-40B4-BE49-F238E27FC236}">
              <a16:creationId xmlns:a16="http://schemas.microsoft.com/office/drawing/2014/main" id="{45EA1236-CD5C-46D1-BE29-665C72619BE1}"/>
            </a:ext>
          </a:extLst>
        </xdr:cNvPr>
        <xdr:cNvSpPr/>
      </xdr:nvSpPr>
      <xdr:spPr>
        <a:xfrm>
          <a:off x="11803380" y="3768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293</xdr:row>
      <xdr:rowOff>0</xdr:rowOff>
    </xdr:from>
    <xdr:to>
      <xdr:col>28</xdr:col>
      <xdr:colOff>83820</xdr:colOff>
      <xdr:row>293</xdr:row>
      <xdr:rowOff>114300</xdr:rowOff>
    </xdr:to>
    <xdr:sp macro="" textlink="">
      <xdr:nvSpPr>
        <xdr:cNvPr id="314" name="Arrow: Down 313">
          <a:extLst>
            <a:ext uri="{FF2B5EF4-FFF2-40B4-BE49-F238E27FC236}">
              <a16:creationId xmlns:a16="http://schemas.microsoft.com/office/drawing/2014/main" id="{9DC2CA2E-D8AA-4E24-8522-6CFBC55BBC05}"/>
            </a:ext>
          </a:extLst>
        </xdr:cNvPr>
        <xdr:cNvSpPr/>
      </xdr:nvSpPr>
      <xdr:spPr>
        <a:xfrm>
          <a:off x="11803380" y="3786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294</xdr:row>
      <xdr:rowOff>0</xdr:rowOff>
    </xdr:from>
    <xdr:to>
      <xdr:col>28</xdr:col>
      <xdr:colOff>83820</xdr:colOff>
      <xdr:row>294</xdr:row>
      <xdr:rowOff>114300</xdr:rowOff>
    </xdr:to>
    <xdr:sp macro="" textlink="">
      <xdr:nvSpPr>
        <xdr:cNvPr id="315" name="Arrow: Down 314">
          <a:extLst>
            <a:ext uri="{FF2B5EF4-FFF2-40B4-BE49-F238E27FC236}">
              <a16:creationId xmlns:a16="http://schemas.microsoft.com/office/drawing/2014/main" id="{CE85021E-E411-49EF-828B-B9B724AAD4E6}"/>
            </a:ext>
          </a:extLst>
        </xdr:cNvPr>
        <xdr:cNvSpPr/>
      </xdr:nvSpPr>
      <xdr:spPr>
        <a:xfrm>
          <a:off x="11803380" y="3804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295</xdr:row>
      <xdr:rowOff>0</xdr:rowOff>
    </xdr:from>
    <xdr:to>
      <xdr:col>28</xdr:col>
      <xdr:colOff>83820</xdr:colOff>
      <xdr:row>295</xdr:row>
      <xdr:rowOff>114300</xdr:rowOff>
    </xdr:to>
    <xdr:sp macro="" textlink="">
      <xdr:nvSpPr>
        <xdr:cNvPr id="316" name="Arrow: Down 315">
          <a:extLst>
            <a:ext uri="{FF2B5EF4-FFF2-40B4-BE49-F238E27FC236}">
              <a16:creationId xmlns:a16="http://schemas.microsoft.com/office/drawing/2014/main" id="{684C0122-1B9C-46B9-A8A6-EB5BC826031A}"/>
            </a:ext>
          </a:extLst>
        </xdr:cNvPr>
        <xdr:cNvSpPr/>
      </xdr:nvSpPr>
      <xdr:spPr>
        <a:xfrm>
          <a:off x="11803380" y="3822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296</xdr:row>
      <xdr:rowOff>0</xdr:rowOff>
    </xdr:from>
    <xdr:to>
      <xdr:col>28</xdr:col>
      <xdr:colOff>83820</xdr:colOff>
      <xdr:row>296</xdr:row>
      <xdr:rowOff>114300</xdr:rowOff>
    </xdr:to>
    <xdr:sp macro="" textlink="">
      <xdr:nvSpPr>
        <xdr:cNvPr id="308" name="Arrow: Down 307">
          <a:extLst>
            <a:ext uri="{FF2B5EF4-FFF2-40B4-BE49-F238E27FC236}">
              <a16:creationId xmlns:a16="http://schemas.microsoft.com/office/drawing/2014/main" id="{19D77BEA-AF15-4FDF-A139-E9BE7B1D052C}"/>
            </a:ext>
          </a:extLst>
        </xdr:cNvPr>
        <xdr:cNvSpPr/>
      </xdr:nvSpPr>
      <xdr:spPr>
        <a:xfrm>
          <a:off x="11803380" y="3841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297</xdr:row>
      <xdr:rowOff>0</xdr:rowOff>
    </xdr:from>
    <xdr:to>
      <xdr:col>28</xdr:col>
      <xdr:colOff>83820</xdr:colOff>
      <xdr:row>297</xdr:row>
      <xdr:rowOff>114300</xdr:rowOff>
    </xdr:to>
    <xdr:sp macro="" textlink="">
      <xdr:nvSpPr>
        <xdr:cNvPr id="318" name="Arrow: Down 317">
          <a:extLst>
            <a:ext uri="{FF2B5EF4-FFF2-40B4-BE49-F238E27FC236}">
              <a16:creationId xmlns:a16="http://schemas.microsoft.com/office/drawing/2014/main" id="{9CDE455F-23BB-4165-B500-E42009441112}"/>
            </a:ext>
          </a:extLst>
        </xdr:cNvPr>
        <xdr:cNvSpPr/>
      </xdr:nvSpPr>
      <xdr:spPr>
        <a:xfrm>
          <a:off x="11803380" y="3859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298</xdr:row>
      <xdr:rowOff>0</xdr:rowOff>
    </xdr:from>
    <xdr:to>
      <xdr:col>28</xdr:col>
      <xdr:colOff>83820</xdr:colOff>
      <xdr:row>298</xdr:row>
      <xdr:rowOff>114300</xdr:rowOff>
    </xdr:to>
    <xdr:sp macro="" textlink="">
      <xdr:nvSpPr>
        <xdr:cNvPr id="320" name="Arrow: Down 319">
          <a:extLst>
            <a:ext uri="{FF2B5EF4-FFF2-40B4-BE49-F238E27FC236}">
              <a16:creationId xmlns:a16="http://schemas.microsoft.com/office/drawing/2014/main" id="{4FFBF3F1-B72E-4DEE-B8D0-FC75F921B0F5}"/>
            </a:ext>
          </a:extLst>
        </xdr:cNvPr>
        <xdr:cNvSpPr/>
      </xdr:nvSpPr>
      <xdr:spPr>
        <a:xfrm>
          <a:off x="11803380" y="3877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299</xdr:row>
      <xdr:rowOff>0</xdr:rowOff>
    </xdr:from>
    <xdr:to>
      <xdr:col>28</xdr:col>
      <xdr:colOff>83820</xdr:colOff>
      <xdr:row>299</xdr:row>
      <xdr:rowOff>114300</xdr:rowOff>
    </xdr:to>
    <xdr:sp macro="" textlink="">
      <xdr:nvSpPr>
        <xdr:cNvPr id="321" name="Arrow: Down 320">
          <a:extLst>
            <a:ext uri="{FF2B5EF4-FFF2-40B4-BE49-F238E27FC236}">
              <a16:creationId xmlns:a16="http://schemas.microsoft.com/office/drawing/2014/main" id="{4156329D-54A9-472A-AF5C-9EF208DD09BA}"/>
            </a:ext>
          </a:extLst>
        </xdr:cNvPr>
        <xdr:cNvSpPr/>
      </xdr:nvSpPr>
      <xdr:spPr>
        <a:xfrm>
          <a:off x="11803380" y="3896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300</xdr:row>
      <xdr:rowOff>0</xdr:rowOff>
    </xdr:from>
    <xdr:to>
      <xdr:col>28</xdr:col>
      <xdr:colOff>83820</xdr:colOff>
      <xdr:row>300</xdr:row>
      <xdr:rowOff>114300</xdr:rowOff>
    </xdr:to>
    <xdr:sp macro="" textlink="">
      <xdr:nvSpPr>
        <xdr:cNvPr id="322" name="Arrow: Down 321">
          <a:extLst>
            <a:ext uri="{FF2B5EF4-FFF2-40B4-BE49-F238E27FC236}">
              <a16:creationId xmlns:a16="http://schemas.microsoft.com/office/drawing/2014/main" id="{E0C5B08A-099D-460E-95F7-67E8CC32C1FE}"/>
            </a:ext>
          </a:extLst>
        </xdr:cNvPr>
        <xdr:cNvSpPr/>
      </xdr:nvSpPr>
      <xdr:spPr>
        <a:xfrm>
          <a:off x="11803380" y="3914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301</xdr:row>
      <xdr:rowOff>0</xdr:rowOff>
    </xdr:from>
    <xdr:to>
      <xdr:col>28</xdr:col>
      <xdr:colOff>83820</xdr:colOff>
      <xdr:row>301</xdr:row>
      <xdr:rowOff>114300</xdr:rowOff>
    </xdr:to>
    <xdr:sp macro="" textlink="">
      <xdr:nvSpPr>
        <xdr:cNvPr id="323" name="Arrow: Down 322">
          <a:extLst>
            <a:ext uri="{FF2B5EF4-FFF2-40B4-BE49-F238E27FC236}">
              <a16:creationId xmlns:a16="http://schemas.microsoft.com/office/drawing/2014/main" id="{051AF582-3A9A-40EC-B8E1-7930B702DDBC}"/>
            </a:ext>
          </a:extLst>
        </xdr:cNvPr>
        <xdr:cNvSpPr/>
      </xdr:nvSpPr>
      <xdr:spPr>
        <a:xfrm>
          <a:off x="11803380" y="3932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302</xdr:row>
      <xdr:rowOff>0</xdr:rowOff>
    </xdr:from>
    <xdr:to>
      <xdr:col>28</xdr:col>
      <xdr:colOff>83820</xdr:colOff>
      <xdr:row>302</xdr:row>
      <xdr:rowOff>114300</xdr:rowOff>
    </xdr:to>
    <xdr:sp macro="" textlink="">
      <xdr:nvSpPr>
        <xdr:cNvPr id="324" name="Arrow: Down 323">
          <a:extLst>
            <a:ext uri="{FF2B5EF4-FFF2-40B4-BE49-F238E27FC236}">
              <a16:creationId xmlns:a16="http://schemas.microsoft.com/office/drawing/2014/main" id="{923BB3CC-AD75-4323-8923-B77B981C9871}"/>
            </a:ext>
          </a:extLst>
        </xdr:cNvPr>
        <xdr:cNvSpPr/>
      </xdr:nvSpPr>
      <xdr:spPr>
        <a:xfrm>
          <a:off x="11803380" y="3950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303</xdr:row>
      <xdr:rowOff>0</xdr:rowOff>
    </xdr:from>
    <xdr:to>
      <xdr:col>28</xdr:col>
      <xdr:colOff>83820</xdr:colOff>
      <xdr:row>303</xdr:row>
      <xdr:rowOff>114300</xdr:rowOff>
    </xdr:to>
    <xdr:sp macro="" textlink="">
      <xdr:nvSpPr>
        <xdr:cNvPr id="325" name="Arrow: Down 324">
          <a:extLst>
            <a:ext uri="{FF2B5EF4-FFF2-40B4-BE49-F238E27FC236}">
              <a16:creationId xmlns:a16="http://schemas.microsoft.com/office/drawing/2014/main" id="{47771287-0709-48BE-A1D8-D314D7D29F33}"/>
            </a:ext>
          </a:extLst>
        </xdr:cNvPr>
        <xdr:cNvSpPr/>
      </xdr:nvSpPr>
      <xdr:spPr>
        <a:xfrm>
          <a:off x="11803380" y="3969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304</xdr:row>
      <xdr:rowOff>0</xdr:rowOff>
    </xdr:from>
    <xdr:to>
      <xdr:col>28</xdr:col>
      <xdr:colOff>83820</xdr:colOff>
      <xdr:row>304</xdr:row>
      <xdr:rowOff>114300</xdr:rowOff>
    </xdr:to>
    <xdr:sp macro="" textlink="">
      <xdr:nvSpPr>
        <xdr:cNvPr id="326" name="Arrow: Down 325">
          <a:extLst>
            <a:ext uri="{FF2B5EF4-FFF2-40B4-BE49-F238E27FC236}">
              <a16:creationId xmlns:a16="http://schemas.microsoft.com/office/drawing/2014/main" id="{16E29672-5765-4150-9838-A1CEF584C63D}"/>
            </a:ext>
          </a:extLst>
        </xdr:cNvPr>
        <xdr:cNvSpPr/>
      </xdr:nvSpPr>
      <xdr:spPr>
        <a:xfrm>
          <a:off x="11803380" y="3987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305</xdr:row>
      <xdr:rowOff>0</xdr:rowOff>
    </xdr:from>
    <xdr:to>
      <xdr:col>28</xdr:col>
      <xdr:colOff>83820</xdr:colOff>
      <xdr:row>305</xdr:row>
      <xdr:rowOff>114300</xdr:rowOff>
    </xdr:to>
    <xdr:sp macro="" textlink="">
      <xdr:nvSpPr>
        <xdr:cNvPr id="328" name="Arrow: Down 327">
          <a:extLst>
            <a:ext uri="{FF2B5EF4-FFF2-40B4-BE49-F238E27FC236}">
              <a16:creationId xmlns:a16="http://schemas.microsoft.com/office/drawing/2014/main" id="{F617BE38-87AB-4AE1-8377-BA001DBC4E42}"/>
            </a:ext>
          </a:extLst>
        </xdr:cNvPr>
        <xdr:cNvSpPr/>
      </xdr:nvSpPr>
      <xdr:spPr>
        <a:xfrm rot="10800000">
          <a:off x="11803380" y="4024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306</xdr:row>
      <xdr:rowOff>0</xdr:rowOff>
    </xdr:from>
    <xdr:to>
      <xdr:col>28</xdr:col>
      <xdr:colOff>83820</xdr:colOff>
      <xdr:row>306</xdr:row>
      <xdr:rowOff>114300</xdr:rowOff>
    </xdr:to>
    <xdr:sp macro="" textlink="">
      <xdr:nvSpPr>
        <xdr:cNvPr id="329" name="Arrow: Down 328">
          <a:extLst>
            <a:ext uri="{FF2B5EF4-FFF2-40B4-BE49-F238E27FC236}">
              <a16:creationId xmlns:a16="http://schemas.microsoft.com/office/drawing/2014/main" id="{9A4BE9A2-213B-41A3-A511-722ABF78EF0D}"/>
            </a:ext>
          </a:extLst>
        </xdr:cNvPr>
        <xdr:cNvSpPr/>
      </xdr:nvSpPr>
      <xdr:spPr>
        <a:xfrm rot="10800000">
          <a:off x="11803380" y="4024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307</xdr:row>
      <xdr:rowOff>0</xdr:rowOff>
    </xdr:from>
    <xdr:to>
      <xdr:col>28</xdr:col>
      <xdr:colOff>83820</xdr:colOff>
      <xdr:row>307</xdr:row>
      <xdr:rowOff>114300</xdr:rowOff>
    </xdr:to>
    <xdr:sp macro="" textlink="">
      <xdr:nvSpPr>
        <xdr:cNvPr id="330" name="Arrow: Down 329">
          <a:extLst>
            <a:ext uri="{FF2B5EF4-FFF2-40B4-BE49-F238E27FC236}">
              <a16:creationId xmlns:a16="http://schemas.microsoft.com/office/drawing/2014/main" id="{4CB39567-96A3-4611-B361-15FFC8D51BE1}"/>
            </a:ext>
          </a:extLst>
        </xdr:cNvPr>
        <xdr:cNvSpPr/>
      </xdr:nvSpPr>
      <xdr:spPr>
        <a:xfrm rot="10800000">
          <a:off x="11803380" y="4042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308</xdr:row>
      <xdr:rowOff>0</xdr:rowOff>
    </xdr:from>
    <xdr:to>
      <xdr:col>28</xdr:col>
      <xdr:colOff>83820</xdr:colOff>
      <xdr:row>308</xdr:row>
      <xdr:rowOff>114300</xdr:rowOff>
    </xdr:to>
    <xdr:sp macro="" textlink="">
      <xdr:nvSpPr>
        <xdr:cNvPr id="332" name="Arrow: Down 331">
          <a:extLst>
            <a:ext uri="{FF2B5EF4-FFF2-40B4-BE49-F238E27FC236}">
              <a16:creationId xmlns:a16="http://schemas.microsoft.com/office/drawing/2014/main" id="{66B68FAB-87CD-4D56-A134-640DD0E9C70D}"/>
            </a:ext>
          </a:extLst>
        </xdr:cNvPr>
        <xdr:cNvSpPr/>
      </xdr:nvSpPr>
      <xdr:spPr>
        <a:xfrm>
          <a:off x="11803380" y="4078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309</xdr:row>
      <xdr:rowOff>0</xdr:rowOff>
    </xdr:from>
    <xdr:to>
      <xdr:col>28</xdr:col>
      <xdr:colOff>83820</xdr:colOff>
      <xdr:row>309</xdr:row>
      <xdr:rowOff>114300</xdr:rowOff>
    </xdr:to>
    <xdr:sp macro="" textlink="">
      <xdr:nvSpPr>
        <xdr:cNvPr id="333" name="Arrow: Down 332">
          <a:extLst>
            <a:ext uri="{FF2B5EF4-FFF2-40B4-BE49-F238E27FC236}">
              <a16:creationId xmlns:a16="http://schemas.microsoft.com/office/drawing/2014/main" id="{4ED8C998-DBD3-461A-BFFF-E60B1EDD8F46}"/>
            </a:ext>
          </a:extLst>
        </xdr:cNvPr>
        <xdr:cNvSpPr/>
      </xdr:nvSpPr>
      <xdr:spPr>
        <a:xfrm>
          <a:off x="11803380" y="4078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310</xdr:row>
      <xdr:rowOff>0</xdr:rowOff>
    </xdr:from>
    <xdr:to>
      <xdr:col>28</xdr:col>
      <xdr:colOff>83820</xdr:colOff>
      <xdr:row>310</xdr:row>
      <xdr:rowOff>114300</xdr:rowOff>
    </xdr:to>
    <xdr:sp macro="" textlink="">
      <xdr:nvSpPr>
        <xdr:cNvPr id="317" name="Arrow: Down 316">
          <a:extLst>
            <a:ext uri="{FF2B5EF4-FFF2-40B4-BE49-F238E27FC236}">
              <a16:creationId xmlns:a16="http://schemas.microsoft.com/office/drawing/2014/main" id="{55B4E45E-D394-45CF-AF45-6E361054D2B2}"/>
            </a:ext>
          </a:extLst>
        </xdr:cNvPr>
        <xdr:cNvSpPr/>
      </xdr:nvSpPr>
      <xdr:spPr>
        <a:xfrm>
          <a:off x="11803380" y="4097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311</xdr:row>
      <xdr:rowOff>0</xdr:rowOff>
    </xdr:from>
    <xdr:to>
      <xdr:col>28</xdr:col>
      <xdr:colOff>83820</xdr:colOff>
      <xdr:row>311</xdr:row>
      <xdr:rowOff>114300</xdr:rowOff>
    </xdr:to>
    <xdr:sp macro="" textlink="">
      <xdr:nvSpPr>
        <xdr:cNvPr id="319" name="Arrow: Down 318">
          <a:extLst>
            <a:ext uri="{FF2B5EF4-FFF2-40B4-BE49-F238E27FC236}">
              <a16:creationId xmlns:a16="http://schemas.microsoft.com/office/drawing/2014/main" id="{8D0BC529-38EB-486A-A4ED-8756C563C4B5}"/>
            </a:ext>
          </a:extLst>
        </xdr:cNvPr>
        <xdr:cNvSpPr/>
      </xdr:nvSpPr>
      <xdr:spPr>
        <a:xfrm>
          <a:off x="11803380" y="4115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312</xdr:row>
      <xdr:rowOff>0</xdr:rowOff>
    </xdr:from>
    <xdr:to>
      <xdr:col>28</xdr:col>
      <xdr:colOff>83820</xdr:colOff>
      <xdr:row>312</xdr:row>
      <xdr:rowOff>114300</xdr:rowOff>
    </xdr:to>
    <xdr:sp macro="" textlink="">
      <xdr:nvSpPr>
        <xdr:cNvPr id="334" name="Arrow: Down 333">
          <a:extLst>
            <a:ext uri="{FF2B5EF4-FFF2-40B4-BE49-F238E27FC236}">
              <a16:creationId xmlns:a16="http://schemas.microsoft.com/office/drawing/2014/main" id="{3BA19842-37CA-4A4D-943A-359D48DDE925}"/>
            </a:ext>
          </a:extLst>
        </xdr:cNvPr>
        <xdr:cNvSpPr/>
      </xdr:nvSpPr>
      <xdr:spPr>
        <a:xfrm rot="10800000">
          <a:off x="11803380" y="4152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313</xdr:row>
      <xdr:rowOff>0</xdr:rowOff>
    </xdr:from>
    <xdr:to>
      <xdr:col>28</xdr:col>
      <xdr:colOff>83820</xdr:colOff>
      <xdr:row>313</xdr:row>
      <xdr:rowOff>114300</xdr:rowOff>
    </xdr:to>
    <xdr:sp macro="" textlink="">
      <xdr:nvSpPr>
        <xdr:cNvPr id="336" name="Arrow: Down 335">
          <a:extLst>
            <a:ext uri="{FF2B5EF4-FFF2-40B4-BE49-F238E27FC236}">
              <a16:creationId xmlns:a16="http://schemas.microsoft.com/office/drawing/2014/main" id="{36E1C98E-098F-4E56-99E8-324C23C4BDD9}"/>
            </a:ext>
          </a:extLst>
        </xdr:cNvPr>
        <xdr:cNvSpPr/>
      </xdr:nvSpPr>
      <xdr:spPr>
        <a:xfrm>
          <a:off x="11803380" y="4170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314</xdr:row>
      <xdr:rowOff>0</xdr:rowOff>
    </xdr:from>
    <xdr:to>
      <xdr:col>28</xdr:col>
      <xdr:colOff>83820</xdr:colOff>
      <xdr:row>314</xdr:row>
      <xdr:rowOff>114300</xdr:rowOff>
    </xdr:to>
    <xdr:sp macro="" textlink="">
      <xdr:nvSpPr>
        <xdr:cNvPr id="337" name="Arrow: Down 336">
          <a:extLst>
            <a:ext uri="{FF2B5EF4-FFF2-40B4-BE49-F238E27FC236}">
              <a16:creationId xmlns:a16="http://schemas.microsoft.com/office/drawing/2014/main" id="{E118FCC2-15EC-4A66-B0C7-7423EAE9A31F}"/>
            </a:ext>
          </a:extLst>
        </xdr:cNvPr>
        <xdr:cNvSpPr/>
      </xdr:nvSpPr>
      <xdr:spPr>
        <a:xfrm>
          <a:off x="11803380" y="4170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315</xdr:row>
      <xdr:rowOff>0</xdr:rowOff>
    </xdr:from>
    <xdr:to>
      <xdr:col>28</xdr:col>
      <xdr:colOff>83820</xdr:colOff>
      <xdr:row>315</xdr:row>
      <xdr:rowOff>114300</xdr:rowOff>
    </xdr:to>
    <xdr:sp macro="" textlink="">
      <xdr:nvSpPr>
        <xdr:cNvPr id="338" name="Arrow: Down 337">
          <a:extLst>
            <a:ext uri="{FF2B5EF4-FFF2-40B4-BE49-F238E27FC236}">
              <a16:creationId xmlns:a16="http://schemas.microsoft.com/office/drawing/2014/main" id="{465C50BE-A7CC-4068-970C-36EAE2DBD1F9}"/>
            </a:ext>
          </a:extLst>
        </xdr:cNvPr>
        <xdr:cNvSpPr/>
      </xdr:nvSpPr>
      <xdr:spPr>
        <a:xfrm>
          <a:off x="11803380" y="4188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316</xdr:row>
      <xdr:rowOff>0</xdr:rowOff>
    </xdr:from>
    <xdr:to>
      <xdr:col>28</xdr:col>
      <xdr:colOff>83820</xdr:colOff>
      <xdr:row>316</xdr:row>
      <xdr:rowOff>114300</xdr:rowOff>
    </xdr:to>
    <xdr:sp macro="" textlink="">
      <xdr:nvSpPr>
        <xdr:cNvPr id="339" name="Arrow: Down 338">
          <a:extLst>
            <a:ext uri="{FF2B5EF4-FFF2-40B4-BE49-F238E27FC236}">
              <a16:creationId xmlns:a16="http://schemas.microsoft.com/office/drawing/2014/main" id="{10673486-E404-41BB-BDF0-61E42BCE81F8}"/>
            </a:ext>
          </a:extLst>
        </xdr:cNvPr>
        <xdr:cNvSpPr/>
      </xdr:nvSpPr>
      <xdr:spPr>
        <a:xfrm>
          <a:off x="11803380" y="4207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317</xdr:row>
      <xdr:rowOff>0</xdr:rowOff>
    </xdr:from>
    <xdr:to>
      <xdr:col>28</xdr:col>
      <xdr:colOff>83820</xdr:colOff>
      <xdr:row>317</xdr:row>
      <xdr:rowOff>114300</xdr:rowOff>
    </xdr:to>
    <xdr:sp macro="" textlink="">
      <xdr:nvSpPr>
        <xdr:cNvPr id="327" name="Arrow: Down 326">
          <a:extLst>
            <a:ext uri="{FF2B5EF4-FFF2-40B4-BE49-F238E27FC236}">
              <a16:creationId xmlns:a16="http://schemas.microsoft.com/office/drawing/2014/main" id="{32D2FAA0-ECFD-4A90-868C-B815FEEFC558}"/>
            </a:ext>
          </a:extLst>
        </xdr:cNvPr>
        <xdr:cNvSpPr/>
      </xdr:nvSpPr>
      <xdr:spPr>
        <a:xfrm>
          <a:off x="11803380" y="4225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318</xdr:row>
      <xdr:rowOff>0</xdr:rowOff>
    </xdr:from>
    <xdr:to>
      <xdr:col>28</xdr:col>
      <xdr:colOff>83820</xdr:colOff>
      <xdr:row>318</xdr:row>
      <xdr:rowOff>114300</xdr:rowOff>
    </xdr:to>
    <xdr:sp macro="" textlink="">
      <xdr:nvSpPr>
        <xdr:cNvPr id="331" name="Arrow: Down 330">
          <a:extLst>
            <a:ext uri="{FF2B5EF4-FFF2-40B4-BE49-F238E27FC236}">
              <a16:creationId xmlns:a16="http://schemas.microsoft.com/office/drawing/2014/main" id="{080712AC-403B-417E-B5E0-C636917E3F6F}"/>
            </a:ext>
          </a:extLst>
        </xdr:cNvPr>
        <xdr:cNvSpPr/>
      </xdr:nvSpPr>
      <xdr:spPr>
        <a:xfrm>
          <a:off x="11803380" y="4243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319</xdr:row>
      <xdr:rowOff>0</xdr:rowOff>
    </xdr:from>
    <xdr:to>
      <xdr:col>28</xdr:col>
      <xdr:colOff>83820</xdr:colOff>
      <xdr:row>319</xdr:row>
      <xdr:rowOff>114300</xdr:rowOff>
    </xdr:to>
    <xdr:sp macro="" textlink="">
      <xdr:nvSpPr>
        <xdr:cNvPr id="342" name="Arrow: Down 341">
          <a:extLst>
            <a:ext uri="{FF2B5EF4-FFF2-40B4-BE49-F238E27FC236}">
              <a16:creationId xmlns:a16="http://schemas.microsoft.com/office/drawing/2014/main" id="{050E3E6A-7D20-4572-B9F5-264F252AA90C}"/>
            </a:ext>
          </a:extLst>
        </xdr:cNvPr>
        <xdr:cNvSpPr/>
      </xdr:nvSpPr>
      <xdr:spPr>
        <a:xfrm rot="10800000">
          <a:off x="11803380" y="4280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320</xdr:row>
      <xdr:rowOff>0</xdr:rowOff>
    </xdr:from>
    <xdr:to>
      <xdr:col>28</xdr:col>
      <xdr:colOff>83820</xdr:colOff>
      <xdr:row>320</xdr:row>
      <xdr:rowOff>114300</xdr:rowOff>
    </xdr:to>
    <xdr:sp macro="" textlink="">
      <xdr:nvSpPr>
        <xdr:cNvPr id="345" name="Arrow: Down 344">
          <a:extLst>
            <a:ext uri="{FF2B5EF4-FFF2-40B4-BE49-F238E27FC236}">
              <a16:creationId xmlns:a16="http://schemas.microsoft.com/office/drawing/2014/main" id="{77560328-4D73-46FB-A7AB-8F69DFD5B25C}"/>
            </a:ext>
          </a:extLst>
        </xdr:cNvPr>
        <xdr:cNvSpPr/>
      </xdr:nvSpPr>
      <xdr:spPr>
        <a:xfrm>
          <a:off x="11803380" y="4298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321</xdr:row>
      <xdr:rowOff>0</xdr:rowOff>
    </xdr:from>
    <xdr:to>
      <xdr:col>28</xdr:col>
      <xdr:colOff>83820</xdr:colOff>
      <xdr:row>321</xdr:row>
      <xdr:rowOff>114300</xdr:rowOff>
    </xdr:to>
    <xdr:sp macro="" textlink="">
      <xdr:nvSpPr>
        <xdr:cNvPr id="348" name="Arrow: Down 347">
          <a:extLst>
            <a:ext uri="{FF2B5EF4-FFF2-40B4-BE49-F238E27FC236}">
              <a16:creationId xmlns:a16="http://schemas.microsoft.com/office/drawing/2014/main" id="{B1B8C952-6A68-49E7-A6C3-52D6E387B2A9}"/>
            </a:ext>
          </a:extLst>
        </xdr:cNvPr>
        <xdr:cNvSpPr/>
      </xdr:nvSpPr>
      <xdr:spPr>
        <a:xfrm rot="10800000">
          <a:off x="11803380" y="4316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322</xdr:row>
      <xdr:rowOff>0</xdr:rowOff>
    </xdr:from>
    <xdr:to>
      <xdr:col>28</xdr:col>
      <xdr:colOff>83820</xdr:colOff>
      <xdr:row>322</xdr:row>
      <xdr:rowOff>114300</xdr:rowOff>
    </xdr:to>
    <xdr:sp macro="" textlink="">
      <xdr:nvSpPr>
        <xdr:cNvPr id="350" name="Arrow: Down 349">
          <a:extLst>
            <a:ext uri="{FF2B5EF4-FFF2-40B4-BE49-F238E27FC236}">
              <a16:creationId xmlns:a16="http://schemas.microsoft.com/office/drawing/2014/main" id="{1084C5AC-D70D-4892-8678-E72FEED4C482}"/>
            </a:ext>
          </a:extLst>
        </xdr:cNvPr>
        <xdr:cNvSpPr/>
      </xdr:nvSpPr>
      <xdr:spPr>
        <a:xfrm>
          <a:off x="11803380" y="4335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323</xdr:row>
      <xdr:rowOff>0</xdr:rowOff>
    </xdr:from>
    <xdr:to>
      <xdr:col>28</xdr:col>
      <xdr:colOff>83820</xdr:colOff>
      <xdr:row>323</xdr:row>
      <xdr:rowOff>114300</xdr:rowOff>
    </xdr:to>
    <xdr:sp macro="" textlink="">
      <xdr:nvSpPr>
        <xdr:cNvPr id="352" name="Arrow: Down 351">
          <a:extLst>
            <a:ext uri="{FF2B5EF4-FFF2-40B4-BE49-F238E27FC236}">
              <a16:creationId xmlns:a16="http://schemas.microsoft.com/office/drawing/2014/main" id="{1F77076F-47D6-414A-9444-6DC6FBAFEC12}"/>
            </a:ext>
          </a:extLst>
        </xdr:cNvPr>
        <xdr:cNvSpPr/>
      </xdr:nvSpPr>
      <xdr:spPr>
        <a:xfrm>
          <a:off x="11803380" y="4335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324</xdr:row>
      <xdr:rowOff>0</xdr:rowOff>
    </xdr:from>
    <xdr:to>
      <xdr:col>28</xdr:col>
      <xdr:colOff>83820</xdr:colOff>
      <xdr:row>324</xdr:row>
      <xdr:rowOff>114300</xdr:rowOff>
    </xdr:to>
    <xdr:sp macro="" textlink="">
      <xdr:nvSpPr>
        <xdr:cNvPr id="353" name="Arrow: Down 352">
          <a:extLst>
            <a:ext uri="{FF2B5EF4-FFF2-40B4-BE49-F238E27FC236}">
              <a16:creationId xmlns:a16="http://schemas.microsoft.com/office/drawing/2014/main" id="{023D5C16-3DB7-4D5C-89D2-911C434B4B5D}"/>
            </a:ext>
          </a:extLst>
        </xdr:cNvPr>
        <xdr:cNvSpPr/>
      </xdr:nvSpPr>
      <xdr:spPr>
        <a:xfrm>
          <a:off x="11803380" y="4353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325</xdr:row>
      <xdr:rowOff>0</xdr:rowOff>
    </xdr:from>
    <xdr:to>
      <xdr:col>28</xdr:col>
      <xdr:colOff>83820</xdr:colOff>
      <xdr:row>325</xdr:row>
      <xdr:rowOff>114300</xdr:rowOff>
    </xdr:to>
    <xdr:sp macro="" textlink="">
      <xdr:nvSpPr>
        <xdr:cNvPr id="354" name="Arrow: Down 353">
          <a:extLst>
            <a:ext uri="{FF2B5EF4-FFF2-40B4-BE49-F238E27FC236}">
              <a16:creationId xmlns:a16="http://schemas.microsoft.com/office/drawing/2014/main" id="{C555223A-BB4A-438F-B8F6-DE8983F3E2CF}"/>
            </a:ext>
          </a:extLst>
        </xdr:cNvPr>
        <xdr:cNvSpPr/>
      </xdr:nvSpPr>
      <xdr:spPr>
        <a:xfrm>
          <a:off x="11803380" y="4371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326</xdr:row>
      <xdr:rowOff>0</xdr:rowOff>
    </xdr:from>
    <xdr:to>
      <xdr:col>28</xdr:col>
      <xdr:colOff>83820</xdr:colOff>
      <xdr:row>326</xdr:row>
      <xdr:rowOff>114300</xdr:rowOff>
    </xdr:to>
    <xdr:sp macro="" textlink="">
      <xdr:nvSpPr>
        <xdr:cNvPr id="356" name="Arrow: Down 355">
          <a:extLst>
            <a:ext uri="{FF2B5EF4-FFF2-40B4-BE49-F238E27FC236}">
              <a16:creationId xmlns:a16="http://schemas.microsoft.com/office/drawing/2014/main" id="{8DFA901B-ABF1-44DD-B54F-26C81F0E91DB}"/>
            </a:ext>
          </a:extLst>
        </xdr:cNvPr>
        <xdr:cNvSpPr/>
      </xdr:nvSpPr>
      <xdr:spPr>
        <a:xfrm>
          <a:off x="11803380" y="4389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327</xdr:row>
      <xdr:rowOff>0</xdr:rowOff>
    </xdr:from>
    <xdr:to>
      <xdr:col>28</xdr:col>
      <xdr:colOff>83820</xdr:colOff>
      <xdr:row>327</xdr:row>
      <xdr:rowOff>114300</xdr:rowOff>
    </xdr:to>
    <xdr:sp macro="" textlink="">
      <xdr:nvSpPr>
        <xdr:cNvPr id="359" name="Arrow: Down 358">
          <a:extLst>
            <a:ext uri="{FF2B5EF4-FFF2-40B4-BE49-F238E27FC236}">
              <a16:creationId xmlns:a16="http://schemas.microsoft.com/office/drawing/2014/main" id="{A2CA0D92-5BD7-445F-9169-4FB224ECD3AE}"/>
            </a:ext>
          </a:extLst>
        </xdr:cNvPr>
        <xdr:cNvSpPr/>
      </xdr:nvSpPr>
      <xdr:spPr>
        <a:xfrm rot="10800000">
          <a:off x="11803380" y="4426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328</xdr:row>
      <xdr:rowOff>0</xdr:rowOff>
    </xdr:from>
    <xdr:to>
      <xdr:col>28</xdr:col>
      <xdr:colOff>83820</xdr:colOff>
      <xdr:row>328</xdr:row>
      <xdr:rowOff>114300</xdr:rowOff>
    </xdr:to>
    <xdr:sp macro="" textlink="">
      <xdr:nvSpPr>
        <xdr:cNvPr id="360" name="Arrow: Down 359">
          <a:extLst>
            <a:ext uri="{FF2B5EF4-FFF2-40B4-BE49-F238E27FC236}">
              <a16:creationId xmlns:a16="http://schemas.microsoft.com/office/drawing/2014/main" id="{F4043271-884D-43FC-B0B5-7C90B71BCEDB}"/>
            </a:ext>
          </a:extLst>
        </xdr:cNvPr>
        <xdr:cNvSpPr/>
      </xdr:nvSpPr>
      <xdr:spPr>
        <a:xfrm rot="10800000">
          <a:off x="11803380" y="4426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329</xdr:row>
      <xdr:rowOff>0</xdr:rowOff>
    </xdr:from>
    <xdr:to>
      <xdr:col>28</xdr:col>
      <xdr:colOff>83820</xdr:colOff>
      <xdr:row>329</xdr:row>
      <xdr:rowOff>114300</xdr:rowOff>
    </xdr:to>
    <xdr:sp macro="" textlink="">
      <xdr:nvSpPr>
        <xdr:cNvPr id="363" name="Arrow: Down 362">
          <a:extLst>
            <a:ext uri="{FF2B5EF4-FFF2-40B4-BE49-F238E27FC236}">
              <a16:creationId xmlns:a16="http://schemas.microsoft.com/office/drawing/2014/main" id="{3BC4B7C6-259B-4EF4-AFCB-31EBEAFE045F}"/>
            </a:ext>
          </a:extLst>
        </xdr:cNvPr>
        <xdr:cNvSpPr/>
      </xdr:nvSpPr>
      <xdr:spPr>
        <a:xfrm>
          <a:off x="11803380" y="4463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330</xdr:row>
      <xdr:rowOff>0</xdr:rowOff>
    </xdr:from>
    <xdr:to>
      <xdr:col>28</xdr:col>
      <xdr:colOff>83820</xdr:colOff>
      <xdr:row>330</xdr:row>
      <xdr:rowOff>114300</xdr:rowOff>
    </xdr:to>
    <xdr:sp macro="" textlink="">
      <xdr:nvSpPr>
        <xdr:cNvPr id="364" name="Arrow: Down 363">
          <a:extLst>
            <a:ext uri="{FF2B5EF4-FFF2-40B4-BE49-F238E27FC236}">
              <a16:creationId xmlns:a16="http://schemas.microsoft.com/office/drawing/2014/main" id="{303B7829-3BC5-470C-A5F2-AF8683092D54}"/>
            </a:ext>
          </a:extLst>
        </xdr:cNvPr>
        <xdr:cNvSpPr/>
      </xdr:nvSpPr>
      <xdr:spPr>
        <a:xfrm>
          <a:off x="11803380" y="4463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331</xdr:row>
      <xdr:rowOff>0</xdr:rowOff>
    </xdr:from>
    <xdr:to>
      <xdr:col>28</xdr:col>
      <xdr:colOff>83820</xdr:colOff>
      <xdr:row>331</xdr:row>
      <xdr:rowOff>114300</xdr:rowOff>
    </xdr:to>
    <xdr:sp macro="" textlink="">
      <xdr:nvSpPr>
        <xdr:cNvPr id="366" name="Arrow: Down 365">
          <a:extLst>
            <a:ext uri="{FF2B5EF4-FFF2-40B4-BE49-F238E27FC236}">
              <a16:creationId xmlns:a16="http://schemas.microsoft.com/office/drawing/2014/main" id="{D61CD6F9-61AE-42E1-8A25-805891C793E5}"/>
            </a:ext>
          </a:extLst>
        </xdr:cNvPr>
        <xdr:cNvSpPr/>
      </xdr:nvSpPr>
      <xdr:spPr>
        <a:xfrm rot="10800000">
          <a:off x="11803380" y="4499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332</xdr:row>
      <xdr:rowOff>0</xdr:rowOff>
    </xdr:from>
    <xdr:to>
      <xdr:col>28</xdr:col>
      <xdr:colOff>83820</xdr:colOff>
      <xdr:row>332</xdr:row>
      <xdr:rowOff>114300</xdr:rowOff>
    </xdr:to>
    <xdr:sp macro="" textlink="">
      <xdr:nvSpPr>
        <xdr:cNvPr id="368" name="Arrow: Down 367">
          <a:extLst>
            <a:ext uri="{FF2B5EF4-FFF2-40B4-BE49-F238E27FC236}">
              <a16:creationId xmlns:a16="http://schemas.microsoft.com/office/drawing/2014/main" id="{9C71A349-B373-4DB7-876A-5824181AD9DA}"/>
            </a:ext>
          </a:extLst>
        </xdr:cNvPr>
        <xdr:cNvSpPr/>
      </xdr:nvSpPr>
      <xdr:spPr>
        <a:xfrm rot="10800000">
          <a:off x="11803380" y="4499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333</xdr:row>
      <xdr:rowOff>0</xdr:rowOff>
    </xdr:from>
    <xdr:to>
      <xdr:col>28</xdr:col>
      <xdr:colOff>83820</xdr:colOff>
      <xdr:row>333</xdr:row>
      <xdr:rowOff>114300</xdr:rowOff>
    </xdr:to>
    <xdr:sp macro="" textlink="">
      <xdr:nvSpPr>
        <xdr:cNvPr id="369" name="Arrow: Down 368">
          <a:extLst>
            <a:ext uri="{FF2B5EF4-FFF2-40B4-BE49-F238E27FC236}">
              <a16:creationId xmlns:a16="http://schemas.microsoft.com/office/drawing/2014/main" id="{DFD3E2D2-94A5-4EBE-A692-2F77D3CF3767}"/>
            </a:ext>
          </a:extLst>
        </xdr:cNvPr>
        <xdr:cNvSpPr/>
      </xdr:nvSpPr>
      <xdr:spPr>
        <a:xfrm rot="10800000">
          <a:off x="11803380" y="4517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334</xdr:row>
      <xdr:rowOff>0</xdr:rowOff>
    </xdr:from>
    <xdr:to>
      <xdr:col>28</xdr:col>
      <xdr:colOff>83820</xdr:colOff>
      <xdr:row>334</xdr:row>
      <xdr:rowOff>114300</xdr:rowOff>
    </xdr:to>
    <xdr:sp macro="" textlink="">
      <xdr:nvSpPr>
        <xdr:cNvPr id="370" name="Arrow: Down 369">
          <a:extLst>
            <a:ext uri="{FF2B5EF4-FFF2-40B4-BE49-F238E27FC236}">
              <a16:creationId xmlns:a16="http://schemas.microsoft.com/office/drawing/2014/main" id="{8FFC848C-F181-4894-8C4E-87FF5F0753C8}"/>
            </a:ext>
          </a:extLst>
        </xdr:cNvPr>
        <xdr:cNvSpPr/>
      </xdr:nvSpPr>
      <xdr:spPr>
        <a:xfrm rot="10800000">
          <a:off x="11803380" y="4536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335</xdr:row>
      <xdr:rowOff>0</xdr:rowOff>
    </xdr:from>
    <xdr:to>
      <xdr:col>28</xdr:col>
      <xdr:colOff>83820</xdr:colOff>
      <xdr:row>335</xdr:row>
      <xdr:rowOff>114300</xdr:rowOff>
    </xdr:to>
    <xdr:sp macro="" textlink="">
      <xdr:nvSpPr>
        <xdr:cNvPr id="371" name="Arrow: Down 370">
          <a:extLst>
            <a:ext uri="{FF2B5EF4-FFF2-40B4-BE49-F238E27FC236}">
              <a16:creationId xmlns:a16="http://schemas.microsoft.com/office/drawing/2014/main" id="{4CA121A1-0FC7-4A4E-A01B-3AD21326EB32}"/>
            </a:ext>
          </a:extLst>
        </xdr:cNvPr>
        <xdr:cNvSpPr/>
      </xdr:nvSpPr>
      <xdr:spPr>
        <a:xfrm rot="10800000">
          <a:off x="11803380" y="4554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336</xdr:row>
      <xdr:rowOff>0</xdr:rowOff>
    </xdr:from>
    <xdr:to>
      <xdr:col>28</xdr:col>
      <xdr:colOff>83820</xdr:colOff>
      <xdr:row>336</xdr:row>
      <xdr:rowOff>114300</xdr:rowOff>
    </xdr:to>
    <xdr:sp macro="" textlink="">
      <xdr:nvSpPr>
        <xdr:cNvPr id="373" name="Arrow: Down 372">
          <a:extLst>
            <a:ext uri="{FF2B5EF4-FFF2-40B4-BE49-F238E27FC236}">
              <a16:creationId xmlns:a16="http://schemas.microsoft.com/office/drawing/2014/main" id="{8EF0845A-0DCD-4F1E-878C-E674F1AED9D3}"/>
            </a:ext>
          </a:extLst>
        </xdr:cNvPr>
        <xdr:cNvSpPr/>
      </xdr:nvSpPr>
      <xdr:spPr>
        <a:xfrm rot="10800000">
          <a:off x="11803380" y="4572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337</xdr:row>
      <xdr:rowOff>0</xdr:rowOff>
    </xdr:from>
    <xdr:to>
      <xdr:col>28</xdr:col>
      <xdr:colOff>83820</xdr:colOff>
      <xdr:row>337</xdr:row>
      <xdr:rowOff>114300</xdr:rowOff>
    </xdr:to>
    <xdr:sp macro="" textlink="">
      <xdr:nvSpPr>
        <xdr:cNvPr id="377" name="Arrow: Down 376">
          <a:extLst>
            <a:ext uri="{FF2B5EF4-FFF2-40B4-BE49-F238E27FC236}">
              <a16:creationId xmlns:a16="http://schemas.microsoft.com/office/drawing/2014/main" id="{98E8D816-712B-4415-A00E-C1A1B626CF03}"/>
            </a:ext>
          </a:extLst>
        </xdr:cNvPr>
        <xdr:cNvSpPr/>
      </xdr:nvSpPr>
      <xdr:spPr>
        <a:xfrm>
          <a:off x="11803380" y="4609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338</xdr:row>
      <xdr:rowOff>0</xdr:rowOff>
    </xdr:from>
    <xdr:to>
      <xdr:col>28</xdr:col>
      <xdr:colOff>83820</xdr:colOff>
      <xdr:row>338</xdr:row>
      <xdr:rowOff>114300</xdr:rowOff>
    </xdr:to>
    <xdr:sp macro="" textlink="">
      <xdr:nvSpPr>
        <xdr:cNvPr id="341" name="Arrow: Down 340">
          <a:extLst>
            <a:ext uri="{FF2B5EF4-FFF2-40B4-BE49-F238E27FC236}">
              <a16:creationId xmlns:a16="http://schemas.microsoft.com/office/drawing/2014/main" id="{28BBD4CE-4AD1-4674-A77D-CD7AB5AF3576}"/>
            </a:ext>
          </a:extLst>
        </xdr:cNvPr>
        <xdr:cNvSpPr/>
      </xdr:nvSpPr>
      <xdr:spPr>
        <a:xfrm>
          <a:off x="11803380" y="4609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339</xdr:row>
      <xdr:rowOff>0</xdr:rowOff>
    </xdr:from>
    <xdr:to>
      <xdr:col>28</xdr:col>
      <xdr:colOff>83820</xdr:colOff>
      <xdr:row>339</xdr:row>
      <xdr:rowOff>114300</xdr:rowOff>
    </xdr:to>
    <xdr:sp macro="" textlink="">
      <xdr:nvSpPr>
        <xdr:cNvPr id="344" name="Arrow: Down 343">
          <a:extLst>
            <a:ext uri="{FF2B5EF4-FFF2-40B4-BE49-F238E27FC236}">
              <a16:creationId xmlns:a16="http://schemas.microsoft.com/office/drawing/2014/main" id="{AC5FCD90-6250-4A91-9EBD-577B3560F881}"/>
            </a:ext>
          </a:extLst>
        </xdr:cNvPr>
        <xdr:cNvSpPr/>
      </xdr:nvSpPr>
      <xdr:spPr>
        <a:xfrm rot="10800000">
          <a:off x="11803380" y="4645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340</xdr:row>
      <xdr:rowOff>0</xdr:rowOff>
    </xdr:from>
    <xdr:to>
      <xdr:col>28</xdr:col>
      <xdr:colOff>83820</xdr:colOff>
      <xdr:row>340</xdr:row>
      <xdr:rowOff>114300</xdr:rowOff>
    </xdr:to>
    <xdr:sp macro="" textlink="">
      <xdr:nvSpPr>
        <xdr:cNvPr id="346" name="Arrow: Down 345">
          <a:extLst>
            <a:ext uri="{FF2B5EF4-FFF2-40B4-BE49-F238E27FC236}">
              <a16:creationId xmlns:a16="http://schemas.microsoft.com/office/drawing/2014/main" id="{CC82EDC5-75B8-42B0-BB1E-E75D3D030D88}"/>
            </a:ext>
          </a:extLst>
        </xdr:cNvPr>
        <xdr:cNvSpPr/>
      </xdr:nvSpPr>
      <xdr:spPr>
        <a:xfrm rot="10800000">
          <a:off x="11803380" y="4645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341</xdr:row>
      <xdr:rowOff>0</xdr:rowOff>
    </xdr:from>
    <xdr:to>
      <xdr:col>28</xdr:col>
      <xdr:colOff>83820</xdr:colOff>
      <xdr:row>341</xdr:row>
      <xdr:rowOff>114300</xdr:rowOff>
    </xdr:to>
    <xdr:sp macro="" textlink="">
      <xdr:nvSpPr>
        <xdr:cNvPr id="351" name="Arrow: Down 350">
          <a:extLst>
            <a:ext uri="{FF2B5EF4-FFF2-40B4-BE49-F238E27FC236}">
              <a16:creationId xmlns:a16="http://schemas.microsoft.com/office/drawing/2014/main" id="{2C8E8568-F188-4F09-B72E-7B5ECC433271}"/>
            </a:ext>
          </a:extLst>
        </xdr:cNvPr>
        <xdr:cNvSpPr/>
      </xdr:nvSpPr>
      <xdr:spPr>
        <a:xfrm>
          <a:off x="11803380" y="4682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342</xdr:row>
      <xdr:rowOff>0</xdr:rowOff>
    </xdr:from>
    <xdr:to>
      <xdr:col>28</xdr:col>
      <xdr:colOff>83820</xdr:colOff>
      <xdr:row>342</xdr:row>
      <xdr:rowOff>114300</xdr:rowOff>
    </xdr:to>
    <xdr:sp macro="" textlink="">
      <xdr:nvSpPr>
        <xdr:cNvPr id="361" name="Arrow: Down 360">
          <a:extLst>
            <a:ext uri="{FF2B5EF4-FFF2-40B4-BE49-F238E27FC236}">
              <a16:creationId xmlns:a16="http://schemas.microsoft.com/office/drawing/2014/main" id="{9FC6FE28-1A20-40C5-8C0A-76C8CE22E23C}"/>
            </a:ext>
          </a:extLst>
        </xdr:cNvPr>
        <xdr:cNvSpPr/>
      </xdr:nvSpPr>
      <xdr:spPr>
        <a:xfrm rot="10800000">
          <a:off x="11803380" y="4700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343</xdr:row>
      <xdr:rowOff>0</xdr:rowOff>
    </xdr:from>
    <xdr:to>
      <xdr:col>28</xdr:col>
      <xdr:colOff>83820</xdr:colOff>
      <xdr:row>343</xdr:row>
      <xdr:rowOff>114300</xdr:rowOff>
    </xdr:to>
    <xdr:sp macro="" textlink="">
      <xdr:nvSpPr>
        <xdr:cNvPr id="372" name="Arrow: Down 371">
          <a:extLst>
            <a:ext uri="{FF2B5EF4-FFF2-40B4-BE49-F238E27FC236}">
              <a16:creationId xmlns:a16="http://schemas.microsoft.com/office/drawing/2014/main" id="{E6B3DC16-ACE8-4521-8830-59308EEF90E3}"/>
            </a:ext>
          </a:extLst>
        </xdr:cNvPr>
        <xdr:cNvSpPr/>
      </xdr:nvSpPr>
      <xdr:spPr>
        <a:xfrm>
          <a:off x="11803380" y="4719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344</xdr:row>
      <xdr:rowOff>0</xdr:rowOff>
    </xdr:from>
    <xdr:to>
      <xdr:col>28</xdr:col>
      <xdr:colOff>83820</xdr:colOff>
      <xdr:row>344</xdr:row>
      <xdr:rowOff>114300</xdr:rowOff>
    </xdr:to>
    <xdr:sp macro="" textlink="">
      <xdr:nvSpPr>
        <xdr:cNvPr id="375" name="Arrow: Down 374">
          <a:extLst>
            <a:ext uri="{FF2B5EF4-FFF2-40B4-BE49-F238E27FC236}">
              <a16:creationId xmlns:a16="http://schemas.microsoft.com/office/drawing/2014/main" id="{DAB5FE2B-5034-4DDA-994F-CBDEC391ECC6}"/>
            </a:ext>
          </a:extLst>
        </xdr:cNvPr>
        <xdr:cNvSpPr/>
      </xdr:nvSpPr>
      <xdr:spPr>
        <a:xfrm>
          <a:off x="11803380" y="4737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345</xdr:row>
      <xdr:rowOff>0</xdr:rowOff>
    </xdr:from>
    <xdr:to>
      <xdr:col>28</xdr:col>
      <xdr:colOff>83820</xdr:colOff>
      <xdr:row>345</xdr:row>
      <xdr:rowOff>114300</xdr:rowOff>
    </xdr:to>
    <xdr:sp macro="" textlink="">
      <xdr:nvSpPr>
        <xdr:cNvPr id="347" name="Arrow: Down 346">
          <a:extLst>
            <a:ext uri="{FF2B5EF4-FFF2-40B4-BE49-F238E27FC236}">
              <a16:creationId xmlns:a16="http://schemas.microsoft.com/office/drawing/2014/main" id="{22E71A0C-A573-43A7-B439-45EA961F4B76}"/>
            </a:ext>
          </a:extLst>
        </xdr:cNvPr>
        <xdr:cNvSpPr/>
      </xdr:nvSpPr>
      <xdr:spPr>
        <a:xfrm>
          <a:off x="11803380" y="4737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346</xdr:row>
      <xdr:rowOff>0</xdr:rowOff>
    </xdr:from>
    <xdr:to>
      <xdr:col>28</xdr:col>
      <xdr:colOff>83820</xdr:colOff>
      <xdr:row>346</xdr:row>
      <xdr:rowOff>114300</xdr:rowOff>
    </xdr:to>
    <xdr:sp macro="" textlink="">
      <xdr:nvSpPr>
        <xdr:cNvPr id="355" name="Arrow: Down 354">
          <a:extLst>
            <a:ext uri="{FF2B5EF4-FFF2-40B4-BE49-F238E27FC236}">
              <a16:creationId xmlns:a16="http://schemas.microsoft.com/office/drawing/2014/main" id="{DE46AFBE-1B3C-4042-8D7C-F99D6185089E}"/>
            </a:ext>
          </a:extLst>
        </xdr:cNvPr>
        <xdr:cNvSpPr/>
      </xdr:nvSpPr>
      <xdr:spPr>
        <a:xfrm rot="10800000">
          <a:off x="11803380" y="4773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347</xdr:row>
      <xdr:rowOff>0</xdr:rowOff>
    </xdr:from>
    <xdr:to>
      <xdr:col>28</xdr:col>
      <xdr:colOff>83820</xdr:colOff>
      <xdr:row>347</xdr:row>
      <xdr:rowOff>114300</xdr:rowOff>
    </xdr:to>
    <xdr:sp macro="" textlink="">
      <xdr:nvSpPr>
        <xdr:cNvPr id="362" name="Arrow: Down 361">
          <a:extLst>
            <a:ext uri="{FF2B5EF4-FFF2-40B4-BE49-F238E27FC236}">
              <a16:creationId xmlns:a16="http://schemas.microsoft.com/office/drawing/2014/main" id="{77D55A39-0468-4D01-85AE-AEE5405752D9}"/>
            </a:ext>
          </a:extLst>
        </xdr:cNvPr>
        <xdr:cNvSpPr/>
      </xdr:nvSpPr>
      <xdr:spPr>
        <a:xfrm>
          <a:off x="11803380" y="4792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348</xdr:row>
      <xdr:rowOff>0</xdr:rowOff>
    </xdr:from>
    <xdr:to>
      <xdr:col>28</xdr:col>
      <xdr:colOff>83820</xdr:colOff>
      <xdr:row>348</xdr:row>
      <xdr:rowOff>114300</xdr:rowOff>
    </xdr:to>
    <xdr:sp macro="" textlink="">
      <xdr:nvSpPr>
        <xdr:cNvPr id="378" name="Arrow: Down 377">
          <a:extLst>
            <a:ext uri="{FF2B5EF4-FFF2-40B4-BE49-F238E27FC236}">
              <a16:creationId xmlns:a16="http://schemas.microsoft.com/office/drawing/2014/main" id="{8CE6CE1A-3299-47D9-8002-26B82C66EDD9}"/>
            </a:ext>
          </a:extLst>
        </xdr:cNvPr>
        <xdr:cNvSpPr/>
      </xdr:nvSpPr>
      <xdr:spPr>
        <a:xfrm rot="10800000">
          <a:off x="11803380" y="4810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349</xdr:row>
      <xdr:rowOff>0</xdr:rowOff>
    </xdr:from>
    <xdr:to>
      <xdr:col>28</xdr:col>
      <xdr:colOff>83820</xdr:colOff>
      <xdr:row>349</xdr:row>
      <xdr:rowOff>114300</xdr:rowOff>
    </xdr:to>
    <xdr:sp macro="" textlink="">
      <xdr:nvSpPr>
        <xdr:cNvPr id="380" name="Arrow: Down 379">
          <a:extLst>
            <a:ext uri="{FF2B5EF4-FFF2-40B4-BE49-F238E27FC236}">
              <a16:creationId xmlns:a16="http://schemas.microsoft.com/office/drawing/2014/main" id="{12B1E25E-C21B-4431-95AD-46087DE48B79}"/>
            </a:ext>
          </a:extLst>
        </xdr:cNvPr>
        <xdr:cNvSpPr/>
      </xdr:nvSpPr>
      <xdr:spPr>
        <a:xfrm rot="10800000">
          <a:off x="11803380" y="4828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350</xdr:row>
      <xdr:rowOff>0</xdr:rowOff>
    </xdr:from>
    <xdr:to>
      <xdr:col>28</xdr:col>
      <xdr:colOff>83820</xdr:colOff>
      <xdr:row>350</xdr:row>
      <xdr:rowOff>114300</xdr:rowOff>
    </xdr:to>
    <xdr:sp macro="" textlink="">
      <xdr:nvSpPr>
        <xdr:cNvPr id="358" name="Arrow: Down 357">
          <a:extLst>
            <a:ext uri="{FF2B5EF4-FFF2-40B4-BE49-F238E27FC236}">
              <a16:creationId xmlns:a16="http://schemas.microsoft.com/office/drawing/2014/main" id="{F773B8A4-81CA-495A-8E52-A58988EE24F0}"/>
            </a:ext>
          </a:extLst>
        </xdr:cNvPr>
        <xdr:cNvSpPr/>
      </xdr:nvSpPr>
      <xdr:spPr>
        <a:xfrm>
          <a:off x="11803380" y="4847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351</xdr:row>
      <xdr:rowOff>0</xdr:rowOff>
    </xdr:from>
    <xdr:to>
      <xdr:col>28</xdr:col>
      <xdr:colOff>83820</xdr:colOff>
      <xdr:row>351</xdr:row>
      <xdr:rowOff>114300</xdr:rowOff>
    </xdr:to>
    <xdr:sp macro="" textlink="">
      <xdr:nvSpPr>
        <xdr:cNvPr id="374" name="Arrow: Down 373">
          <a:extLst>
            <a:ext uri="{FF2B5EF4-FFF2-40B4-BE49-F238E27FC236}">
              <a16:creationId xmlns:a16="http://schemas.microsoft.com/office/drawing/2014/main" id="{6EE63867-01A4-4201-A66A-DA0BF0E419BC}"/>
            </a:ext>
          </a:extLst>
        </xdr:cNvPr>
        <xdr:cNvSpPr/>
      </xdr:nvSpPr>
      <xdr:spPr>
        <a:xfrm rot="10800000">
          <a:off x="11803380" y="4865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352</xdr:row>
      <xdr:rowOff>0</xdr:rowOff>
    </xdr:from>
    <xdr:to>
      <xdr:col>28</xdr:col>
      <xdr:colOff>83820</xdr:colOff>
      <xdr:row>352</xdr:row>
      <xdr:rowOff>114300</xdr:rowOff>
    </xdr:to>
    <xdr:sp macro="" textlink="">
      <xdr:nvSpPr>
        <xdr:cNvPr id="376" name="Arrow: Down 375">
          <a:extLst>
            <a:ext uri="{FF2B5EF4-FFF2-40B4-BE49-F238E27FC236}">
              <a16:creationId xmlns:a16="http://schemas.microsoft.com/office/drawing/2014/main" id="{14A07245-3493-489B-9CA6-6055E97C8A11}"/>
            </a:ext>
          </a:extLst>
        </xdr:cNvPr>
        <xdr:cNvSpPr/>
      </xdr:nvSpPr>
      <xdr:spPr>
        <a:xfrm>
          <a:off x="11803380" y="4883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353</xdr:row>
      <xdr:rowOff>0</xdr:rowOff>
    </xdr:from>
    <xdr:to>
      <xdr:col>28</xdr:col>
      <xdr:colOff>83820</xdr:colOff>
      <xdr:row>353</xdr:row>
      <xdr:rowOff>114300</xdr:rowOff>
    </xdr:to>
    <xdr:sp macro="" textlink="">
      <xdr:nvSpPr>
        <xdr:cNvPr id="382" name="Arrow: Down 381">
          <a:extLst>
            <a:ext uri="{FF2B5EF4-FFF2-40B4-BE49-F238E27FC236}">
              <a16:creationId xmlns:a16="http://schemas.microsoft.com/office/drawing/2014/main" id="{D35D4423-CDDD-494C-8E1A-A2637872648A}"/>
            </a:ext>
          </a:extLst>
        </xdr:cNvPr>
        <xdr:cNvSpPr/>
      </xdr:nvSpPr>
      <xdr:spPr>
        <a:xfrm rot="10800000">
          <a:off x="11803380" y="4901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354</xdr:row>
      <xdr:rowOff>0</xdr:rowOff>
    </xdr:from>
    <xdr:to>
      <xdr:col>28</xdr:col>
      <xdr:colOff>83820</xdr:colOff>
      <xdr:row>354</xdr:row>
      <xdr:rowOff>114300</xdr:rowOff>
    </xdr:to>
    <xdr:sp macro="" textlink="">
      <xdr:nvSpPr>
        <xdr:cNvPr id="385" name="Arrow: Down 384">
          <a:extLst>
            <a:ext uri="{FF2B5EF4-FFF2-40B4-BE49-F238E27FC236}">
              <a16:creationId xmlns:a16="http://schemas.microsoft.com/office/drawing/2014/main" id="{E3F99638-694D-47F9-9188-19927C4D56B0}"/>
            </a:ext>
          </a:extLst>
        </xdr:cNvPr>
        <xdr:cNvSpPr/>
      </xdr:nvSpPr>
      <xdr:spPr>
        <a:xfrm rot="10800000">
          <a:off x="11803380" y="4901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355</xdr:row>
      <xdr:rowOff>0</xdr:rowOff>
    </xdr:from>
    <xdr:to>
      <xdr:col>28</xdr:col>
      <xdr:colOff>83820</xdr:colOff>
      <xdr:row>355</xdr:row>
      <xdr:rowOff>114300</xdr:rowOff>
    </xdr:to>
    <xdr:sp macro="" textlink="">
      <xdr:nvSpPr>
        <xdr:cNvPr id="386" name="Arrow: Down 385">
          <a:extLst>
            <a:ext uri="{FF2B5EF4-FFF2-40B4-BE49-F238E27FC236}">
              <a16:creationId xmlns:a16="http://schemas.microsoft.com/office/drawing/2014/main" id="{B6799AC6-43EB-428B-8C1A-DFC47AF70D16}"/>
            </a:ext>
          </a:extLst>
        </xdr:cNvPr>
        <xdr:cNvSpPr/>
      </xdr:nvSpPr>
      <xdr:spPr>
        <a:xfrm rot="10800000">
          <a:off x="11803380" y="4920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356</xdr:row>
      <xdr:rowOff>0</xdr:rowOff>
    </xdr:from>
    <xdr:to>
      <xdr:col>28</xdr:col>
      <xdr:colOff>83820</xdr:colOff>
      <xdr:row>356</xdr:row>
      <xdr:rowOff>114300</xdr:rowOff>
    </xdr:to>
    <xdr:sp macro="" textlink="">
      <xdr:nvSpPr>
        <xdr:cNvPr id="388" name="Arrow: Down 387">
          <a:extLst>
            <a:ext uri="{FF2B5EF4-FFF2-40B4-BE49-F238E27FC236}">
              <a16:creationId xmlns:a16="http://schemas.microsoft.com/office/drawing/2014/main" id="{ED4E2ED5-1794-4D85-9E94-55CADF5CC546}"/>
            </a:ext>
          </a:extLst>
        </xdr:cNvPr>
        <xdr:cNvSpPr/>
      </xdr:nvSpPr>
      <xdr:spPr>
        <a:xfrm rot="10800000">
          <a:off x="11803380" y="4938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357</xdr:row>
      <xdr:rowOff>0</xdr:rowOff>
    </xdr:from>
    <xdr:to>
      <xdr:col>28</xdr:col>
      <xdr:colOff>83820</xdr:colOff>
      <xdr:row>357</xdr:row>
      <xdr:rowOff>114300</xdr:rowOff>
    </xdr:to>
    <xdr:sp macro="" textlink="">
      <xdr:nvSpPr>
        <xdr:cNvPr id="390" name="Arrow: Down 389">
          <a:extLst>
            <a:ext uri="{FF2B5EF4-FFF2-40B4-BE49-F238E27FC236}">
              <a16:creationId xmlns:a16="http://schemas.microsoft.com/office/drawing/2014/main" id="{DCB333E2-59B9-4D9C-A443-ABC95D07D683}"/>
            </a:ext>
          </a:extLst>
        </xdr:cNvPr>
        <xdr:cNvSpPr/>
      </xdr:nvSpPr>
      <xdr:spPr>
        <a:xfrm>
          <a:off x="11803380" y="4975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358</xdr:row>
      <xdr:rowOff>0</xdr:rowOff>
    </xdr:from>
    <xdr:to>
      <xdr:col>28</xdr:col>
      <xdr:colOff>83820</xdr:colOff>
      <xdr:row>358</xdr:row>
      <xdr:rowOff>114300</xdr:rowOff>
    </xdr:to>
    <xdr:sp macro="" textlink="">
      <xdr:nvSpPr>
        <xdr:cNvPr id="392" name="Arrow: Down 391">
          <a:extLst>
            <a:ext uri="{FF2B5EF4-FFF2-40B4-BE49-F238E27FC236}">
              <a16:creationId xmlns:a16="http://schemas.microsoft.com/office/drawing/2014/main" id="{8072A505-1009-423D-B3A1-B100E18C2E88}"/>
            </a:ext>
          </a:extLst>
        </xdr:cNvPr>
        <xdr:cNvSpPr/>
      </xdr:nvSpPr>
      <xdr:spPr>
        <a:xfrm>
          <a:off x="11803380" y="4975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359</xdr:row>
      <xdr:rowOff>0</xdr:rowOff>
    </xdr:from>
    <xdr:to>
      <xdr:col>28</xdr:col>
      <xdr:colOff>83820</xdr:colOff>
      <xdr:row>359</xdr:row>
      <xdr:rowOff>114300</xdr:rowOff>
    </xdr:to>
    <xdr:sp macro="" textlink="">
      <xdr:nvSpPr>
        <xdr:cNvPr id="394" name="Arrow: Down 393">
          <a:extLst>
            <a:ext uri="{FF2B5EF4-FFF2-40B4-BE49-F238E27FC236}">
              <a16:creationId xmlns:a16="http://schemas.microsoft.com/office/drawing/2014/main" id="{265A5EF5-D3A6-4184-9EC5-6880DCCF56A5}"/>
            </a:ext>
          </a:extLst>
        </xdr:cNvPr>
        <xdr:cNvSpPr/>
      </xdr:nvSpPr>
      <xdr:spPr>
        <a:xfrm>
          <a:off x="11803380" y="4993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360</xdr:row>
      <xdr:rowOff>0</xdr:rowOff>
    </xdr:from>
    <xdr:to>
      <xdr:col>28</xdr:col>
      <xdr:colOff>83820</xdr:colOff>
      <xdr:row>360</xdr:row>
      <xdr:rowOff>114300</xdr:rowOff>
    </xdr:to>
    <xdr:sp macro="" textlink="">
      <xdr:nvSpPr>
        <xdr:cNvPr id="396" name="Arrow: Down 395">
          <a:extLst>
            <a:ext uri="{FF2B5EF4-FFF2-40B4-BE49-F238E27FC236}">
              <a16:creationId xmlns:a16="http://schemas.microsoft.com/office/drawing/2014/main" id="{B8BC2355-2D9D-43CC-A55E-D1D842A7EC62}"/>
            </a:ext>
          </a:extLst>
        </xdr:cNvPr>
        <xdr:cNvSpPr/>
      </xdr:nvSpPr>
      <xdr:spPr>
        <a:xfrm>
          <a:off x="11803380" y="5011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361</xdr:row>
      <xdr:rowOff>0</xdr:rowOff>
    </xdr:from>
    <xdr:to>
      <xdr:col>28</xdr:col>
      <xdr:colOff>83820</xdr:colOff>
      <xdr:row>361</xdr:row>
      <xdr:rowOff>114300</xdr:rowOff>
    </xdr:to>
    <xdr:sp macro="" textlink="">
      <xdr:nvSpPr>
        <xdr:cNvPr id="379" name="Arrow: Down 378">
          <a:extLst>
            <a:ext uri="{FF2B5EF4-FFF2-40B4-BE49-F238E27FC236}">
              <a16:creationId xmlns:a16="http://schemas.microsoft.com/office/drawing/2014/main" id="{52BE287E-13CD-4495-878C-448172005F48}"/>
            </a:ext>
          </a:extLst>
        </xdr:cNvPr>
        <xdr:cNvSpPr/>
      </xdr:nvSpPr>
      <xdr:spPr>
        <a:xfrm rot="10800000">
          <a:off x="11803380" y="5048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362</xdr:row>
      <xdr:rowOff>0</xdr:rowOff>
    </xdr:from>
    <xdr:to>
      <xdr:col>28</xdr:col>
      <xdr:colOff>83820</xdr:colOff>
      <xdr:row>362</xdr:row>
      <xdr:rowOff>114300</xdr:rowOff>
    </xdr:to>
    <xdr:sp macro="" textlink="">
      <xdr:nvSpPr>
        <xdr:cNvPr id="383" name="Arrow: Down 382">
          <a:extLst>
            <a:ext uri="{FF2B5EF4-FFF2-40B4-BE49-F238E27FC236}">
              <a16:creationId xmlns:a16="http://schemas.microsoft.com/office/drawing/2014/main" id="{B9440002-FAAC-4644-A96E-0D96435AA698}"/>
            </a:ext>
          </a:extLst>
        </xdr:cNvPr>
        <xdr:cNvSpPr/>
      </xdr:nvSpPr>
      <xdr:spPr>
        <a:xfrm rot="10800000">
          <a:off x="11803380" y="5048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363</xdr:row>
      <xdr:rowOff>0</xdr:rowOff>
    </xdr:from>
    <xdr:to>
      <xdr:col>28</xdr:col>
      <xdr:colOff>83820</xdr:colOff>
      <xdr:row>363</xdr:row>
      <xdr:rowOff>114300</xdr:rowOff>
    </xdr:to>
    <xdr:sp macro="" textlink="">
      <xdr:nvSpPr>
        <xdr:cNvPr id="387" name="Arrow: Down 386">
          <a:extLst>
            <a:ext uri="{FF2B5EF4-FFF2-40B4-BE49-F238E27FC236}">
              <a16:creationId xmlns:a16="http://schemas.microsoft.com/office/drawing/2014/main" id="{226EC252-23CB-4A0E-8DBB-B99017E00186}"/>
            </a:ext>
          </a:extLst>
        </xdr:cNvPr>
        <xdr:cNvSpPr/>
      </xdr:nvSpPr>
      <xdr:spPr>
        <a:xfrm>
          <a:off x="11803380" y="5084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364</xdr:row>
      <xdr:rowOff>0</xdr:rowOff>
    </xdr:from>
    <xdr:to>
      <xdr:col>28</xdr:col>
      <xdr:colOff>83820</xdr:colOff>
      <xdr:row>364</xdr:row>
      <xdr:rowOff>114300</xdr:rowOff>
    </xdr:to>
    <xdr:sp macro="" textlink="">
      <xdr:nvSpPr>
        <xdr:cNvPr id="389" name="Arrow: Down 388">
          <a:extLst>
            <a:ext uri="{FF2B5EF4-FFF2-40B4-BE49-F238E27FC236}">
              <a16:creationId xmlns:a16="http://schemas.microsoft.com/office/drawing/2014/main" id="{C6E89404-D9DC-488E-A992-36B66007DF5B}"/>
            </a:ext>
          </a:extLst>
        </xdr:cNvPr>
        <xdr:cNvSpPr/>
      </xdr:nvSpPr>
      <xdr:spPr>
        <a:xfrm>
          <a:off x="11803380" y="5084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365</xdr:row>
      <xdr:rowOff>0</xdr:rowOff>
    </xdr:from>
    <xdr:to>
      <xdr:col>28</xdr:col>
      <xdr:colOff>83820</xdr:colOff>
      <xdr:row>365</xdr:row>
      <xdr:rowOff>114300</xdr:rowOff>
    </xdr:to>
    <xdr:sp macro="" textlink="">
      <xdr:nvSpPr>
        <xdr:cNvPr id="393" name="Arrow: Down 392">
          <a:extLst>
            <a:ext uri="{FF2B5EF4-FFF2-40B4-BE49-F238E27FC236}">
              <a16:creationId xmlns:a16="http://schemas.microsoft.com/office/drawing/2014/main" id="{67ECD18E-B747-4608-9F59-4CC84038CB9F}"/>
            </a:ext>
          </a:extLst>
        </xdr:cNvPr>
        <xdr:cNvSpPr/>
      </xdr:nvSpPr>
      <xdr:spPr>
        <a:xfrm>
          <a:off x="11803380" y="5103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366</xdr:row>
      <xdr:rowOff>0</xdr:rowOff>
    </xdr:from>
    <xdr:to>
      <xdr:col>28</xdr:col>
      <xdr:colOff>83820</xdr:colOff>
      <xdr:row>366</xdr:row>
      <xdr:rowOff>114300</xdr:rowOff>
    </xdr:to>
    <xdr:sp macro="" textlink="">
      <xdr:nvSpPr>
        <xdr:cNvPr id="395" name="Arrow: Down 394">
          <a:extLst>
            <a:ext uri="{FF2B5EF4-FFF2-40B4-BE49-F238E27FC236}">
              <a16:creationId xmlns:a16="http://schemas.microsoft.com/office/drawing/2014/main" id="{872F01FF-1726-417D-B86C-FFFE32A785B7}"/>
            </a:ext>
          </a:extLst>
        </xdr:cNvPr>
        <xdr:cNvSpPr/>
      </xdr:nvSpPr>
      <xdr:spPr>
        <a:xfrm>
          <a:off x="11803380" y="5121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367</xdr:row>
      <xdr:rowOff>0</xdr:rowOff>
    </xdr:from>
    <xdr:to>
      <xdr:col>28</xdr:col>
      <xdr:colOff>83820</xdr:colOff>
      <xdr:row>367</xdr:row>
      <xdr:rowOff>114300</xdr:rowOff>
    </xdr:to>
    <xdr:sp macro="" textlink="">
      <xdr:nvSpPr>
        <xdr:cNvPr id="398" name="Arrow: Down 397">
          <a:extLst>
            <a:ext uri="{FF2B5EF4-FFF2-40B4-BE49-F238E27FC236}">
              <a16:creationId xmlns:a16="http://schemas.microsoft.com/office/drawing/2014/main" id="{3D859EB2-0B75-40D9-A958-0064CFB40B39}"/>
            </a:ext>
          </a:extLst>
        </xdr:cNvPr>
        <xdr:cNvSpPr/>
      </xdr:nvSpPr>
      <xdr:spPr>
        <a:xfrm>
          <a:off x="11803380" y="5139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368</xdr:row>
      <xdr:rowOff>0</xdr:rowOff>
    </xdr:from>
    <xdr:to>
      <xdr:col>28</xdr:col>
      <xdr:colOff>83820</xdr:colOff>
      <xdr:row>368</xdr:row>
      <xdr:rowOff>114300</xdr:rowOff>
    </xdr:to>
    <xdr:sp macro="" textlink="">
      <xdr:nvSpPr>
        <xdr:cNvPr id="401" name="Arrow: Down 400">
          <a:extLst>
            <a:ext uri="{FF2B5EF4-FFF2-40B4-BE49-F238E27FC236}">
              <a16:creationId xmlns:a16="http://schemas.microsoft.com/office/drawing/2014/main" id="{8521450F-D7E7-4646-85C5-36885EBA9ACB}"/>
            </a:ext>
          </a:extLst>
        </xdr:cNvPr>
        <xdr:cNvSpPr/>
      </xdr:nvSpPr>
      <xdr:spPr>
        <a:xfrm rot="10800000">
          <a:off x="11803380" y="5176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369</xdr:row>
      <xdr:rowOff>0</xdr:rowOff>
    </xdr:from>
    <xdr:to>
      <xdr:col>28</xdr:col>
      <xdr:colOff>83820</xdr:colOff>
      <xdr:row>369</xdr:row>
      <xdr:rowOff>114300</xdr:rowOff>
    </xdr:to>
    <xdr:sp macro="" textlink="">
      <xdr:nvSpPr>
        <xdr:cNvPr id="402" name="Arrow: Down 401">
          <a:extLst>
            <a:ext uri="{FF2B5EF4-FFF2-40B4-BE49-F238E27FC236}">
              <a16:creationId xmlns:a16="http://schemas.microsoft.com/office/drawing/2014/main" id="{56010367-4913-4EC8-801F-2C2D7818771B}"/>
            </a:ext>
          </a:extLst>
        </xdr:cNvPr>
        <xdr:cNvSpPr/>
      </xdr:nvSpPr>
      <xdr:spPr>
        <a:xfrm rot="10800000">
          <a:off x="11803380" y="5176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370</xdr:row>
      <xdr:rowOff>0</xdr:rowOff>
    </xdr:from>
    <xdr:to>
      <xdr:col>28</xdr:col>
      <xdr:colOff>83820</xdr:colOff>
      <xdr:row>370</xdr:row>
      <xdr:rowOff>114300</xdr:rowOff>
    </xdr:to>
    <xdr:sp macro="" textlink="">
      <xdr:nvSpPr>
        <xdr:cNvPr id="404" name="Arrow: Down 403">
          <a:extLst>
            <a:ext uri="{FF2B5EF4-FFF2-40B4-BE49-F238E27FC236}">
              <a16:creationId xmlns:a16="http://schemas.microsoft.com/office/drawing/2014/main" id="{B31961A5-2486-492C-9FCE-24CD79176228}"/>
            </a:ext>
          </a:extLst>
        </xdr:cNvPr>
        <xdr:cNvSpPr/>
      </xdr:nvSpPr>
      <xdr:spPr>
        <a:xfrm>
          <a:off x="11803380" y="5212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371</xdr:row>
      <xdr:rowOff>0</xdr:rowOff>
    </xdr:from>
    <xdr:to>
      <xdr:col>28</xdr:col>
      <xdr:colOff>83820</xdr:colOff>
      <xdr:row>371</xdr:row>
      <xdr:rowOff>114300</xdr:rowOff>
    </xdr:to>
    <xdr:sp macro="" textlink="">
      <xdr:nvSpPr>
        <xdr:cNvPr id="405" name="Arrow: Down 404">
          <a:extLst>
            <a:ext uri="{FF2B5EF4-FFF2-40B4-BE49-F238E27FC236}">
              <a16:creationId xmlns:a16="http://schemas.microsoft.com/office/drawing/2014/main" id="{C8D544A8-9B81-4324-920A-2E9751E07964}"/>
            </a:ext>
          </a:extLst>
        </xdr:cNvPr>
        <xdr:cNvSpPr/>
      </xdr:nvSpPr>
      <xdr:spPr>
        <a:xfrm>
          <a:off x="11803380" y="5212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372</xdr:row>
      <xdr:rowOff>0</xdr:rowOff>
    </xdr:from>
    <xdr:to>
      <xdr:col>28</xdr:col>
      <xdr:colOff>83820</xdr:colOff>
      <xdr:row>372</xdr:row>
      <xdr:rowOff>114300</xdr:rowOff>
    </xdr:to>
    <xdr:sp macro="" textlink="">
      <xdr:nvSpPr>
        <xdr:cNvPr id="406" name="Arrow: Down 405">
          <a:extLst>
            <a:ext uri="{FF2B5EF4-FFF2-40B4-BE49-F238E27FC236}">
              <a16:creationId xmlns:a16="http://schemas.microsoft.com/office/drawing/2014/main" id="{DB9688A2-B203-4F44-8F17-004E18719D5E}"/>
            </a:ext>
          </a:extLst>
        </xdr:cNvPr>
        <xdr:cNvSpPr/>
      </xdr:nvSpPr>
      <xdr:spPr>
        <a:xfrm>
          <a:off x="11803380" y="5231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373</xdr:row>
      <xdr:rowOff>0</xdr:rowOff>
    </xdr:from>
    <xdr:to>
      <xdr:col>28</xdr:col>
      <xdr:colOff>83820</xdr:colOff>
      <xdr:row>373</xdr:row>
      <xdr:rowOff>114300</xdr:rowOff>
    </xdr:to>
    <xdr:sp macro="" textlink="">
      <xdr:nvSpPr>
        <xdr:cNvPr id="384" name="Arrow: Down 383">
          <a:extLst>
            <a:ext uri="{FF2B5EF4-FFF2-40B4-BE49-F238E27FC236}">
              <a16:creationId xmlns:a16="http://schemas.microsoft.com/office/drawing/2014/main" id="{1248FED2-6949-439E-B91E-A4C53C4F7704}"/>
            </a:ext>
          </a:extLst>
        </xdr:cNvPr>
        <xdr:cNvSpPr/>
      </xdr:nvSpPr>
      <xdr:spPr>
        <a:xfrm>
          <a:off x="11803380" y="5249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374</xdr:row>
      <xdr:rowOff>0</xdr:rowOff>
    </xdr:from>
    <xdr:to>
      <xdr:col>28</xdr:col>
      <xdr:colOff>83820</xdr:colOff>
      <xdr:row>374</xdr:row>
      <xdr:rowOff>114300</xdr:rowOff>
    </xdr:to>
    <xdr:sp macro="" textlink="">
      <xdr:nvSpPr>
        <xdr:cNvPr id="391" name="Arrow: Down 390">
          <a:extLst>
            <a:ext uri="{FF2B5EF4-FFF2-40B4-BE49-F238E27FC236}">
              <a16:creationId xmlns:a16="http://schemas.microsoft.com/office/drawing/2014/main" id="{9FDD0A7E-4FEB-4122-829B-4156A007962D}"/>
            </a:ext>
          </a:extLst>
        </xdr:cNvPr>
        <xdr:cNvSpPr/>
      </xdr:nvSpPr>
      <xdr:spPr>
        <a:xfrm>
          <a:off x="11803380" y="5267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375</xdr:row>
      <xdr:rowOff>0</xdr:rowOff>
    </xdr:from>
    <xdr:to>
      <xdr:col>28</xdr:col>
      <xdr:colOff>83820</xdr:colOff>
      <xdr:row>375</xdr:row>
      <xdr:rowOff>114300</xdr:rowOff>
    </xdr:to>
    <xdr:sp macro="" textlink="">
      <xdr:nvSpPr>
        <xdr:cNvPr id="400" name="Arrow: Down 399">
          <a:extLst>
            <a:ext uri="{FF2B5EF4-FFF2-40B4-BE49-F238E27FC236}">
              <a16:creationId xmlns:a16="http://schemas.microsoft.com/office/drawing/2014/main" id="{E3B3F3E4-D25F-411B-99CC-65D5266A33B5}"/>
            </a:ext>
          </a:extLst>
        </xdr:cNvPr>
        <xdr:cNvSpPr/>
      </xdr:nvSpPr>
      <xdr:spPr>
        <a:xfrm rot="10800000">
          <a:off x="11803380" y="5304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377</xdr:row>
      <xdr:rowOff>0</xdr:rowOff>
    </xdr:from>
    <xdr:to>
      <xdr:col>28</xdr:col>
      <xdr:colOff>83820</xdr:colOff>
      <xdr:row>377</xdr:row>
      <xdr:rowOff>114300</xdr:rowOff>
    </xdr:to>
    <xdr:sp macro="" textlink="">
      <xdr:nvSpPr>
        <xdr:cNvPr id="403" name="Arrow: Down 402">
          <a:extLst>
            <a:ext uri="{FF2B5EF4-FFF2-40B4-BE49-F238E27FC236}">
              <a16:creationId xmlns:a16="http://schemas.microsoft.com/office/drawing/2014/main" id="{08407D55-460F-429A-87CA-6625D084FA8D}"/>
            </a:ext>
          </a:extLst>
        </xdr:cNvPr>
        <xdr:cNvSpPr/>
      </xdr:nvSpPr>
      <xdr:spPr>
        <a:xfrm>
          <a:off x="11803380" y="5322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376</xdr:row>
      <xdr:rowOff>0</xdr:rowOff>
    </xdr:from>
    <xdr:to>
      <xdr:col>28</xdr:col>
      <xdr:colOff>83820</xdr:colOff>
      <xdr:row>376</xdr:row>
      <xdr:rowOff>114300</xdr:rowOff>
    </xdr:to>
    <xdr:sp macro="" textlink="">
      <xdr:nvSpPr>
        <xdr:cNvPr id="407" name="Arrow: Down 406">
          <a:extLst>
            <a:ext uri="{FF2B5EF4-FFF2-40B4-BE49-F238E27FC236}">
              <a16:creationId xmlns:a16="http://schemas.microsoft.com/office/drawing/2014/main" id="{D4E1F313-B8CA-4094-B11E-3DF6E299AF76}"/>
            </a:ext>
          </a:extLst>
        </xdr:cNvPr>
        <xdr:cNvSpPr/>
      </xdr:nvSpPr>
      <xdr:spPr>
        <a:xfrm rot="10800000">
          <a:off x="11803380" y="5322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378</xdr:row>
      <xdr:rowOff>0</xdr:rowOff>
    </xdr:from>
    <xdr:to>
      <xdr:col>28</xdr:col>
      <xdr:colOff>83820</xdr:colOff>
      <xdr:row>378</xdr:row>
      <xdr:rowOff>114300</xdr:rowOff>
    </xdr:to>
    <xdr:sp macro="" textlink="">
      <xdr:nvSpPr>
        <xdr:cNvPr id="409" name="Arrow: Down 408">
          <a:extLst>
            <a:ext uri="{FF2B5EF4-FFF2-40B4-BE49-F238E27FC236}">
              <a16:creationId xmlns:a16="http://schemas.microsoft.com/office/drawing/2014/main" id="{C8F208EA-2FF7-4209-B606-96EF4E25EF74}"/>
            </a:ext>
          </a:extLst>
        </xdr:cNvPr>
        <xdr:cNvSpPr/>
      </xdr:nvSpPr>
      <xdr:spPr>
        <a:xfrm>
          <a:off x="11803380" y="5340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379</xdr:row>
      <xdr:rowOff>0</xdr:rowOff>
    </xdr:from>
    <xdr:to>
      <xdr:col>28</xdr:col>
      <xdr:colOff>83820</xdr:colOff>
      <xdr:row>379</xdr:row>
      <xdr:rowOff>114300</xdr:rowOff>
    </xdr:to>
    <xdr:sp macro="" textlink="">
      <xdr:nvSpPr>
        <xdr:cNvPr id="411" name="Arrow: Down 410">
          <a:extLst>
            <a:ext uri="{FF2B5EF4-FFF2-40B4-BE49-F238E27FC236}">
              <a16:creationId xmlns:a16="http://schemas.microsoft.com/office/drawing/2014/main" id="{1378870B-C4AC-42D8-B94F-8363E198EC80}"/>
            </a:ext>
          </a:extLst>
        </xdr:cNvPr>
        <xdr:cNvSpPr/>
      </xdr:nvSpPr>
      <xdr:spPr>
        <a:xfrm>
          <a:off x="11803380" y="5359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380</xdr:row>
      <xdr:rowOff>0</xdr:rowOff>
    </xdr:from>
    <xdr:to>
      <xdr:col>28</xdr:col>
      <xdr:colOff>83820</xdr:colOff>
      <xdr:row>380</xdr:row>
      <xdr:rowOff>114300</xdr:rowOff>
    </xdr:to>
    <xdr:sp macro="" textlink="">
      <xdr:nvSpPr>
        <xdr:cNvPr id="397" name="Arrow: Down 396">
          <a:extLst>
            <a:ext uri="{FF2B5EF4-FFF2-40B4-BE49-F238E27FC236}">
              <a16:creationId xmlns:a16="http://schemas.microsoft.com/office/drawing/2014/main" id="{7943AF48-4E77-47B1-949A-4F2ED575D014}"/>
            </a:ext>
          </a:extLst>
        </xdr:cNvPr>
        <xdr:cNvSpPr/>
      </xdr:nvSpPr>
      <xdr:spPr>
        <a:xfrm>
          <a:off x="11803380" y="5377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381</xdr:row>
      <xdr:rowOff>0</xdr:rowOff>
    </xdr:from>
    <xdr:to>
      <xdr:col>28</xdr:col>
      <xdr:colOff>83820</xdr:colOff>
      <xdr:row>381</xdr:row>
      <xdr:rowOff>114300</xdr:rowOff>
    </xdr:to>
    <xdr:sp macro="" textlink="">
      <xdr:nvSpPr>
        <xdr:cNvPr id="408" name="Arrow: Down 407">
          <a:extLst>
            <a:ext uri="{FF2B5EF4-FFF2-40B4-BE49-F238E27FC236}">
              <a16:creationId xmlns:a16="http://schemas.microsoft.com/office/drawing/2014/main" id="{83C57449-B72C-4E4F-B20B-70278DA6659C}"/>
            </a:ext>
          </a:extLst>
        </xdr:cNvPr>
        <xdr:cNvSpPr/>
      </xdr:nvSpPr>
      <xdr:spPr>
        <a:xfrm>
          <a:off x="11803380" y="5395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382</xdr:row>
      <xdr:rowOff>0</xdr:rowOff>
    </xdr:from>
    <xdr:to>
      <xdr:col>28</xdr:col>
      <xdr:colOff>83820</xdr:colOff>
      <xdr:row>382</xdr:row>
      <xdr:rowOff>114300</xdr:rowOff>
    </xdr:to>
    <xdr:sp macro="" textlink="">
      <xdr:nvSpPr>
        <xdr:cNvPr id="412" name="Arrow: Down 411">
          <a:extLst>
            <a:ext uri="{FF2B5EF4-FFF2-40B4-BE49-F238E27FC236}">
              <a16:creationId xmlns:a16="http://schemas.microsoft.com/office/drawing/2014/main" id="{0ABBB245-6FC5-4EA5-90F0-ADAF2719CC32}"/>
            </a:ext>
          </a:extLst>
        </xdr:cNvPr>
        <xdr:cNvSpPr/>
      </xdr:nvSpPr>
      <xdr:spPr>
        <a:xfrm rot="10800000">
          <a:off x="11803380" y="5432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383</xdr:row>
      <xdr:rowOff>0</xdr:rowOff>
    </xdr:from>
    <xdr:to>
      <xdr:col>28</xdr:col>
      <xdr:colOff>83820</xdr:colOff>
      <xdr:row>383</xdr:row>
      <xdr:rowOff>114300</xdr:rowOff>
    </xdr:to>
    <xdr:sp macro="" textlink="">
      <xdr:nvSpPr>
        <xdr:cNvPr id="417" name="Arrow: Down 416">
          <a:extLst>
            <a:ext uri="{FF2B5EF4-FFF2-40B4-BE49-F238E27FC236}">
              <a16:creationId xmlns:a16="http://schemas.microsoft.com/office/drawing/2014/main" id="{D23AAEA0-ADF9-4D63-B65A-55823A2A3E43}"/>
            </a:ext>
          </a:extLst>
        </xdr:cNvPr>
        <xdr:cNvSpPr/>
      </xdr:nvSpPr>
      <xdr:spPr>
        <a:xfrm>
          <a:off x="11803380" y="5450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384</xdr:row>
      <xdr:rowOff>0</xdr:rowOff>
    </xdr:from>
    <xdr:to>
      <xdr:col>28</xdr:col>
      <xdr:colOff>83820</xdr:colOff>
      <xdr:row>384</xdr:row>
      <xdr:rowOff>114300</xdr:rowOff>
    </xdr:to>
    <xdr:sp macro="" textlink="">
      <xdr:nvSpPr>
        <xdr:cNvPr id="419" name="Arrow: Down 418">
          <a:extLst>
            <a:ext uri="{FF2B5EF4-FFF2-40B4-BE49-F238E27FC236}">
              <a16:creationId xmlns:a16="http://schemas.microsoft.com/office/drawing/2014/main" id="{566ECB7E-3B79-41BD-8D76-04A1736CAFA6}"/>
            </a:ext>
          </a:extLst>
        </xdr:cNvPr>
        <xdr:cNvSpPr/>
      </xdr:nvSpPr>
      <xdr:spPr>
        <a:xfrm>
          <a:off x="11803380" y="5468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385</xdr:row>
      <xdr:rowOff>0</xdr:rowOff>
    </xdr:from>
    <xdr:to>
      <xdr:col>28</xdr:col>
      <xdr:colOff>83820</xdr:colOff>
      <xdr:row>385</xdr:row>
      <xdr:rowOff>114300</xdr:rowOff>
    </xdr:to>
    <xdr:sp macro="" textlink="">
      <xdr:nvSpPr>
        <xdr:cNvPr id="420" name="Arrow: Down 419">
          <a:extLst>
            <a:ext uri="{FF2B5EF4-FFF2-40B4-BE49-F238E27FC236}">
              <a16:creationId xmlns:a16="http://schemas.microsoft.com/office/drawing/2014/main" id="{37F2E51E-0D5A-4716-8A06-49C8C15A01D4}"/>
            </a:ext>
          </a:extLst>
        </xdr:cNvPr>
        <xdr:cNvSpPr/>
      </xdr:nvSpPr>
      <xdr:spPr>
        <a:xfrm>
          <a:off x="11803380" y="5487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386</xdr:row>
      <xdr:rowOff>0</xdr:rowOff>
    </xdr:from>
    <xdr:to>
      <xdr:col>28</xdr:col>
      <xdr:colOff>83820</xdr:colOff>
      <xdr:row>386</xdr:row>
      <xdr:rowOff>114300</xdr:rowOff>
    </xdr:to>
    <xdr:sp macro="" textlink="">
      <xdr:nvSpPr>
        <xdr:cNvPr id="421" name="Arrow: Down 420">
          <a:extLst>
            <a:ext uri="{FF2B5EF4-FFF2-40B4-BE49-F238E27FC236}">
              <a16:creationId xmlns:a16="http://schemas.microsoft.com/office/drawing/2014/main" id="{538B6CFF-12F1-449F-9DB5-5BCF110F6AA8}"/>
            </a:ext>
          </a:extLst>
        </xdr:cNvPr>
        <xdr:cNvSpPr/>
      </xdr:nvSpPr>
      <xdr:spPr>
        <a:xfrm>
          <a:off x="11803380" y="5487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387</xdr:row>
      <xdr:rowOff>0</xdr:rowOff>
    </xdr:from>
    <xdr:to>
      <xdr:col>28</xdr:col>
      <xdr:colOff>83820</xdr:colOff>
      <xdr:row>387</xdr:row>
      <xdr:rowOff>114300</xdr:rowOff>
    </xdr:to>
    <xdr:sp macro="" textlink="">
      <xdr:nvSpPr>
        <xdr:cNvPr id="399" name="Arrow: Down 398">
          <a:extLst>
            <a:ext uri="{FF2B5EF4-FFF2-40B4-BE49-F238E27FC236}">
              <a16:creationId xmlns:a16="http://schemas.microsoft.com/office/drawing/2014/main" id="{0207986C-2123-473D-A292-97264068E813}"/>
            </a:ext>
          </a:extLst>
        </xdr:cNvPr>
        <xdr:cNvSpPr/>
      </xdr:nvSpPr>
      <xdr:spPr>
        <a:xfrm>
          <a:off x="11803380" y="5505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388</xdr:row>
      <xdr:rowOff>0</xdr:rowOff>
    </xdr:from>
    <xdr:to>
      <xdr:col>28</xdr:col>
      <xdr:colOff>83820</xdr:colOff>
      <xdr:row>388</xdr:row>
      <xdr:rowOff>114300</xdr:rowOff>
    </xdr:to>
    <xdr:sp macro="" textlink="">
      <xdr:nvSpPr>
        <xdr:cNvPr id="410" name="Arrow: Down 409">
          <a:extLst>
            <a:ext uri="{FF2B5EF4-FFF2-40B4-BE49-F238E27FC236}">
              <a16:creationId xmlns:a16="http://schemas.microsoft.com/office/drawing/2014/main" id="{345007CD-D62A-4976-AD59-E29ED9250E8A}"/>
            </a:ext>
          </a:extLst>
        </xdr:cNvPr>
        <xdr:cNvSpPr/>
      </xdr:nvSpPr>
      <xdr:spPr>
        <a:xfrm>
          <a:off x="11803380" y="5523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389</xdr:row>
      <xdr:rowOff>0</xdr:rowOff>
    </xdr:from>
    <xdr:to>
      <xdr:col>28</xdr:col>
      <xdr:colOff>83820</xdr:colOff>
      <xdr:row>389</xdr:row>
      <xdr:rowOff>114300</xdr:rowOff>
    </xdr:to>
    <xdr:sp macro="" textlink="">
      <xdr:nvSpPr>
        <xdr:cNvPr id="415" name="Arrow: Down 414">
          <a:extLst>
            <a:ext uri="{FF2B5EF4-FFF2-40B4-BE49-F238E27FC236}">
              <a16:creationId xmlns:a16="http://schemas.microsoft.com/office/drawing/2014/main" id="{21DDA808-903D-438E-8ED2-4C9A1DBE1A26}"/>
            </a:ext>
          </a:extLst>
        </xdr:cNvPr>
        <xdr:cNvSpPr/>
      </xdr:nvSpPr>
      <xdr:spPr>
        <a:xfrm rot="10800000">
          <a:off x="11803380" y="5560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390</xdr:row>
      <xdr:rowOff>0</xdr:rowOff>
    </xdr:from>
    <xdr:to>
      <xdr:col>28</xdr:col>
      <xdr:colOff>83820</xdr:colOff>
      <xdr:row>390</xdr:row>
      <xdr:rowOff>114300</xdr:rowOff>
    </xdr:to>
    <xdr:sp macro="" textlink="">
      <xdr:nvSpPr>
        <xdr:cNvPr id="422" name="Arrow: Down 421">
          <a:extLst>
            <a:ext uri="{FF2B5EF4-FFF2-40B4-BE49-F238E27FC236}">
              <a16:creationId xmlns:a16="http://schemas.microsoft.com/office/drawing/2014/main" id="{7016D552-DE13-4D70-A14D-3A869F60AE4C}"/>
            </a:ext>
          </a:extLst>
        </xdr:cNvPr>
        <xdr:cNvSpPr/>
      </xdr:nvSpPr>
      <xdr:spPr>
        <a:xfrm>
          <a:off x="11803380" y="5578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391</xdr:row>
      <xdr:rowOff>0</xdr:rowOff>
    </xdr:from>
    <xdr:to>
      <xdr:col>28</xdr:col>
      <xdr:colOff>83820</xdr:colOff>
      <xdr:row>391</xdr:row>
      <xdr:rowOff>114300</xdr:rowOff>
    </xdr:to>
    <xdr:sp macro="" textlink="">
      <xdr:nvSpPr>
        <xdr:cNvPr id="413" name="Arrow: Down 412">
          <a:extLst>
            <a:ext uri="{FF2B5EF4-FFF2-40B4-BE49-F238E27FC236}">
              <a16:creationId xmlns:a16="http://schemas.microsoft.com/office/drawing/2014/main" id="{72CB5BF1-EACF-4487-AF85-C874C9C78F05}"/>
            </a:ext>
          </a:extLst>
        </xdr:cNvPr>
        <xdr:cNvSpPr/>
      </xdr:nvSpPr>
      <xdr:spPr>
        <a:xfrm>
          <a:off x="11803380" y="5578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392</xdr:row>
      <xdr:rowOff>0</xdr:rowOff>
    </xdr:from>
    <xdr:to>
      <xdr:col>28</xdr:col>
      <xdr:colOff>83820</xdr:colOff>
      <xdr:row>392</xdr:row>
      <xdr:rowOff>114300</xdr:rowOff>
    </xdr:to>
    <xdr:sp macro="" textlink="">
      <xdr:nvSpPr>
        <xdr:cNvPr id="416" name="Arrow: Down 415">
          <a:extLst>
            <a:ext uri="{FF2B5EF4-FFF2-40B4-BE49-F238E27FC236}">
              <a16:creationId xmlns:a16="http://schemas.microsoft.com/office/drawing/2014/main" id="{E1B7CB30-3D3B-4CBE-BAFC-AEA14D179C86}"/>
            </a:ext>
          </a:extLst>
        </xdr:cNvPr>
        <xdr:cNvSpPr/>
      </xdr:nvSpPr>
      <xdr:spPr>
        <a:xfrm>
          <a:off x="11803380" y="5596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393</xdr:row>
      <xdr:rowOff>0</xdr:rowOff>
    </xdr:from>
    <xdr:to>
      <xdr:col>28</xdr:col>
      <xdr:colOff>83820</xdr:colOff>
      <xdr:row>393</xdr:row>
      <xdr:rowOff>114300</xdr:rowOff>
    </xdr:to>
    <xdr:sp macro="" textlink="">
      <xdr:nvSpPr>
        <xdr:cNvPr id="418" name="Arrow: Down 417">
          <a:extLst>
            <a:ext uri="{FF2B5EF4-FFF2-40B4-BE49-F238E27FC236}">
              <a16:creationId xmlns:a16="http://schemas.microsoft.com/office/drawing/2014/main" id="{ADBDD574-4A8D-4068-A7A7-5E09588D50F1}"/>
            </a:ext>
          </a:extLst>
        </xdr:cNvPr>
        <xdr:cNvSpPr/>
      </xdr:nvSpPr>
      <xdr:spPr>
        <a:xfrm>
          <a:off x="11803380" y="5615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394</xdr:row>
      <xdr:rowOff>0</xdr:rowOff>
    </xdr:from>
    <xdr:to>
      <xdr:col>28</xdr:col>
      <xdr:colOff>83820</xdr:colOff>
      <xdr:row>394</xdr:row>
      <xdr:rowOff>114300</xdr:rowOff>
    </xdr:to>
    <xdr:sp macro="" textlink="">
      <xdr:nvSpPr>
        <xdr:cNvPr id="414" name="Arrow: Down 413">
          <a:extLst>
            <a:ext uri="{FF2B5EF4-FFF2-40B4-BE49-F238E27FC236}">
              <a16:creationId xmlns:a16="http://schemas.microsoft.com/office/drawing/2014/main" id="{A7AE415D-F477-48A6-B08A-9C0D392F43B9}"/>
            </a:ext>
          </a:extLst>
        </xdr:cNvPr>
        <xdr:cNvSpPr/>
      </xdr:nvSpPr>
      <xdr:spPr>
        <a:xfrm>
          <a:off x="11803380" y="5633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395</xdr:row>
      <xdr:rowOff>0</xdr:rowOff>
    </xdr:from>
    <xdr:to>
      <xdr:col>28</xdr:col>
      <xdr:colOff>83820</xdr:colOff>
      <xdr:row>395</xdr:row>
      <xdr:rowOff>114300</xdr:rowOff>
    </xdr:to>
    <xdr:sp macro="" textlink="">
      <xdr:nvSpPr>
        <xdr:cNvPr id="424" name="Arrow: Down 423">
          <a:extLst>
            <a:ext uri="{FF2B5EF4-FFF2-40B4-BE49-F238E27FC236}">
              <a16:creationId xmlns:a16="http://schemas.microsoft.com/office/drawing/2014/main" id="{2E0D1548-DC45-4214-A982-EC8F45FA7F0C}"/>
            </a:ext>
          </a:extLst>
        </xdr:cNvPr>
        <xdr:cNvSpPr/>
      </xdr:nvSpPr>
      <xdr:spPr>
        <a:xfrm rot="10800000">
          <a:off x="11803380" y="56700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396</xdr:row>
      <xdr:rowOff>0</xdr:rowOff>
    </xdr:from>
    <xdr:to>
      <xdr:col>28</xdr:col>
      <xdr:colOff>83820</xdr:colOff>
      <xdr:row>396</xdr:row>
      <xdr:rowOff>114300</xdr:rowOff>
    </xdr:to>
    <xdr:sp macro="" textlink="">
      <xdr:nvSpPr>
        <xdr:cNvPr id="426" name="Arrow: Down 425">
          <a:extLst>
            <a:ext uri="{FF2B5EF4-FFF2-40B4-BE49-F238E27FC236}">
              <a16:creationId xmlns:a16="http://schemas.microsoft.com/office/drawing/2014/main" id="{617FDBA1-0287-40AE-B457-B4711845B47C}"/>
            </a:ext>
          </a:extLst>
        </xdr:cNvPr>
        <xdr:cNvSpPr/>
      </xdr:nvSpPr>
      <xdr:spPr>
        <a:xfrm>
          <a:off x="11803380" y="5688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397</xdr:row>
      <xdr:rowOff>0</xdr:rowOff>
    </xdr:from>
    <xdr:to>
      <xdr:col>28</xdr:col>
      <xdr:colOff>83820</xdr:colOff>
      <xdr:row>397</xdr:row>
      <xdr:rowOff>114300</xdr:rowOff>
    </xdr:to>
    <xdr:sp macro="" textlink="">
      <xdr:nvSpPr>
        <xdr:cNvPr id="427" name="Arrow: Down 426">
          <a:extLst>
            <a:ext uri="{FF2B5EF4-FFF2-40B4-BE49-F238E27FC236}">
              <a16:creationId xmlns:a16="http://schemas.microsoft.com/office/drawing/2014/main" id="{D44139F1-FAB7-4E7D-AA02-08BCF45EBEAF}"/>
            </a:ext>
          </a:extLst>
        </xdr:cNvPr>
        <xdr:cNvSpPr/>
      </xdr:nvSpPr>
      <xdr:spPr>
        <a:xfrm>
          <a:off x="11803380" y="5688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398</xdr:row>
      <xdr:rowOff>0</xdr:rowOff>
    </xdr:from>
    <xdr:to>
      <xdr:col>28</xdr:col>
      <xdr:colOff>83820</xdr:colOff>
      <xdr:row>398</xdr:row>
      <xdr:rowOff>114300</xdr:rowOff>
    </xdr:to>
    <xdr:sp macro="" textlink="">
      <xdr:nvSpPr>
        <xdr:cNvPr id="429" name="Arrow: Down 428">
          <a:extLst>
            <a:ext uri="{FF2B5EF4-FFF2-40B4-BE49-F238E27FC236}">
              <a16:creationId xmlns:a16="http://schemas.microsoft.com/office/drawing/2014/main" id="{19574F1C-1182-4D2D-8E5F-E2BAB8A83001}"/>
            </a:ext>
          </a:extLst>
        </xdr:cNvPr>
        <xdr:cNvSpPr/>
      </xdr:nvSpPr>
      <xdr:spPr>
        <a:xfrm>
          <a:off x="11803380" y="5706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399</xdr:row>
      <xdr:rowOff>0</xdr:rowOff>
    </xdr:from>
    <xdr:to>
      <xdr:col>28</xdr:col>
      <xdr:colOff>83820</xdr:colOff>
      <xdr:row>399</xdr:row>
      <xdr:rowOff>114300</xdr:rowOff>
    </xdr:to>
    <xdr:sp macro="" textlink="">
      <xdr:nvSpPr>
        <xdr:cNvPr id="430" name="Arrow: Down 429">
          <a:extLst>
            <a:ext uri="{FF2B5EF4-FFF2-40B4-BE49-F238E27FC236}">
              <a16:creationId xmlns:a16="http://schemas.microsoft.com/office/drawing/2014/main" id="{AE71B541-DF53-4ED2-9207-280E51DC778A}"/>
            </a:ext>
          </a:extLst>
        </xdr:cNvPr>
        <xdr:cNvSpPr/>
      </xdr:nvSpPr>
      <xdr:spPr>
        <a:xfrm>
          <a:off x="11803380" y="5724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400</xdr:row>
      <xdr:rowOff>0</xdr:rowOff>
    </xdr:from>
    <xdr:to>
      <xdr:col>28</xdr:col>
      <xdr:colOff>83820</xdr:colOff>
      <xdr:row>400</xdr:row>
      <xdr:rowOff>114300</xdr:rowOff>
    </xdr:to>
    <xdr:sp macro="" textlink="">
      <xdr:nvSpPr>
        <xdr:cNvPr id="431" name="Arrow: Down 430">
          <a:extLst>
            <a:ext uri="{FF2B5EF4-FFF2-40B4-BE49-F238E27FC236}">
              <a16:creationId xmlns:a16="http://schemas.microsoft.com/office/drawing/2014/main" id="{80AEC198-F99B-4244-85E5-ABD4578CC644}"/>
            </a:ext>
          </a:extLst>
        </xdr:cNvPr>
        <xdr:cNvSpPr/>
      </xdr:nvSpPr>
      <xdr:spPr>
        <a:xfrm>
          <a:off x="11803380" y="5743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401</xdr:row>
      <xdr:rowOff>0</xdr:rowOff>
    </xdr:from>
    <xdr:to>
      <xdr:col>28</xdr:col>
      <xdr:colOff>83820</xdr:colOff>
      <xdr:row>401</xdr:row>
      <xdr:rowOff>114300</xdr:rowOff>
    </xdr:to>
    <xdr:sp macro="" textlink="">
      <xdr:nvSpPr>
        <xdr:cNvPr id="423" name="Arrow: Down 422">
          <a:extLst>
            <a:ext uri="{FF2B5EF4-FFF2-40B4-BE49-F238E27FC236}">
              <a16:creationId xmlns:a16="http://schemas.microsoft.com/office/drawing/2014/main" id="{02AF94B6-8BD9-4653-8979-7707A7B33687}"/>
            </a:ext>
          </a:extLst>
        </xdr:cNvPr>
        <xdr:cNvSpPr/>
      </xdr:nvSpPr>
      <xdr:spPr>
        <a:xfrm>
          <a:off x="11803380" y="5761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402</xdr:row>
      <xdr:rowOff>0</xdr:rowOff>
    </xdr:from>
    <xdr:to>
      <xdr:col>28</xdr:col>
      <xdr:colOff>83820</xdr:colOff>
      <xdr:row>402</xdr:row>
      <xdr:rowOff>114300</xdr:rowOff>
    </xdr:to>
    <xdr:sp macro="" textlink="">
      <xdr:nvSpPr>
        <xdr:cNvPr id="425" name="Arrow: Down 424">
          <a:extLst>
            <a:ext uri="{FF2B5EF4-FFF2-40B4-BE49-F238E27FC236}">
              <a16:creationId xmlns:a16="http://schemas.microsoft.com/office/drawing/2014/main" id="{368A84E7-6DF0-457B-8E69-E0C882705C69}"/>
            </a:ext>
          </a:extLst>
        </xdr:cNvPr>
        <xdr:cNvSpPr/>
      </xdr:nvSpPr>
      <xdr:spPr>
        <a:xfrm>
          <a:off x="11803380" y="5779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403</xdr:row>
      <xdr:rowOff>0</xdr:rowOff>
    </xdr:from>
    <xdr:to>
      <xdr:col>28</xdr:col>
      <xdr:colOff>83820</xdr:colOff>
      <xdr:row>403</xdr:row>
      <xdr:rowOff>114300</xdr:rowOff>
    </xdr:to>
    <xdr:sp macro="" textlink="">
      <xdr:nvSpPr>
        <xdr:cNvPr id="428" name="Arrow: Down 427">
          <a:extLst>
            <a:ext uri="{FF2B5EF4-FFF2-40B4-BE49-F238E27FC236}">
              <a16:creationId xmlns:a16="http://schemas.microsoft.com/office/drawing/2014/main" id="{72310310-93F9-450F-AE59-EB866AA1B7D2}"/>
            </a:ext>
          </a:extLst>
        </xdr:cNvPr>
        <xdr:cNvSpPr/>
      </xdr:nvSpPr>
      <xdr:spPr>
        <a:xfrm>
          <a:off x="11803380" y="5798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404</xdr:row>
      <xdr:rowOff>0</xdr:rowOff>
    </xdr:from>
    <xdr:to>
      <xdr:col>28</xdr:col>
      <xdr:colOff>83820</xdr:colOff>
      <xdr:row>404</xdr:row>
      <xdr:rowOff>114300</xdr:rowOff>
    </xdr:to>
    <xdr:sp macro="" textlink="">
      <xdr:nvSpPr>
        <xdr:cNvPr id="432" name="Arrow: Down 431">
          <a:extLst>
            <a:ext uri="{FF2B5EF4-FFF2-40B4-BE49-F238E27FC236}">
              <a16:creationId xmlns:a16="http://schemas.microsoft.com/office/drawing/2014/main" id="{E6996F46-3107-4AAD-81BF-381B161E512B}"/>
            </a:ext>
          </a:extLst>
        </xdr:cNvPr>
        <xdr:cNvSpPr/>
      </xdr:nvSpPr>
      <xdr:spPr>
        <a:xfrm>
          <a:off x="11803380" y="5816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405</xdr:row>
      <xdr:rowOff>0</xdr:rowOff>
    </xdr:from>
    <xdr:to>
      <xdr:col>28</xdr:col>
      <xdr:colOff>83820</xdr:colOff>
      <xdr:row>405</xdr:row>
      <xdr:rowOff>114300</xdr:rowOff>
    </xdr:to>
    <xdr:sp macro="" textlink="">
      <xdr:nvSpPr>
        <xdr:cNvPr id="433" name="Arrow: Down 432">
          <a:extLst>
            <a:ext uri="{FF2B5EF4-FFF2-40B4-BE49-F238E27FC236}">
              <a16:creationId xmlns:a16="http://schemas.microsoft.com/office/drawing/2014/main" id="{B1930E60-12DD-45CC-9751-B6F1577453E3}"/>
            </a:ext>
          </a:extLst>
        </xdr:cNvPr>
        <xdr:cNvSpPr/>
      </xdr:nvSpPr>
      <xdr:spPr>
        <a:xfrm>
          <a:off x="11803380" y="5834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406</xdr:row>
      <xdr:rowOff>0</xdr:rowOff>
    </xdr:from>
    <xdr:to>
      <xdr:col>28</xdr:col>
      <xdr:colOff>83820</xdr:colOff>
      <xdr:row>406</xdr:row>
      <xdr:rowOff>114300</xdr:rowOff>
    </xdr:to>
    <xdr:sp macro="" textlink="">
      <xdr:nvSpPr>
        <xdr:cNvPr id="434" name="Arrow: Down 433">
          <a:extLst>
            <a:ext uri="{FF2B5EF4-FFF2-40B4-BE49-F238E27FC236}">
              <a16:creationId xmlns:a16="http://schemas.microsoft.com/office/drawing/2014/main" id="{0F2C220F-E2F7-4737-B352-36053760BA42}"/>
            </a:ext>
          </a:extLst>
        </xdr:cNvPr>
        <xdr:cNvSpPr/>
      </xdr:nvSpPr>
      <xdr:spPr>
        <a:xfrm>
          <a:off x="11803380" y="5852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407</xdr:row>
      <xdr:rowOff>0</xdr:rowOff>
    </xdr:from>
    <xdr:to>
      <xdr:col>28</xdr:col>
      <xdr:colOff>83820</xdr:colOff>
      <xdr:row>407</xdr:row>
      <xdr:rowOff>114300</xdr:rowOff>
    </xdr:to>
    <xdr:sp macro="" textlink="">
      <xdr:nvSpPr>
        <xdr:cNvPr id="436" name="Arrow: Down 435">
          <a:extLst>
            <a:ext uri="{FF2B5EF4-FFF2-40B4-BE49-F238E27FC236}">
              <a16:creationId xmlns:a16="http://schemas.microsoft.com/office/drawing/2014/main" id="{168FA078-0DC2-4347-8CDC-4650B3D97ADD}"/>
            </a:ext>
          </a:extLst>
        </xdr:cNvPr>
        <xdr:cNvSpPr/>
      </xdr:nvSpPr>
      <xdr:spPr>
        <a:xfrm>
          <a:off x="11803380" y="5871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408</xdr:row>
      <xdr:rowOff>0</xdr:rowOff>
    </xdr:from>
    <xdr:to>
      <xdr:col>28</xdr:col>
      <xdr:colOff>83820</xdr:colOff>
      <xdr:row>408</xdr:row>
      <xdr:rowOff>114300</xdr:rowOff>
    </xdr:to>
    <xdr:sp macro="" textlink="">
      <xdr:nvSpPr>
        <xdr:cNvPr id="435" name="Arrow: Down 434">
          <a:extLst>
            <a:ext uri="{FF2B5EF4-FFF2-40B4-BE49-F238E27FC236}">
              <a16:creationId xmlns:a16="http://schemas.microsoft.com/office/drawing/2014/main" id="{1F001E25-F1C4-4CD4-BC22-F98EC7164A89}"/>
            </a:ext>
          </a:extLst>
        </xdr:cNvPr>
        <xdr:cNvSpPr/>
      </xdr:nvSpPr>
      <xdr:spPr>
        <a:xfrm>
          <a:off x="11803380" y="5889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409</xdr:row>
      <xdr:rowOff>0</xdr:rowOff>
    </xdr:from>
    <xdr:to>
      <xdr:col>28</xdr:col>
      <xdr:colOff>83820</xdr:colOff>
      <xdr:row>409</xdr:row>
      <xdr:rowOff>114300</xdr:rowOff>
    </xdr:to>
    <xdr:sp macro="" textlink="">
      <xdr:nvSpPr>
        <xdr:cNvPr id="438" name="Arrow: Down 437">
          <a:extLst>
            <a:ext uri="{FF2B5EF4-FFF2-40B4-BE49-F238E27FC236}">
              <a16:creationId xmlns:a16="http://schemas.microsoft.com/office/drawing/2014/main" id="{AB6FB263-4B42-44CF-94E5-B5C02EECF733}"/>
            </a:ext>
          </a:extLst>
        </xdr:cNvPr>
        <xdr:cNvSpPr/>
      </xdr:nvSpPr>
      <xdr:spPr>
        <a:xfrm rot="10800000">
          <a:off x="11803380" y="5926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410</xdr:row>
      <xdr:rowOff>0</xdr:rowOff>
    </xdr:from>
    <xdr:to>
      <xdr:col>28</xdr:col>
      <xdr:colOff>83820</xdr:colOff>
      <xdr:row>410</xdr:row>
      <xdr:rowOff>114300</xdr:rowOff>
    </xdr:to>
    <xdr:sp macro="" textlink="">
      <xdr:nvSpPr>
        <xdr:cNvPr id="439" name="Arrow: Down 438">
          <a:extLst>
            <a:ext uri="{FF2B5EF4-FFF2-40B4-BE49-F238E27FC236}">
              <a16:creationId xmlns:a16="http://schemas.microsoft.com/office/drawing/2014/main" id="{E2632A4C-03B9-4DB8-A7E0-00201C03F4CB}"/>
            </a:ext>
          </a:extLst>
        </xdr:cNvPr>
        <xdr:cNvSpPr/>
      </xdr:nvSpPr>
      <xdr:spPr>
        <a:xfrm rot="10800000">
          <a:off x="11803380" y="5926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411</xdr:row>
      <xdr:rowOff>0</xdr:rowOff>
    </xdr:from>
    <xdr:to>
      <xdr:col>28</xdr:col>
      <xdr:colOff>83820</xdr:colOff>
      <xdr:row>411</xdr:row>
      <xdr:rowOff>114300</xdr:rowOff>
    </xdr:to>
    <xdr:sp macro="" textlink="">
      <xdr:nvSpPr>
        <xdr:cNvPr id="437" name="Arrow: Down 436">
          <a:extLst>
            <a:ext uri="{FF2B5EF4-FFF2-40B4-BE49-F238E27FC236}">
              <a16:creationId xmlns:a16="http://schemas.microsoft.com/office/drawing/2014/main" id="{9B4B83B8-FB83-46CF-AAB4-D9875B296EBA}"/>
            </a:ext>
          </a:extLst>
        </xdr:cNvPr>
        <xdr:cNvSpPr/>
      </xdr:nvSpPr>
      <xdr:spPr>
        <a:xfrm rot="10800000">
          <a:off x="11803380" y="59443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412</xdr:row>
      <xdr:rowOff>0</xdr:rowOff>
    </xdr:from>
    <xdr:to>
      <xdr:col>28</xdr:col>
      <xdr:colOff>83820</xdr:colOff>
      <xdr:row>412</xdr:row>
      <xdr:rowOff>114300</xdr:rowOff>
    </xdr:to>
    <xdr:sp macro="" textlink="">
      <xdr:nvSpPr>
        <xdr:cNvPr id="441" name="Arrow: Down 440">
          <a:extLst>
            <a:ext uri="{FF2B5EF4-FFF2-40B4-BE49-F238E27FC236}">
              <a16:creationId xmlns:a16="http://schemas.microsoft.com/office/drawing/2014/main" id="{51D97270-0072-465F-B473-B10A516F1E71}"/>
            </a:ext>
          </a:extLst>
        </xdr:cNvPr>
        <xdr:cNvSpPr/>
      </xdr:nvSpPr>
      <xdr:spPr>
        <a:xfrm>
          <a:off x="11803380" y="5980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413</xdr:row>
      <xdr:rowOff>0</xdr:rowOff>
    </xdr:from>
    <xdr:to>
      <xdr:col>28</xdr:col>
      <xdr:colOff>83820</xdr:colOff>
      <xdr:row>413</xdr:row>
      <xdr:rowOff>114300</xdr:rowOff>
    </xdr:to>
    <xdr:sp macro="" textlink="">
      <xdr:nvSpPr>
        <xdr:cNvPr id="442" name="Arrow: Down 441">
          <a:extLst>
            <a:ext uri="{FF2B5EF4-FFF2-40B4-BE49-F238E27FC236}">
              <a16:creationId xmlns:a16="http://schemas.microsoft.com/office/drawing/2014/main" id="{BE97B50A-8275-4661-862C-BF541C65D2A2}"/>
            </a:ext>
          </a:extLst>
        </xdr:cNvPr>
        <xdr:cNvSpPr/>
      </xdr:nvSpPr>
      <xdr:spPr>
        <a:xfrm>
          <a:off x="11803380" y="5980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414</xdr:row>
      <xdr:rowOff>0</xdr:rowOff>
    </xdr:from>
    <xdr:to>
      <xdr:col>28</xdr:col>
      <xdr:colOff>83820</xdr:colOff>
      <xdr:row>414</xdr:row>
      <xdr:rowOff>114300</xdr:rowOff>
    </xdr:to>
    <xdr:sp macro="" textlink="">
      <xdr:nvSpPr>
        <xdr:cNvPr id="443" name="Arrow: Down 442">
          <a:extLst>
            <a:ext uri="{FF2B5EF4-FFF2-40B4-BE49-F238E27FC236}">
              <a16:creationId xmlns:a16="http://schemas.microsoft.com/office/drawing/2014/main" id="{462C351A-A9C1-417A-801A-22899DE6A924}"/>
            </a:ext>
          </a:extLst>
        </xdr:cNvPr>
        <xdr:cNvSpPr/>
      </xdr:nvSpPr>
      <xdr:spPr>
        <a:xfrm>
          <a:off x="11803380" y="5999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415</xdr:row>
      <xdr:rowOff>0</xdr:rowOff>
    </xdr:from>
    <xdr:to>
      <xdr:col>28</xdr:col>
      <xdr:colOff>83820</xdr:colOff>
      <xdr:row>415</xdr:row>
      <xdr:rowOff>114300</xdr:rowOff>
    </xdr:to>
    <xdr:sp macro="" textlink="">
      <xdr:nvSpPr>
        <xdr:cNvPr id="440" name="Arrow: Down 439">
          <a:extLst>
            <a:ext uri="{FF2B5EF4-FFF2-40B4-BE49-F238E27FC236}">
              <a16:creationId xmlns:a16="http://schemas.microsoft.com/office/drawing/2014/main" id="{DDBCB4F1-0205-40A6-B1F9-51426C2BF02E}"/>
            </a:ext>
          </a:extLst>
        </xdr:cNvPr>
        <xdr:cNvSpPr/>
      </xdr:nvSpPr>
      <xdr:spPr>
        <a:xfrm>
          <a:off x="11803380" y="6017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416</xdr:row>
      <xdr:rowOff>0</xdr:rowOff>
    </xdr:from>
    <xdr:to>
      <xdr:col>28</xdr:col>
      <xdr:colOff>83820</xdr:colOff>
      <xdr:row>416</xdr:row>
      <xdr:rowOff>114300</xdr:rowOff>
    </xdr:to>
    <xdr:sp macro="" textlink="">
      <xdr:nvSpPr>
        <xdr:cNvPr id="445" name="Arrow: Down 444">
          <a:extLst>
            <a:ext uri="{FF2B5EF4-FFF2-40B4-BE49-F238E27FC236}">
              <a16:creationId xmlns:a16="http://schemas.microsoft.com/office/drawing/2014/main" id="{07381506-D812-444B-AF7A-E56F7B2D7760}"/>
            </a:ext>
          </a:extLst>
        </xdr:cNvPr>
        <xdr:cNvSpPr/>
      </xdr:nvSpPr>
      <xdr:spPr>
        <a:xfrm rot="10800000">
          <a:off x="11803380" y="6054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417</xdr:row>
      <xdr:rowOff>0</xdr:rowOff>
    </xdr:from>
    <xdr:to>
      <xdr:col>28</xdr:col>
      <xdr:colOff>83820</xdr:colOff>
      <xdr:row>417</xdr:row>
      <xdr:rowOff>114300</xdr:rowOff>
    </xdr:to>
    <xdr:sp macro="" textlink="">
      <xdr:nvSpPr>
        <xdr:cNvPr id="446" name="Arrow: Down 445">
          <a:extLst>
            <a:ext uri="{FF2B5EF4-FFF2-40B4-BE49-F238E27FC236}">
              <a16:creationId xmlns:a16="http://schemas.microsoft.com/office/drawing/2014/main" id="{E9E2758C-CBE7-4944-B9ED-364085490407}"/>
            </a:ext>
          </a:extLst>
        </xdr:cNvPr>
        <xdr:cNvSpPr/>
      </xdr:nvSpPr>
      <xdr:spPr>
        <a:xfrm rot="10800000">
          <a:off x="11803380" y="6054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418</xdr:row>
      <xdr:rowOff>0</xdr:rowOff>
    </xdr:from>
    <xdr:to>
      <xdr:col>28</xdr:col>
      <xdr:colOff>83820</xdr:colOff>
      <xdr:row>418</xdr:row>
      <xdr:rowOff>114300</xdr:rowOff>
    </xdr:to>
    <xdr:sp macro="" textlink="">
      <xdr:nvSpPr>
        <xdr:cNvPr id="447" name="Arrow: Down 446">
          <a:extLst>
            <a:ext uri="{FF2B5EF4-FFF2-40B4-BE49-F238E27FC236}">
              <a16:creationId xmlns:a16="http://schemas.microsoft.com/office/drawing/2014/main" id="{89239381-72AB-49AF-B3C5-6D47988B5F93}"/>
            </a:ext>
          </a:extLst>
        </xdr:cNvPr>
        <xdr:cNvSpPr/>
      </xdr:nvSpPr>
      <xdr:spPr>
        <a:xfrm rot="10800000">
          <a:off x="11803380" y="60723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419</xdr:row>
      <xdr:rowOff>0</xdr:rowOff>
    </xdr:from>
    <xdr:to>
      <xdr:col>28</xdr:col>
      <xdr:colOff>83820</xdr:colOff>
      <xdr:row>419</xdr:row>
      <xdr:rowOff>114300</xdr:rowOff>
    </xdr:to>
    <xdr:sp macro="" textlink="">
      <xdr:nvSpPr>
        <xdr:cNvPr id="450" name="Arrow: Down 449">
          <a:extLst>
            <a:ext uri="{FF2B5EF4-FFF2-40B4-BE49-F238E27FC236}">
              <a16:creationId xmlns:a16="http://schemas.microsoft.com/office/drawing/2014/main" id="{DA847A4A-CBF9-40BF-8041-B17E9F2362A4}"/>
            </a:ext>
          </a:extLst>
        </xdr:cNvPr>
        <xdr:cNvSpPr/>
      </xdr:nvSpPr>
      <xdr:spPr>
        <a:xfrm>
          <a:off x="11803380" y="6108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420</xdr:row>
      <xdr:rowOff>0</xdr:rowOff>
    </xdr:from>
    <xdr:to>
      <xdr:col>28</xdr:col>
      <xdr:colOff>83820</xdr:colOff>
      <xdr:row>420</xdr:row>
      <xdr:rowOff>114300</xdr:rowOff>
    </xdr:to>
    <xdr:sp macro="" textlink="">
      <xdr:nvSpPr>
        <xdr:cNvPr id="451" name="Arrow: Down 450">
          <a:extLst>
            <a:ext uri="{FF2B5EF4-FFF2-40B4-BE49-F238E27FC236}">
              <a16:creationId xmlns:a16="http://schemas.microsoft.com/office/drawing/2014/main" id="{AA16DF81-980A-4691-AD0D-6E23B629AC75}"/>
            </a:ext>
          </a:extLst>
        </xdr:cNvPr>
        <xdr:cNvSpPr/>
      </xdr:nvSpPr>
      <xdr:spPr>
        <a:xfrm>
          <a:off x="11803380" y="6108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421</xdr:row>
      <xdr:rowOff>0</xdr:rowOff>
    </xdr:from>
    <xdr:to>
      <xdr:col>28</xdr:col>
      <xdr:colOff>83820</xdr:colOff>
      <xdr:row>421</xdr:row>
      <xdr:rowOff>114300</xdr:rowOff>
    </xdr:to>
    <xdr:sp macro="" textlink="">
      <xdr:nvSpPr>
        <xdr:cNvPr id="452" name="Arrow: Down 451">
          <a:extLst>
            <a:ext uri="{FF2B5EF4-FFF2-40B4-BE49-F238E27FC236}">
              <a16:creationId xmlns:a16="http://schemas.microsoft.com/office/drawing/2014/main" id="{70322F04-F268-444F-9660-8ED1580E4270}"/>
            </a:ext>
          </a:extLst>
        </xdr:cNvPr>
        <xdr:cNvSpPr/>
      </xdr:nvSpPr>
      <xdr:spPr>
        <a:xfrm>
          <a:off x="11803380" y="6127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422</xdr:row>
      <xdr:rowOff>0</xdr:rowOff>
    </xdr:from>
    <xdr:to>
      <xdr:col>28</xdr:col>
      <xdr:colOff>83820</xdr:colOff>
      <xdr:row>422</xdr:row>
      <xdr:rowOff>114300</xdr:rowOff>
    </xdr:to>
    <xdr:sp macro="" textlink="">
      <xdr:nvSpPr>
        <xdr:cNvPr id="454" name="Arrow: Down 453">
          <a:extLst>
            <a:ext uri="{FF2B5EF4-FFF2-40B4-BE49-F238E27FC236}">
              <a16:creationId xmlns:a16="http://schemas.microsoft.com/office/drawing/2014/main" id="{54148B21-C1ED-47DE-A052-401ED0CD37D7}"/>
            </a:ext>
          </a:extLst>
        </xdr:cNvPr>
        <xdr:cNvSpPr/>
      </xdr:nvSpPr>
      <xdr:spPr>
        <a:xfrm rot="10800000">
          <a:off x="11803380" y="61638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423</xdr:row>
      <xdr:rowOff>0</xdr:rowOff>
    </xdr:from>
    <xdr:to>
      <xdr:col>28</xdr:col>
      <xdr:colOff>83820</xdr:colOff>
      <xdr:row>423</xdr:row>
      <xdr:rowOff>114300</xdr:rowOff>
    </xdr:to>
    <xdr:sp macro="" textlink="">
      <xdr:nvSpPr>
        <xdr:cNvPr id="456" name="Arrow: Down 455">
          <a:extLst>
            <a:ext uri="{FF2B5EF4-FFF2-40B4-BE49-F238E27FC236}">
              <a16:creationId xmlns:a16="http://schemas.microsoft.com/office/drawing/2014/main" id="{89459B51-6187-4A63-A867-A36B1F84C283}"/>
            </a:ext>
          </a:extLst>
        </xdr:cNvPr>
        <xdr:cNvSpPr/>
      </xdr:nvSpPr>
      <xdr:spPr>
        <a:xfrm rot="10800000">
          <a:off x="11803380" y="61638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424</xdr:row>
      <xdr:rowOff>0</xdr:rowOff>
    </xdr:from>
    <xdr:to>
      <xdr:col>28</xdr:col>
      <xdr:colOff>83820</xdr:colOff>
      <xdr:row>424</xdr:row>
      <xdr:rowOff>114300</xdr:rowOff>
    </xdr:to>
    <xdr:sp macro="" textlink="">
      <xdr:nvSpPr>
        <xdr:cNvPr id="457" name="Arrow: Down 456">
          <a:extLst>
            <a:ext uri="{FF2B5EF4-FFF2-40B4-BE49-F238E27FC236}">
              <a16:creationId xmlns:a16="http://schemas.microsoft.com/office/drawing/2014/main" id="{096807A2-747C-4169-8960-5A2142625359}"/>
            </a:ext>
          </a:extLst>
        </xdr:cNvPr>
        <xdr:cNvSpPr/>
      </xdr:nvSpPr>
      <xdr:spPr>
        <a:xfrm rot="10800000">
          <a:off x="11803380" y="61821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425</xdr:row>
      <xdr:rowOff>0</xdr:rowOff>
    </xdr:from>
    <xdr:to>
      <xdr:col>28</xdr:col>
      <xdr:colOff>83820</xdr:colOff>
      <xdr:row>425</xdr:row>
      <xdr:rowOff>114300</xdr:rowOff>
    </xdr:to>
    <xdr:sp macro="" textlink="">
      <xdr:nvSpPr>
        <xdr:cNvPr id="458" name="Arrow: Down 457">
          <a:extLst>
            <a:ext uri="{FF2B5EF4-FFF2-40B4-BE49-F238E27FC236}">
              <a16:creationId xmlns:a16="http://schemas.microsoft.com/office/drawing/2014/main" id="{2320B268-022F-4465-9F66-3D44282BBED4}"/>
            </a:ext>
          </a:extLst>
        </xdr:cNvPr>
        <xdr:cNvSpPr/>
      </xdr:nvSpPr>
      <xdr:spPr>
        <a:xfrm rot="10800000">
          <a:off x="11803380" y="62003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426</xdr:row>
      <xdr:rowOff>0</xdr:rowOff>
    </xdr:from>
    <xdr:to>
      <xdr:col>28</xdr:col>
      <xdr:colOff>83820</xdr:colOff>
      <xdr:row>426</xdr:row>
      <xdr:rowOff>114300</xdr:rowOff>
    </xdr:to>
    <xdr:sp macro="" textlink="">
      <xdr:nvSpPr>
        <xdr:cNvPr id="461" name="Arrow: Down 460">
          <a:extLst>
            <a:ext uri="{FF2B5EF4-FFF2-40B4-BE49-F238E27FC236}">
              <a16:creationId xmlns:a16="http://schemas.microsoft.com/office/drawing/2014/main" id="{79BFACF1-9056-469D-87C2-1CB437397F1A}"/>
            </a:ext>
          </a:extLst>
        </xdr:cNvPr>
        <xdr:cNvSpPr/>
      </xdr:nvSpPr>
      <xdr:spPr>
        <a:xfrm>
          <a:off x="11803380" y="6236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427</xdr:row>
      <xdr:rowOff>0</xdr:rowOff>
    </xdr:from>
    <xdr:to>
      <xdr:col>28</xdr:col>
      <xdr:colOff>83820</xdr:colOff>
      <xdr:row>427</xdr:row>
      <xdr:rowOff>114300</xdr:rowOff>
    </xdr:to>
    <xdr:sp macro="" textlink="">
      <xdr:nvSpPr>
        <xdr:cNvPr id="462" name="Arrow: Down 461">
          <a:extLst>
            <a:ext uri="{FF2B5EF4-FFF2-40B4-BE49-F238E27FC236}">
              <a16:creationId xmlns:a16="http://schemas.microsoft.com/office/drawing/2014/main" id="{13A51389-4BCB-4C03-A74B-7BFB4E5EC6E8}"/>
            </a:ext>
          </a:extLst>
        </xdr:cNvPr>
        <xdr:cNvSpPr/>
      </xdr:nvSpPr>
      <xdr:spPr>
        <a:xfrm>
          <a:off x="11803380" y="6236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429</xdr:row>
      <xdr:rowOff>0</xdr:rowOff>
    </xdr:from>
    <xdr:to>
      <xdr:col>28</xdr:col>
      <xdr:colOff>83820</xdr:colOff>
      <xdr:row>429</xdr:row>
      <xdr:rowOff>114300</xdr:rowOff>
    </xdr:to>
    <xdr:sp macro="" textlink="">
      <xdr:nvSpPr>
        <xdr:cNvPr id="465" name="Arrow: Down 464">
          <a:extLst>
            <a:ext uri="{FF2B5EF4-FFF2-40B4-BE49-F238E27FC236}">
              <a16:creationId xmlns:a16="http://schemas.microsoft.com/office/drawing/2014/main" id="{8C04641B-50EB-4545-A63E-642D5514CDA9}"/>
            </a:ext>
          </a:extLst>
        </xdr:cNvPr>
        <xdr:cNvSpPr/>
      </xdr:nvSpPr>
      <xdr:spPr>
        <a:xfrm rot="10800000">
          <a:off x="11803380" y="62918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430</xdr:row>
      <xdr:rowOff>0</xdr:rowOff>
    </xdr:from>
    <xdr:to>
      <xdr:col>28</xdr:col>
      <xdr:colOff>83820</xdr:colOff>
      <xdr:row>430</xdr:row>
      <xdr:rowOff>114300</xdr:rowOff>
    </xdr:to>
    <xdr:sp macro="" textlink="">
      <xdr:nvSpPr>
        <xdr:cNvPr id="468" name="Arrow: Down 467">
          <a:extLst>
            <a:ext uri="{FF2B5EF4-FFF2-40B4-BE49-F238E27FC236}">
              <a16:creationId xmlns:a16="http://schemas.microsoft.com/office/drawing/2014/main" id="{99DE3C49-9C76-465B-B464-633411A7538A}"/>
            </a:ext>
          </a:extLst>
        </xdr:cNvPr>
        <xdr:cNvSpPr/>
      </xdr:nvSpPr>
      <xdr:spPr>
        <a:xfrm>
          <a:off x="11803380" y="6310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428</xdr:row>
      <xdr:rowOff>0</xdr:rowOff>
    </xdr:from>
    <xdr:to>
      <xdr:col>28</xdr:col>
      <xdr:colOff>83820</xdr:colOff>
      <xdr:row>428</xdr:row>
      <xdr:rowOff>114300</xdr:rowOff>
    </xdr:to>
    <xdr:sp macro="" textlink="">
      <xdr:nvSpPr>
        <xdr:cNvPr id="469" name="Arrow: Down 468">
          <a:extLst>
            <a:ext uri="{FF2B5EF4-FFF2-40B4-BE49-F238E27FC236}">
              <a16:creationId xmlns:a16="http://schemas.microsoft.com/office/drawing/2014/main" id="{D1B043D2-AF48-42F2-AB21-73FEC750E892}"/>
            </a:ext>
          </a:extLst>
        </xdr:cNvPr>
        <xdr:cNvSpPr/>
      </xdr:nvSpPr>
      <xdr:spPr>
        <a:xfrm>
          <a:off x="11803380" y="6273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431</xdr:row>
      <xdr:rowOff>0</xdr:rowOff>
    </xdr:from>
    <xdr:to>
      <xdr:col>28</xdr:col>
      <xdr:colOff>83820</xdr:colOff>
      <xdr:row>431</xdr:row>
      <xdr:rowOff>114300</xdr:rowOff>
    </xdr:to>
    <xdr:sp macro="" textlink="">
      <xdr:nvSpPr>
        <xdr:cNvPr id="471" name="Arrow: Down 470">
          <a:extLst>
            <a:ext uri="{FF2B5EF4-FFF2-40B4-BE49-F238E27FC236}">
              <a16:creationId xmlns:a16="http://schemas.microsoft.com/office/drawing/2014/main" id="{126C2466-3492-40AF-8ABA-203582021066}"/>
            </a:ext>
          </a:extLst>
        </xdr:cNvPr>
        <xdr:cNvSpPr/>
      </xdr:nvSpPr>
      <xdr:spPr>
        <a:xfrm rot="10800000">
          <a:off x="11803380" y="63284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432</xdr:row>
      <xdr:rowOff>0</xdr:rowOff>
    </xdr:from>
    <xdr:to>
      <xdr:col>28</xdr:col>
      <xdr:colOff>83820</xdr:colOff>
      <xdr:row>432</xdr:row>
      <xdr:rowOff>114300</xdr:rowOff>
    </xdr:to>
    <xdr:sp macro="" textlink="">
      <xdr:nvSpPr>
        <xdr:cNvPr id="472" name="Arrow: Down 471">
          <a:extLst>
            <a:ext uri="{FF2B5EF4-FFF2-40B4-BE49-F238E27FC236}">
              <a16:creationId xmlns:a16="http://schemas.microsoft.com/office/drawing/2014/main" id="{42BB30C4-4E22-4B8C-B54D-7E154244696E}"/>
            </a:ext>
          </a:extLst>
        </xdr:cNvPr>
        <xdr:cNvSpPr/>
      </xdr:nvSpPr>
      <xdr:spPr>
        <a:xfrm rot="10800000">
          <a:off x="11803380" y="63284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433</xdr:row>
      <xdr:rowOff>0</xdr:rowOff>
    </xdr:from>
    <xdr:to>
      <xdr:col>28</xdr:col>
      <xdr:colOff>83820</xdr:colOff>
      <xdr:row>433</xdr:row>
      <xdr:rowOff>114300</xdr:rowOff>
    </xdr:to>
    <xdr:sp macro="" textlink="">
      <xdr:nvSpPr>
        <xdr:cNvPr id="474" name="Arrow: Down 473">
          <a:extLst>
            <a:ext uri="{FF2B5EF4-FFF2-40B4-BE49-F238E27FC236}">
              <a16:creationId xmlns:a16="http://schemas.microsoft.com/office/drawing/2014/main" id="{41C12659-6EC3-4EBA-B106-B471FE3F750B}"/>
            </a:ext>
          </a:extLst>
        </xdr:cNvPr>
        <xdr:cNvSpPr/>
      </xdr:nvSpPr>
      <xdr:spPr>
        <a:xfrm rot="10800000">
          <a:off x="11803380" y="63466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434</xdr:row>
      <xdr:rowOff>0</xdr:rowOff>
    </xdr:from>
    <xdr:to>
      <xdr:col>28</xdr:col>
      <xdr:colOff>83820</xdr:colOff>
      <xdr:row>434</xdr:row>
      <xdr:rowOff>114300</xdr:rowOff>
    </xdr:to>
    <xdr:sp macro="" textlink="">
      <xdr:nvSpPr>
        <xdr:cNvPr id="475" name="Arrow: Down 474">
          <a:extLst>
            <a:ext uri="{FF2B5EF4-FFF2-40B4-BE49-F238E27FC236}">
              <a16:creationId xmlns:a16="http://schemas.microsoft.com/office/drawing/2014/main" id="{DAA8512C-4888-4439-B363-11502733270B}"/>
            </a:ext>
          </a:extLst>
        </xdr:cNvPr>
        <xdr:cNvSpPr/>
      </xdr:nvSpPr>
      <xdr:spPr>
        <a:xfrm rot="10800000">
          <a:off x="11803380" y="63649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435</xdr:row>
      <xdr:rowOff>0</xdr:rowOff>
    </xdr:from>
    <xdr:to>
      <xdr:col>28</xdr:col>
      <xdr:colOff>83820</xdr:colOff>
      <xdr:row>435</xdr:row>
      <xdr:rowOff>114300</xdr:rowOff>
    </xdr:to>
    <xdr:sp macro="" textlink="">
      <xdr:nvSpPr>
        <xdr:cNvPr id="480" name="Arrow: Down 479">
          <a:extLst>
            <a:ext uri="{FF2B5EF4-FFF2-40B4-BE49-F238E27FC236}">
              <a16:creationId xmlns:a16="http://schemas.microsoft.com/office/drawing/2014/main" id="{5CB1BD0F-8F56-45F6-80F9-4CCBD7953CD0}"/>
            </a:ext>
          </a:extLst>
        </xdr:cNvPr>
        <xdr:cNvSpPr/>
      </xdr:nvSpPr>
      <xdr:spPr>
        <a:xfrm>
          <a:off x="11803380" y="6401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436</xdr:row>
      <xdr:rowOff>0</xdr:rowOff>
    </xdr:from>
    <xdr:to>
      <xdr:col>28</xdr:col>
      <xdr:colOff>83820</xdr:colOff>
      <xdr:row>436</xdr:row>
      <xdr:rowOff>114300</xdr:rowOff>
    </xdr:to>
    <xdr:sp macro="" textlink="">
      <xdr:nvSpPr>
        <xdr:cNvPr id="444" name="Arrow: Down 443">
          <a:extLst>
            <a:ext uri="{FF2B5EF4-FFF2-40B4-BE49-F238E27FC236}">
              <a16:creationId xmlns:a16="http://schemas.microsoft.com/office/drawing/2014/main" id="{8E38D8D8-0D9A-45E3-87D8-638C00E020AD}"/>
            </a:ext>
          </a:extLst>
        </xdr:cNvPr>
        <xdr:cNvSpPr/>
      </xdr:nvSpPr>
      <xdr:spPr>
        <a:xfrm>
          <a:off x="11803380" y="6401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437</xdr:row>
      <xdr:rowOff>0</xdr:rowOff>
    </xdr:from>
    <xdr:to>
      <xdr:col>28</xdr:col>
      <xdr:colOff>83820</xdr:colOff>
      <xdr:row>437</xdr:row>
      <xdr:rowOff>114300</xdr:rowOff>
    </xdr:to>
    <xdr:sp macro="" textlink="">
      <xdr:nvSpPr>
        <xdr:cNvPr id="449" name="Arrow: Down 448">
          <a:extLst>
            <a:ext uri="{FF2B5EF4-FFF2-40B4-BE49-F238E27FC236}">
              <a16:creationId xmlns:a16="http://schemas.microsoft.com/office/drawing/2014/main" id="{8ECD7734-600C-4F75-9C51-97D5B99F9D89}"/>
            </a:ext>
          </a:extLst>
        </xdr:cNvPr>
        <xdr:cNvSpPr/>
      </xdr:nvSpPr>
      <xdr:spPr>
        <a:xfrm rot="10800000">
          <a:off x="11803380" y="6438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438</xdr:row>
      <xdr:rowOff>0</xdr:rowOff>
    </xdr:from>
    <xdr:to>
      <xdr:col>28</xdr:col>
      <xdr:colOff>83820</xdr:colOff>
      <xdr:row>438</xdr:row>
      <xdr:rowOff>114300</xdr:rowOff>
    </xdr:to>
    <xdr:sp macro="" textlink="">
      <xdr:nvSpPr>
        <xdr:cNvPr id="453" name="Arrow: Down 452">
          <a:extLst>
            <a:ext uri="{FF2B5EF4-FFF2-40B4-BE49-F238E27FC236}">
              <a16:creationId xmlns:a16="http://schemas.microsoft.com/office/drawing/2014/main" id="{13AAA2C9-D1D6-4B1D-8CF8-4B161AD1ABE3}"/>
            </a:ext>
          </a:extLst>
        </xdr:cNvPr>
        <xdr:cNvSpPr/>
      </xdr:nvSpPr>
      <xdr:spPr>
        <a:xfrm rot="10800000">
          <a:off x="11803380" y="6438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439</xdr:row>
      <xdr:rowOff>0</xdr:rowOff>
    </xdr:from>
    <xdr:to>
      <xdr:col>28</xdr:col>
      <xdr:colOff>83820</xdr:colOff>
      <xdr:row>439</xdr:row>
      <xdr:rowOff>114300</xdr:rowOff>
    </xdr:to>
    <xdr:sp macro="" textlink="">
      <xdr:nvSpPr>
        <xdr:cNvPr id="455" name="Arrow: Down 454">
          <a:extLst>
            <a:ext uri="{FF2B5EF4-FFF2-40B4-BE49-F238E27FC236}">
              <a16:creationId xmlns:a16="http://schemas.microsoft.com/office/drawing/2014/main" id="{D9E704C1-5C1A-4579-9047-0ECDDF945A7C}"/>
            </a:ext>
          </a:extLst>
        </xdr:cNvPr>
        <xdr:cNvSpPr/>
      </xdr:nvSpPr>
      <xdr:spPr>
        <a:xfrm rot="10800000">
          <a:off x="11803380" y="64564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440</xdr:row>
      <xdr:rowOff>0</xdr:rowOff>
    </xdr:from>
    <xdr:to>
      <xdr:col>28</xdr:col>
      <xdr:colOff>83820</xdr:colOff>
      <xdr:row>440</xdr:row>
      <xdr:rowOff>114300</xdr:rowOff>
    </xdr:to>
    <xdr:sp macro="" textlink="">
      <xdr:nvSpPr>
        <xdr:cNvPr id="459" name="Arrow: Down 458">
          <a:extLst>
            <a:ext uri="{FF2B5EF4-FFF2-40B4-BE49-F238E27FC236}">
              <a16:creationId xmlns:a16="http://schemas.microsoft.com/office/drawing/2014/main" id="{C7FDEF35-F6FA-455E-B806-2910C10BFFED}"/>
            </a:ext>
          </a:extLst>
        </xdr:cNvPr>
        <xdr:cNvSpPr/>
      </xdr:nvSpPr>
      <xdr:spPr>
        <a:xfrm rot="10800000">
          <a:off x="11803380" y="64747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441</xdr:row>
      <xdr:rowOff>0</xdr:rowOff>
    </xdr:from>
    <xdr:to>
      <xdr:col>28</xdr:col>
      <xdr:colOff>83820</xdr:colOff>
      <xdr:row>441</xdr:row>
      <xdr:rowOff>114300</xdr:rowOff>
    </xdr:to>
    <xdr:sp macro="" textlink="">
      <xdr:nvSpPr>
        <xdr:cNvPr id="460" name="Arrow: Down 459">
          <a:extLst>
            <a:ext uri="{FF2B5EF4-FFF2-40B4-BE49-F238E27FC236}">
              <a16:creationId xmlns:a16="http://schemas.microsoft.com/office/drawing/2014/main" id="{EA05B7A0-D018-43BE-B6EA-8ACBE0564338}"/>
            </a:ext>
          </a:extLst>
        </xdr:cNvPr>
        <xdr:cNvSpPr/>
      </xdr:nvSpPr>
      <xdr:spPr>
        <a:xfrm rot="10800000">
          <a:off x="11803380" y="64930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442</xdr:row>
      <xdr:rowOff>0</xdr:rowOff>
    </xdr:from>
    <xdr:to>
      <xdr:col>28</xdr:col>
      <xdr:colOff>83820</xdr:colOff>
      <xdr:row>442</xdr:row>
      <xdr:rowOff>114300</xdr:rowOff>
    </xdr:to>
    <xdr:sp macro="" textlink="">
      <xdr:nvSpPr>
        <xdr:cNvPr id="463" name="Arrow: Down 462">
          <a:extLst>
            <a:ext uri="{FF2B5EF4-FFF2-40B4-BE49-F238E27FC236}">
              <a16:creationId xmlns:a16="http://schemas.microsoft.com/office/drawing/2014/main" id="{036F6D1E-64C7-4FD9-8977-20533633121E}"/>
            </a:ext>
          </a:extLst>
        </xdr:cNvPr>
        <xdr:cNvSpPr/>
      </xdr:nvSpPr>
      <xdr:spPr>
        <a:xfrm rot="10800000">
          <a:off x="11803380" y="65112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443</xdr:row>
      <xdr:rowOff>0</xdr:rowOff>
    </xdr:from>
    <xdr:to>
      <xdr:col>28</xdr:col>
      <xdr:colOff>83820</xdr:colOff>
      <xdr:row>443</xdr:row>
      <xdr:rowOff>114300</xdr:rowOff>
    </xdr:to>
    <xdr:sp macro="" textlink="">
      <xdr:nvSpPr>
        <xdr:cNvPr id="448" name="Arrow: Down 447">
          <a:extLst>
            <a:ext uri="{FF2B5EF4-FFF2-40B4-BE49-F238E27FC236}">
              <a16:creationId xmlns:a16="http://schemas.microsoft.com/office/drawing/2014/main" id="{CF55C70D-71DD-4C01-8DB2-7D0B96317475}"/>
            </a:ext>
          </a:extLst>
        </xdr:cNvPr>
        <xdr:cNvSpPr/>
      </xdr:nvSpPr>
      <xdr:spPr>
        <a:xfrm rot="10800000">
          <a:off x="11803380" y="65295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444</xdr:row>
      <xdr:rowOff>0</xdr:rowOff>
    </xdr:from>
    <xdr:to>
      <xdr:col>28</xdr:col>
      <xdr:colOff>83820</xdr:colOff>
      <xdr:row>444</xdr:row>
      <xdr:rowOff>114300</xdr:rowOff>
    </xdr:to>
    <xdr:sp macro="" textlink="">
      <xdr:nvSpPr>
        <xdr:cNvPr id="464" name="Arrow: Down 463">
          <a:extLst>
            <a:ext uri="{FF2B5EF4-FFF2-40B4-BE49-F238E27FC236}">
              <a16:creationId xmlns:a16="http://schemas.microsoft.com/office/drawing/2014/main" id="{E15170B8-73F4-41A2-A276-D6608F41682B}"/>
            </a:ext>
          </a:extLst>
        </xdr:cNvPr>
        <xdr:cNvSpPr/>
      </xdr:nvSpPr>
      <xdr:spPr>
        <a:xfrm rot="10800000">
          <a:off x="11803380" y="65478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445</xdr:row>
      <xdr:rowOff>0</xdr:rowOff>
    </xdr:from>
    <xdr:to>
      <xdr:col>28</xdr:col>
      <xdr:colOff>83820</xdr:colOff>
      <xdr:row>445</xdr:row>
      <xdr:rowOff>114300</xdr:rowOff>
    </xdr:to>
    <xdr:sp macro="" textlink="">
      <xdr:nvSpPr>
        <xdr:cNvPr id="466" name="Arrow: Down 465">
          <a:extLst>
            <a:ext uri="{FF2B5EF4-FFF2-40B4-BE49-F238E27FC236}">
              <a16:creationId xmlns:a16="http://schemas.microsoft.com/office/drawing/2014/main" id="{8D4158D0-219E-4385-9A52-89737E679B20}"/>
            </a:ext>
          </a:extLst>
        </xdr:cNvPr>
        <xdr:cNvSpPr/>
      </xdr:nvSpPr>
      <xdr:spPr>
        <a:xfrm rot="10800000">
          <a:off x="11803380" y="65661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446</xdr:row>
      <xdr:rowOff>0</xdr:rowOff>
    </xdr:from>
    <xdr:to>
      <xdr:col>28</xdr:col>
      <xdr:colOff>83820</xdr:colOff>
      <xdr:row>446</xdr:row>
      <xdr:rowOff>114300</xdr:rowOff>
    </xdr:to>
    <xdr:sp macro="" textlink="">
      <xdr:nvSpPr>
        <xdr:cNvPr id="467" name="Arrow: Down 466">
          <a:extLst>
            <a:ext uri="{FF2B5EF4-FFF2-40B4-BE49-F238E27FC236}">
              <a16:creationId xmlns:a16="http://schemas.microsoft.com/office/drawing/2014/main" id="{903DE260-17AB-4858-82DF-2AA3021A3CF6}"/>
            </a:ext>
          </a:extLst>
        </xdr:cNvPr>
        <xdr:cNvSpPr/>
      </xdr:nvSpPr>
      <xdr:spPr>
        <a:xfrm rot="10800000">
          <a:off x="11803380" y="65844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447</xdr:row>
      <xdr:rowOff>0</xdr:rowOff>
    </xdr:from>
    <xdr:to>
      <xdr:col>28</xdr:col>
      <xdr:colOff>83820</xdr:colOff>
      <xdr:row>447</xdr:row>
      <xdr:rowOff>114300</xdr:rowOff>
    </xdr:to>
    <xdr:sp macro="" textlink="">
      <xdr:nvSpPr>
        <xdr:cNvPr id="470" name="Arrow: Down 469">
          <a:extLst>
            <a:ext uri="{FF2B5EF4-FFF2-40B4-BE49-F238E27FC236}">
              <a16:creationId xmlns:a16="http://schemas.microsoft.com/office/drawing/2014/main" id="{317D80D1-7D28-43B4-8C74-E8A7AF021C2A}"/>
            </a:ext>
          </a:extLst>
        </xdr:cNvPr>
        <xdr:cNvSpPr/>
      </xdr:nvSpPr>
      <xdr:spPr>
        <a:xfrm rot="10800000">
          <a:off x="11803380" y="66027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448</xdr:row>
      <xdr:rowOff>0</xdr:rowOff>
    </xdr:from>
    <xdr:to>
      <xdr:col>28</xdr:col>
      <xdr:colOff>83820</xdr:colOff>
      <xdr:row>448</xdr:row>
      <xdr:rowOff>114300</xdr:rowOff>
    </xdr:to>
    <xdr:sp macro="" textlink="">
      <xdr:nvSpPr>
        <xdr:cNvPr id="478" name="Arrow: Down 477">
          <a:extLst>
            <a:ext uri="{FF2B5EF4-FFF2-40B4-BE49-F238E27FC236}">
              <a16:creationId xmlns:a16="http://schemas.microsoft.com/office/drawing/2014/main" id="{7BBF1FDB-8681-48DC-AA10-69C30A68DE3A}"/>
            </a:ext>
          </a:extLst>
        </xdr:cNvPr>
        <xdr:cNvSpPr/>
      </xdr:nvSpPr>
      <xdr:spPr>
        <a:xfrm>
          <a:off x="11803380" y="6639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449</xdr:row>
      <xdr:rowOff>0</xdr:rowOff>
    </xdr:from>
    <xdr:to>
      <xdr:col>28</xdr:col>
      <xdr:colOff>83820</xdr:colOff>
      <xdr:row>449</xdr:row>
      <xdr:rowOff>114300</xdr:rowOff>
    </xdr:to>
    <xdr:sp macro="" textlink="">
      <xdr:nvSpPr>
        <xdr:cNvPr id="481" name="Arrow: Down 480">
          <a:extLst>
            <a:ext uri="{FF2B5EF4-FFF2-40B4-BE49-F238E27FC236}">
              <a16:creationId xmlns:a16="http://schemas.microsoft.com/office/drawing/2014/main" id="{F542ACD0-9FA5-4E56-9C6A-8AB41B859D25}"/>
            </a:ext>
          </a:extLst>
        </xdr:cNvPr>
        <xdr:cNvSpPr/>
      </xdr:nvSpPr>
      <xdr:spPr>
        <a:xfrm rot="10800000">
          <a:off x="11803380" y="66575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450</xdr:row>
      <xdr:rowOff>0</xdr:rowOff>
    </xdr:from>
    <xdr:to>
      <xdr:col>28</xdr:col>
      <xdr:colOff>83820</xdr:colOff>
      <xdr:row>450</xdr:row>
      <xdr:rowOff>114300</xdr:rowOff>
    </xdr:to>
    <xdr:sp macro="" textlink="">
      <xdr:nvSpPr>
        <xdr:cNvPr id="483" name="Arrow: Down 482">
          <a:extLst>
            <a:ext uri="{FF2B5EF4-FFF2-40B4-BE49-F238E27FC236}">
              <a16:creationId xmlns:a16="http://schemas.microsoft.com/office/drawing/2014/main" id="{1712D9BF-F938-4626-B1C6-700C2145A292}"/>
            </a:ext>
          </a:extLst>
        </xdr:cNvPr>
        <xdr:cNvSpPr/>
      </xdr:nvSpPr>
      <xdr:spPr>
        <a:xfrm rot="10800000">
          <a:off x="11803380" y="66575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451</xdr:row>
      <xdr:rowOff>0</xdr:rowOff>
    </xdr:from>
    <xdr:to>
      <xdr:col>28</xdr:col>
      <xdr:colOff>83820</xdr:colOff>
      <xdr:row>451</xdr:row>
      <xdr:rowOff>114300</xdr:rowOff>
    </xdr:to>
    <xdr:sp macro="" textlink="">
      <xdr:nvSpPr>
        <xdr:cNvPr id="485" name="Arrow: Down 484">
          <a:extLst>
            <a:ext uri="{FF2B5EF4-FFF2-40B4-BE49-F238E27FC236}">
              <a16:creationId xmlns:a16="http://schemas.microsoft.com/office/drawing/2014/main" id="{1F92FE58-7947-4867-8E64-E7BB29BBE7A4}"/>
            </a:ext>
          </a:extLst>
        </xdr:cNvPr>
        <xdr:cNvSpPr/>
      </xdr:nvSpPr>
      <xdr:spPr>
        <a:xfrm rot="10800000">
          <a:off x="11803380" y="66758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452</xdr:row>
      <xdr:rowOff>0</xdr:rowOff>
    </xdr:from>
    <xdr:to>
      <xdr:col>28</xdr:col>
      <xdr:colOff>83820</xdr:colOff>
      <xdr:row>452</xdr:row>
      <xdr:rowOff>114300</xdr:rowOff>
    </xdr:to>
    <xdr:sp macro="" textlink="">
      <xdr:nvSpPr>
        <xdr:cNvPr id="487" name="Arrow: Down 486">
          <a:extLst>
            <a:ext uri="{FF2B5EF4-FFF2-40B4-BE49-F238E27FC236}">
              <a16:creationId xmlns:a16="http://schemas.microsoft.com/office/drawing/2014/main" id="{1BD26300-EA48-4BF0-9CAA-68DBDEF4F79D}"/>
            </a:ext>
          </a:extLst>
        </xdr:cNvPr>
        <xdr:cNvSpPr/>
      </xdr:nvSpPr>
      <xdr:spPr>
        <a:xfrm rot="10800000">
          <a:off x="11803380" y="66941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453</xdr:row>
      <xdr:rowOff>0</xdr:rowOff>
    </xdr:from>
    <xdr:to>
      <xdr:col>28</xdr:col>
      <xdr:colOff>83820</xdr:colOff>
      <xdr:row>453</xdr:row>
      <xdr:rowOff>114300</xdr:rowOff>
    </xdr:to>
    <xdr:sp macro="" textlink="">
      <xdr:nvSpPr>
        <xdr:cNvPr id="488" name="Arrow: Down 487">
          <a:extLst>
            <a:ext uri="{FF2B5EF4-FFF2-40B4-BE49-F238E27FC236}">
              <a16:creationId xmlns:a16="http://schemas.microsoft.com/office/drawing/2014/main" id="{B9005C7F-5CFB-45F3-BA2E-F263AA869257}"/>
            </a:ext>
          </a:extLst>
        </xdr:cNvPr>
        <xdr:cNvSpPr/>
      </xdr:nvSpPr>
      <xdr:spPr>
        <a:xfrm rot="10800000">
          <a:off x="11803380" y="67124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454</xdr:row>
      <xdr:rowOff>0</xdr:rowOff>
    </xdr:from>
    <xdr:to>
      <xdr:col>28</xdr:col>
      <xdr:colOff>83820</xdr:colOff>
      <xdr:row>454</xdr:row>
      <xdr:rowOff>114300</xdr:rowOff>
    </xdr:to>
    <xdr:sp macro="" textlink="">
      <xdr:nvSpPr>
        <xdr:cNvPr id="489" name="Arrow: Down 488">
          <a:extLst>
            <a:ext uri="{FF2B5EF4-FFF2-40B4-BE49-F238E27FC236}">
              <a16:creationId xmlns:a16="http://schemas.microsoft.com/office/drawing/2014/main" id="{F6E693C5-DD07-40B0-A5DE-7E944BFC8034}"/>
            </a:ext>
          </a:extLst>
        </xdr:cNvPr>
        <xdr:cNvSpPr/>
      </xdr:nvSpPr>
      <xdr:spPr>
        <a:xfrm rot="10800000">
          <a:off x="11803380" y="67307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455</xdr:row>
      <xdr:rowOff>0</xdr:rowOff>
    </xdr:from>
    <xdr:to>
      <xdr:col>28</xdr:col>
      <xdr:colOff>83820</xdr:colOff>
      <xdr:row>455</xdr:row>
      <xdr:rowOff>114300</xdr:rowOff>
    </xdr:to>
    <xdr:sp macro="" textlink="">
      <xdr:nvSpPr>
        <xdr:cNvPr id="491" name="Arrow: Down 490">
          <a:extLst>
            <a:ext uri="{FF2B5EF4-FFF2-40B4-BE49-F238E27FC236}">
              <a16:creationId xmlns:a16="http://schemas.microsoft.com/office/drawing/2014/main" id="{2425F973-453E-4BD0-8583-49C7EBBD399A}"/>
            </a:ext>
          </a:extLst>
        </xdr:cNvPr>
        <xdr:cNvSpPr/>
      </xdr:nvSpPr>
      <xdr:spPr>
        <a:xfrm>
          <a:off x="11803380" y="6767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456</xdr:row>
      <xdr:rowOff>0</xdr:rowOff>
    </xdr:from>
    <xdr:to>
      <xdr:col>28</xdr:col>
      <xdr:colOff>83820</xdr:colOff>
      <xdr:row>456</xdr:row>
      <xdr:rowOff>114300</xdr:rowOff>
    </xdr:to>
    <xdr:sp macro="" textlink="">
      <xdr:nvSpPr>
        <xdr:cNvPr id="492" name="Arrow: Down 491">
          <a:extLst>
            <a:ext uri="{FF2B5EF4-FFF2-40B4-BE49-F238E27FC236}">
              <a16:creationId xmlns:a16="http://schemas.microsoft.com/office/drawing/2014/main" id="{5803ED72-9F49-4AE2-9571-45A7AE898DD1}"/>
            </a:ext>
          </a:extLst>
        </xdr:cNvPr>
        <xdr:cNvSpPr/>
      </xdr:nvSpPr>
      <xdr:spPr>
        <a:xfrm>
          <a:off x="11803380" y="6767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457</xdr:row>
      <xdr:rowOff>0</xdr:rowOff>
    </xdr:from>
    <xdr:to>
      <xdr:col>28</xdr:col>
      <xdr:colOff>83820</xdr:colOff>
      <xdr:row>457</xdr:row>
      <xdr:rowOff>114300</xdr:rowOff>
    </xdr:to>
    <xdr:sp macro="" textlink="">
      <xdr:nvSpPr>
        <xdr:cNvPr id="494" name="Arrow: Down 493">
          <a:extLst>
            <a:ext uri="{FF2B5EF4-FFF2-40B4-BE49-F238E27FC236}">
              <a16:creationId xmlns:a16="http://schemas.microsoft.com/office/drawing/2014/main" id="{D5DB9453-CB73-4583-88D6-D7F30CE5ACE3}"/>
            </a:ext>
          </a:extLst>
        </xdr:cNvPr>
        <xdr:cNvSpPr/>
      </xdr:nvSpPr>
      <xdr:spPr>
        <a:xfrm rot="10800000">
          <a:off x="11803380" y="68038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458</xdr:row>
      <xdr:rowOff>0</xdr:rowOff>
    </xdr:from>
    <xdr:to>
      <xdr:col>28</xdr:col>
      <xdr:colOff>83820</xdr:colOff>
      <xdr:row>458</xdr:row>
      <xdr:rowOff>114300</xdr:rowOff>
    </xdr:to>
    <xdr:sp macro="" textlink="">
      <xdr:nvSpPr>
        <xdr:cNvPr id="495" name="Arrow: Down 494">
          <a:extLst>
            <a:ext uri="{FF2B5EF4-FFF2-40B4-BE49-F238E27FC236}">
              <a16:creationId xmlns:a16="http://schemas.microsoft.com/office/drawing/2014/main" id="{9F14A4EA-2B76-4EA0-8E12-1A90BF4FB361}"/>
            </a:ext>
          </a:extLst>
        </xdr:cNvPr>
        <xdr:cNvSpPr/>
      </xdr:nvSpPr>
      <xdr:spPr>
        <a:xfrm rot="10800000">
          <a:off x="11803380" y="68038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459</xdr:row>
      <xdr:rowOff>0</xdr:rowOff>
    </xdr:from>
    <xdr:to>
      <xdr:col>28</xdr:col>
      <xdr:colOff>83820</xdr:colOff>
      <xdr:row>459</xdr:row>
      <xdr:rowOff>114300</xdr:rowOff>
    </xdr:to>
    <xdr:sp macro="" textlink="">
      <xdr:nvSpPr>
        <xdr:cNvPr id="496" name="Arrow: Down 495">
          <a:extLst>
            <a:ext uri="{FF2B5EF4-FFF2-40B4-BE49-F238E27FC236}">
              <a16:creationId xmlns:a16="http://schemas.microsoft.com/office/drawing/2014/main" id="{58A4DC36-A44D-45CC-8428-1A2BF38A192A}"/>
            </a:ext>
          </a:extLst>
        </xdr:cNvPr>
        <xdr:cNvSpPr/>
      </xdr:nvSpPr>
      <xdr:spPr>
        <a:xfrm rot="10800000">
          <a:off x="11803380" y="68221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460</xdr:row>
      <xdr:rowOff>0</xdr:rowOff>
    </xdr:from>
    <xdr:to>
      <xdr:col>28</xdr:col>
      <xdr:colOff>83820</xdr:colOff>
      <xdr:row>460</xdr:row>
      <xdr:rowOff>114300</xdr:rowOff>
    </xdr:to>
    <xdr:sp macro="" textlink="">
      <xdr:nvSpPr>
        <xdr:cNvPr id="497" name="Arrow: Down 496">
          <a:extLst>
            <a:ext uri="{FF2B5EF4-FFF2-40B4-BE49-F238E27FC236}">
              <a16:creationId xmlns:a16="http://schemas.microsoft.com/office/drawing/2014/main" id="{F63A749D-DA54-4E7D-9BE4-715F6D6D00E5}"/>
            </a:ext>
          </a:extLst>
        </xdr:cNvPr>
        <xdr:cNvSpPr/>
      </xdr:nvSpPr>
      <xdr:spPr>
        <a:xfrm rot="10800000">
          <a:off x="11803380" y="68404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461</xdr:row>
      <xdr:rowOff>0</xdr:rowOff>
    </xdr:from>
    <xdr:to>
      <xdr:col>28</xdr:col>
      <xdr:colOff>83820</xdr:colOff>
      <xdr:row>461</xdr:row>
      <xdr:rowOff>114300</xdr:rowOff>
    </xdr:to>
    <xdr:sp macro="" textlink="">
      <xdr:nvSpPr>
        <xdr:cNvPr id="498" name="Arrow: Down 497">
          <a:extLst>
            <a:ext uri="{FF2B5EF4-FFF2-40B4-BE49-F238E27FC236}">
              <a16:creationId xmlns:a16="http://schemas.microsoft.com/office/drawing/2014/main" id="{96A8284A-F1A3-4713-97D6-B1C3B66C094F}"/>
            </a:ext>
          </a:extLst>
        </xdr:cNvPr>
        <xdr:cNvSpPr/>
      </xdr:nvSpPr>
      <xdr:spPr>
        <a:xfrm rot="10800000">
          <a:off x="11803380" y="68587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462</xdr:row>
      <xdr:rowOff>0</xdr:rowOff>
    </xdr:from>
    <xdr:to>
      <xdr:col>28</xdr:col>
      <xdr:colOff>83820</xdr:colOff>
      <xdr:row>462</xdr:row>
      <xdr:rowOff>114300</xdr:rowOff>
    </xdr:to>
    <xdr:sp macro="" textlink="">
      <xdr:nvSpPr>
        <xdr:cNvPr id="500" name="Arrow: Down 499">
          <a:extLst>
            <a:ext uri="{FF2B5EF4-FFF2-40B4-BE49-F238E27FC236}">
              <a16:creationId xmlns:a16="http://schemas.microsoft.com/office/drawing/2014/main" id="{FFCC91F8-D871-402E-ADF3-4754A67F47DB}"/>
            </a:ext>
          </a:extLst>
        </xdr:cNvPr>
        <xdr:cNvSpPr/>
      </xdr:nvSpPr>
      <xdr:spPr>
        <a:xfrm>
          <a:off x="11803380" y="6895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463</xdr:row>
      <xdr:rowOff>0</xdr:rowOff>
    </xdr:from>
    <xdr:to>
      <xdr:col>28</xdr:col>
      <xdr:colOff>83820</xdr:colOff>
      <xdr:row>463</xdr:row>
      <xdr:rowOff>114300</xdr:rowOff>
    </xdr:to>
    <xdr:sp macro="" textlink="">
      <xdr:nvSpPr>
        <xdr:cNvPr id="501" name="Arrow: Down 500">
          <a:extLst>
            <a:ext uri="{FF2B5EF4-FFF2-40B4-BE49-F238E27FC236}">
              <a16:creationId xmlns:a16="http://schemas.microsoft.com/office/drawing/2014/main" id="{5DEE751F-DDAA-4B95-B853-F77C5392B21A}"/>
            </a:ext>
          </a:extLst>
        </xdr:cNvPr>
        <xdr:cNvSpPr/>
      </xdr:nvSpPr>
      <xdr:spPr>
        <a:xfrm>
          <a:off x="11803380" y="6895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464</xdr:row>
      <xdr:rowOff>0</xdr:rowOff>
    </xdr:from>
    <xdr:to>
      <xdr:col>28</xdr:col>
      <xdr:colOff>83820</xdr:colOff>
      <xdr:row>464</xdr:row>
      <xdr:rowOff>114300</xdr:rowOff>
    </xdr:to>
    <xdr:sp macro="" textlink="">
      <xdr:nvSpPr>
        <xdr:cNvPr id="477" name="Arrow: Down 476">
          <a:extLst>
            <a:ext uri="{FF2B5EF4-FFF2-40B4-BE49-F238E27FC236}">
              <a16:creationId xmlns:a16="http://schemas.microsoft.com/office/drawing/2014/main" id="{170A4D9C-B01D-4DA2-A194-BFA028B1E03C}"/>
            </a:ext>
          </a:extLst>
        </xdr:cNvPr>
        <xdr:cNvSpPr/>
      </xdr:nvSpPr>
      <xdr:spPr>
        <a:xfrm rot="10800000">
          <a:off x="11803380" y="69319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465</xdr:row>
      <xdr:rowOff>0</xdr:rowOff>
    </xdr:from>
    <xdr:to>
      <xdr:col>28</xdr:col>
      <xdr:colOff>83820</xdr:colOff>
      <xdr:row>465</xdr:row>
      <xdr:rowOff>114300</xdr:rowOff>
    </xdr:to>
    <xdr:sp macro="" textlink="">
      <xdr:nvSpPr>
        <xdr:cNvPr id="482" name="Arrow: Down 481">
          <a:extLst>
            <a:ext uri="{FF2B5EF4-FFF2-40B4-BE49-F238E27FC236}">
              <a16:creationId xmlns:a16="http://schemas.microsoft.com/office/drawing/2014/main" id="{F989F123-2829-4677-A99C-B3FC8FD12005}"/>
            </a:ext>
          </a:extLst>
        </xdr:cNvPr>
        <xdr:cNvSpPr/>
      </xdr:nvSpPr>
      <xdr:spPr>
        <a:xfrm rot="10800000">
          <a:off x="11803380" y="69319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466</xdr:row>
      <xdr:rowOff>0</xdr:rowOff>
    </xdr:from>
    <xdr:to>
      <xdr:col>28</xdr:col>
      <xdr:colOff>83820</xdr:colOff>
      <xdr:row>466</xdr:row>
      <xdr:rowOff>114300</xdr:rowOff>
    </xdr:to>
    <xdr:sp macro="" textlink="">
      <xdr:nvSpPr>
        <xdr:cNvPr id="484" name="Arrow: Down 483">
          <a:extLst>
            <a:ext uri="{FF2B5EF4-FFF2-40B4-BE49-F238E27FC236}">
              <a16:creationId xmlns:a16="http://schemas.microsoft.com/office/drawing/2014/main" id="{C8ABBCD0-26D9-4F09-9183-8EAAD57BE2EA}"/>
            </a:ext>
          </a:extLst>
        </xdr:cNvPr>
        <xdr:cNvSpPr/>
      </xdr:nvSpPr>
      <xdr:spPr>
        <a:xfrm rot="10800000">
          <a:off x="11803380" y="69502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467</xdr:row>
      <xdr:rowOff>0</xdr:rowOff>
    </xdr:from>
    <xdr:to>
      <xdr:col>28</xdr:col>
      <xdr:colOff>83820</xdr:colOff>
      <xdr:row>467</xdr:row>
      <xdr:rowOff>114300</xdr:rowOff>
    </xdr:to>
    <xdr:sp macro="" textlink="">
      <xdr:nvSpPr>
        <xdr:cNvPr id="490" name="Arrow: Down 489">
          <a:extLst>
            <a:ext uri="{FF2B5EF4-FFF2-40B4-BE49-F238E27FC236}">
              <a16:creationId xmlns:a16="http://schemas.microsoft.com/office/drawing/2014/main" id="{9102A4AD-37CB-417A-AE90-C0936AB5B2A1}"/>
            </a:ext>
          </a:extLst>
        </xdr:cNvPr>
        <xdr:cNvSpPr/>
      </xdr:nvSpPr>
      <xdr:spPr>
        <a:xfrm rot="10800000">
          <a:off x="11803380" y="69684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468</xdr:row>
      <xdr:rowOff>0</xdr:rowOff>
    </xdr:from>
    <xdr:to>
      <xdr:col>28</xdr:col>
      <xdr:colOff>83820</xdr:colOff>
      <xdr:row>468</xdr:row>
      <xdr:rowOff>114300</xdr:rowOff>
    </xdr:to>
    <xdr:sp macro="" textlink="">
      <xdr:nvSpPr>
        <xdr:cNvPr id="493" name="Arrow: Down 492">
          <a:extLst>
            <a:ext uri="{FF2B5EF4-FFF2-40B4-BE49-F238E27FC236}">
              <a16:creationId xmlns:a16="http://schemas.microsoft.com/office/drawing/2014/main" id="{F12021B7-ED7C-4F91-BF9A-E35A77050FDF}"/>
            </a:ext>
          </a:extLst>
        </xdr:cNvPr>
        <xdr:cNvSpPr/>
      </xdr:nvSpPr>
      <xdr:spPr>
        <a:xfrm rot="10800000">
          <a:off x="11803380" y="69867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469</xdr:row>
      <xdr:rowOff>0</xdr:rowOff>
    </xdr:from>
    <xdr:to>
      <xdr:col>28</xdr:col>
      <xdr:colOff>83820</xdr:colOff>
      <xdr:row>469</xdr:row>
      <xdr:rowOff>114300</xdr:rowOff>
    </xdr:to>
    <xdr:sp macro="" textlink="">
      <xdr:nvSpPr>
        <xdr:cNvPr id="503" name="Arrow: Down 502">
          <a:extLst>
            <a:ext uri="{FF2B5EF4-FFF2-40B4-BE49-F238E27FC236}">
              <a16:creationId xmlns:a16="http://schemas.microsoft.com/office/drawing/2014/main" id="{2EE4894B-23AF-4976-930B-F1051A72D985}"/>
            </a:ext>
          </a:extLst>
        </xdr:cNvPr>
        <xdr:cNvSpPr/>
      </xdr:nvSpPr>
      <xdr:spPr>
        <a:xfrm>
          <a:off x="11803380" y="7023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470</xdr:row>
      <xdr:rowOff>0</xdr:rowOff>
    </xdr:from>
    <xdr:to>
      <xdr:col>28</xdr:col>
      <xdr:colOff>83820</xdr:colOff>
      <xdr:row>470</xdr:row>
      <xdr:rowOff>114300</xdr:rowOff>
    </xdr:to>
    <xdr:sp macro="" textlink="">
      <xdr:nvSpPr>
        <xdr:cNvPr id="504" name="Arrow: Down 503">
          <a:extLst>
            <a:ext uri="{FF2B5EF4-FFF2-40B4-BE49-F238E27FC236}">
              <a16:creationId xmlns:a16="http://schemas.microsoft.com/office/drawing/2014/main" id="{1E891FC1-0200-4D6F-86FE-44E26FDD475B}"/>
            </a:ext>
          </a:extLst>
        </xdr:cNvPr>
        <xdr:cNvSpPr/>
      </xdr:nvSpPr>
      <xdr:spPr>
        <a:xfrm>
          <a:off x="11803380" y="7023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471</xdr:row>
      <xdr:rowOff>0</xdr:rowOff>
    </xdr:from>
    <xdr:to>
      <xdr:col>28</xdr:col>
      <xdr:colOff>83820</xdr:colOff>
      <xdr:row>471</xdr:row>
      <xdr:rowOff>114300</xdr:rowOff>
    </xdr:to>
    <xdr:sp macro="" textlink="">
      <xdr:nvSpPr>
        <xdr:cNvPr id="479" name="Arrow: Down 478">
          <a:extLst>
            <a:ext uri="{FF2B5EF4-FFF2-40B4-BE49-F238E27FC236}">
              <a16:creationId xmlns:a16="http://schemas.microsoft.com/office/drawing/2014/main" id="{29776FC6-66DC-4089-BDB0-8725D0239177}"/>
            </a:ext>
          </a:extLst>
        </xdr:cNvPr>
        <xdr:cNvSpPr/>
      </xdr:nvSpPr>
      <xdr:spPr>
        <a:xfrm rot="10800000">
          <a:off x="11803380" y="70599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472</xdr:row>
      <xdr:rowOff>0</xdr:rowOff>
    </xdr:from>
    <xdr:to>
      <xdr:col>28</xdr:col>
      <xdr:colOff>83820</xdr:colOff>
      <xdr:row>472</xdr:row>
      <xdr:rowOff>114300</xdr:rowOff>
    </xdr:to>
    <xdr:sp macro="" textlink="">
      <xdr:nvSpPr>
        <xdr:cNvPr id="486" name="Arrow: Down 485">
          <a:extLst>
            <a:ext uri="{FF2B5EF4-FFF2-40B4-BE49-F238E27FC236}">
              <a16:creationId xmlns:a16="http://schemas.microsoft.com/office/drawing/2014/main" id="{78746BC8-C6D8-46A5-B7A4-57178A0032C1}"/>
            </a:ext>
          </a:extLst>
        </xdr:cNvPr>
        <xdr:cNvSpPr/>
      </xdr:nvSpPr>
      <xdr:spPr>
        <a:xfrm rot="10800000">
          <a:off x="11803380" y="70599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473</xdr:row>
      <xdr:rowOff>0</xdr:rowOff>
    </xdr:from>
    <xdr:to>
      <xdr:col>28</xdr:col>
      <xdr:colOff>83820</xdr:colOff>
      <xdr:row>473</xdr:row>
      <xdr:rowOff>114300</xdr:rowOff>
    </xdr:to>
    <xdr:sp macro="" textlink="">
      <xdr:nvSpPr>
        <xdr:cNvPr id="502" name="Arrow: Down 501">
          <a:extLst>
            <a:ext uri="{FF2B5EF4-FFF2-40B4-BE49-F238E27FC236}">
              <a16:creationId xmlns:a16="http://schemas.microsoft.com/office/drawing/2014/main" id="{77337BCE-4468-46B3-9F06-D75803466722}"/>
            </a:ext>
          </a:extLst>
        </xdr:cNvPr>
        <xdr:cNvSpPr/>
      </xdr:nvSpPr>
      <xdr:spPr>
        <a:xfrm rot="10800000">
          <a:off x="11803380" y="70782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474</xdr:row>
      <xdr:rowOff>0</xdr:rowOff>
    </xdr:from>
    <xdr:to>
      <xdr:col>28</xdr:col>
      <xdr:colOff>83820</xdr:colOff>
      <xdr:row>474</xdr:row>
      <xdr:rowOff>114300</xdr:rowOff>
    </xdr:to>
    <xdr:sp macro="" textlink="">
      <xdr:nvSpPr>
        <xdr:cNvPr id="505" name="Arrow: Down 504">
          <a:extLst>
            <a:ext uri="{FF2B5EF4-FFF2-40B4-BE49-F238E27FC236}">
              <a16:creationId xmlns:a16="http://schemas.microsoft.com/office/drawing/2014/main" id="{48ACB295-E4B7-4F51-AE19-25719825DB1B}"/>
            </a:ext>
          </a:extLst>
        </xdr:cNvPr>
        <xdr:cNvSpPr/>
      </xdr:nvSpPr>
      <xdr:spPr>
        <a:xfrm rot="10800000">
          <a:off x="11803380" y="70965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475</xdr:row>
      <xdr:rowOff>0</xdr:rowOff>
    </xdr:from>
    <xdr:to>
      <xdr:col>28</xdr:col>
      <xdr:colOff>83820</xdr:colOff>
      <xdr:row>475</xdr:row>
      <xdr:rowOff>114300</xdr:rowOff>
    </xdr:to>
    <xdr:sp macro="" textlink="">
      <xdr:nvSpPr>
        <xdr:cNvPr id="506" name="Arrow: Down 505">
          <a:extLst>
            <a:ext uri="{FF2B5EF4-FFF2-40B4-BE49-F238E27FC236}">
              <a16:creationId xmlns:a16="http://schemas.microsoft.com/office/drawing/2014/main" id="{EE0E0548-6DD7-4054-839D-5962A75CE40A}"/>
            </a:ext>
          </a:extLst>
        </xdr:cNvPr>
        <xdr:cNvSpPr/>
      </xdr:nvSpPr>
      <xdr:spPr>
        <a:xfrm rot="10800000">
          <a:off x="11803380" y="71147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476</xdr:row>
      <xdr:rowOff>0</xdr:rowOff>
    </xdr:from>
    <xdr:to>
      <xdr:col>28</xdr:col>
      <xdr:colOff>83820</xdr:colOff>
      <xdr:row>476</xdr:row>
      <xdr:rowOff>114300</xdr:rowOff>
    </xdr:to>
    <xdr:sp macro="" textlink="">
      <xdr:nvSpPr>
        <xdr:cNvPr id="508" name="Arrow: Down 507">
          <a:extLst>
            <a:ext uri="{FF2B5EF4-FFF2-40B4-BE49-F238E27FC236}">
              <a16:creationId xmlns:a16="http://schemas.microsoft.com/office/drawing/2014/main" id="{01147310-E630-4181-AF9D-C6B7B6F64A16}"/>
            </a:ext>
          </a:extLst>
        </xdr:cNvPr>
        <xdr:cNvSpPr/>
      </xdr:nvSpPr>
      <xdr:spPr>
        <a:xfrm>
          <a:off x="11803380" y="7151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477</xdr:row>
      <xdr:rowOff>0</xdr:rowOff>
    </xdr:from>
    <xdr:to>
      <xdr:col>28</xdr:col>
      <xdr:colOff>83820</xdr:colOff>
      <xdr:row>477</xdr:row>
      <xdr:rowOff>114300</xdr:rowOff>
    </xdr:to>
    <xdr:sp macro="" textlink="">
      <xdr:nvSpPr>
        <xdr:cNvPr id="510" name="Arrow: Down 509">
          <a:extLst>
            <a:ext uri="{FF2B5EF4-FFF2-40B4-BE49-F238E27FC236}">
              <a16:creationId xmlns:a16="http://schemas.microsoft.com/office/drawing/2014/main" id="{4883D479-8D8D-4338-920A-4D08EC8800E4}"/>
            </a:ext>
          </a:extLst>
        </xdr:cNvPr>
        <xdr:cNvSpPr/>
      </xdr:nvSpPr>
      <xdr:spPr>
        <a:xfrm>
          <a:off x="11803380" y="7151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478</xdr:row>
      <xdr:rowOff>0</xdr:rowOff>
    </xdr:from>
    <xdr:to>
      <xdr:col>28</xdr:col>
      <xdr:colOff>83820</xdr:colOff>
      <xdr:row>478</xdr:row>
      <xdr:rowOff>114300</xdr:rowOff>
    </xdr:to>
    <xdr:sp macro="" textlink="">
      <xdr:nvSpPr>
        <xdr:cNvPr id="512" name="Arrow: Down 511">
          <a:extLst>
            <a:ext uri="{FF2B5EF4-FFF2-40B4-BE49-F238E27FC236}">
              <a16:creationId xmlns:a16="http://schemas.microsoft.com/office/drawing/2014/main" id="{70AB941B-515F-4BE5-9F11-935579146680}"/>
            </a:ext>
          </a:extLst>
        </xdr:cNvPr>
        <xdr:cNvSpPr/>
      </xdr:nvSpPr>
      <xdr:spPr>
        <a:xfrm rot="10800000">
          <a:off x="11803380" y="71879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479</xdr:row>
      <xdr:rowOff>0</xdr:rowOff>
    </xdr:from>
    <xdr:to>
      <xdr:col>28</xdr:col>
      <xdr:colOff>83820</xdr:colOff>
      <xdr:row>479</xdr:row>
      <xdr:rowOff>114300</xdr:rowOff>
    </xdr:to>
    <xdr:sp macro="" textlink="">
      <xdr:nvSpPr>
        <xdr:cNvPr id="513" name="Arrow: Down 512">
          <a:extLst>
            <a:ext uri="{FF2B5EF4-FFF2-40B4-BE49-F238E27FC236}">
              <a16:creationId xmlns:a16="http://schemas.microsoft.com/office/drawing/2014/main" id="{9CA904F3-0A1C-4A06-9DBD-E145ECC9AFD6}"/>
            </a:ext>
          </a:extLst>
        </xdr:cNvPr>
        <xdr:cNvSpPr/>
      </xdr:nvSpPr>
      <xdr:spPr>
        <a:xfrm rot="10800000">
          <a:off x="11803380" y="71879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480</xdr:row>
      <xdr:rowOff>0</xdr:rowOff>
    </xdr:from>
    <xdr:to>
      <xdr:col>28</xdr:col>
      <xdr:colOff>83820</xdr:colOff>
      <xdr:row>480</xdr:row>
      <xdr:rowOff>114300</xdr:rowOff>
    </xdr:to>
    <xdr:sp macro="" textlink="">
      <xdr:nvSpPr>
        <xdr:cNvPr id="514" name="Arrow: Down 513">
          <a:extLst>
            <a:ext uri="{FF2B5EF4-FFF2-40B4-BE49-F238E27FC236}">
              <a16:creationId xmlns:a16="http://schemas.microsoft.com/office/drawing/2014/main" id="{480272BB-108E-4AAE-9738-42D4EDF6BDCC}"/>
            </a:ext>
          </a:extLst>
        </xdr:cNvPr>
        <xdr:cNvSpPr/>
      </xdr:nvSpPr>
      <xdr:spPr>
        <a:xfrm rot="10800000">
          <a:off x="11803380" y="72062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481</xdr:row>
      <xdr:rowOff>0</xdr:rowOff>
    </xdr:from>
    <xdr:to>
      <xdr:col>28</xdr:col>
      <xdr:colOff>83820</xdr:colOff>
      <xdr:row>481</xdr:row>
      <xdr:rowOff>114300</xdr:rowOff>
    </xdr:to>
    <xdr:sp macro="" textlink="">
      <xdr:nvSpPr>
        <xdr:cNvPr id="515" name="Arrow: Down 514">
          <a:extLst>
            <a:ext uri="{FF2B5EF4-FFF2-40B4-BE49-F238E27FC236}">
              <a16:creationId xmlns:a16="http://schemas.microsoft.com/office/drawing/2014/main" id="{21320805-E1E4-40F9-8405-22B70BE27B63}"/>
            </a:ext>
          </a:extLst>
        </xdr:cNvPr>
        <xdr:cNvSpPr/>
      </xdr:nvSpPr>
      <xdr:spPr>
        <a:xfrm rot="10800000">
          <a:off x="11803380" y="72245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482</xdr:row>
      <xdr:rowOff>0</xdr:rowOff>
    </xdr:from>
    <xdr:to>
      <xdr:col>28</xdr:col>
      <xdr:colOff>83820</xdr:colOff>
      <xdr:row>482</xdr:row>
      <xdr:rowOff>114300</xdr:rowOff>
    </xdr:to>
    <xdr:sp macro="" textlink="">
      <xdr:nvSpPr>
        <xdr:cNvPr id="507" name="Arrow: Down 506">
          <a:extLst>
            <a:ext uri="{FF2B5EF4-FFF2-40B4-BE49-F238E27FC236}">
              <a16:creationId xmlns:a16="http://schemas.microsoft.com/office/drawing/2014/main" id="{FCF6149B-A675-4B39-9846-80635A190A5E}"/>
            </a:ext>
          </a:extLst>
        </xdr:cNvPr>
        <xdr:cNvSpPr/>
      </xdr:nvSpPr>
      <xdr:spPr>
        <a:xfrm rot="10800000">
          <a:off x="11803380" y="7242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483</xdr:row>
      <xdr:rowOff>0</xdr:rowOff>
    </xdr:from>
    <xdr:to>
      <xdr:col>28</xdr:col>
      <xdr:colOff>83820</xdr:colOff>
      <xdr:row>483</xdr:row>
      <xdr:rowOff>114300</xdr:rowOff>
    </xdr:to>
    <xdr:sp macro="" textlink="">
      <xdr:nvSpPr>
        <xdr:cNvPr id="511" name="Arrow: Down 510">
          <a:extLst>
            <a:ext uri="{FF2B5EF4-FFF2-40B4-BE49-F238E27FC236}">
              <a16:creationId xmlns:a16="http://schemas.microsoft.com/office/drawing/2014/main" id="{6FDF3C04-DAF0-4B5C-A53C-3156E20584A3}"/>
            </a:ext>
          </a:extLst>
        </xdr:cNvPr>
        <xdr:cNvSpPr/>
      </xdr:nvSpPr>
      <xdr:spPr>
        <a:xfrm>
          <a:off x="11803380" y="7279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484</xdr:row>
      <xdr:rowOff>0</xdr:rowOff>
    </xdr:from>
    <xdr:to>
      <xdr:col>28</xdr:col>
      <xdr:colOff>83820</xdr:colOff>
      <xdr:row>484</xdr:row>
      <xdr:rowOff>114300</xdr:rowOff>
    </xdr:to>
    <xdr:sp macro="" textlink="">
      <xdr:nvSpPr>
        <xdr:cNvPr id="517" name="Arrow: Down 516">
          <a:extLst>
            <a:ext uri="{FF2B5EF4-FFF2-40B4-BE49-F238E27FC236}">
              <a16:creationId xmlns:a16="http://schemas.microsoft.com/office/drawing/2014/main" id="{D03FA030-E9DF-4397-B5CC-9D4BEAF7144D}"/>
            </a:ext>
          </a:extLst>
        </xdr:cNvPr>
        <xdr:cNvSpPr/>
      </xdr:nvSpPr>
      <xdr:spPr>
        <a:xfrm rot="10800000">
          <a:off x="11803380" y="72976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485</xdr:row>
      <xdr:rowOff>0</xdr:rowOff>
    </xdr:from>
    <xdr:to>
      <xdr:col>28</xdr:col>
      <xdr:colOff>83820</xdr:colOff>
      <xdr:row>485</xdr:row>
      <xdr:rowOff>114300</xdr:rowOff>
    </xdr:to>
    <xdr:sp macro="" textlink="">
      <xdr:nvSpPr>
        <xdr:cNvPr id="499" name="Arrow: Down 498">
          <a:extLst>
            <a:ext uri="{FF2B5EF4-FFF2-40B4-BE49-F238E27FC236}">
              <a16:creationId xmlns:a16="http://schemas.microsoft.com/office/drawing/2014/main" id="{8FCEC8DF-6407-4557-BB32-B47CB0746947}"/>
            </a:ext>
          </a:extLst>
        </xdr:cNvPr>
        <xdr:cNvSpPr/>
      </xdr:nvSpPr>
      <xdr:spPr>
        <a:xfrm rot="10800000">
          <a:off x="11803380" y="72976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486</xdr:row>
      <xdr:rowOff>0</xdr:rowOff>
    </xdr:from>
    <xdr:to>
      <xdr:col>28</xdr:col>
      <xdr:colOff>83820</xdr:colOff>
      <xdr:row>486</xdr:row>
      <xdr:rowOff>114300</xdr:rowOff>
    </xdr:to>
    <xdr:sp macro="" textlink="">
      <xdr:nvSpPr>
        <xdr:cNvPr id="509" name="Arrow: Down 508">
          <a:extLst>
            <a:ext uri="{FF2B5EF4-FFF2-40B4-BE49-F238E27FC236}">
              <a16:creationId xmlns:a16="http://schemas.microsoft.com/office/drawing/2014/main" id="{B7204731-5F67-4831-8D5C-373B1DD7D359}"/>
            </a:ext>
          </a:extLst>
        </xdr:cNvPr>
        <xdr:cNvSpPr/>
      </xdr:nvSpPr>
      <xdr:spPr>
        <a:xfrm rot="10800000">
          <a:off x="11803380" y="73159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487</xdr:row>
      <xdr:rowOff>0</xdr:rowOff>
    </xdr:from>
    <xdr:to>
      <xdr:col>28</xdr:col>
      <xdr:colOff>83820</xdr:colOff>
      <xdr:row>487</xdr:row>
      <xdr:rowOff>114300</xdr:rowOff>
    </xdr:to>
    <xdr:sp macro="" textlink="">
      <xdr:nvSpPr>
        <xdr:cNvPr id="516" name="Arrow: Down 515">
          <a:extLst>
            <a:ext uri="{FF2B5EF4-FFF2-40B4-BE49-F238E27FC236}">
              <a16:creationId xmlns:a16="http://schemas.microsoft.com/office/drawing/2014/main" id="{7ADF66DE-B495-4D70-B120-FCA7C76F9ADD}"/>
            </a:ext>
          </a:extLst>
        </xdr:cNvPr>
        <xdr:cNvSpPr/>
      </xdr:nvSpPr>
      <xdr:spPr>
        <a:xfrm rot="10800000">
          <a:off x="11803380" y="73342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488</xdr:row>
      <xdr:rowOff>0</xdr:rowOff>
    </xdr:from>
    <xdr:to>
      <xdr:col>28</xdr:col>
      <xdr:colOff>83820</xdr:colOff>
      <xdr:row>488</xdr:row>
      <xdr:rowOff>114300</xdr:rowOff>
    </xdr:to>
    <xdr:sp macro="" textlink="">
      <xdr:nvSpPr>
        <xdr:cNvPr id="518" name="Arrow: Down 517">
          <a:extLst>
            <a:ext uri="{FF2B5EF4-FFF2-40B4-BE49-F238E27FC236}">
              <a16:creationId xmlns:a16="http://schemas.microsoft.com/office/drawing/2014/main" id="{7763893C-B5AF-4907-882E-396381ED98AC}"/>
            </a:ext>
          </a:extLst>
        </xdr:cNvPr>
        <xdr:cNvSpPr/>
      </xdr:nvSpPr>
      <xdr:spPr>
        <a:xfrm rot="10800000">
          <a:off x="11803380" y="73525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489</xdr:row>
      <xdr:rowOff>0</xdr:rowOff>
    </xdr:from>
    <xdr:to>
      <xdr:col>28</xdr:col>
      <xdr:colOff>83820</xdr:colOff>
      <xdr:row>489</xdr:row>
      <xdr:rowOff>114300</xdr:rowOff>
    </xdr:to>
    <xdr:sp macro="" textlink="">
      <xdr:nvSpPr>
        <xdr:cNvPr id="519" name="Arrow: Down 518">
          <a:extLst>
            <a:ext uri="{FF2B5EF4-FFF2-40B4-BE49-F238E27FC236}">
              <a16:creationId xmlns:a16="http://schemas.microsoft.com/office/drawing/2014/main" id="{A4FCFCCA-F475-402F-AED7-362EECD25C25}"/>
            </a:ext>
          </a:extLst>
        </xdr:cNvPr>
        <xdr:cNvSpPr/>
      </xdr:nvSpPr>
      <xdr:spPr>
        <a:xfrm rot="10800000">
          <a:off x="11803380" y="73708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490</xdr:row>
      <xdr:rowOff>0</xdr:rowOff>
    </xdr:from>
    <xdr:to>
      <xdr:col>28</xdr:col>
      <xdr:colOff>83820</xdr:colOff>
      <xdr:row>490</xdr:row>
      <xdr:rowOff>114300</xdr:rowOff>
    </xdr:to>
    <xdr:sp macro="" textlink="">
      <xdr:nvSpPr>
        <xdr:cNvPr id="521" name="Arrow: Down 520">
          <a:extLst>
            <a:ext uri="{FF2B5EF4-FFF2-40B4-BE49-F238E27FC236}">
              <a16:creationId xmlns:a16="http://schemas.microsoft.com/office/drawing/2014/main" id="{F2ECFC81-AAEB-4C0D-8059-778B29111E95}"/>
            </a:ext>
          </a:extLst>
        </xdr:cNvPr>
        <xdr:cNvSpPr/>
      </xdr:nvSpPr>
      <xdr:spPr>
        <a:xfrm>
          <a:off x="11803380" y="7407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491</xdr:row>
      <xdr:rowOff>0</xdr:rowOff>
    </xdr:from>
    <xdr:to>
      <xdr:col>28</xdr:col>
      <xdr:colOff>83820</xdr:colOff>
      <xdr:row>491</xdr:row>
      <xdr:rowOff>114300</xdr:rowOff>
    </xdr:to>
    <xdr:sp macro="" textlink="">
      <xdr:nvSpPr>
        <xdr:cNvPr id="522" name="Arrow: Down 521">
          <a:extLst>
            <a:ext uri="{FF2B5EF4-FFF2-40B4-BE49-F238E27FC236}">
              <a16:creationId xmlns:a16="http://schemas.microsoft.com/office/drawing/2014/main" id="{6D92CDEE-057B-4486-B704-AE6CA7BE344B}"/>
            </a:ext>
          </a:extLst>
        </xdr:cNvPr>
        <xdr:cNvSpPr/>
      </xdr:nvSpPr>
      <xdr:spPr>
        <a:xfrm>
          <a:off x="11803380" y="7407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492</xdr:row>
      <xdr:rowOff>0</xdr:rowOff>
    </xdr:from>
    <xdr:to>
      <xdr:col>28</xdr:col>
      <xdr:colOff>83820</xdr:colOff>
      <xdr:row>492</xdr:row>
      <xdr:rowOff>114300</xdr:rowOff>
    </xdr:to>
    <xdr:sp macro="" textlink="">
      <xdr:nvSpPr>
        <xdr:cNvPr id="527" name="Arrow: Down 526">
          <a:extLst>
            <a:ext uri="{FF2B5EF4-FFF2-40B4-BE49-F238E27FC236}">
              <a16:creationId xmlns:a16="http://schemas.microsoft.com/office/drawing/2014/main" id="{0CB3E6FD-15AE-4349-89EA-46AE01CF1A7B}"/>
            </a:ext>
          </a:extLst>
        </xdr:cNvPr>
        <xdr:cNvSpPr/>
      </xdr:nvSpPr>
      <xdr:spPr>
        <a:xfrm rot="10800000">
          <a:off x="11803380" y="74439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493</xdr:row>
      <xdr:rowOff>0</xdr:rowOff>
    </xdr:from>
    <xdr:to>
      <xdr:col>28</xdr:col>
      <xdr:colOff>83820</xdr:colOff>
      <xdr:row>493</xdr:row>
      <xdr:rowOff>114300</xdr:rowOff>
    </xdr:to>
    <xdr:sp macro="" textlink="">
      <xdr:nvSpPr>
        <xdr:cNvPr id="529" name="Arrow: Down 528">
          <a:extLst>
            <a:ext uri="{FF2B5EF4-FFF2-40B4-BE49-F238E27FC236}">
              <a16:creationId xmlns:a16="http://schemas.microsoft.com/office/drawing/2014/main" id="{B87B9B24-A1EA-4C35-9A97-3920780E2961}"/>
            </a:ext>
          </a:extLst>
        </xdr:cNvPr>
        <xdr:cNvSpPr/>
      </xdr:nvSpPr>
      <xdr:spPr>
        <a:xfrm rot="10800000">
          <a:off x="11803380" y="74622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494</xdr:row>
      <xdr:rowOff>0</xdr:rowOff>
    </xdr:from>
    <xdr:to>
      <xdr:col>28</xdr:col>
      <xdr:colOff>83820</xdr:colOff>
      <xdr:row>494</xdr:row>
      <xdr:rowOff>114300</xdr:rowOff>
    </xdr:to>
    <xdr:sp macro="" textlink="">
      <xdr:nvSpPr>
        <xdr:cNvPr id="530" name="Arrow: Down 529">
          <a:extLst>
            <a:ext uri="{FF2B5EF4-FFF2-40B4-BE49-F238E27FC236}">
              <a16:creationId xmlns:a16="http://schemas.microsoft.com/office/drawing/2014/main" id="{74C65D19-B9DE-4D4D-BEF8-54F332C15667}"/>
            </a:ext>
          </a:extLst>
        </xdr:cNvPr>
        <xdr:cNvSpPr/>
      </xdr:nvSpPr>
      <xdr:spPr>
        <a:xfrm rot="10800000">
          <a:off x="11803380" y="74805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495</xdr:row>
      <xdr:rowOff>0</xdr:rowOff>
    </xdr:from>
    <xdr:to>
      <xdr:col>28</xdr:col>
      <xdr:colOff>83820</xdr:colOff>
      <xdr:row>495</xdr:row>
      <xdr:rowOff>114300</xdr:rowOff>
    </xdr:to>
    <xdr:sp macro="" textlink="">
      <xdr:nvSpPr>
        <xdr:cNvPr id="532" name="Arrow: Down 531">
          <a:extLst>
            <a:ext uri="{FF2B5EF4-FFF2-40B4-BE49-F238E27FC236}">
              <a16:creationId xmlns:a16="http://schemas.microsoft.com/office/drawing/2014/main" id="{425F7453-A2F2-4B50-A019-9E9D3F5E15A1}"/>
            </a:ext>
          </a:extLst>
        </xdr:cNvPr>
        <xdr:cNvSpPr/>
      </xdr:nvSpPr>
      <xdr:spPr>
        <a:xfrm rot="10800000">
          <a:off x="11803380" y="74805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496</xdr:row>
      <xdr:rowOff>0</xdr:rowOff>
    </xdr:from>
    <xdr:to>
      <xdr:col>28</xdr:col>
      <xdr:colOff>83820</xdr:colOff>
      <xdr:row>496</xdr:row>
      <xdr:rowOff>114300</xdr:rowOff>
    </xdr:to>
    <xdr:sp macro="" textlink="">
      <xdr:nvSpPr>
        <xdr:cNvPr id="533" name="Arrow: Down 532">
          <a:extLst>
            <a:ext uri="{FF2B5EF4-FFF2-40B4-BE49-F238E27FC236}">
              <a16:creationId xmlns:a16="http://schemas.microsoft.com/office/drawing/2014/main" id="{37FEB8DA-6F44-456A-8CF2-270059E78919}"/>
            </a:ext>
          </a:extLst>
        </xdr:cNvPr>
        <xdr:cNvSpPr/>
      </xdr:nvSpPr>
      <xdr:spPr>
        <a:xfrm rot="10800000">
          <a:off x="11803380" y="74988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497</xdr:row>
      <xdr:rowOff>0</xdr:rowOff>
    </xdr:from>
    <xdr:to>
      <xdr:col>28</xdr:col>
      <xdr:colOff>83820</xdr:colOff>
      <xdr:row>497</xdr:row>
      <xdr:rowOff>114300</xdr:rowOff>
    </xdr:to>
    <xdr:sp macro="" textlink="">
      <xdr:nvSpPr>
        <xdr:cNvPr id="535" name="Arrow: Down 534">
          <a:extLst>
            <a:ext uri="{FF2B5EF4-FFF2-40B4-BE49-F238E27FC236}">
              <a16:creationId xmlns:a16="http://schemas.microsoft.com/office/drawing/2014/main" id="{378AC7EC-DAFA-41D8-9C39-05F354F1CB42}"/>
            </a:ext>
          </a:extLst>
        </xdr:cNvPr>
        <xdr:cNvSpPr/>
      </xdr:nvSpPr>
      <xdr:spPr>
        <a:xfrm>
          <a:off x="11803380" y="7535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498</xdr:row>
      <xdr:rowOff>0</xdr:rowOff>
    </xdr:from>
    <xdr:to>
      <xdr:col>28</xdr:col>
      <xdr:colOff>83820</xdr:colOff>
      <xdr:row>498</xdr:row>
      <xdr:rowOff>114300</xdr:rowOff>
    </xdr:to>
    <xdr:sp macro="" textlink="">
      <xdr:nvSpPr>
        <xdr:cNvPr id="536" name="Arrow: Down 535">
          <a:extLst>
            <a:ext uri="{FF2B5EF4-FFF2-40B4-BE49-F238E27FC236}">
              <a16:creationId xmlns:a16="http://schemas.microsoft.com/office/drawing/2014/main" id="{93DEB3B0-990F-45A8-8547-ABC81657A207}"/>
            </a:ext>
          </a:extLst>
        </xdr:cNvPr>
        <xdr:cNvSpPr/>
      </xdr:nvSpPr>
      <xdr:spPr>
        <a:xfrm>
          <a:off x="11803380" y="7535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499</xdr:row>
      <xdr:rowOff>0</xdr:rowOff>
    </xdr:from>
    <xdr:to>
      <xdr:col>28</xdr:col>
      <xdr:colOff>83820</xdr:colOff>
      <xdr:row>499</xdr:row>
      <xdr:rowOff>114300</xdr:rowOff>
    </xdr:to>
    <xdr:sp macro="" textlink="">
      <xdr:nvSpPr>
        <xdr:cNvPr id="539" name="Arrow: Down 538">
          <a:extLst>
            <a:ext uri="{FF2B5EF4-FFF2-40B4-BE49-F238E27FC236}">
              <a16:creationId xmlns:a16="http://schemas.microsoft.com/office/drawing/2014/main" id="{DA73C679-17C4-4E99-B9E6-615CDCD3543B}"/>
            </a:ext>
          </a:extLst>
        </xdr:cNvPr>
        <xdr:cNvSpPr/>
      </xdr:nvSpPr>
      <xdr:spPr>
        <a:xfrm rot="10800000">
          <a:off x="11803380" y="75719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500</xdr:row>
      <xdr:rowOff>0</xdr:rowOff>
    </xdr:from>
    <xdr:to>
      <xdr:col>28</xdr:col>
      <xdr:colOff>83820</xdr:colOff>
      <xdr:row>500</xdr:row>
      <xdr:rowOff>114300</xdr:rowOff>
    </xdr:to>
    <xdr:sp macro="" textlink="">
      <xdr:nvSpPr>
        <xdr:cNvPr id="542" name="Arrow: Down 541">
          <a:extLst>
            <a:ext uri="{FF2B5EF4-FFF2-40B4-BE49-F238E27FC236}">
              <a16:creationId xmlns:a16="http://schemas.microsoft.com/office/drawing/2014/main" id="{47B0BBB9-1367-40ED-84CD-2D36228F1F06}"/>
            </a:ext>
          </a:extLst>
        </xdr:cNvPr>
        <xdr:cNvSpPr/>
      </xdr:nvSpPr>
      <xdr:spPr>
        <a:xfrm>
          <a:off x="11803380" y="7590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501</xdr:row>
      <xdr:rowOff>0</xdr:rowOff>
    </xdr:from>
    <xdr:to>
      <xdr:col>28</xdr:col>
      <xdr:colOff>83820</xdr:colOff>
      <xdr:row>501</xdr:row>
      <xdr:rowOff>114300</xdr:rowOff>
    </xdr:to>
    <xdr:sp macro="" textlink="">
      <xdr:nvSpPr>
        <xdr:cNvPr id="543" name="Arrow: Down 542">
          <a:extLst>
            <a:ext uri="{FF2B5EF4-FFF2-40B4-BE49-F238E27FC236}">
              <a16:creationId xmlns:a16="http://schemas.microsoft.com/office/drawing/2014/main" id="{B44BFE36-C0E3-4830-8509-F5B25A5AFB37}"/>
            </a:ext>
          </a:extLst>
        </xdr:cNvPr>
        <xdr:cNvSpPr/>
      </xdr:nvSpPr>
      <xdr:spPr>
        <a:xfrm>
          <a:off x="11803380" y="7590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502</xdr:row>
      <xdr:rowOff>0</xdr:rowOff>
    </xdr:from>
    <xdr:to>
      <xdr:col>28</xdr:col>
      <xdr:colOff>83820</xdr:colOff>
      <xdr:row>502</xdr:row>
      <xdr:rowOff>114300</xdr:rowOff>
    </xdr:to>
    <xdr:sp macro="" textlink="">
      <xdr:nvSpPr>
        <xdr:cNvPr id="545" name="Arrow: Down 544">
          <a:extLst>
            <a:ext uri="{FF2B5EF4-FFF2-40B4-BE49-F238E27FC236}">
              <a16:creationId xmlns:a16="http://schemas.microsoft.com/office/drawing/2014/main" id="{13CDD4B8-2E20-4D06-B0E4-3FB2C7DEA660}"/>
            </a:ext>
          </a:extLst>
        </xdr:cNvPr>
        <xdr:cNvSpPr/>
      </xdr:nvSpPr>
      <xdr:spPr>
        <a:xfrm>
          <a:off x="11803380" y="7608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503</xdr:row>
      <xdr:rowOff>0</xdr:rowOff>
    </xdr:from>
    <xdr:to>
      <xdr:col>28</xdr:col>
      <xdr:colOff>83820</xdr:colOff>
      <xdr:row>503</xdr:row>
      <xdr:rowOff>114300</xdr:rowOff>
    </xdr:to>
    <xdr:sp macro="" textlink="">
      <xdr:nvSpPr>
        <xdr:cNvPr id="546" name="Arrow: Down 545">
          <a:extLst>
            <a:ext uri="{FF2B5EF4-FFF2-40B4-BE49-F238E27FC236}">
              <a16:creationId xmlns:a16="http://schemas.microsoft.com/office/drawing/2014/main" id="{C5811EF2-19FC-4F6F-804C-3EEECADE444D}"/>
            </a:ext>
          </a:extLst>
        </xdr:cNvPr>
        <xdr:cNvSpPr/>
      </xdr:nvSpPr>
      <xdr:spPr>
        <a:xfrm>
          <a:off x="11803380" y="7626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504</xdr:row>
      <xdr:rowOff>0</xdr:rowOff>
    </xdr:from>
    <xdr:to>
      <xdr:col>28</xdr:col>
      <xdr:colOff>83820</xdr:colOff>
      <xdr:row>504</xdr:row>
      <xdr:rowOff>114300</xdr:rowOff>
    </xdr:to>
    <xdr:sp macro="" textlink="">
      <xdr:nvSpPr>
        <xdr:cNvPr id="547" name="Arrow: Down 546">
          <a:extLst>
            <a:ext uri="{FF2B5EF4-FFF2-40B4-BE49-F238E27FC236}">
              <a16:creationId xmlns:a16="http://schemas.microsoft.com/office/drawing/2014/main" id="{0967ACFE-DB87-4A7F-9A77-5AB91975261C}"/>
            </a:ext>
          </a:extLst>
        </xdr:cNvPr>
        <xdr:cNvSpPr/>
      </xdr:nvSpPr>
      <xdr:spPr>
        <a:xfrm>
          <a:off x="11803380" y="7645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505</xdr:row>
      <xdr:rowOff>0</xdr:rowOff>
    </xdr:from>
    <xdr:to>
      <xdr:col>28</xdr:col>
      <xdr:colOff>83820</xdr:colOff>
      <xdr:row>505</xdr:row>
      <xdr:rowOff>114300</xdr:rowOff>
    </xdr:to>
    <xdr:sp macro="" textlink="">
      <xdr:nvSpPr>
        <xdr:cNvPr id="548" name="Arrow: Down 547">
          <a:extLst>
            <a:ext uri="{FF2B5EF4-FFF2-40B4-BE49-F238E27FC236}">
              <a16:creationId xmlns:a16="http://schemas.microsoft.com/office/drawing/2014/main" id="{9065EA31-72FC-443C-9EC6-020469235F49}"/>
            </a:ext>
          </a:extLst>
        </xdr:cNvPr>
        <xdr:cNvSpPr/>
      </xdr:nvSpPr>
      <xdr:spPr>
        <a:xfrm>
          <a:off x="11803380" y="7663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506</xdr:row>
      <xdr:rowOff>0</xdr:rowOff>
    </xdr:from>
    <xdr:to>
      <xdr:col>28</xdr:col>
      <xdr:colOff>83820</xdr:colOff>
      <xdr:row>506</xdr:row>
      <xdr:rowOff>114300</xdr:rowOff>
    </xdr:to>
    <xdr:sp macro="" textlink="">
      <xdr:nvSpPr>
        <xdr:cNvPr id="525" name="Arrow: Down 524">
          <a:extLst>
            <a:ext uri="{FF2B5EF4-FFF2-40B4-BE49-F238E27FC236}">
              <a16:creationId xmlns:a16="http://schemas.microsoft.com/office/drawing/2014/main" id="{2A9FE5FE-FA46-4C64-8A41-BD78B865A705}"/>
            </a:ext>
          </a:extLst>
        </xdr:cNvPr>
        <xdr:cNvSpPr/>
      </xdr:nvSpPr>
      <xdr:spPr>
        <a:xfrm rot="10800000">
          <a:off x="11803380" y="77000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507</xdr:row>
      <xdr:rowOff>0</xdr:rowOff>
    </xdr:from>
    <xdr:to>
      <xdr:col>28</xdr:col>
      <xdr:colOff>83820</xdr:colOff>
      <xdr:row>507</xdr:row>
      <xdr:rowOff>114300</xdr:rowOff>
    </xdr:to>
    <xdr:sp macro="" textlink="">
      <xdr:nvSpPr>
        <xdr:cNvPr id="526" name="Arrow: Down 525">
          <a:extLst>
            <a:ext uri="{FF2B5EF4-FFF2-40B4-BE49-F238E27FC236}">
              <a16:creationId xmlns:a16="http://schemas.microsoft.com/office/drawing/2014/main" id="{8D4DFB28-717F-4E6F-8EB0-589A728DEBFC}"/>
            </a:ext>
          </a:extLst>
        </xdr:cNvPr>
        <xdr:cNvSpPr/>
      </xdr:nvSpPr>
      <xdr:spPr>
        <a:xfrm rot="10800000">
          <a:off x="11803380" y="77000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508</xdr:row>
      <xdr:rowOff>0</xdr:rowOff>
    </xdr:from>
    <xdr:to>
      <xdr:col>28</xdr:col>
      <xdr:colOff>83820</xdr:colOff>
      <xdr:row>508</xdr:row>
      <xdr:rowOff>114300</xdr:rowOff>
    </xdr:to>
    <xdr:sp macro="" textlink="">
      <xdr:nvSpPr>
        <xdr:cNvPr id="528" name="Arrow: Down 527">
          <a:extLst>
            <a:ext uri="{FF2B5EF4-FFF2-40B4-BE49-F238E27FC236}">
              <a16:creationId xmlns:a16="http://schemas.microsoft.com/office/drawing/2014/main" id="{ED2FCE58-516A-4265-8E16-089F18D8DCA4}"/>
            </a:ext>
          </a:extLst>
        </xdr:cNvPr>
        <xdr:cNvSpPr/>
      </xdr:nvSpPr>
      <xdr:spPr>
        <a:xfrm rot="10800000">
          <a:off x="11803380" y="77182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509</xdr:row>
      <xdr:rowOff>0</xdr:rowOff>
    </xdr:from>
    <xdr:to>
      <xdr:col>28</xdr:col>
      <xdr:colOff>83820</xdr:colOff>
      <xdr:row>509</xdr:row>
      <xdr:rowOff>114300</xdr:rowOff>
    </xdr:to>
    <xdr:sp macro="" textlink="">
      <xdr:nvSpPr>
        <xdr:cNvPr id="534" name="Arrow: Down 533">
          <a:extLst>
            <a:ext uri="{FF2B5EF4-FFF2-40B4-BE49-F238E27FC236}">
              <a16:creationId xmlns:a16="http://schemas.microsoft.com/office/drawing/2014/main" id="{FC60CD0D-C58E-43BD-93AB-3130D00A8245}"/>
            </a:ext>
          </a:extLst>
        </xdr:cNvPr>
        <xdr:cNvSpPr/>
      </xdr:nvSpPr>
      <xdr:spPr>
        <a:xfrm>
          <a:off x="11803380" y="7754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510</xdr:row>
      <xdr:rowOff>0</xdr:rowOff>
    </xdr:from>
    <xdr:to>
      <xdr:col>28</xdr:col>
      <xdr:colOff>83820</xdr:colOff>
      <xdr:row>510</xdr:row>
      <xdr:rowOff>114300</xdr:rowOff>
    </xdr:to>
    <xdr:sp macro="" textlink="">
      <xdr:nvSpPr>
        <xdr:cNvPr id="537" name="Arrow: Down 536">
          <a:extLst>
            <a:ext uri="{FF2B5EF4-FFF2-40B4-BE49-F238E27FC236}">
              <a16:creationId xmlns:a16="http://schemas.microsoft.com/office/drawing/2014/main" id="{3FCAAE84-A441-4C8A-98D0-5E60BD7D2A22}"/>
            </a:ext>
          </a:extLst>
        </xdr:cNvPr>
        <xdr:cNvSpPr/>
      </xdr:nvSpPr>
      <xdr:spPr>
        <a:xfrm>
          <a:off x="11803380" y="7754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511</xdr:row>
      <xdr:rowOff>0</xdr:rowOff>
    </xdr:from>
    <xdr:to>
      <xdr:col>28</xdr:col>
      <xdr:colOff>83820</xdr:colOff>
      <xdr:row>511</xdr:row>
      <xdr:rowOff>114300</xdr:rowOff>
    </xdr:to>
    <xdr:sp macro="" textlink="">
      <xdr:nvSpPr>
        <xdr:cNvPr id="540" name="Arrow: Down 539">
          <a:extLst>
            <a:ext uri="{FF2B5EF4-FFF2-40B4-BE49-F238E27FC236}">
              <a16:creationId xmlns:a16="http://schemas.microsoft.com/office/drawing/2014/main" id="{C6A13A33-8401-4312-B83A-E92D7075E545}"/>
            </a:ext>
          </a:extLst>
        </xdr:cNvPr>
        <xdr:cNvSpPr/>
      </xdr:nvSpPr>
      <xdr:spPr>
        <a:xfrm>
          <a:off x="11803380" y="7773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512</xdr:row>
      <xdr:rowOff>0</xdr:rowOff>
    </xdr:from>
    <xdr:to>
      <xdr:col>28</xdr:col>
      <xdr:colOff>83820</xdr:colOff>
      <xdr:row>512</xdr:row>
      <xdr:rowOff>114300</xdr:rowOff>
    </xdr:to>
    <xdr:sp macro="" textlink="">
      <xdr:nvSpPr>
        <xdr:cNvPr id="541" name="Arrow: Down 540">
          <a:extLst>
            <a:ext uri="{FF2B5EF4-FFF2-40B4-BE49-F238E27FC236}">
              <a16:creationId xmlns:a16="http://schemas.microsoft.com/office/drawing/2014/main" id="{8A53056A-60E0-4B20-8664-12B22EDFA76E}"/>
            </a:ext>
          </a:extLst>
        </xdr:cNvPr>
        <xdr:cNvSpPr/>
      </xdr:nvSpPr>
      <xdr:spPr>
        <a:xfrm>
          <a:off x="11803380" y="7791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513</xdr:row>
      <xdr:rowOff>0</xdr:rowOff>
    </xdr:from>
    <xdr:to>
      <xdr:col>28</xdr:col>
      <xdr:colOff>83820</xdr:colOff>
      <xdr:row>513</xdr:row>
      <xdr:rowOff>114300</xdr:rowOff>
    </xdr:to>
    <xdr:sp macro="" textlink="">
      <xdr:nvSpPr>
        <xdr:cNvPr id="520" name="Arrow: Down 519">
          <a:extLst>
            <a:ext uri="{FF2B5EF4-FFF2-40B4-BE49-F238E27FC236}">
              <a16:creationId xmlns:a16="http://schemas.microsoft.com/office/drawing/2014/main" id="{CC90868E-B63C-4377-8AB2-1D47B7AD6089}"/>
            </a:ext>
          </a:extLst>
        </xdr:cNvPr>
        <xdr:cNvSpPr/>
      </xdr:nvSpPr>
      <xdr:spPr>
        <a:xfrm>
          <a:off x="11803380" y="7828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514</xdr:row>
      <xdr:rowOff>0</xdr:rowOff>
    </xdr:from>
    <xdr:to>
      <xdr:col>28</xdr:col>
      <xdr:colOff>83820</xdr:colOff>
      <xdr:row>514</xdr:row>
      <xdr:rowOff>114300</xdr:rowOff>
    </xdr:to>
    <xdr:sp macro="" textlink="">
      <xdr:nvSpPr>
        <xdr:cNvPr id="523" name="Arrow: Down 522">
          <a:extLst>
            <a:ext uri="{FF2B5EF4-FFF2-40B4-BE49-F238E27FC236}">
              <a16:creationId xmlns:a16="http://schemas.microsoft.com/office/drawing/2014/main" id="{595754B2-B24C-414A-84E2-518CE0C12FC2}"/>
            </a:ext>
          </a:extLst>
        </xdr:cNvPr>
        <xdr:cNvSpPr/>
      </xdr:nvSpPr>
      <xdr:spPr>
        <a:xfrm>
          <a:off x="11803380" y="7828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515</xdr:row>
      <xdr:rowOff>0</xdr:rowOff>
    </xdr:from>
    <xdr:to>
      <xdr:col>28</xdr:col>
      <xdr:colOff>83820</xdr:colOff>
      <xdr:row>515</xdr:row>
      <xdr:rowOff>114300</xdr:rowOff>
    </xdr:to>
    <xdr:sp macro="" textlink="">
      <xdr:nvSpPr>
        <xdr:cNvPr id="538" name="Arrow: Down 537">
          <a:extLst>
            <a:ext uri="{FF2B5EF4-FFF2-40B4-BE49-F238E27FC236}">
              <a16:creationId xmlns:a16="http://schemas.microsoft.com/office/drawing/2014/main" id="{884B0218-83AF-4E4D-9CA1-73C317B6C617}"/>
            </a:ext>
          </a:extLst>
        </xdr:cNvPr>
        <xdr:cNvSpPr/>
      </xdr:nvSpPr>
      <xdr:spPr>
        <a:xfrm rot="10800000">
          <a:off x="11803380" y="78646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516</xdr:row>
      <xdr:rowOff>0</xdr:rowOff>
    </xdr:from>
    <xdr:to>
      <xdr:col>28</xdr:col>
      <xdr:colOff>83820</xdr:colOff>
      <xdr:row>516</xdr:row>
      <xdr:rowOff>114300</xdr:rowOff>
    </xdr:to>
    <xdr:sp macro="" textlink="">
      <xdr:nvSpPr>
        <xdr:cNvPr id="549" name="Arrow: Down 548">
          <a:extLst>
            <a:ext uri="{FF2B5EF4-FFF2-40B4-BE49-F238E27FC236}">
              <a16:creationId xmlns:a16="http://schemas.microsoft.com/office/drawing/2014/main" id="{7289FA6A-4A40-4EA3-A2FE-4826F9BC2B21}"/>
            </a:ext>
          </a:extLst>
        </xdr:cNvPr>
        <xdr:cNvSpPr/>
      </xdr:nvSpPr>
      <xdr:spPr>
        <a:xfrm>
          <a:off x="11803380" y="7882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517</xdr:row>
      <xdr:rowOff>0</xdr:rowOff>
    </xdr:from>
    <xdr:to>
      <xdr:col>28</xdr:col>
      <xdr:colOff>83820</xdr:colOff>
      <xdr:row>517</xdr:row>
      <xdr:rowOff>114300</xdr:rowOff>
    </xdr:to>
    <xdr:sp macro="" textlink="">
      <xdr:nvSpPr>
        <xdr:cNvPr id="550" name="Arrow: Down 549">
          <a:extLst>
            <a:ext uri="{FF2B5EF4-FFF2-40B4-BE49-F238E27FC236}">
              <a16:creationId xmlns:a16="http://schemas.microsoft.com/office/drawing/2014/main" id="{F688BD6B-43D8-4F90-A50A-C77BA9990879}"/>
            </a:ext>
          </a:extLst>
        </xdr:cNvPr>
        <xdr:cNvSpPr/>
      </xdr:nvSpPr>
      <xdr:spPr>
        <a:xfrm>
          <a:off x="11803380" y="7882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518</xdr:row>
      <xdr:rowOff>0</xdr:rowOff>
    </xdr:from>
    <xdr:to>
      <xdr:col>28</xdr:col>
      <xdr:colOff>83820</xdr:colOff>
      <xdr:row>518</xdr:row>
      <xdr:rowOff>114300</xdr:rowOff>
    </xdr:to>
    <xdr:sp macro="" textlink="">
      <xdr:nvSpPr>
        <xdr:cNvPr id="551" name="Arrow: Down 550">
          <a:extLst>
            <a:ext uri="{FF2B5EF4-FFF2-40B4-BE49-F238E27FC236}">
              <a16:creationId xmlns:a16="http://schemas.microsoft.com/office/drawing/2014/main" id="{6BA23C44-1022-4563-B1E2-0BFB4DDB8C41}"/>
            </a:ext>
          </a:extLst>
        </xdr:cNvPr>
        <xdr:cNvSpPr/>
      </xdr:nvSpPr>
      <xdr:spPr>
        <a:xfrm>
          <a:off x="11803380" y="7901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519</xdr:row>
      <xdr:rowOff>0</xdr:rowOff>
    </xdr:from>
    <xdr:to>
      <xdr:col>28</xdr:col>
      <xdr:colOff>83820</xdr:colOff>
      <xdr:row>519</xdr:row>
      <xdr:rowOff>114300</xdr:rowOff>
    </xdr:to>
    <xdr:sp macro="" textlink="">
      <xdr:nvSpPr>
        <xdr:cNvPr id="552" name="Arrow: Down 551">
          <a:extLst>
            <a:ext uri="{FF2B5EF4-FFF2-40B4-BE49-F238E27FC236}">
              <a16:creationId xmlns:a16="http://schemas.microsoft.com/office/drawing/2014/main" id="{0A7F2155-13F5-4738-ADF2-97726F90D388}"/>
            </a:ext>
          </a:extLst>
        </xdr:cNvPr>
        <xdr:cNvSpPr/>
      </xdr:nvSpPr>
      <xdr:spPr>
        <a:xfrm>
          <a:off x="11803380" y="7919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520</xdr:row>
      <xdr:rowOff>0</xdr:rowOff>
    </xdr:from>
    <xdr:to>
      <xdr:col>28</xdr:col>
      <xdr:colOff>83820</xdr:colOff>
      <xdr:row>520</xdr:row>
      <xdr:rowOff>114300</xdr:rowOff>
    </xdr:to>
    <xdr:sp macro="" textlink="">
      <xdr:nvSpPr>
        <xdr:cNvPr id="544" name="Arrow: Down 543">
          <a:extLst>
            <a:ext uri="{FF2B5EF4-FFF2-40B4-BE49-F238E27FC236}">
              <a16:creationId xmlns:a16="http://schemas.microsoft.com/office/drawing/2014/main" id="{49477EAC-2DC2-44BE-870E-065E45C6A35F}"/>
            </a:ext>
          </a:extLst>
        </xdr:cNvPr>
        <xdr:cNvSpPr/>
      </xdr:nvSpPr>
      <xdr:spPr>
        <a:xfrm rot="10800000">
          <a:off x="11803380" y="79560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521</xdr:row>
      <xdr:rowOff>0</xdr:rowOff>
    </xdr:from>
    <xdr:to>
      <xdr:col>28</xdr:col>
      <xdr:colOff>83820</xdr:colOff>
      <xdr:row>521</xdr:row>
      <xdr:rowOff>114300</xdr:rowOff>
    </xdr:to>
    <xdr:sp macro="" textlink="">
      <xdr:nvSpPr>
        <xdr:cNvPr id="553" name="Arrow: Down 552">
          <a:extLst>
            <a:ext uri="{FF2B5EF4-FFF2-40B4-BE49-F238E27FC236}">
              <a16:creationId xmlns:a16="http://schemas.microsoft.com/office/drawing/2014/main" id="{58166B5C-065D-43BA-A7A0-051E9F99CA0B}"/>
            </a:ext>
          </a:extLst>
        </xdr:cNvPr>
        <xdr:cNvSpPr/>
      </xdr:nvSpPr>
      <xdr:spPr>
        <a:xfrm rot="10800000">
          <a:off x="11803380" y="79560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522</xdr:row>
      <xdr:rowOff>0</xdr:rowOff>
    </xdr:from>
    <xdr:to>
      <xdr:col>28</xdr:col>
      <xdr:colOff>83820</xdr:colOff>
      <xdr:row>522</xdr:row>
      <xdr:rowOff>114300</xdr:rowOff>
    </xdr:to>
    <xdr:sp macro="" textlink="">
      <xdr:nvSpPr>
        <xdr:cNvPr id="554" name="Arrow: Down 553">
          <a:extLst>
            <a:ext uri="{FF2B5EF4-FFF2-40B4-BE49-F238E27FC236}">
              <a16:creationId xmlns:a16="http://schemas.microsoft.com/office/drawing/2014/main" id="{29BEF27D-9C82-4DF5-AB07-E6C9D7FEB574}"/>
            </a:ext>
          </a:extLst>
        </xdr:cNvPr>
        <xdr:cNvSpPr/>
      </xdr:nvSpPr>
      <xdr:spPr>
        <a:xfrm rot="10800000">
          <a:off x="11803380" y="79743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523</xdr:row>
      <xdr:rowOff>0</xdr:rowOff>
    </xdr:from>
    <xdr:to>
      <xdr:col>28</xdr:col>
      <xdr:colOff>83820</xdr:colOff>
      <xdr:row>523</xdr:row>
      <xdr:rowOff>114300</xdr:rowOff>
    </xdr:to>
    <xdr:sp macro="" textlink="">
      <xdr:nvSpPr>
        <xdr:cNvPr id="556" name="Arrow: Down 555">
          <a:extLst>
            <a:ext uri="{FF2B5EF4-FFF2-40B4-BE49-F238E27FC236}">
              <a16:creationId xmlns:a16="http://schemas.microsoft.com/office/drawing/2014/main" id="{7D1B270B-5FA8-4FE2-B5A0-8215AC5F514D}"/>
            </a:ext>
          </a:extLst>
        </xdr:cNvPr>
        <xdr:cNvSpPr/>
      </xdr:nvSpPr>
      <xdr:spPr>
        <a:xfrm>
          <a:off x="11803380" y="8010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524</xdr:row>
      <xdr:rowOff>0</xdr:rowOff>
    </xdr:from>
    <xdr:to>
      <xdr:col>28</xdr:col>
      <xdr:colOff>83820</xdr:colOff>
      <xdr:row>524</xdr:row>
      <xdr:rowOff>114300</xdr:rowOff>
    </xdr:to>
    <xdr:sp macro="" textlink="">
      <xdr:nvSpPr>
        <xdr:cNvPr id="558" name="Arrow: Down 557">
          <a:extLst>
            <a:ext uri="{FF2B5EF4-FFF2-40B4-BE49-F238E27FC236}">
              <a16:creationId xmlns:a16="http://schemas.microsoft.com/office/drawing/2014/main" id="{7D6FEA29-FD3C-4B9C-8DDB-49E40D227103}"/>
            </a:ext>
          </a:extLst>
        </xdr:cNvPr>
        <xdr:cNvSpPr/>
      </xdr:nvSpPr>
      <xdr:spPr>
        <a:xfrm>
          <a:off x="11803380" y="8010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525</xdr:row>
      <xdr:rowOff>0</xdr:rowOff>
    </xdr:from>
    <xdr:to>
      <xdr:col>28</xdr:col>
      <xdr:colOff>83820</xdr:colOff>
      <xdr:row>525</xdr:row>
      <xdr:rowOff>114300</xdr:rowOff>
    </xdr:to>
    <xdr:sp macro="" textlink="">
      <xdr:nvSpPr>
        <xdr:cNvPr id="555" name="Arrow: Down 554">
          <a:extLst>
            <a:ext uri="{FF2B5EF4-FFF2-40B4-BE49-F238E27FC236}">
              <a16:creationId xmlns:a16="http://schemas.microsoft.com/office/drawing/2014/main" id="{49103E75-D364-41D6-B546-5FB8BB3A721E}"/>
            </a:ext>
          </a:extLst>
        </xdr:cNvPr>
        <xdr:cNvSpPr/>
      </xdr:nvSpPr>
      <xdr:spPr>
        <a:xfrm>
          <a:off x="11803380" y="8029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526</xdr:row>
      <xdr:rowOff>0</xdr:rowOff>
    </xdr:from>
    <xdr:to>
      <xdr:col>28</xdr:col>
      <xdr:colOff>83820</xdr:colOff>
      <xdr:row>526</xdr:row>
      <xdr:rowOff>114300</xdr:rowOff>
    </xdr:to>
    <xdr:sp macro="" textlink="">
      <xdr:nvSpPr>
        <xdr:cNvPr id="559" name="Arrow: Down 558">
          <a:extLst>
            <a:ext uri="{FF2B5EF4-FFF2-40B4-BE49-F238E27FC236}">
              <a16:creationId xmlns:a16="http://schemas.microsoft.com/office/drawing/2014/main" id="{6C27F47C-D67B-4D36-9B88-01A8AC0A6B11}"/>
            </a:ext>
          </a:extLst>
        </xdr:cNvPr>
        <xdr:cNvSpPr/>
      </xdr:nvSpPr>
      <xdr:spPr>
        <a:xfrm>
          <a:off x="11803380" y="8047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527</xdr:row>
      <xdr:rowOff>0</xdr:rowOff>
    </xdr:from>
    <xdr:to>
      <xdr:col>28</xdr:col>
      <xdr:colOff>83820</xdr:colOff>
      <xdr:row>527</xdr:row>
      <xdr:rowOff>114300</xdr:rowOff>
    </xdr:to>
    <xdr:sp macro="" textlink="">
      <xdr:nvSpPr>
        <xdr:cNvPr id="561" name="Arrow: Down 560">
          <a:extLst>
            <a:ext uri="{FF2B5EF4-FFF2-40B4-BE49-F238E27FC236}">
              <a16:creationId xmlns:a16="http://schemas.microsoft.com/office/drawing/2014/main" id="{6BC104BC-1345-4FA1-939D-6E3902BB6004}"/>
            </a:ext>
          </a:extLst>
        </xdr:cNvPr>
        <xdr:cNvSpPr/>
      </xdr:nvSpPr>
      <xdr:spPr>
        <a:xfrm rot="10800000">
          <a:off x="11803380" y="80840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528</xdr:row>
      <xdr:rowOff>0</xdr:rowOff>
    </xdr:from>
    <xdr:to>
      <xdr:col>28</xdr:col>
      <xdr:colOff>83820</xdr:colOff>
      <xdr:row>528</xdr:row>
      <xdr:rowOff>114300</xdr:rowOff>
    </xdr:to>
    <xdr:sp macro="" textlink="">
      <xdr:nvSpPr>
        <xdr:cNvPr id="562" name="Arrow: Down 561">
          <a:extLst>
            <a:ext uri="{FF2B5EF4-FFF2-40B4-BE49-F238E27FC236}">
              <a16:creationId xmlns:a16="http://schemas.microsoft.com/office/drawing/2014/main" id="{FF82DA53-1E36-4CC7-B73D-B875AA28C77F}"/>
            </a:ext>
          </a:extLst>
        </xdr:cNvPr>
        <xdr:cNvSpPr/>
      </xdr:nvSpPr>
      <xdr:spPr>
        <a:xfrm rot="10800000">
          <a:off x="11803380" y="80840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529</xdr:row>
      <xdr:rowOff>0</xdr:rowOff>
    </xdr:from>
    <xdr:to>
      <xdr:col>28</xdr:col>
      <xdr:colOff>83820</xdr:colOff>
      <xdr:row>529</xdr:row>
      <xdr:rowOff>114300</xdr:rowOff>
    </xdr:to>
    <xdr:sp macro="" textlink="">
      <xdr:nvSpPr>
        <xdr:cNvPr id="563" name="Arrow: Down 562">
          <a:extLst>
            <a:ext uri="{FF2B5EF4-FFF2-40B4-BE49-F238E27FC236}">
              <a16:creationId xmlns:a16="http://schemas.microsoft.com/office/drawing/2014/main" id="{0E5F949E-8BAC-480F-9EA4-D143C6CC3E9C}"/>
            </a:ext>
          </a:extLst>
        </xdr:cNvPr>
        <xdr:cNvSpPr/>
      </xdr:nvSpPr>
      <xdr:spPr>
        <a:xfrm rot="10800000">
          <a:off x="11803380" y="81023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530</xdr:row>
      <xdr:rowOff>0</xdr:rowOff>
    </xdr:from>
    <xdr:to>
      <xdr:col>28</xdr:col>
      <xdr:colOff>83820</xdr:colOff>
      <xdr:row>530</xdr:row>
      <xdr:rowOff>114300</xdr:rowOff>
    </xdr:to>
    <xdr:sp macro="" textlink="">
      <xdr:nvSpPr>
        <xdr:cNvPr id="557" name="Arrow: Down 556">
          <a:extLst>
            <a:ext uri="{FF2B5EF4-FFF2-40B4-BE49-F238E27FC236}">
              <a16:creationId xmlns:a16="http://schemas.microsoft.com/office/drawing/2014/main" id="{0C7F0812-A5C6-4E18-82B6-97839B211BDE}"/>
            </a:ext>
          </a:extLst>
        </xdr:cNvPr>
        <xdr:cNvSpPr/>
      </xdr:nvSpPr>
      <xdr:spPr>
        <a:xfrm>
          <a:off x="11803380" y="8138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531</xdr:row>
      <xdr:rowOff>0</xdr:rowOff>
    </xdr:from>
    <xdr:to>
      <xdr:col>28</xdr:col>
      <xdr:colOff>83820</xdr:colOff>
      <xdr:row>531</xdr:row>
      <xdr:rowOff>114300</xdr:rowOff>
    </xdr:to>
    <xdr:sp macro="" textlink="">
      <xdr:nvSpPr>
        <xdr:cNvPr id="564" name="Arrow: Down 563">
          <a:extLst>
            <a:ext uri="{FF2B5EF4-FFF2-40B4-BE49-F238E27FC236}">
              <a16:creationId xmlns:a16="http://schemas.microsoft.com/office/drawing/2014/main" id="{1BAB6C0F-0679-4CBE-8498-378D1232F825}"/>
            </a:ext>
          </a:extLst>
        </xdr:cNvPr>
        <xdr:cNvSpPr/>
      </xdr:nvSpPr>
      <xdr:spPr>
        <a:xfrm>
          <a:off x="11803380" y="8138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532</xdr:row>
      <xdr:rowOff>0</xdr:rowOff>
    </xdr:from>
    <xdr:to>
      <xdr:col>28</xdr:col>
      <xdr:colOff>83820</xdr:colOff>
      <xdr:row>532</xdr:row>
      <xdr:rowOff>114300</xdr:rowOff>
    </xdr:to>
    <xdr:sp macro="" textlink="">
      <xdr:nvSpPr>
        <xdr:cNvPr id="565" name="Arrow: Down 564">
          <a:extLst>
            <a:ext uri="{FF2B5EF4-FFF2-40B4-BE49-F238E27FC236}">
              <a16:creationId xmlns:a16="http://schemas.microsoft.com/office/drawing/2014/main" id="{045B6DF4-9F3E-4245-9D22-EB98BA15FDE7}"/>
            </a:ext>
          </a:extLst>
        </xdr:cNvPr>
        <xdr:cNvSpPr/>
      </xdr:nvSpPr>
      <xdr:spPr>
        <a:xfrm>
          <a:off x="11803380" y="8157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533</xdr:row>
      <xdr:rowOff>0</xdr:rowOff>
    </xdr:from>
    <xdr:to>
      <xdr:col>28</xdr:col>
      <xdr:colOff>83820</xdr:colOff>
      <xdr:row>533</xdr:row>
      <xdr:rowOff>114300</xdr:rowOff>
    </xdr:to>
    <xdr:sp macro="" textlink="">
      <xdr:nvSpPr>
        <xdr:cNvPr id="566" name="Arrow: Down 565">
          <a:extLst>
            <a:ext uri="{FF2B5EF4-FFF2-40B4-BE49-F238E27FC236}">
              <a16:creationId xmlns:a16="http://schemas.microsoft.com/office/drawing/2014/main" id="{CAED5B6D-C646-459C-9CB3-E95EC3B9389F}"/>
            </a:ext>
          </a:extLst>
        </xdr:cNvPr>
        <xdr:cNvSpPr/>
      </xdr:nvSpPr>
      <xdr:spPr>
        <a:xfrm>
          <a:off x="11803380" y="8175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534</xdr:row>
      <xdr:rowOff>0</xdr:rowOff>
    </xdr:from>
    <xdr:to>
      <xdr:col>28</xdr:col>
      <xdr:colOff>83820</xdr:colOff>
      <xdr:row>534</xdr:row>
      <xdr:rowOff>114300</xdr:rowOff>
    </xdr:to>
    <xdr:sp macro="" textlink="">
      <xdr:nvSpPr>
        <xdr:cNvPr id="567" name="Arrow: Down 566">
          <a:extLst>
            <a:ext uri="{FF2B5EF4-FFF2-40B4-BE49-F238E27FC236}">
              <a16:creationId xmlns:a16="http://schemas.microsoft.com/office/drawing/2014/main" id="{65C0D452-1175-45DA-ACE9-CCADC4EFA039}"/>
            </a:ext>
          </a:extLst>
        </xdr:cNvPr>
        <xdr:cNvSpPr/>
      </xdr:nvSpPr>
      <xdr:spPr>
        <a:xfrm rot="10800000">
          <a:off x="11803380" y="8212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535</xdr:row>
      <xdr:rowOff>0</xdr:rowOff>
    </xdr:from>
    <xdr:to>
      <xdr:col>28</xdr:col>
      <xdr:colOff>83820</xdr:colOff>
      <xdr:row>535</xdr:row>
      <xdr:rowOff>114300</xdr:rowOff>
    </xdr:to>
    <xdr:sp macro="" textlink="">
      <xdr:nvSpPr>
        <xdr:cNvPr id="568" name="Arrow: Down 567">
          <a:extLst>
            <a:ext uri="{FF2B5EF4-FFF2-40B4-BE49-F238E27FC236}">
              <a16:creationId xmlns:a16="http://schemas.microsoft.com/office/drawing/2014/main" id="{760D77C0-C297-45F1-99D5-74E53CAC5C85}"/>
            </a:ext>
          </a:extLst>
        </xdr:cNvPr>
        <xdr:cNvSpPr/>
      </xdr:nvSpPr>
      <xdr:spPr>
        <a:xfrm rot="10800000">
          <a:off x="11803380" y="8212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536</xdr:row>
      <xdr:rowOff>0</xdr:rowOff>
    </xdr:from>
    <xdr:to>
      <xdr:col>28</xdr:col>
      <xdr:colOff>83820</xdr:colOff>
      <xdr:row>536</xdr:row>
      <xdr:rowOff>114300</xdr:rowOff>
    </xdr:to>
    <xdr:sp macro="" textlink="">
      <xdr:nvSpPr>
        <xdr:cNvPr id="570" name="Arrow: Down 569">
          <a:extLst>
            <a:ext uri="{FF2B5EF4-FFF2-40B4-BE49-F238E27FC236}">
              <a16:creationId xmlns:a16="http://schemas.microsoft.com/office/drawing/2014/main" id="{4E0FBB87-5626-434A-9EA1-852AAE055E06}"/>
            </a:ext>
          </a:extLst>
        </xdr:cNvPr>
        <xdr:cNvSpPr/>
      </xdr:nvSpPr>
      <xdr:spPr>
        <a:xfrm rot="10800000">
          <a:off x="11803380" y="82303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537</xdr:row>
      <xdr:rowOff>0</xdr:rowOff>
    </xdr:from>
    <xdr:to>
      <xdr:col>28</xdr:col>
      <xdr:colOff>83820</xdr:colOff>
      <xdr:row>537</xdr:row>
      <xdr:rowOff>114300</xdr:rowOff>
    </xdr:to>
    <xdr:sp macro="" textlink="">
      <xdr:nvSpPr>
        <xdr:cNvPr id="574" name="Arrow: Down 573">
          <a:extLst>
            <a:ext uri="{FF2B5EF4-FFF2-40B4-BE49-F238E27FC236}">
              <a16:creationId xmlns:a16="http://schemas.microsoft.com/office/drawing/2014/main" id="{D8E5EE2C-5DA9-40A3-BA68-ED7C6DD183E1}"/>
            </a:ext>
          </a:extLst>
        </xdr:cNvPr>
        <xdr:cNvSpPr/>
      </xdr:nvSpPr>
      <xdr:spPr>
        <a:xfrm>
          <a:off x="11803380" y="8266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538</xdr:row>
      <xdr:rowOff>0</xdr:rowOff>
    </xdr:from>
    <xdr:to>
      <xdr:col>28</xdr:col>
      <xdr:colOff>83820</xdr:colOff>
      <xdr:row>538</xdr:row>
      <xdr:rowOff>114300</xdr:rowOff>
    </xdr:to>
    <xdr:sp macro="" textlink="">
      <xdr:nvSpPr>
        <xdr:cNvPr id="575" name="Arrow: Down 574">
          <a:extLst>
            <a:ext uri="{FF2B5EF4-FFF2-40B4-BE49-F238E27FC236}">
              <a16:creationId xmlns:a16="http://schemas.microsoft.com/office/drawing/2014/main" id="{A1CD2F6F-A4E6-4708-8528-8621EB7B9459}"/>
            </a:ext>
          </a:extLst>
        </xdr:cNvPr>
        <xdr:cNvSpPr/>
      </xdr:nvSpPr>
      <xdr:spPr>
        <a:xfrm>
          <a:off x="11803380" y="8266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539</xdr:row>
      <xdr:rowOff>0</xdr:rowOff>
    </xdr:from>
    <xdr:to>
      <xdr:col>28</xdr:col>
      <xdr:colOff>83820</xdr:colOff>
      <xdr:row>539</xdr:row>
      <xdr:rowOff>114300</xdr:rowOff>
    </xdr:to>
    <xdr:sp macro="" textlink="">
      <xdr:nvSpPr>
        <xdr:cNvPr id="577" name="Arrow: Down 576">
          <a:extLst>
            <a:ext uri="{FF2B5EF4-FFF2-40B4-BE49-F238E27FC236}">
              <a16:creationId xmlns:a16="http://schemas.microsoft.com/office/drawing/2014/main" id="{206A4DFE-034B-4554-AAF0-38C60301C345}"/>
            </a:ext>
          </a:extLst>
        </xdr:cNvPr>
        <xdr:cNvSpPr/>
      </xdr:nvSpPr>
      <xdr:spPr>
        <a:xfrm>
          <a:off x="11803380" y="8285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540</xdr:row>
      <xdr:rowOff>0</xdr:rowOff>
    </xdr:from>
    <xdr:to>
      <xdr:col>28</xdr:col>
      <xdr:colOff>83820</xdr:colOff>
      <xdr:row>540</xdr:row>
      <xdr:rowOff>114300</xdr:rowOff>
    </xdr:to>
    <xdr:sp macro="" textlink="">
      <xdr:nvSpPr>
        <xdr:cNvPr id="578" name="Arrow: Down 577">
          <a:extLst>
            <a:ext uri="{FF2B5EF4-FFF2-40B4-BE49-F238E27FC236}">
              <a16:creationId xmlns:a16="http://schemas.microsoft.com/office/drawing/2014/main" id="{F167E9F9-2E52-444B-83FB-02946939C350}"/>
            </a:ext>
          </a:extLst>
        </xdr:cNvPr>
        <xdr:cNvSpPr/>
      </xdr:nvSpPr>
      <xdr:spPr>
        <a:xfrm>
          <a:off x="11803380" y="8303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541</xdr:row>
      <xdr:rowOff>0</xdr:rowOff>
    </xdr:from>
    <xdr:to>
      <xdr:col>28</xdr:col>
      <xdr:colOff>83820</xdr:colOff>
      <xdr:row>541</xdr:row>
      <xdr:rowOff>114300</xdr:rowOff>
    </xdr:to>
    <xdr:sp macro="" textlink="">
      <xdr:nvSpPr>
        <xdr:cNvPr id="581" name="Arrow: Down 580">
          <a:extLst>
            <a:ext uri="{FF2B5EF4-FFF2-40B4-BE49-F238E27FC236}">
              <a16:creationId xmlns:a16="http://schemas.microsoft.com/office/drawing/2014/main" id="{32FB21F5-3551-4222-864F-770DBB2B5503}"/>
            </a:ext>
          </a:extLst>
        </xdr:cNvPr>
        <xdr:cNvSpPr/>
      </xdr:nvSpPr>
      <xdr:spPr>
        <a:xfrm rot="10800000">
          <a:off x="11803380" y="8340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542</xdr:row>
      <xdr:rowOff>0</xdr:rowOff>
    </xdr:from>
    <xdr:to>
      <xdr:col>28</xdr:col>
      <xdr:colOff>83820</xdr:colOff>
      <xdr:row>542</xdr:row>
      <xdr:rowOff>114300</xdr:rowOff>
    </xdr:to>
    <xdr:sp macro="" textlink="">
      <xdr:nvSpPr>
        <xdr:cNvPr id="583" name="Arrow: Down 582">
          <a:extLst>
            <a:ext uri="{FF2B5EF4-FFF2-40B4-BE49-F238E27FC236}">
              <a16:creationId xmlns:a16="http://schemas.microsoft.com/office/drawing/2014/main" id="{4FD36632-6C60-4DF7-A632-8A7414F26384}"/>
            </a:ext>
          </a:extLst>
        </xdr:cNvPr>
        <xdr:cNvSpPr/>
      </xdr:nvSpPr>
      <xdr:spPr>
        <a:xfrm rot="10800000">
          <a:off x="11803380" y="8340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543</xdr:row>
      <xdr:rowOff>0</xdr:rowOff>
    </xdr:from>
    <xdr:to>
      <xdr:col>28</xdr:col>
      <xdr:colOff>83820</xdr:colOff>
      <xdr:row>543</xdr:row>
      <xdr:rowOff>114300</xdr:rowOff>
    </xdr:to>
    <xdr:sp macro="" textlink="">
      <xdr:nvSpPr>
        <xdr:cNvPr id="586" name="Arrow: Down 585">
          <a:extLst>
            <a:ext uri="{FF2B5EF4-FFF2-40B4-BE49-F238E27FC236}">
              <a16:creationId xmlns:a16="http://schemas.microsoft.com/office/drawing/2014/main" id="{FCB1EEDC-3E3C-4197-8EDE-EDD8995636F2}"/>
            </a:ext>
          </a:extLst>
        </xdr:cNvPr>
        <xdr:cNvSpPr/>
      </xdr:nvSpPr>
      <xdr:spPr>
        <a:xfrm>
          <a:off x="11803380" y="8376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544</xdr:row>
      <xdr:rowOff>0</xdr:rowOff>
    </xdr:from>
    <xdr:to>
      <xdr:col>28</xdr:col>
      <xdr:colOff>83820</xdr:colOff>
      <xdr:row>544</xdr:row>
      <xdr:rowOff>114300</xdr:rowOff>
    </xdr:to>
    <xdr:sp macro="" textlink="">
      <xdr:nvSpPr>
        <xdr:cNvPr id="588" name="Arrow: Down 587">
          <a:extLst>
            <a:ext uri="{FF2B5EF4-FFF2-40B4-BE49-F238E27FC236}">
              <a16:creationId xmlns:a16="http://schemas.microsoft.com/office/drawing/2014/main" id="{8357BBF4-C5B9-48F9-B69B-278BADEA3F67}"/>
            </a:ext>
          </a:extLst>
        </xdr:cNvPr>
        <xdr:cNvSpPr/>
      </xdr:nvSpPr>
      <xdr:spPr>
        <a:xfrm>
          <a:off x="11803380" y="8376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545</xdr:row>
      <xdr:rowOff>0</xdr:rowOff>
    </xdr:from>
    <xdr:to>
      <xdr:col>28</xdr:col>
      <xdr:colOff>83820</xdr:colOff>
      <xdr:row>545</xdr:row>
      <xdr:rowOff>114300</xdr:rowOff>
    </xdr:to>
    <xdr:sp macro="" textlink="">
      <xdr:nvSpPr>
        <xdr:cNvPr id="589" name="Arrow: Down 588">
          <a:extLst>
            <a:ext uri="{FF2B5EF4-FFF2-40B4-BE49-F238E27FC236}">
              <a16:creationId xmlns:a16="http://schemas.microsoft.com/office/drawing/2014/main" id="{BAF4D188-DD73-45C3-A770-26805A0DDABA}"/>
            </a:ext>
          </a:extLst>
        </xdr:cNvPr>
        <xdr:cNvSpPr/>
      </xdr:nvSpPr>
      <xdr:spPr>
        <a:xfrm>
          <a:off x="11803380" y="8394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546</xdr:row>
      <xdr:rowOff>0</xdr:rowOff>
    </xdr:from>
    <xdr:to>
      <xdr:col>28</xdr:col>
      <xdr:colOff>83820</xdr:colOff>
      <xdr:row>546</xdr:row>
      <xdr:rowOff>114300</xdr:rowOff>
    </xdr:to>
    <xdr:sp macro="" textlink="">
      <xdr:nvSpPr>
        <xdr:cNvPr id="591" name="Arrow: Down 590">
          <a:extLst>
            <a:ext uri="{FF2B5EF4-FFF2-40B4-BE49-F238E27FC236}">
              <a16:creationId xmlns:a16="http://schemas.microsoft.com/office/drawing/2014/main" id="{8D1FBF9C-7F1B-48CE-B5D2-D474E4DB0C12}"/>
            </a:ext>
          </a:extLst>
        </xdr:cNvPr>
        <xdr:cNvSpPr/>
      </xdr:nvSpPr>
      <xdr:spPr>
        <a:xfrm>
          <a:off x="11803380" y="8413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547</xdr:row>
      <xdr:rowOff>0</xdr:rowOff>
    </xdr:from>
    <xdr:to>
      <xdr:col>28</xdr:col>
      <xdr:colOff>83820</xdr:colOff>
      <xdr:row>547</xdr:row>
      <xdr:rowOff>114300</xdr:rowOff>
    </xdr:to>
    <xdr:sp macro="" textlink="">
      <xdr:nvSpPr>
        <xdr:cNvPr id="592" name="Arrow: Down 591">
          <a:extLst>
            <a:ext uri="{FF2B5EF4-FFF2-40B4-BE49-F238E27FC236}">
              <a16:creationId xmlns:a16="http://schemas.microsoft.com/office/drawing/2014/main" id="{5F8AC56B-95EA-4BAD-9389-8AC20C0A0DA6}"/>
            </a:ext>
          </a:extLst>
        </xdr:cNvPr>
        <xdr:cNvSpPr/>
      </xdr:nvSpPr>
      <xdr:spPr>
        <a:xfrm>
          <a:off x="11803380" y="8431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548</xdr:row>
      <xdr:rowOff>0</xdr:rowOff>
    </xdr:from>
    <xdr:to>
      <xdr:col>28</xdr:col>
      <xdr:colOff>83820</xdr:colOff>
      <xdr:row>548</xdr:row>
      <xdr:rowOff>114300</xdr:rowOff>
    </xdr:to>
    <xdr:sp macro="" textlink="">
      <xdr:nvSpPr>
        <xdr:cNvPr id="594" name="Arrow: Down 593">
          <a:extLst>
            <a:ext uri="{FF2B5EF4-FFF2-40B4-BE49-F238E27FC236}">
              <a16:creationId xmlns:a16="http://schemas.microsoft.com/office/drawing/2014/main" id="{9F1B35F0-AFD9-4790-8FC9-5D023335BD2C}"/>
            </a:ext>
          </a:extLst>
        </xdr:cNvPr>
        <xdr:cNvSpPr/>
      </xdr:nvSpPr>
      <xdr:spPr>
        <a:xfrm rot="10800000">
          <a:off x="11803380" y="84681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549</xdr:row>
      <xdr:rowOff>0</xdr:rowOff>
    </xdr:from>
    <xdr:to>
      <xdr:col>28</xdr:col>
      <xdr:colOff>83820</xdr:colOff>
      <xdr:row>549</xdr:row>
      <xdr:rowOff>114300</xdr:rowOff>
    </xdr:to>
    <xdr:sp macro="" textlink="">
      <xdr:nvSpPr>
        <xdr:cNvPr id="596" name="Arrow: Down 595">
          <a:extLst>
            <a:ext uri="{FF2B5EF4-FFF2-40B4-BE49-F238E27FC236}">
              <a16:creationId xmlns:a16="http://schemas.microsoft.com/office/drawing/2014/main" id="{F9789C2F-2A0C-48A0-922F-1478F3667473}"/>
            </a:ext>
          </a:extLst>
        </xdr:cNvPr>
        <xdr:cNvSpPr/>
      </xdr:nvSpPr>
      <xdr:spPr>
        <a:xfrm rot="10800000">
          <a:off x="11803380" y="84681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550</xdr:row>
      <xdr:rowOff>0</xdr:rowOff>
    </xdr:from>
    <xdr:to>
      <xdr:col>28</xdr:col>
      <xdr:colOff>83820</xdr:colOff>
      <xdr:row>550</xdr:row>
      <xdr:rowOff>114300</xdr:rowOff>
    </xdr:to>
    <xdr:sp macro="" textlink="">
      <xdr:nvSpPr>
        <xdr:cNvPr id="597" name="Arrow: Down 596">
          <a:extLst>
            <a:ext uri="{FF2B5EF4-FFF2-40B4-BE49-F238E27FC236}">
              <a16:creationId xmlns:a16="http://schemas.microsoft.com/office/drawing/2014/main" id="{F176A430-55FD-43C3-AA76-5A768C0C7728}"/>
            </a:ext>
          </a:extLst>
        </xdr:cNvPr>
        <xdr:cNvSpPr/>
      </xdr:nvSpPr>
      <xdr:spPr>
        <a:xfrm rot="10800000">
          <a:off x="11803380" y="84863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550</xdr:row>
      <xdr:rowOff>0</xdr:rowOff>
    </xdr:from>
    <xdr:to>
      <xdr:col>28</xdr:col>
      <xdr:colOff>83820</xdr:colOff>
      <xdr:row>550</xdr:row>
      <xdr:rowOff>114300</xdr:rowOff>
    </xdr:to>
    <xdr:sp macro="" textlink="">
      <xdr:nvSpPr>
        <xdr:cNvPr id="600" name="Arrow: Down 599">
          <a:extLst>
            <a:ext uri="{FF2B5EF4-FFF2-40B4-BE49-F238E27FC236}">
              <a16:creationId xmlns:a16="http://schemas.microsoft.com/office/drawing/2014/main" id="{AB87DF8F-D64C-4D40-9A6B-0E42F59CB9EF}"/>
            </a:ext>
          </a:extLst>
        </xdr:cNvPr>
        <xdr:cNvSpPr/>
      </xdr:nvSpPr>
      <xdr:spPr>
        <a:xfrm rot="10800000">
          <a:off x="11803380" y="85229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551</xdr:row>
      <xdr:rowOff>0</xdr:rowOff>
    </xdr:from>
    <xdr:to>
      <xdr:col>28</xdr:col>
      <xdr:colOff>83820</xdr:colOff>
      <xdr:row>551</xdr:row>
      <xdr:rowOff>114300</xdr:rowOff>
    </xdr:to>
    <xdr:sp macro="" textlink="">
      <xdr:nvSpPr>
        <xdr:cNvPr id="606" name="Arrow: Down 605">
          <a:extLst>
            <a:ext uri="{FF2B5EF4-FFF2-40B4-BE49-F238E27FC236}">
              <a16:creationId xmlns:a16="http://schemas.microsoft.com/office/drawing/2014/main" id="{93F0E8BD-7427-4F55-9084-B9CD37B95D5C}"/>
            </a:ext>
          </a:extLst>
        </xdr:cNvPr>
        <xdr:cNvSpPr/>
      </xdr:nvSpPr>
      <xdr:spPr>
        <a:xfrm>
          <a:off x="11803380" y="8522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552</xdr:row>
      <xdr:rowOff>0</xdr:rowOff>
    </xdr:from>
    <xdr:to>
      <xdr:col>28</xdr:col>
      <xdr:colOff>83820</xdr:colOff>
      <xdr:row>552</xdr:row>
      <xdr:rowOff>114300</xdr:rowOff>
    </xdr:to>
    <xdr:sp macro="" textlink="">
      <xdr:nvSpPr>
        <xdr:cNvPr id="607" name="Arrow: Down 606">
          <a:extLst>
            <a:ext uri="{FF2B5EF4-FFF2-40B4-BE49-F238E27FC236}">
              <a16:creationId xmlns:a16="http://schemas.microsoft.com/office/drawing/2014/main" id="{614399BB-F342-4F63-B954-9F351BEB2596}"/>
            </a:ext>
          </a:extLst>
        </xdr:cNvPr>
        <xdr:cNvSpPr/>
      </xdr:nvSpPr>
      <xdr:spPr>
        <a:xfrm>
          <a:off x="11803380" y="8522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553</xdr:row>
      <xdr:rowOff>0</xdr:rowOff>
    </xdr:from>
    <xdr:to>
      <xdr:col>28</xdr:col>
      <xdr:colOff>83820</xdr:colOff>
      <xdr:row>553</xdr:row>
      <xdr:rowOff>114300</xdr:rowOff>
    </xdr:to>
    <xdr:sp macro="" textlink="">
      <xdr:nvSpPr>
        <xdr:cNvPr id="609" name="Arrow: Down 608">
          <a:extLst>
            <a:ext uri="{FF2B5EF4-FFF2-40B4-BE49-F238E27FC236}">
              <a16:creationId xmlns:a16="http://schemas.microsoft.com/office/drawing/2014/main" id="{F39AEB99-AA3A-4C49-BC8D-041BFD441057}"/>
            </a:ext>
          </a:extLst>
        </xdr:cNvPr>
        <xdr:cNvSpPr/>
      </xdr:nvSpPr>
      <xdr:spPr>
        <a:xfrm>
          <a:off x="11803380" y="8541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554</xdr:row>
      <xdr:rowOff>0</xdr:rowOff>
    </xdr:from>
    <xdr:to>
      <xdr:col>28</xdr:col>
      <xdr:colOff>83820</xdr:colOff>
      <xdr:row>554</xdr:row>
      <xdr:rowOff>114300</xdr:rowOff>
    </xdr:to>
    <xdr:sp macro="" textlink="">
      <xdr:nvSpPr>
        <xdr:cNvPr id="611" name="Arrow: Down 610">
          <a:extLst>
            <a:ext uri="{FF2B5EF4-FFF2-40B4-BE49-F238E27FC236}">
              <a16:creationId xmlns:a16="http://schemas.microsoft.com/office/drawing/2014/main" id="{6FEF764F-B73D-4480-9BF3-03E11D6CCAEE}"/>
            </a:ext>
          </a:extLst>
        </xdr:cNvPr>
        <xdr:cNvSpPr/>
      </xdr:nvSpPr>
      <xdr:spPr>
        <a:xfrm>
          <a:off x="11803380" y="8559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555</xdr:row>
      <xdr:rowOff>0</xdr:rowOff>
    </xdr:from>
    <xdr:to>
      <xdr:col>28</xdr:col>
      <xdr:colOff>83820</xdr:colOff>
      <xdr:row>555</xdr:row>
      <xdr:rowOff>114300</xdr:rowOff>
    </xdr:to>
    <xdr:sp macro="" textlink="">
      <xdr:nvSpPr>
        <xdr:cNvPr id="571" name="Arrow: Down 570">
          <a:extLst>
            <a:ext uri="{FF2B5EF4-FFF2-40B4-BE49-F238E27FC236}">
              <a16:creationId xmlns:a16="http://schemas.microsoft.com/office/drawing/2014/main" id="{A543DBDA-3DA0-486B-B055-CA21CB427BF6}"/>
            </a:ext>
          </a:extLst>
        </xdr:cNvPr>
        <xdr:cNvSpPr/>
      </xdr:nvSpPr>
      <xdr:spPr>
        <a:xfrm rot="10800000">
          <a:off x="11803380" y="85961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556</xdr:row>
      <xdr:rowOff>0</xdr:rowOff>
    </xdr:from>
    <xdr:to>
      <xdr:col>28</xdr:col>
      <xdr:colOff>83820</xdr:colOff>
      <xdr:row>556</xdr:row>
      <xdr:rowOff>114300</xdr:rowOff>
    </xdr:to>
    <xdr:sp macro="" textlink="">
      <xdr:nvSpPr>
        <xdr:cNvPr id="573" name="Arrow: Down 572">
          <a:extLst>
            <a:ext uri="{FF2B5EF4-FFF2-40B4-BE49-F238E27FC236}">
              <a16:creationId xmlns:a16="http://schemas.microsoft.com/office/drawing/2014/main" id="{B043D451-5164-4B42-825F-C7B112A137FA}"/>
            </a:ext>
          </a:extLst>
        </xdr:cNvPr>
        <xdr:cNvSpPr/>
      </xdr:nvSpPr>
      <xdr:spPr>
        <a:xfrm rot="10800000">
          <a:off x="11803380" y="85961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557</xdr:row>
      <xdr:rowOff>0</xdr:rowOff>
    </xdr:from>
    <xdr:to>
      <xdr:col>28</xdr:col>
      <xdr:colOff>83820</xdr:colOff>
      <xdr:row>557</xdr:row>
      <xdr:rowOff>114300</xdr:rowOff>
    </xdr:to>
    <xdr:sp macro="" textlink="">
      <xdr:nvSpPr>
        <xdr:cNvPr id="580" name="Arrow: Down 579">
          <a:extLst>
            <a:ext uri="{FF2B5EF4-FFF2-40B4-BE49-F238E27FC236}">
              <a16:creationId xmlns:a16="http://schemas.microsoft.com/office/drawing/2014/main" id="{4212712F-2BAB-440D-AC31-A3DA4CC5A13A}"/>
            </a:ext>
          </a:extLst>
        </xdr:cNvPr>
        <xdr:cNvSpPr/>
      </xdr:nvSpPr>
      <xdr:spPr>
        <a:xfrm>
          <a:off x="11803380" y="8632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558</xdr:row>
      <xdr:rowOff>0</xdr:rowOff>
    </xdr:from>
    <xdr:to>
      <xdr:col>28</xdr:col>
      <xdr:colOff>83820</xdr:colOff>
      <xdr:row>558</xdr:row>
      <xdr:rowOff>114300</xdr:rowOff>
    </xdr:to>
    <xdr:sp macro="" textlink="">
      <xdr:nvSpPr>
        <xdr:cNvPr id="584" name="Arrow: Down 583">
          <a:extLst>
            <a:ext uri="{FF2B5EF4-FFF2-40B4-BE49-F238E27FC236}">
              <a16:creationId xmlns:a16="http://schemas.microsoft.com/office/drawing/2014/main" id="{BAFBF3BB-1618-4018-BEC6-1E6F58BD00FB}"/>
            </a:ext>
          </a:extLst>
        </xdr:cNvPr>
        <xdr:cNvSpPr/>
      </xdr:nvSpPr>
      <xdr:spPr>
        <a:xfrm rot="10800000">
          <a:off x="11803380" y="86509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559</xdr:row>
      <xdr:rowOff>0</xdr:rowOff>
    </xdr:from>
    <xdr:to>
      <xdr:col>28</xdr:col>
      <xdr:colOff>83820</xdr:colOff>
      <xdr:row>559</xdr:row>
      <xdr:rowOff>114300</xdr:rowOff>
    </xdr:to>
    <xdr:sp macro="" textlink="">
      <xdr:nvSpPr>
        <xdr:cNvPr id="569" name="Arrow: Down 568">
          <a:extLst>
            <a:ext uri="{FF2B5EF4-FFF2-40B4-BE49-F238E27FC236}">
              <a16:creationId xmlns:a16="http://schemas.microsoft.com/office/drawing/2014/main" id="{A4260ADF-2E85-483A-8861-D14246107C02}"/>
            </a:ext>
          </a:extLst>
        </xdr:cNvPr>
        <xdr:cNvSpPr/>
      </xdr:nvSpPr>
      <xdr:spPr>
        <a:xfrm rot="10800000">
          <a:off x="11803380" y="86509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560</xdr:row>
      <xdr:rowOff>0</xdr:rowOff>
    </xdr:from>
    <xdr:to>
      <xdr:col>28</xdr:col>
      <xdr:colOff>83820</xdr:colOff>
      <xdr:row>560</xdr:row>
      <xdr:rowOff>114300</xdr:rowOff>
    </xdr:to>
    <xdr:sp macro="" textlink="">
      <xdr:nvSpPr>
        <xdr:cNvPr id="572" name="Arrow: Down 571">
          <a:extLst>
            <a:ext uri="{FF2B5EF4-FFF2-40B4-BE49-F238E27FC236}">
              <a16:creationId xmlns:a16="http://schemas.microsoft.com/office/drawing/2014/main" id="{5BAB4C87-2D65-4A0C-BDB9-F3A2BA0E1755}"/>
            </a:ext>
          </a:extLst>
        </xdr:cNvPr>
        <xdr:cNvSpPr/>
      </xdr:nvSpPr>
      <xdr:spPr>
        <a:xfrm rot="10800000">
          <a:off x="11803380" y="86692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561</xdr:row>
      <xdr:rowOff>0</xdr:rowOff>
    </xdr:from>
    <xdr:to>
      <xdr:col>28</xdr:col>
      <xdr:colOff>83820</xdr:colOff>
      <xdr:row>561</xdr:row>
      <xdr:rowOff>114300</xdr:rowOff>
    </xdr:to>
    <xdr:sp macro="" textlink="">
      <xdr:nvSpPr>
        <xdr:cNvPr id="579" name="Arrow: Down 578">
          <a:extLst>
            <a:ext uri="{FF2B5EF4-FFF2-40B4-BE49-F238E27FC236}">
              <a16:creationId xmlns:a16="http://schemas.microsoft.com/office/drawing/2014/main" id="{FF83338F-D043-4D56-B741-52ED14155AB7}"/>
            </a:ext>
          </a:extLst>
        </xdr:cNvPr>
        <xdr:cNvSpPr/>
      </xdr:nvSpPr>
      <xdr:spPr>
        <a:xfrm>
          <a:off x="11803380" y="8705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562</xdr:row>
      <xdr:rowOff>0</xdr:rowOff>
    </xdr:from>
    <xdr:to>
      <xdr:col>28</xdr:col>
      <xdr:colOff>83820</xdr:colOff>
      <xdr:row>562</xdr:row>
      <xdr:rowOff>114300</xdr:rowOff>
    </xdr:to>
    <xdr:sp macro="" textlink="">
      <xdr:nvSpPr>
        <xdr:cNvPr id="582" name="Arrow: Down 581">
          <a:extLst>
            <a:ext uri="{FF2B5EF4-FFF2-40B4-BE49-F238E27FC236}">
              <a16:creationId xmlns:a16="http://schemas.microsoft.com/office/drawing/2014/main" id="{EC0E839C-4740-44D1-B944-215739BB32A6}"/>
            </a:ext>
          </a:extLst>
        </xdr:cNvPr>
        <xdr:cNvSpPr/>
      </xdr:nvSpPr>
      <xdr:spPr>
        <a:xfrm rot="10800000">
          <a:off x="11803380" y="8724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563</xdr:row>
      <xdr:rowOff>0</xdr:rowOff>
    </xdr:from>
    <xdr:to>
      <xdr:col>28</xdr:col>
      <xdr:colOff>83820</xdr:colOff>
      <xdr:row>563</xdr:row>
      <xdr:rowOff>114300</xdr:rowOff>
    </xdr:to>
    <xdr:sp macro="" textlink="">
      <xdr:nvSpPr>
        <xdr:cNvPr id="587" name="Arrow: Down 586">
          <a:extLst>
            <a:ext uri="{FF2B5EF4-FFF2-40B4-BE49-F238E27FC236}">
              <a16:creationId xmlns:a16="http://schemas.microsoft.com/office/drawing/2014/main" id="{3AA63311-EE7A-482F-9EF3-F3F7BE0CE9C9}"/>
            </a:ext>
          </a:extLst>
        </xdr:cNvPr>
        <xdr:cNvSpPr/>
      </xdr:nvSpPr>
      <xdr:spPr>
        <a:xfrm rot="10800000">
          <a:off x="11803380" y="8724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564</xdr:row>
      <xdr:rowOff>0</xdr:rowOff>
    </xdr:from>
    <xdr:to>
      <xdr:col>28</xdr:col>
      <xdr:colOff>83820</xdr:colOff>
      <xdr:row>564</xdr:row>
      <xdr:rowOff>114300</xdr:rowOff>
    </xdr:to>
    <xdr:sp macro="" textlink="">
      <xdr:nvSpPr>
        <xdr:cNvPr id="590" name="Arrow: Down 589">
          <a:extLst>
            <a:ext uri="{FF2B5EF4-FFF2-40B4-BE49-F238E27FC236}">
              <a16:creationId xmlns:a16="http://schemas.microsoft.com/office/drawing/2014/main" id="{4E4000E0-336F-4683-96B2-AF2890938470}"/>
            </a:ext>
          </a:extLst>
        </xdr:cNvPr>
        <xdr:cNvSpPr/>
      </xdr:nvSpPr>
      <xdr:spPr>
        <a:xfrm rot="10800000">
          <a:off x="11803380" y="87424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565</xdr:row>
      <xdr:rowOff>0</xdr:rowOff>
    </xdr:from>
    <xdr:to>
      <xdr:col>28</xdr:col>
      <xdr:colOff>83820</xdr:colOff>
      <xdr:row>565</xdr:row>
      <xdr:rowOff>114300</xdr:rowOff>
    </xdr:to>
    <xdr:sp macro="" textlink="">
      <xdr:nvSpPr>
        <xdr:cNvPr id="595" name="Arrow: Down 594">
          <a:extLst>
            <a:ext uri="{FF2B5EF4-FFF2-40B4-BE49-F238E27FC236}">
              <a16:creationId xmlns:a16="http://schemas.microsoft.com/office/drawing/2014/main" id="{64D1DB6D-7565-4949-AAC9-791AFA9B5CDF}"/>
            </a:ext>
          </a:extLst>
        </xdr:cNvPr>
        <xdr:cNvSpPr/>
      </xdr:nvSpPr>
      <xdr:spPr>
        <a:xfrm>
          <a:off x="11803380" y="8779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566</xdr:row>
      <xdr:rowOff>0</xdr:rowOff>
    </xdr:from>
    <xdr:to>
      <xdr:col>28</xdr:col>
      <xdr:colOff>83820</xdr:colOff>
      <xdr:row>566</xdr:row>
      <xdr:rowOff>114300</xdr:rowOff>
    </xdr:to>
    <xdr:sp macro="" textlink="">
      <xdr:nvSpPr>
        <xdr:cNvPr id="585" name="Arrow: Down 584">
          <a:extLst>
            <a:ext uri="{FF2B5EF4-FFF2-40B4-BE49-F238E27FC236}">
              <a16:creationId xmlns:a16="http://schemas.microsoft.com/office/drawing/2014/main" id="{06EBC642-67C6-4348-BFED-FB15537FD7CC}"/>
            </a:ext>
          </a:extLst>
        </xdr:cNvPr>
        <xdr:cNvSpPr/>
      </xdr:nvSpPr>
      <xdr:spPr>
        <a:xfrm rot="10800000">
          <a:off x="11803380" y="87972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567</xdr:row>
      <xdr:rowOff>0</xdr:rowOff>
    </xdr:from>
    <xdr:to>
      <xdr:col>28</xdr:col>
      <xdr:colOff>83820</xdr:colOff>
      <xdr:row>567</xdr:row>
      <xdr:rowOff>114300</xdr:rowOff>
    </xdr:to>
    <xdr:sp macro="" textlink="">
      <xdr:nvSpPr>
        <xdr:cNvPr id="598" name="Arrow: Down 597">
          <a:extLst>
            <a:ext uri="{FF2B5EF4-FFF2-40B4-BE49-F238E27FC236}">
              <a16:creationId xmlns:a16="http://schemas.microsoft.com/office/drawing/2014/main" id="{06895733-578D-4D8B-B75F-537A4D65D524}"/>
            </a:ext>
          </a:extLst>
        </xdr:cNvPr>
        <xdr:cNvSpPr/>
      </xdr:nvSpPr>
      <xdr:spPr>
        <a:xfrm>
          <a:off x="11803380" y="8815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568</xdr:row>
      <xdr:rowOff>0</xdr:rowOff>
    </xdr:from>
    <xdr:to>
      <xdr:col>28</xdr:col>
      <xdr:colOff>83820</xdr:colOff>
      <xdr:row>568</xdr:row>
      <xdr:rowOff>114300</xdr:rowOff>
    </xdr:to>
    <xdr:sp macro="" textlink="">
      <xdr:nvSpPr>
        <xdr:cNvPr id="599" name="Arrow: Down 598">
          <a:extLst>
            <a:ext uri="{FF2B5EF4-FFF2-40B4-BE49-F238E27FC236}">
              <a16:creationId xmlns:a16="http://schemas.microsoft.com/office/drawing/2014/main" id="{692AD9A0-677D-40DD-BD55-F72BD2E5FD47}"/>
            </a:ext>
          </a:extLst>
        </xdr:cNvPr>
        <xdr:cNvSpPr/>
      </xdr:nvSpPr>
      <xdr:spPr>
        <a:xfrm>
          <a:off x="11803380" y="8815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569</xdr:row>
      <xdr:rowOff>0</xdr:rowOff>
    </xdr:from>
    <xdr:to>
      <xdr:col>28</xdr:col>
      <xdr:colOff>83820</xdr:colOff>
      <xdr:row>569</xdr:row>
      <xdr:rowOff>114300</xdr:rowOff>
    </xdr:to>
    <xdr:sp macro="" textlink="">
      <xdr:nvSpPr>
        <xdr:cNvPr id="593" name="Arrow: Down 592">
          <a:extLst>
            <a:ext uri="{FF2B5EF4-FFF2-40B4-BE49-F238E27FC236}">
              <a16:creationId xmlns:a16="http://schemas.microsoft.com/office/drawing/2014/main" id="{CAA3A657-1F75-40F6-94F8-38BADAA41F6E}"/>
            </a:ext>
          </a:extLst>
        </xdr:cNvPr>
        <xdr:cNvSpPr/>
      </xdr:nvSpPr>
      <xdr:spPr>
        <a:xfrm>
          <a:off x="11803380" y="8833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570</xdr:row>
      <xdr:rowOff>0</xdr:rowOff>
    </xdr:from>
    <xdr:to>
      <xdr:col>28</xdr:col>
      <xdr:colOff>83820</xdr:colOff>
      <xdr:row>570</xdr:row>
      <xdr:rowOff>114300</xdr:rowOff>
    </xdr:to>
    <xdr:sp macro="" textlink="">
      <xdr:nvSpPr>
        <xdr:cNvPr id="603" name="Arrow: Down 602">
          <a:extLst>
            <a:ext uri="{FF2B5EF4-FFF2-40B4-BE49-F238E27FC236}">
              <a16:creationId xmlns:a16="http://schemas.microsoft.com/office/drawing/2014/main" id="{45CBC042-C1E8-4E33-B9D0-BDF5EACF9AE8}"/>
            </a:ext>
          </a:extLst>
        </xdr:cNvPr>
        <xdr:cNvSpPr/>
      </xdr:nvSpPr>
      <xdr:spPr>
        <a:xfrm rot="10800000">
          <a:off x="11803380" y="88704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571</xdr:row>
      <xdr:rowOff>0</xdr:rowOff>
    </xdr:from>
    <xdr:to>
      <xdr:col>28</xdr:col>
      <xdr:colOff>83820</xdr:colOff>
      <xdr:row>571</xdr:row>
      <xdr:rowOff>114300</xdr:rowOff>
    </xdr:to>
    <xdr:sp macro="" textlink="">
      <xdr:nvSpPr>
        <xdr:cNvPr id="604" name="Arrow: Down 603">
          <a:extLst>
            <a:ext uri="{FF2B5EF4-FFF2-40B4-BE49-F238E27FC236}">
              <a16:creationId xmlns:a16="http://schemas.microsoft.com/office/drawing/2014/main" id="{7BE694A0-F07F-46C9-8036-38D93B67B995}"/>
            </a:ext>
          </a:extLst>
        </xdr:cNvPr>
        <xdr:cNvSpPr/>
      </xdr:nvSpPr>
      <xdr:spPr>
        <a:xfrm rot="10800000">
          <a:off x="11803380" y="88704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572</xdr:row>
      <xdr:rowOff>0</xdr:rowOff>
    </xdr:from>
    <xdr:to>
      <xdr:col>28</xdr:col>
      <xdr:colOff>83820</xdr:colOff>
      <xdr:row>572</xdr:row>
      <xdr:rowOff>114300</xdr:rowOff>
    </xdr:to>
    <xdr:sp macro="" textlink="">
      <xdr:nvSpPr>
        <xdr:cNvPr id="605" name="Arrow: Down 604">
          <a:extLst>
            <a:ext uri="{FF2B5EF4-FFF2-40B4-BE49-F238E27FC236}">
              <a16:creationId xmlns:a16="http://schemas.microsoft.com/office/drawing/2014/main" id="{6308B854-9165-45D8-92AB-E38B3771155D}"/>
            </a:ext>
          </a:extLst>
        </xdr:cNvPr>
        <xdr:cNvSpPr/>
      </xdr:nvSpPr>
      <xdr:spPr>
        <a:xfrm rot="10800000">
          <a:off x="11803380" y="88887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573</xdr:row>
      <xdr:rowOff>0</xdr:rowOff>
    </xdr:from>
    <xdr:to>
      <xdr:col>28</xdr:col>
      <xdr:colOff>83820</xdr:colOff>
      <xdr:row>573</xdr:row>
      <xdr:rowOff>114300</xdr:rowOff>
    </xdr:to>
    <xdr:sp macro="" textlink="">
      <xdr:nvSpPr>
        <xdr:cNvPr id="610" name="Arrow: Down 609">
          <a:extLst>
            <a:ext uri="{FF2B5EF4-FFF2-40B4-BE49-F238E27FC236}">
              <a16:creationId xmlns:a16="http://schemas.microsoft.com/office/drawing/2014/main" id="{F4240846-451A-4791-AACC-51343C4D2361}"/>
            </a:ext>
          </a:extLst>
        </xdr:cNvPr>
        <xdr:cNvSpPr/>
      </xdr:nvSpPr>
      <xdr:spPr>
        <a:xfrm rot="10800000">
          <a:off x="11803380" y="89070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574</xdr:row>
      <xdr:rowOff>0</xdr:rowOff>
    </xdr:from>
    <xdr:to>
      <xdr:col>28</xdr:col>
      <xdr:colOff>83820</xdr:colOff>
      <xdr:row>574</xdr:row>
      <xdr:rowOff>114300</xdr:rowOff>
    </xdr:to>
    <xdr:sp macro="" textlink="">
      <xdr:nvSpPr>
        <xdr:cNvPr id="601" name="Arrow: Down 600">
          <a:extLst>
            <a:ext uri="{FF2B5EF4-FFF2-40B4-BE49-F238E27FC236}">
              <a16:creationId xmlns:a16="http://schemas.microsoft.com/office/drawing/2014/main" id="{7A045B67-70F2-47F7-8E50-A38A5003A6AC}"/>
            </a:ext>
          </a:extLst>
        </xdr:cNvPr>
        <xdr:cNvSpPr/>
      </xdr:nvSpPr>
      <xdr:spPr>
        <a:xfrm>
          <a:off x="11803380" y="8943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575</xdr:row>
      <xdr:rowOff>0</xdr:rowOff>
    </xdr:from>
    <xdr:to>
      <xdr:col>28</xdr:col>
      <xdr:colOff>83820</xdr:colOff>
      <xdr:row>575</xdr:row>
      <xdr:rowOff>114300</xdr:rowOff>
    </xdr:to>
    <xdr:sp macro="" textlink="">
      <xdr:nvSpPr>
        <xdr:cNvPr id="602" name="Arrow: Down 601">
          <a:extLst>
            <a:ext uri="{FF2B5EF4-FFF2-40B4-BE49-F238E27FC236}">
              <a16:creationId xmlns:a16="http://schemas.microsoft.com/office/drawing/2014/main" id="{A5206A5B-7E0D-4B52-A8C9-DC67BB1CE2C9}"/>
            </a:ext>
          </a:extLst>
        </xdr:cNvPr>
        <xdr:cNvSpPr/>
      </xdr:nvSpPr>
      <xdr:spPr>
        <a:xfrm>
          <a:off x="11803380" y="8943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576</xdr:row>
      <xdr:rowOff>0</xdr:rowOff>
    </xdr:from>
    <xdr:to>
      <xdr:col>28</xdr:col>
      <xdr:colOff>83820</xdr:colOff>
      <xdr:row>576</xdr:row>
      <xdr:rowOff>114300</xdr:rowOff>
    </xdr:to>
    <xdr:sp macro="" textlink="">
      <xdr:nvSpPr>
        <xdr:cNvPr id="608" name="Arrow: Down 607">
          <a:extLst>
            <a:ext uri="{FF2B5EF4-FFF2-40B4-BE49-F238E27FC236}">
              <a16:creationId xmlns:a16="http://schemas.microsoft.com/office/drawing/2014/main" id="{8CA6429C-9D1E-45D5-9B18-4DA3D9EF8F27}"/>
            </a:ext>
          </a:extLst>
        </xdr:cNvPr>
        <xdr:cNvSpPr/>
      </xdr:nvSpPr>
      <xdr:spPr>
        <a:xfrm>
          <a:off x="11803380" y="8961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577</xdr:row>
      <xdr:rowOff>0</xdr:rowOff>
    </xdr:from>
    <xdr:to>
      <xdr:col>28</xdr:col>
      <xdr:colOff>83820</xdr:colOff>
      <xdr:row>577</xdr:row>
      <xdr:rowOff>114300</xdr:rowOff>
    </xdr:to>
    <xdr:sp macro="" textlink="">
      <xdr:nvSpPr>
        <xdr:cNvPr id="613" name="Arrow: Down 612">
          <a:extLst>
            <a:ext uri="{FF2B5EF4-FFF2-40B4-BE49-F238E27FC236}">
              <a16:creationId xmlns:a16="http://schemas.microsoft.com/office/drawing/2014/main" id="{8C1F17E7-A26E-4883-80CA-E55D7104A5AC}"/>
            </a:ext>
          </a:extLst>
        </xdr:cNvPr>
        <xdr:cNvSpPr/>
      </xdr:nvSpPr>
      <xdr:spPr>
        <a:xfrm rot="10800000">
          <a:off x="11803380" y="89984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578</xdr:row>
      <xdr:rowOff>0</xdr:rowOff>
    </xdr:from>
    <xdr:to>
      <xdr:col>28</xdr:col>
      <xdr:colOff>83820</xdr:colOff>
      <xdr:row>578</xdr:row>
      <xdr:rowOff>114300</xdr:rowOff>
    </xdr:to>
    <xdr:sp macro="" textlink="">
      <xdr:nvSpPr>
        <xdr:cNvPr id="614" name="Arrow: Down 613">
          <a:extLst>
            <a:ext uri="{FF2B5EF4-FFF2-40B4-BE49-F238E27FC236}">
              <a16:creationId xmlns:a16="http://schemas.microsoft.com/office/drawing/2014/main" id="{24882FAD-977B-4525-9862-0B93F6981CF4}"/>
            </a:ext>
          </a:extLst>
        </xdr:cNvPr>
        <xdr:cNvSpPr/>
      </xdr:nvSpPr>
      <xdr:spPr>
        <a:xfrm rot="10800000">
          <a:off x="11803380" y="89984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579</xdr:row>
      <xdr:rowOff>0</xdr:rowOff>
    </xdr:from>
    <xdr:to>
      <xdr:col>28</xdr:col>
      <xdr:colOff>83820</xdr:colOff>
      <xdr:row>579</xdr:row>
      <xdr:rowOff>114300</xdr:rowOff>
    </xdr:to>
    <xdr:sp macro="" textlink="">
      <xdr:nvSpPr>
        <xdr:cNvPr id="618" name="Arrow: Down 617">
          <a:extLst>
            <a:ext uri="{FF2B5EF4-FFF2-40B4-BE49-F238E27FC236}">
              <a16:creationId xmlns:a16="http://schemas.microsoft.com/office/drawing/2014/main" id="{C8883210-C6B3-44EF-A057-B55C55A6F5CC}"/>
            </a:ext>
          </a:extLst>
        </xdr:cNvPr>
        <xdr:cNvSpPr/>
      </xdr:nvSpPr>
      <xdr:spPr>
        <a:xfrm>
          <a:off x="11803380" y="9035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580</xdr:row>
      <xdr:rowOff>0</xdr:rowOff>
    </xdr:from>
    <xdr:to>
      <xdr:col>28</xdr:col>
      <xdr:colOff>83820</xdr:colOff>
      <xdr:row>580</xdr:row>
      <xdr:rowOff>114300</xdr:rowOff>
    </xdr:to>
    <xdr:sp macro="" textlink="">
      <xdr:nvSpPr>
        <xdr:cNvPr id="619" name="Arrow: Down 618">
          <a:extLst>
            <a:ext uri="{FF2B5EF4-FFF2-40B4-BE49-F238E27FC236}">
              <a16:creationId xmlns:a16="http://schemas.microsoft.com/office/drawing/2014/main" id="{CECCCE8C-ADB8-4850-A50F-0994FDE7E5AC}"/>
            </a:ext>
          </a:extLst>
        </xdr:cNvPr>
        <xdr:cNvSpPr/>
      </xdr:nvSpPr>
      <xdr:spPr>
        <a:xfrm>
          <a:off x="11803380" y="9035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581</xdr:row>
      <xdr:rowOff>0</xdr:rowOff>
    </xdr:from>
    <xdr:to>
      <xdr:col>28</xdr:col>
      <xdr:colOff>83820</xdr:colOff>
      <xdr:row>581</xdr:row>
      <xdr:rowOff>114300</xdr:rowOff>
    </xdr:to>
    <xdr:sp macro="" textlink="">
      <xdr:nvSpPr>
        <xdr:cNvPr id="620" name="Arrow: Down 619">
          <a:extLst>
            <a:ext uri="{FF2B5EF4-FFF2-40B4-BE49-F238E27FC236}">
              <a16:creationId xmlns:a16="http://schemas.microsoft.com/office/drawing/2014/main" id="{A7F7DB2E-BEFB-493C-8022-D1BDA6EF9AF1}"/>
            </a:ext>
          </a:extLst>
        </xdr:cNvPr>
        <xdr:cNvSpPr/>
      </xdr:nvSpPr>
      <xdr:spPr>
        <a:xfrm>
          <a:off x="11803380" y="9053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582</xdr:row>
      <xdr:rowOff>0</xdr:rowOff>
    </xdr:from>
    <xdr:to>
      <xdr:col>28</xdr:col>
      <xdr:colOff>83820</xdr:colOff>
      <xdr:row>582</xdr:row>
      <xdr:rowOff>114300</xdr:rowOff>
    </xdr:to>
    <xdr:sp macro="" textlink="">
      <xdr:nvSpPr>
        <xdr:cNvPr id="621" name="Arrow: Down 620">
          <a:extLst>
            <a:ext uri="{FF2B5EF4-FFF2-40B4-BE49-F238E27FC236}">
              <a16:creationId xmlns:a16="http://schemas.microsoft.com/office/drawing/2014/main" id="{01F86019-FF07-4DAA-BC60-C5D1B6363D30}"/>
            </a:ext>
          </a:extLst>
        </xdr:cNvPr>
        <xdr:cNvSpPr/>
      </xdr:nvSpPr>
      <xdr:spPr>
        <a:xfrm>
          <a:off x="11803380" y="9071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583</xdr:row>
      <xdr:rowOff>0</xdr:rowOff>
    </xdr:from>
    <xdr:to>
      <xdr:col>28</xdr:col>
      <xdr:colOff>83820</xdr:colOff>
      <xdr:row>583</xdr:row>
      <xdr:rowOff>114300</xdr:rowOff>
    </xdr:to>
    <xdr:sp macro="" textlink="">
      <xdr:nvSpPr>
        <xdr:cNvPr id="622" name="Arrow: Down 621">
          <a:extLst>
            <a:ext uri="{FF2B5EF4-FFF2-40B4-BE49-F238E27FC236}">
              <a16:creationId xmlns:a16="http://schemas.microsoft.com/office/drawing/2014/main" id="{259676EE-2874-4301-B15A-FDB35DF7F187}"/>
            </a:ext>
          </a:extLst>
        </xdr:cNvPr>
        <xdr:cNvSpPr/>
      </xdr:nvSpPr>
      <xdr:spPr>
        <a:xfrm>
          <a:off x="11803380" y="9089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584</xdr:row>
      <xdr:rowOff>0</xdr:rowOff>
    </xdr:from>
    <xdr:to>
      <xdr:col>28</xdr:col>
      <xdr:colOff>83820</xdr:colOff>
      <xdr:row>584</xdr:row>
      <xdr:rowOff>114300</xdr:rowOff>
    </xdr:to>
    <xdr:sp macro="" textlink="">
      <xdr:nvSpPr>
        <xdr:cNvPr id="624" name="Arrow: Down 623">
          <a:extLst>
            <a:ext uri="{FF2B5EF4-FFF2-40B4-BE49-F238E27FC236}">
              <a16:creationId xmlns:a16="http://schemas.microsoft.com/office/drawing/2014/main" id="{6647F525-A094-4A46-B048-579603F6BA27}"/>
            </a:ext>
          </a:extLst>
        </xdr:cNvPr>
        <xdr:cNvSpPr/>
      </xdr:nvSpPr>
      <xdr:spPr>
        <a:xfrm rot="10800000">
          <a:off x="11803380" y="91264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585</xdr:row>
      <xdr:rowOff>0</xdr:rowOff>
    </xdr:from>
    <xdr:to>
      <xdr:col>28</xdr:col>
      <xdr:colOff>83820</xdr:colOff>
      <xdr:row>585</xdr:row>
      <xdr:rowOff>114300</xdr:rowOff>
    </xdr:to>
    <xdr:sp macro="" textlink="">
      <xdr:nvSpPr>
        <xdr:cNvPr id="625" name="Arrow: Down 624">
          <a:extLst>
            <a:ext uri="{FF2B5EF4-FFF2-40B4-BE49-F238E27FC236}">
              <a16:creationId xmlns:a16="http://schemas.microsoft.com/office/drawing/2014/main" id="{D90630B0-FDCC-4211-8166-DF3F9E659B21}"/>
            </a:ext>
          </a:extLst>
        </xdr:cNvPr>
        <xdr:cNvSpPr/>
      </xdr:nvSpPr>
      <xdr:spPr>
        <a:xfrm rot="10800000">
          <a:off x="11803380" y="91264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586</xdr:row>
      <xdr:rowOff>0</xdr:rowOff>
    </xdr:from>
    <xdr:to>
      <xdr:col>28</xdr:col>
      <xdr:colOff>83820</xdr:colOff>
      <xdr:row>586</xdr:row>
      <xdr:rowOff>114300</xdr:rowOff>
    </xdr:to>
    <xdr:sp macro="" textlink="">
      <xdr:nvSpPr>
        <xdr:cNvPr id="627" name="Arrow: Down 626">
          <a:extLst>
            <a:ext uri="{FF2B5EF4-FFF2-40B4-BE49-F238E27FC236}">
              <a16:creationId xmlns:a16="http://schemas.microsoft.com/office/drawing/2014/main" id="{2A4CD113-4888-4E42-8E91-0D9FF0BF2F38}"/>
            </a:ext>
          </a:extLst>
        </xdr:cNvPr>
        <xdr:cNvSpPr/>
      </xdr:nvSpPr>
      <xdr:spPr>
        <a:xfrm rot="10800000">
          <a:off x="11803380" y="91630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587</xdr:row>
      <xdr:rowOff>0</xdr:rowOff>
    </xdr:from>
    <xdr:to>
      <xdr:col>28</xdr:col>
      <xdr:colOff>83820</xdr:colOff>
      <xdr:row>587</xdr:row>
      <xdr:rowOff>114300</xdr:rowOff>
    </xdr:to>
    <xdr:sp macro="" textlink="">
      <xdr:nvSpPr>
        <xdr:cNvPr id="629" name="Arrow: Down 628">
          <a:extLst>
            <a:ext uri="{FF2B5EF4-FFF2-40B4-BE49-F238E27FC236}">
              <a16:creationId xmlns:a16="http://schemas.microsoft.com/office/drawing/2014/main" id="{1C29BD97-4A8E-4799-B750-FE68C8A2E00C}"/>
            </a:ext>
          </a:extLst>
        </xdr:cNvPr>
        <xdr:cNvSpPr/>
      </xdr:nvSpPr>
      <xdr:spPr>
        <a:xfrm rot="10800000">
          <a:off x="11803380" y="91630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588</xdr:row>
      <xdr:rowOff>0</xdr:rowOff>
    </xdr:from>
    <xdr:to>
      <xdr:col>28</xdr:col>
      <xdr:colOff>83820</xdr:colOff>
      <xdr:row>588</xdr:row>
      <xdr:rowOff>114300</xdr:rowOff>
    </xdr:to>
    <xdr:sp macro="" textlink="">
      <xdr:nvSpPr>
        <xdr:cNvPr id="631" name="Arrow: Down 630">
          <a:extLst>
            <a:ext uri="{FF2B5EF4-FFF2-40B4-BE49-F238E27FC236}">
              <a16:creationId xmlns:a16="http://schemas.microsoft.com/office/drawing/2014/main" id="{9650D19C-799B-4F7E-A7E9-293684E0A687}"/>
            </a:ext>
          </a:extLst>
        </xdr:cNvPr>
        <xdr:cNvSpPr/>
      </xdr:nvSpPr>
      <xdr:spPr>
        <a:xfrm>
          <a:off x="11803380" y="9199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589</xdr:row>
      <xdr:rowOff>0</xdr:rowOff>
    </xdr:from>
    <xdr:to>
      <xdr:col>28</xdr:col>
      <xdr:colOff>83820</xdr:colOff>
      <xdr:row>589</xdr:row>
      <xdr:rowOff>114300</xdr:rowOff>
    </xdr:to>
    <xdr:sp macro="" textlink="">
      <xdr:nvSpPr>
        <xdr:cNvPr id="633" name="Arrow: Down 632">
          <a:extLst>
            <a:ext uri="{FF2B5EF4-FFF2-40B4-BE49-F238E27FC236}">
              <a16:creationId xmlns:a16="http://schemas.microsoft.com/office/drawing/2014/main" id="{5DF70E89-8B48-4535-B18E-9CEDE58FFECA}"/>
            </a:ext>
          </a:extLst>
        </xdr:cNvPr>
        <xdr:cNvSpPr/>
      </xdr:nvSpPr>
      <xdr:spPr>
        <a:xfrm>
          <a:off x="11803380" y="9199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590</xdr:row>
      <xdr:rowOff>0</xdr:rowOff>
    </xdr:from>
    <xdr:to>
      <xdr:col>28</xdr:col>
      <xdr:colOff>83820</xdr:colOff>
      <xdr:row>590</xdr:row>
      <xdr:rowOff>114300</xdr:rowOff>
    </xdr:to>
    <xdr:sp macro="" textlink="">
      <xdr:nvSpPr>
        <xdr:cNvPr id="616" name="Arrow: Down 615">
          <a:extLst>
            <a:ext uri="{FF2B5EF4-FFF2-40B4-BE49-F238E27FC236}">
              <a16:creationId xmlns:a16="http://schemas.microsoft.com/office/drawing/2014/main" id="{BF912F99-24BF-4A50-9687-64977DA60D33}"/>
            </a:ext>
          </a:extLst>
        </xdr:cNvPr>
        <xdr:cNvSpPr/>
      </xdr:nvSpPr>
      <xdr:spPr>
        <a:xfrm rot="10800000">
          <a:off x="11803380" y="92362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591</xdr:row>
      <xdr:rowOff>0</xdr:rowOff>
    </xdr:from>
    <xdr:to>
      <xdr:col>28</xdr:col>
      <xdr:colOff>83820</xdr:colOff>
      <xdr:row>591</xdr:row>
      <xdr:rowOff>114300</xdr:rowOff>
    </xdr:to>
    <xdr:sp macro="" textlink="">
      <xdr:nvSpPr>
        <xdr:cNvPr id="612" name="Arrow: Down 611">
          <a:extLst>
            <a:ext uri="{FF2B5EF4-FFF2-40B4-BE49-F238E27FC236}">
              <a16:creationId xmlns:a16="http://schemas.microsoft.com/office/drawing/2014/main" id="{F4A324DF-D7E2-4F2A-9F8F-9A745E2BFEC7}"/>
            </a:ext>
          </a:extLst>
        </xdr:cNvPr>
        <xdr:cNvSpPr/>
      </xdr:nvSpPr>
      <xdr:spPr>
        <a:xfrm rot="10800000">
          <a:off x="11803380" y="92544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592</xdr:row>
      <xdr:rowOff>0</xdr:rowOff>
    </xdr:from>
    <xdr:to>
      <xdr:col>28</xdr:col>
      <xdr:colOff>83820</xdr:colOff>
      <xdr:row>592</xdr:row>
      <xdr:rowOff>114300</xdr:rowOff>
    </xdr:to>
    <xdr:sp macro="" textlink="">
      <xdr:nvSpPr>
        <xdr:cNvPr id="615" name="Arrow: Down 614">
          <a:extLst>
            <a:ext uri="{FF2B5EF4-FFF2-40B4-BE49-F238E27FC236}">
              <a16:creationId xmlns:a16="http://schemas.microsoft.com/office/drawing/2014/main" id="{D25543C5-54E3-42BD-B033-BAD72EDC623C}"/>
            </a:ext>
          </a:extLst>
        </xdr:cNvPr>
        <xdr:cNvSpPr/>
      </xdr:nvSpPr>
      <xdr:spPr>
        <a:xfrm rot="10800000">
          <a:off x="11803380" y="92544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593</xdr:row>
      <xdr:rowOff>0</xdr:rowOff>
    </xdr:from>
    <xdr:to>
      <xdr:col>28</xdr:col>
      <xdr:colOff>83820</xdr:colOff>
      <xdr:row>593</xdr:row>
      <xdr:rowOff>114300</xdr:rowOff>
    </xdr:to>
    <xdr:sp macro="" textlink="">
      <xdr:nvSpPr>
        <xdr:cNvPr id="617" name="Arrow: Down 616">
          <a:extLst>
            <a:ext uri="{FF2B5EF4-FFF2-40B4-BE49-F238E27FC236}">
              <a16:creationId xmlns:a16="http://schemas.microsoft.com/office/drawing/2014/main" id="{BA6E8B2D-6719-43CD-8FE4-457B113EF8B5}"/>
            </a:ext>
          </a:extLst>
        </xdr:cNvPr>
        <xdr:cNvSpPr/>
      </xdr:nvSpPr>
      <xdr:spPr>
        <a:xfrm rot="10800000">
          <a:off x="11803380" y="92727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594</xdr:row>
      <xdr:rowOff>0</xdr:rowOff>
    </xdr:from>
    <xdr:to>
      <xdr:col>28</xdr:col>
      <xdr:colOff>83820</xdr:colOff>
      <xdr:row>594</xdr:row>
      <xdr:rowOff>114300</xdr:rowOff>
    </xdr:to>
    <xdr:sp macro="" textlink="">
      <xdr:nvSpPr>
        <xdr:cNvPr id="623" name="Arrow: Down 622">
          <a:extLst>
            <a:ext uri="{FF2B5EF4-FFF2-40B4-BE49-F238E27FC236}">
              <a16:creationId xmlns:a16="http://schemas.microsoft.com/office/drawing/2014/main" id="{96849740-46B6-4E9F-8796-09A6C8565FC1}"/>
            </a:ext>
          </a:extLst>
        </xdr:cNvPr>
        <xdr:cNvSpPr/>
      </xdr:nvSpPr>
      <xdr:spPr>
        <a:xfrm rot="10800000">
          <a:off x="11803380" y="92910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595</xdr:row>
      <xdr:rowOff>0</xdr:rowOff>
    </xdr:from>
    <xdr:to>
      <xdr:col>28</xdr:col>
      <xdr:colOff>83820</xdr:colOff>
      <xdr:row>595</xdr:row>
      <xdr:rowOff>114300</xdr:rowOff>
    </xdr:to>
    <xdr:sp macro="" textlink="">
      <xdr:nvSpPr>
        <xdr:cNvPr id="628" name="Arrow: Down 627">
          <a:extLst>
            <a:ext uri="{FF2B5EF4-FFF2-40B4-BE49-F238E27FC236}">
              <a16:creationId xmlns:a16="http://schemas.microsoft.com/office/drawing/2014/main" id="{976BD3BD-BB59-48DE-9FD7-6F75572C63D1}"/>
            </a:ext>
          </a:extLst>
        </xdr:cNvPr>
        <xdr:cNvSpPr/>
      </xdr:nvSpPr>
      <xdr:spPr>
        <a:xfrm>
          <a:off x="11803380" y="9327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596</xdr:row>
      <xdr:rowOff>0</xdr:rowOff>
    </xdr:from>
    <xdr:to>
      <xdr:col>28</xdr:col>
      <xdr:colOff>83820</xdr:colOff>
      <xdr:row>596</xdr:row>
      <xdr:rowOff>114300</xdr:rowOff>
    </xdr:to>
    <xdr:sp macro="" textlink="">
      <xdr:nvSpPr>
        <xdr:cNvPr id="630" name="Arrow: Down 629">
          <a:extLst>
            <a:ext uri="{FF2B5EF4-FFF2-40B4-BE49-F238E27FC236}">
              <a16:creationId xmlns:a16="http://schemas.microsoft.com/office/drawing/2014/main" id="{AD39614D-25F0-4785-9289-14C2170447B5}"/>
            </a:ext>
          </a:extLst>
        </xdr:cNvPr>
        <xdr:cNvSpPr/>
      </xdr:nvSpPr>
      <xdr:spPr>
        <a:xfrm>
          <a:off x="11803380" y="9327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597</xdr:row>
      <xdr:rowOff>0</xdr:rowOff>
    </xdr:from>
    <xdr:to>
      <xdr:col>28</xdr:col>
      <xdr:colOff>83820</xdr:colOff>
      <xdr:row>597</xdr:row>
      <xdr:rowOff>114300</xdr:rowOff>
    </xdr:to>
    <xdr:sp macro="" textlink="">
      <xdr:nvSpPr>
        <xdr:cNvPr id="632" name="Arrow: Down 631">
          <a:extLst>
            <a:ext uri="{FF2B5EF4-FFF2-40B4-BE49-F238E27FC236}">
              <a16:creationId xmlns:a16="http://schemas.microsoft.com/office/drawing/2014/main" id="{C53BAAC2-1730-4930-8E29-6D0403D52706}"/>
            </a:ext>
          </a:extLst>
        </xdr:cNvPr>
        <xdr:cNvSpPr/>
      </xdr:nvSpPr>
      <xdr:spPr>
        <a:xfrm>
          <a:off x="11803380" y="9345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598</xdr:row>
      <xdr:rowOff>0</xdr:rowOff>
    </xdr:from>
    <xdr:to>
      <xdr:col>28</xdr:col>
      <xdr:colOff>83820</xdr:colOff>
      <xdr:row>598</xdr:row>
      <xdr:rowOff>114300</xdr:rowOff>
    </xdr:to>
    <xdr:sp macro="" textlink="">
      <xdr:nvSpPr>
        <xdr:cNvPr id="637" name="Arrow: Down 636">
          <a:extLst>
            <a:ext uri="{FF2B5EF4-FFF2-40B4-BE49-F238E27FC236}">
              <a16:creationId xmlns:a16="http://schemas.microsoft.com/office/drawing/2014/main" id="{F31020FC-25C7-4B88-A9BE-B9961127ED89}"/>
            </a:ext>
          </a:extLst>
        </xdr:cNvPr>
        <xdr:cNvSpPr/>
      </xdr:nvSpPr>
      <xdr:spPr>
        <a:xfrm rot="10800000">
          <a:off x="11803380" y="93825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599</xdr:row>
      <xdr:rowOff>0</xdr:rowOff>
    </xdr:from>
    <xdr:to>
      <xdr:col>28</xdr:col>
      <xdr:colOff>83820</xdr:colOff>
      <xdr:row>599</xdr:row>
      <xdr:rowOff>114300</xdr:rowOff>
    </xdr:to>
    <xdr:sp macro="" textlink="">
      <xdr:nvSpPr>
        <xdr:cNvPr id="639" name="Arrow: Down 638">
          <a:extLst>
            <a:ext uri="{FF2B5EF4-FFF2-40B4-BE49-F238E27FC236}">
              <a16:creationId xmlns:a16="http://schemas.microsoft.com/office/drawing/2014/main" id="{955E8E40-2B73-4C6F-BDEA-98E0F6E66A05}"/>
            </a:ext>
          </a:extLst>
        </xdr:cNvPr>
        <xdr:cNvSpPr/>
      </xdr:nvSpPr>
      <xdr:spPr>
        <a:xfrm rot="10800000">
          <a:off x="11803380" y="93825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600</xdr:row>
      <xdr:rowOff>0</xdr:rowOff>
    </xdr:from>
    <xdr:to>
      <xdr:col>28</xdr:col>
      <xdr:colOff>83820</xdr:colOff>
      <xdr:row>600</xdr:row>
      <xdr:rowOff>114300</xdr:rowOff>
    </xdr:to>
    <xdr:sp macro="" textlink="">
      <xdr:nvSpPr>
        <xdr:cNvPr id="641" name="Arrow: Down 640">
          <a:extLst>
            <a:ext uri="{FF2B5EF4-FFF2-40B4-BE49-F238E27FC236}">
              <a16:creationId xmlns:a16="http://schemas.microsoft.com/office/drawing/2014/main" id="{6D3A452F-284A-41CC-8BC3-B47AA30704DC}"/>
            </a:ext>
          </a:extLst>
        </xdr:cNvPr>
        <xdr:cNvSpPr/>
      </xdr:nvSpPr>
      <xdr:spPr>
        <a:xfrm rot="10800000">
          <a:off x="11803380" y="94190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601</xdr:row>
      <xdr:rowOff>0</xdr:rowOff>
    </xdr:from>
    <xdr:to>
      <xdr:col>28</xdr:col>
      <xdr:colOff>83820</xdr:colOff>
      <xdr:row>601</xdr:row>
      <xdr:rowOff>114300</xdr:rowOff>
    </xdr:to>
    <xdr:sp macro="" textlink="">
      <xdr:nvSpPr>
        <xdr:cNvPr id="642" name="Arrow: Down 641">
          <a:extLst>
            <a:ext uri="{FF2B5EF4-FFF2-40B4-BE49-F238E27FC236}">
              <a16:creationId xmlns:a16="http://schemas.microsoft.com/office/drawing/2014/main" id="{FD7F0A32-D191-4503-B20B-A7FAA8D891C8}"/>
            </a:ext>
          </a:extLst>
        </xdr:cNvPr>
        <xdr:cNvSpPr/>
      </xdr:nvSpPr>
      <xdr:spPr>
        <a:xfrm rot="10800000">
          <a:off x="11803380" y="94190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602</xdr:row>
      <xdr:rowOff>22860</xdr:rowOff>
    </xdr:from>
    <xdr:to>
      <xdr:col>28</xdr:col>
      <xdr:colOff>83820</xdr:colOff>
      <xdr:row>602</xdr:row>
      <xdr:rowOff>137160</xdr:rowOff>
    </xdr:to>
    <xdr:sp macro="" textlink="">
      <xdr:nvSpPr>
        <xdr:cNvPr id="644" name="Arrow: Down 643">
          <a:extLst>
            <a:ext uri="{FF2B5EF4-FFF2-40B4-BE49-F238E27FC236}">
              <a16:creationId xmlns:a16="http://schemas.microsoft.com/office/drawing/2014/main" id="{489CA595-41C1-4E69-B1B4-CE958E6D8E03}"/>
            </a:ext>
          </a:extLst>
        </xdr:cNvPr>
        <xdr:cNvSpPr/>
      </xdr:nvSpPr>
      <xdr:spPr>
        <a:xfrm>
          <a:off x="11803380" y="94579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603</xdr:row>
      <xdr:rowOff>0</xdr:rowOff>
    </xdr:from>
    <xdr:to>
      <xdr:col>28</xdr:col>
      <xdr:colOff>83820</xdr:colOff>
      <xdr:row>603</xdr:row>
      <xdr:rowOff>114300</xdr:rowOff>
    </xdr:to>
    <xdr:sp macro="" textlink="">
      <xdr:nvSpPr>
        <xdr:cNvPr id="645" name="Arrow: Down 644">
          <a:extLst>
            <a:ext uri="{FF2B5EF4-FFF2-40B4-BE49-F238E27FC236}">
              <a16:creationId xmlns:a16="http://schemas.microsoft.com/office/drawing/2014/main" id="{619F0B10-7455-47E0-A17B-C23813DD5538}"/>
            </a:ext>
          </a:extLst>
        </xdr:cNvPr>
        <xdr:cNvSpPr/>
      </xdr:nvSpPr>
      <xdr:spPr>
        <a:xfrm>
          <a:off x="11803380" y="9455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604</xdr:row>
      <xdr:rowOff>0</xdr:rowOff>
    </xdr:from>
    <xdr:to>
      <xdr:col>28</xdr:col>
      <xdr:colOff>83820</xdr:colOff>
      <xdr:row>604</xdr:row>
      <xdr:rowOff>114300</xdr:rowOff>
    </xdr:to>
    <xdr:sp macro="" textlink="">
      <xdr:nvSpPr>
        <xdr:cNvPr id="647" name="Arrow: Down 646">
          <a:extLst>
            <a:ext uri="{FF2B5EF4-FFF2-40B4-BE49-F238E27FC236}">
              <a16:creationId xmlns:a16="http://schemas.microsoft.com/office/drawing/2014/main" id="{FAEB6323-A590-4E5C-A49B-FB1CAC229084}"/>
            </a:ext>
          </a:extLst>
        </xdr:cNvPr>
        <xdr:cNvSpPr/>
      </xdr:nvSpPr>
      <xdr:spPr>
        <a:xfrm rot="10800000">
          <a:off x="11803380" y="94922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605</xdr:row>
      <xdr:rowOff>0</xdr:rowOff>
    </xdr:from>
    <xdr:to>
      <xdr:col>28</xdr:col>
      <xdr:colOff>83820</xdr:colOff>
      <xdr:row>605</xdr:row>
      <xdr:rowOff>114300</xdr:rowOff>
    </xdr:to>
    <xdr:sp macro="" textlink="">
      <xdr:nvSpPr>
        <xdr:cNvPr id="650" name="Arrow: Down 649">
          <a:extLst>
            <a:ext uri="{FF2B5EF4-FFF2-40B4-BE49-F238E27FC236}">
              <a16:creationId xmlns:a16="http://schemas.microsoft.com/office/drawing/2014/main" id="{C1E5C8B5-F1A4-4C28-AF00-E6642FF64ED8}"/>
            </a:ext>
          </a:extLst>
        </xdr:cNvPr>
        <xdr:cNvSpPr/>
      </xdr:nvSpPr>
      <xdr:spPr>
        <a:xfrm>
          <a:off x="11803380" y="9510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606</xdr:row>
      <xdr:rowOff>0</xdr:rowOff>
    </xdr:from>
    <xdr:to>
      <xdr:col>28</xdr:col>
      <xdr:colOff>83820</xdr:colOff>
      <xdr:row>606</xdr:row>
      <xdr:rowOff>114300</xdr:rowOff>
    </xdr:to>
    <xdr:sp macro="" textlink="">
      <xdr:nvSpPr>
        <xdr:cNvPr id="652" name="Arrow: Down 651">
          <a:extLst>
            <a:ext uri="{FF2B5EF4-FFF2-40B4-BE49-F238E27FC236}">
              <a16:creationId xmlns:a16="http://schemas.microsoft.com/office/drawing/2014/main" id="{BB81D619-B14D-412C-9FCF-505245822100}"/>
            </a:ext>
          </a:extLst>
        </xdr:cNvPr>
        <xdr:cNvSpPr/>
      </xdr:nvSpPr>
      <xdr:spPr>
        <a:xfrm rot="10800000">
          <a:off x="11803380" y="9528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607</xdr:row>
      <xdr:rowOff>0</xdr:rowOff>
    </xdr:from>
    <xdr:to>
      <xdr:col>28</xdr:col>
      <xdr:colOff>83820</xdr:colOff>
      <xdr:row>607</xdr:row>
      <xdr:rowOff>114300</xdr:rowOff>
    </xdr:to>
    <xdr:sp macro="" textlink="">
      <xdr:nvSpPr>
        <xdr:cNvPr id="654" name="Arrow: Down 653">
          <a:extLst>
            <a:ext uri="{FF2B5EF4-FFF2-40B4-BE49-F238E27FC236}">
              <a16:creationId xmlns:a16="http://schemas.microsoft.com/office/drawing/2014/main" id="{4EE385FD-0926-463A-9DBB-CF25B62C4724}"/>
            </a:ext>
          </a:extLst>
        </xdr:cNvPr>
        <xdr:cNvSpPr/>
      </xdr:nvSpPr>
      <xdr:spPr>
        <a:xfrm rot="10800000">
          <a:off x="11803380" y="9528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608</xdr:row>
      <xdr:rowOff>0</xdr:rowOff>
    </xdr:from>
    <xdr:to>
      <xdr:col>28</xdr:col>
      <xdr:colOff>83820</xdr:colOff>
      <xdr:row>608</xdr:row>
      <xdr:rowOff>114300</xdr:rowOff>
    </xdr:to>
    <xdr:sp macro="" textlink="">
      <xdr:nvSpPr>
        <xdr:cNvPr id="656" name="Arrow: Down 655">
          <a:extLst>
            <a:ext uri="{FF2B5EF4-FFF2-40B4-BE49-F238E27FC236}">
              <a16:creationId xmlns:a16="http://schemas.microsoft.com/office/drawing/2014/main" id="{0C2C8BCF-6FAF-4BFA-B26A-54D3138FCD76}"/>
            </a:ext>
          </a:extLst>
        </xdr:cNvPr>
        <xdr:cNvSpPr/>
      </xdr:nvSpPr>
      <xdr:spPr>
        <a:xfrm rot="10800000">
          <a:off x="11803380" y="95470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609</xdr:row>
      <xdr:rowOff>0</xdr:rowOff>
    </xdr:from>
    <xdr:to>
      <xdr:col>28</xdr:col>
      <xdr:colOff>83820</xdr:colOff>
      <xdr:row>609</xdr:row>
      <xdr:rowOff>114300</xdr:rowOff>
    </xdr:to>
    <xdr:sp macro="" textlink="">
      <xdr:nvSpPr>
        <xdr:cNvPr id="659" name="Arrow: Down 658">
          <a:extLst>
            <a:ext uri="{FF2B5EF4-FFF2-40B4-BE49-F238E27FC236}">
              <a16:creationId xmlns:a16="http://schemas.microsoft.com/office/drawing/2014/main" id="{C8207306-6936-47ED-A03D-1B2DCD67FBD4}"/>
            </a:ext>
          </a:extLst>
        </xdr:cNvPr>
        <xdr:cNvSpPr/>
      </xdr:nvSpPr>
      <xdr:spPr>
        <a:xfrm>
          <a:off x="11803380" y="9583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610</xdr:row>
      <xdr:rowOff>0</xdr:rowOff>
    </xdr:from>
    <xdr:to>
      <xdr:col>28</xdr:col>
      <xdr:colOff>83820</xdr:colOff>
      <xdr:row>610</xdr:row>
      <xdr:rowOff>114300</xdr:rowOff>
    </xdr:to>
    <xdr:sp macro="" textlink="">
      <xdr:nvSpPr>
        <xdr:cNvPr id="661" name="Arrow: Down 660">
          <a:extLst>
            <a:ext uri="{FF2B5EF4-FFF2-40B4-BE49-F238E27FC236}">
              <a16:creationId xmlns:a16="http://schemas.microsoft.com/office/drawing/2014/main" id="{76390AE4-1870-43D1-BD4F-5F9C9FA11B2B}"/>
            </a:ext>
          </a:extLst>
        </xdr:cNvPr>
        <xdr:cNvSpPr/>
      </xdr:nvSpPr>
      <xdr:spPr>
        <a:xfrm>
          <a:off x="11803380" y="9583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611</xdr:row>
      <xdr:rowOff>0</xdr:rowOff>
    </xdr:from>
    <xdr:to>
      <xdr:col>28</xdr:col>
      <xdr:colOff>83820</xdr:colOff>
      <xdr:row>611</xdr:row>
      <xdr:rowOff>114300</xdr:rowOff>
    </xdr:to>
    <xdr:sp macro="" textlink="">
      <xdr:nvSpPr>
        <xdr:cNvPr id="636" name="Arrow: Down 635">
          <a:extLst>
            <a:ext uri="{FF2B5EF4-FFF2-40B4-BE49-F238E27FC236}">
              <a16:creationId xmlns:a16="http://schemas.microsoft.com/office/drawing/2014/main" id="{7E042D41-E9F4-4E56-97DE-0CA6AD3C6866}"/>
            </a:ext>
          </a:extLst>
        </xdr:cNvPr>
        <xdr:cNvSpPr/>
      </xdr:nvSpPr>
      <xdr:spPr>
        <a:xfrm rot="10800000">
          <a:off x="11803380" y="96202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612</xdr:row>
      <xdr:rowOff>0</xdr:rowOff>
    </xdr:from>
    <xdr:to>
      <xdr:col>28</xdr:col>
      <xdr:colOff>83820</xdr:colOff>
      <xdr:row>612</xdr:row>
      <xdr:rowOff>114300</xdr:rowOff>
    </xdr:to>
    <xdr:sp macro="" textlink="">
      <xdr:nvSpPr>
        <xdr:cNvPr id="638" name="Arrow: Down 637">
          <a:extLst>
            <a:ext uri="{FF2B5EF4-FFF2-40B4-BE49-F238E27FC236}">
              <a16:creationId xmlns:a16="http://schemas.microsoft.com/office/drawing/2014/main" id="{ED342284-3057-47BC-95B7-FD6FE1635805}"/>
            </a:ext>
          </a:extLst>
        </xdr:cNvPr>
        <xdr:cNvSpPr/>
      </xdr:nvSpPr>
      <xdr:spPr>
        <a:xfrm rot="10800000">
          <a:off x="11803380" y="96202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613</xdr:row>
      <xdr:rowOff>0</xdr:rowOff>
    </xdr:from>
    <xdr:to>
      <xdr:col>28</xdr:col>
      <xdr:colOff>83820</xdr:colOff>
      <xdr:row>613</xdr:row>
      <xdr:rowOff>114300</xdr:rowOff>
    </xdr:to>
    <xdr:sp macro="" textlink="">
      <xdr:nvSpPr>
        <xdr:cNvPr id="643" name="Arrow: Down 642">
          <a:extLst>
            <a:ext uri="{FF2B5EF4-FFF2-40B4-BE49-F238E27FC236}">
              <a16:creationId xmlns:a16="http://schemas.microsoft.com/office/drawing/2014/main" id="{FDB11ED7-FA01-4011-AA12-20DFAF26E676}"/>
            </a:ext>
          </a:extLst>
        </xdr:cNvPr>
        <xdr:cNvSpPr/>
      </xdr:nvSpPr>
      <xdr:spPr>
        <a:xfrm rot="10800000">
          <a:off x="11803380" y="96385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614</xdr:row>
      <xdr:rowOff>0</xdr:rowOff>
    </xdr:from>
    <xdr:to>
      <xdr:col>28</xdr:col>
      <xdr:colOff>83820</xdr:colOff>
      <xdr:row>614</xdr:row>
      <xdr:rowOff>114300</xdr:rowOff>
    </xdr:to>
    <xdr:sp macro="" textlink="">
      <xdr:nvSpPr>
        <xdr:cNvPr id="646" name="Arrow: Down 645">
          <a:extLst>
            <a:ext uri="{FF2B5EF4-FFF2-40B4-BE49-F238E27FC236}">
              <a16:creationId xmlns:a16="http://schemas.microsoft.com/office/drawing/2014/main" id="{FD583CFF-F1C4-428E-B102-DACFCB55E855}"/>
            </a:ext>
          </a:extLst>
        </xdr:cNvPr>
        <xdr:cNvSpPr/>
      </xdr:nvSpPr>
      <xdr:spPr>
        <a:xfrm rot="10800000">
          <a:off x="11803380" y="96751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615</xdr:row>
      <xdr:rowOff>0</xdr:rowOff>
    </xdr:from>
    <xdr:to>
      <xdr:col>28</xdr:col>
      <xdr:colOff>83820</xdr:colOff>
      <xdr:row>615</xdr:row>
      <xdr:rowOff>114300</xdr:rowOff>
    </xdr:to>
    <xdr:sp macro="" textlink="">
      <xdr:nvSpPr>
        <xdr:cNvPr id="649" name="Arrow: Down 648">
          <a:extLst>
            <a:ext uri="{FF2B5EF4-FFF2-40B4-BE49-F238E27FC236}">
              <a16:creationId xmlns:a16="http://schemas.microsoft.com/office/drawing/2014/main" id="{DFA98FEB-C440-4139-895B-E4B1C44531A5}"/>
            </a:ext>
          </a:extLst>
        </xdr:cNvPr>
        <xdr:cNvSpPr/>
      </xdr:nvSpPr>
      <xdr:spPr>
        <a:xfrm rot="10800000">
          <a:off x="11803380" y="96751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616</xdr:row>
      <xdr:rowOff>0</xdr:rowOff>
    </xdr:from>
    <xdr:to>
      <xdr:col>28</xdr:col>
      <xdr:colOff>83820</xdr:colOff>
      <xdr:row>616</xdr:row>
      <xdr:rowOff>114300</xdr:rowOff>
    </xdr:to>
    <xdr:sp macro="" textlink="">
      <xdr:nvSpPr>
        <xdr:cNvPr id="634" name="Arrow: Down 633">
          <a:extLst>
            <a:ext uri="{FF2B5EF4-FFF2-40B4-BE49-F238E27FC236}">
              <a16:creationId xmlns:a16="http://schemas.microsoft.com/office/drawing/2014/main" id="{FE4E44FE-B967-485B-8CB8-FDAA6351EAD1}"/>
            </a:ext>
          </a:extLst>
        </xdr:cNvPr>
        <xdr:cNvSpPr/>
      </xdr:nvSpPr>
      <xdr:spPr>
        <a:xfrm>
          <a:off x="11803380" y="9711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617</xdr:row>
      <xdr:rowOff>0</xdr:rowOff>
    </xdr:from>
    <xdr:to>
      <xdr:col>28</xdr:col>
      <xdr:colOff>83820</xdr:colOff>
      <xdr:row>617</xdr:row>
      <xdr:rowOff>114300</xdr:rowOff>
    </xdr:to>
    <xdr:sp macro="" textlink="">
      <xdr:nvSpPr>
        <xdr:cNvPr id="640" name="Arrow: Down 639">
          <a:extLst>
            <a:ext uri="{FF2B5EF4-FFF2-40B4-BE49-F238E27FC236}">
              <a16:creationId xmlns:a16="http://schemas.microsoft.com/office/drawing/2014/main" id="{675A8357-1EB0-4990-86A9-4BB71012ECF8}"/>
            </a:ext>
          </a:extLst>
        </xdr:cNvPr>
        <xdr:cNvSpPr/>
      </xdr:nvSpPr>
      <xdr:spPr>
        <a:xfrm>
          <a:off x="11803380" y="9711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618</xdr:row>
      <xdr:rowOff>0</xdr:rowOff>
    </xdr:from>
    <xdr:to>
      <xdr:col>28</xdr:col>
      <xdr:colOff>83820</xdr:colOff>
      <xdr:row>618</xdr:row>
      <xdr:rowOff>114300</xdr:rowOff>
    </xdr:to>
    <xdr:sp macro="" textlink="">
      <xdr:nvSpPr>
        <xdr:cNvPr id="653" name="Arrow: Down 652">
          <a:extLst>
            <a:ext uri="{FF2B5EF4-FFF2-40B4-BE49-F238E27FC236}">
              <a16:creationId xmlns:a16="http://schemas.microsoft.com/office/drawing/2014/main" id="{94886E73-DE0E-411A-923C-411282C0EFD5}"/>
            </a:ext>
          </a:extLst>
        </xdr:cNvPr>
        <xdr:cNvSpPr/>
      </xdr:nvSpPr>
      <xdr:spPr>
        <a:xfrm rot="10800000">
          <a:off x="11803380" y="97482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619</xdr:row>
      <xdr:rowOff>0</xdr:rowOff>
    </xdr:from>
    <xdr:to>
      <xdr:col>28</xdr:col>
      <xdr:colOff>83820</xdr:colOff>
      <xdr:row>619</xdr:row>
      <xdr:rowOff>114300</xdr:rowOff>
    </xdr:to>
    <xdr:sp macro="" textlink="">
      <xdr:nvSpPr>
        <xdr:cNvPr id="657" name="Arrow: Down 656">
          <a:extLst>
            <a:ext uri="{FF2B5EF4-FFF2-40B4-BE49-F238E27FC236}">
              <a16:creationId xmlns:a16="http://schemas.microsoft.com/office/drawing/2014/main" id="{A3EF92E0-44D1-41F3-AC2D-E791DFCED17E}"/>
            </a:ext>
          </a:extLst>
        </xdr:cNvPr>
        <xdr:cNvSpPr/>
      </xdr:nvSpPr>
      <xdr:spPr>
        <a:xfrm rot="10800000">
          <a:off x="11803380" y="97482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620</xdr:row>
      <xdr:rowOff>0</xdr:rowOff>
    </xdr:from>
    <xdr:to>
      <xdr:col>28</xdr:col>
      <xdr:colOff>83820</xdr:colOff>
      <xdr:row>620</xdr:row>
      <xdr:rowOff>114300</xdr:rowOff>
    </xdr:to>
    <xdr:sp macro="" textlink="">
      <xdr:nvSpPr>
        <xdr:cNvPr id="658" name="Arrow: Down 657">
          <a:extLst>
            <a:ext uri="{FF2B5EF4-FFF2-40B4-BE49-F238E27FC236}">
              <a16:creationId xmlns:a16="http://schemas.microsoft.com/office/drawing/2014/main" id="{2B9AF7BE-3D90-4581-BB82-08F1490F1720}"/>
            </a:ext>
          </a:extLst>
        </xdr:cNvPr>
        <xdr:cNvSpPr/>
      </xdr:nvSpPr>
      <xdr:spPr>
        <a:xfrm rot="10800000">
          <a:off x="11803380" y="97665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621</xdr:row>
      <xdr:rowOff>0</xdr:rowOff>
    </xdr:from>
    <xdr:to>
      <xdr:col>28</xdr:col>
      <xdr:colOff>83820</xdr:colOff>
      <xdr:row>621</xdr:row>
      <xdr:rowOff>114300</xdr:rowOff>
    </xdr:to>
    <xdr:sp macro="" textlink="">
      <xdr:nvSpPr>
        <xdr:cNvPr id="660" name="Arrow: Down 659">
          <a:extLst>
            <a:ext uri="{FF2B5EF4-FFF2-40B4-BE49-F238E27FC236}">
              <a16:creationId xmlns:a16="http://schemas.microsoft.com/office/drawing/2014/main" id="{E4733CBB-E1DD-4385-984E-EA554B58F340}"/>
            </a:ext>
          </a:extLst>
        </xdr:cNvPr>
        <xdr:cNvSpPr/>
      </xdr:nvSpPr>
      <xdr:spPr>
        <a:xfrm rot="10800000">
          <a:off x="11803380" y="97848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622</xdr:row>
      <xdr:rowOff>0</xdr:rowOff>
    </xdr:from>
    <xdr:to>
      <xdr:col>28</xdr:col>
      <xdr:colOff>83820</xdr:colOff>
      <xdr:row>622</xdr:row>
      <xdr:rowOff>114300</xdr:rowOff>
    </xdr:to>
    <xdr:sp macro="" textlink="">
      <xdr:nvSpPr>
        <xdr:cNvPr id="662" name="Arrow: Down 661">
          <a:extLst>
            <a:ext uri="{FF2B5EF4-FFF2-40B4-BE49-F238E27FC236}">
              <a16:creationId xmlns:a16="http://schemas.microsoft.com/office/drawing/2014/main" id="{5F6B010B-92FA-4B76-8889-C4E4E297FCF8}"/>
            </a:ext>
          </a:extLst>
        </xdr:cNvPr>
        <xdr:cNvSpPr/>
      </xdr:nvSpPr>
      <xdr:spPr>
        <a:xfrm rot="10800000">
          <a:off x="11803380" y="98031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623</xdr:row>
      <xdr:rowOff>0</xdr:rowOff>
    </xdr:from>
    <xdr:to>
      <xdr:col>28</xdr:col>
      <xdr:colOff>83820</xdr:colOff>
      <xdr:row>623</xdr:row>
      <xdr:rowOff>114300</xdr:rowOff>
    </xdr:to>
    <xdr:sp macro="" textlink="">
      <xdr:nvSpPr>
        <xdr:cNvPr id="664" name="Arrow: Down 663">
          <a:extLst>
            <a:ext uri="{FF2B5EF4-FFF2-40B4-BE49-F238E27FC236}">
              <a16:creationId xmlns:a16="http://schemas.microsoft.com/office/drawing/2014/main" id="{920D9051-8C9A-4FA7-B091-2590E15222E5}"/>
            </a:ext>
          </a:extLst>
        </xdr:cNvPr>
        <xdr:cNvSpPr/>
      </xdr:nvSpPr>
      <xdr:spPr>
        <a:xfrm>
          <a:off x="11803380" y="9839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624</xdr:row>
      <xdr:rowOff>0</xdr:rowOff>
    </xdr:from>
    <xdr:to>
      <xdr:col>28</xdr:col>
      <xdr:colOff>83820</xdr:colOff>
      <xdr:row>624</xdr:row>
      <xdr:rowOff>114300</xdr:rowOff>
    </xdr:to>
    <xdr:sp macro="" textlink="">
      <xdr:nvSpPr>
        <xdr:cNvPr id="666" name="Arrow: Down 665">
          <a:extLst>
            <a:ext uri="{FF2B5EF4-FFF2-40B4-BE49-F238E27FC236}">
              <a16:creationId xmlns:a16="http://schemas.microsoft.com/office/drawing/2014/main" id="{EDB93837-1465-4EB1-9CFB-2D2AEADB7211}"/>
            </a:ext>
          </a:extLst>
        </xdr:cNvPr>
        <xdr:cNvSpPr/>
      </xdr:nvSpPr>
      <xdr:spPr>
        <a:xfrm>
          <a:off x="11803380" y="9839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625</xdr:row>
      <xdr:rowOff>0</xdr:rowOff>
    </xdr:from>
    <xdr:to>
      <xdr:col>28</xdr:col>
      <xdr:colOff>83820</xdr:colOff>
      <xdr:row>625</xdr:row>
      <xdr:rowOff>114300</xdr:rowOff>
    </xdr:to>
    <xdr:sp macro="" textlink="">
      <xdr:nvSpPr>
        <xdr:cNvPr id="669" name="Arrow: Down 668">
          <a:extLst>
            <a:ext uri="{FF2B5EF4-FFF2-40B4-BE49-F238E27FC236}">
              <a16:creationId xmlns:a16="http://schemas.microsoft.com/office/drawing/2014/main" id="{9421FB1D-F0DA-4100-892F-C30B0DD14C14}"/>
            </a:ext>
          </a:extLst>
        </xdr:cNvPr>
        <xdr:cNvSpPr/>
      </xdr:nvSpPr>
      <xdr:spPr>
        <a:xfrm rot="10800000">
          <a:off x="11803380" y="98762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626</xdr:row>
      <xdr:rowOff>0</xdr:rowOff>
    </xdr:from>
    <xdr:to>
      <xdr:col>28</xdr:col>
      <xdr:colOff>83820</xdr:colOff>
      <xdr:row>626</xdr:row>
      <xdr:rowOff>114300</xdr:rowOff>
    </xdr:to>
    <xdr:sp macro="" textlink="">
      <xdr:nvSpPr>
        <xdr:cNvPr id="671" name="Arrow: Down 670">
          <a:extLst>
            <a:ext uri="{FF2B5EF4-FFF2-40B4-BE49-F238E27FC236}">
              <a16:creationId xmlns:a16="http://schemas.microsoft.com/office/drawing/2014/main" id="{4A7DF7CA-2E25-4F69-A940-CA3D861B3E57}"/>
            </a:ext>
          </a:extLst>
        </xdr:cNvPr>
        <xdr:cNvSpPr/>
      </xdr:nvSpPr>
      <xdr:spPr>
        <a:xfrm rot="10800000">
          <a:off x="11803380" y="98762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627</xdr:row>
      <xdr:rowOff>0</xdr:rowOff>
    </xdr:from>
    <xdr:to>
      <xdr:col>28</xdr:col>
      <xdr:colOff>83820</xdr:colOff>
      <xdr:row>627</xdr:row>
      <xdr:rowOff>114300</xdr:rowOff>
    </xdr:to>
    <xdr:sp macro="" textlink="">
      <xdr:nvSpPr>
        <xdr:cNvPr id="673" name="Arrow: Down 672">
          <a:extLst>
            <a:ext uri="{FF2B5EF4-FFF2-40B4-BE49-F238E27FC236}">
              <a16:creationId xmlns:a16="http://schemas.microsoft.com/office/drawing/2014/main" id="{B03DE4AD-E6FB-4372-923E-61A4F7A0B85C}"/>
            </a:ext>
          </a:extLst>
        </xdr:cNvPr>
        <xdr:cNvSpPr/>
      </xdr:nvSpPr>
      <xdr:spPr>
        <a:xfrm rot="10800000">
          <a:off x="11803380" y="98945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628</xdr:row>
      <xdr:rowOff>0</xdr:rowOff>
    </xdr:from>
    <xdr:to>
      <xdr:col>28</xdr:col>
      <xdr:colOff>83820</xdr:colOff>
      <xdr:row>628</xdr:row>
      <xdr:rowOff>114300</xdr:rowOff>
    </xdr:to>
    <xdr:sp macro="" textlink="">
      <xdr:nvSpPr>
        <xdr:cNvPr id="674" name="Arrow: Down 673">
          <a:extLst>
            <a:ext uri="{FF2B5EF4-FFF2-40B4-BE49-F238E27FC236}">
              <a16:creationId xmlns:a16="http://schemas.microsoft.com/office/drawing/2014/main" id="{7E0ED47A-D7B1-4007-8A7C-16C4B4F3A288}"/>
            </a:ext>
          </a:extLst>
        </xdr:cNvPr>
        <xdr:cNvSpPr/>
      </xdr:nvSpPr>
      <xdr:spPr>
        <a:xfrm rot="10800000">
          <a:off x="11803380" y="99128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629</xdr:row>
      <xdr:rowOff>0</xdr:rowOff>
    </xdr:from>
    <xdr:to>
      <xdr:col>28</xdr:col>
      <xdr:colOff>83820</xdr:colOff>
      <xdr:row>629</xdr:row>
      <xdr:rowOff>114300</xdr:rowOff>
    </xdr:to>
    <xdr:sp macro="" textlink="">
      <xdr:nvSpPr>
        <xdr:cNvPr id="676" name="Arrow: Down 675">
          <a:extLst>
            <a:ext uri="{FF2B5EF4-FFF2-40B4-BE49-F238E27FC236}">
              <a16:creationId xmlns:a16="http://schemas.microsoft.com/office/drawing/2014/main" id="{47748098-E6AA-4283-AE20-B0147D723B61}"/>
            </a:ext>
          </a:extLst>
        </xdr:cNvPr>
        <xdr:cNvSpPr/>
      </xdr:nvSpPr>
      <xdr:spPr>
        <a:xfrm rot="10800000">
          <a:off x="11803380" y="99311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630</xdr:row>
      <xdr:rowOff>0</xdr:rowOff>
    </xdr:from>
    <xdr:to>
      <xdr:col>28</xdr:col>
      <xdr:colOff>83820</xdr:colOff>
      <xdr:row>630</xdr:row>
      <xdr:rowOff>114300</xdr:rowOff>
    </xdr:to>
    <xdr:sp macro="" textlink="">
      <xdr:nvSpPr>
        <xdr:cNvPr id="678" name="Arrow: Down 677">
          <a:extLst>
            <a:ext uri="{FF2B5EF4-FFF2-40B4-BE49-F238E27FC236}">
              <a16:creationId xmlns:a16="http://schemas.microsoft.com/office/drawing/2014/main" id="{724AEAE6-7501-4F2E-AAED-769D2B15D3C8}"/>
            </a:ext>
          </a:extLst>
        </xdr:cNvPr>
        <xdr:cNvSpPr/>
      </xdr:nvSpPr>
      <xdr:spPr>
        <a:xfrm>
          <a:off x="11803380" y="9967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631</xdr:row>
      <xdr:rowOff>0</xdr:rowOff>
    </xdr:from>
    <xdr:to>
      <xdr:col>28</xdr:col>
      <xdr:colOff>83820</xdr:colOff>
      <xdr:row>631</xdr:row>
      <xdr:rowOff>114300</xdr:rowOff>
    </xdr:to>
    <xdr:sp macro="" textlink="">
      <xdr:nvSpPr>
        <xdr:cNvPr id="679" name="Arrow: Down 678">
          <a:extLst>
            <a:ext uri="{FF2B5EF4-FFF2-40B4-BE49-F238E27FC236}">
              <a16:creationId xmlns:a16="http://schemas.microsoft.com/office/drawing/2014/main" id="{E2079F4D-0B9E-439F-AFAA-341F76885B0B}"/>
            </a:ext>
          </a:extLst>
        </xdr:cNvPr>
        <xdr:cNvSpPr/>
      </xdr:nvSpPr>
      <xdr:spPr>
        <a:xfrm>
          <a:off x="11803380" y="9967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632</xdr:row>
      <xdr:rowOff>0</xdr:rowOff>
    </xdr:from>
    <xdr:to>
      <xdr:col>28</xdr:col>
      <xdr:colOff>83820</xdr:colOff>
      <xdr:row>632</xdr:row>
      <xdr:rowOff>114300</xdr:rowOff>
    </xdr:to>
    <xdr:sp macro="" textlink="">
      <xdr:nvSpPr>
        <xdr:cNvPr id="648" name="Arrow: Down 647">
          <a:extLst>
            <a:ext uri="{FF2B5EF4-FFF2-40B4-BE49-F238E27FC236}">
              <a16:creationId xmlns:a16="http://schemas.microsoft.com/office/drawing/2014/main" id="{652E7F99-1083-435B-BCFC-697BE1626CAB}"/>
            </a:ext>
          </a:extLst>
        </xdr:cNvPr>
        <xdr:cNvSpPr/>
      </xdr:nvSpPr>
      <xdr:spPr>
        <a:xfrm>
          <a:off x="11803380" y="9986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633</xdr:row>
      <xdr:rowOff>0</xdr:rowOff>
    </xdr:from>
    <xdr:to>
      <xdr:col>28</xdr:col>
      <xdr:colOff>83820</xdr:colOff>
      <xdr:row>633</xdr:row>
      <xdr:rowOff>114300</xdr:rowOff>
    </xdr:to>
    <xdr:sp macro="" textlink="">
      <xdr:nvSpPr>
        <xdr:cNvPr id="665" name="Arrow: Down 664">
          <a:extLst>
            <a:ext uri="{FF2B5EF4-FFF2-40B4-BE49-F238E27FC236}">
              <a16:creationId xmlns:a16="http://schemas.microsoft.com/office/drawing/2014/main" id="{B7F6D3A3-F943-46BB-9A48-696380B0597F}"/>
            </a:ext>
          </a:extLst>
        </xdr:cNvPr>
        <xdr:cNvSpPr/>
      </xdr:nvSpPr>
      <xdr:spPr>
        <a:xfrm rot="10800000">
          <a:off x="11803380" y="100225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634</xdr:row>
      <xdr:rowOff>0</xdr:rowOff>
    </xdr:from>
    <xdr:to>
      <xdr:col>28</xdr:col>
      <xdr:colOff>83820</xdr:colOff>
      <xdr:row>634</xdr:row>
      <xdr:rowOff>114300</xdr:rowOff>
    </xdr:to>
    <xdr:sp macro="" textlink="">
      <xdr:nvSpPr>
        <xdr:cNvPr id="668" name="Arrow: Down 667">
          <a:extLst>
            <a:ext uri="{FF2B5EF4-FFF2-40B4-BE49-F238E27FC236}">
              <a16:creationId xmlns:a16="http://schemas.microsoft.com/office/drawing/2014/main" id="{89DFD76D-74DA-41E1-9130-F828C3F1399F}"/>
            </a:ext>
          </a:extLst>
        </xdr:cNvPr>
        <xdr:cNvSpPr/>
      </xdr:nvSpPr>
      <xdr:spPr>
        <a:xfrm rot="10800000">
          <a:off x="11803380" y="100225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635</xdr:row>
      <xdr:rowOff>0</xdr:rowOff>
    </xdr:from>
    <xdr:to>
      <xdr:col>28</xdr:col>
      <xdr:colOff>83820</xdr:colOff>
      <xdr:row>635</xdr:row>
      <xdr:rowOff>114300</xdr:rowOff>
    </xdr:to>
    <xdr:sp macro="" textlink="">
      <xdr:nvSpPr>
        <xdr:cNvPr id="672" name="Arrow: Down 671">
          <a:extLst>
            <a:ext uri="{FF2B5EF4-FFF2-40B4-BE49-F238E27FC236}">
              <a16:creationId xmlns:a16="http://schemas.microsoft.com/office/drawing/2014/main" id="{332B4CF2-C43F-4999-892E-F04CBB2CC79C}"/>
            </a:ext>
          </a:extLst>
        </xdr:cNvPr>
        <xdr:cNvSpPr/>
      </xdr:nvSpPr>
      <xdr:spPr>
        <a:xfrm rot="10800000">
          <a:off x="11803380" y="100408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636</xdr:row>
      <xdr:rowOff>0</xdr:rowOff>
    </xdr:from>
    <xdr:to>
      <xdr:col>28</xdr:col>
      <xdr:colOff>83820</xdr:colOff>
      <xdr:row>636</xdr:row>
      <xdr:rowOff>114300</xdr:rowOff>
    </xdr:to>
    <xdr:sp macro="" textlink="">
      <xdr:nvSpPr>
        <xdr:cNvPr id="677" name="Arrow: Down 676">
          <a:extLst>
            <a:ext uri="{FF2B5EF4-FFF2-40B4-BE49-F238E27FC236}">
              <a16:creationId xmlns:a16="http://schemas.microsoft.com/office/drawing/2014/main" id="{CACA6181-D118-4CA3-A4C2-C46B6BAF241F}"/>
            </a:ext>
          </a:extLst>
        </xdr:cNvPr>
        <xdr:cNvSpPr/>
      </xdr:nvSpPr>
      <xdr:spPr>
        <a:xfrm rot="10800000">
          <a:off x="11803380" y="100591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637</xdr:row>
      <xdr:rowOff>0</xdr:rowOff>
    </xdr:from>
    <xdr:to>
      <xdr:col>28</xdr:col>
      <xdr:colOff>83820</xdr:colOff>
      <xdr:row>637</xdr:row>
      <xdr:rowOff>114300</xdr:rowOff>
    </xdr:to>
    <xdr:sp macro="" textlink="">
      <xdr:nvSpPr>
        <xdr:cNvPr id="682" name="Arrow: Down 681">
          <a:extLst>
            <a:ext uri="{FF2B5EF4-FFF2-40B4-BE49-F238E27FC236}">
              <a16:creationId xmlns:a16="http://schemas.microsoft.com/office/drawing/2014/main" id="{DC343A99-0B30-4811-868C-CEFA7C94CBD7}"/>
            </a:ext>
          </a:extLst>
        </xdr:cNvPr>
        <xdr:cNvSpPr/>
      </xdr:nvSpPr>
      <xdr:spPr>
        <a:xfrm>
          <a:off x="11803380" y="10095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638</xdr:row>
      <xdr:rowOff>0</xdr:rowOff>
    </xdr:from>
    <xdr:to>
      <xdr:col>28</xdr:col>
      <xdr:colOff>83820</xdr:colOff>
      <xdr:row>638</xdr:row>
      <xdr:rowOff>114300</xdr:rowOff>
    </xdr:to>
    <xdr:sp macro="" textlink="">
      <xdr:nvSpPr>
        <xdr:cNvPr id="683" name="Arrow: Down 682">
          <a:extLst>
            <a:ext uri="{FF2B5EF4-FFF2-40B4-BE49-F238E27FC236}">
              <a16:creationId xmlns:a16="http://schemas.microsoft.com/office/drawing/2014/main" id="{6942BCC2-F787-4A1A-808E-17008ADDA390}"/>
            </a:ext>
          </a:extLst>
        </xdr:cNvPr>
        <xdr:cNvSpPr/>
      </xdr:nvSpPr>
      <xdr:spPr>
        <a:xfrm>
          <a:off x="11803380" y="10095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639</xdr:row>
      <xdr:rowOff>0</xdr:rowOff>
    </xdr:from>
    <xdr:to>
      <xdr:col>28</xdr:col>
      <xdr:colOff>83820</xdr:colOff>
      <xdr:row>639</xdr:row>
      <xdr:rowOff>114300</xdr:rowOff>
    </xdr:to>
    <xdr:sp macro="" textlink="">
      <xdr:nvSpPr>
        <xdr:cNvPr id="687" name="Arrow: Down 686">
          <a:extLst>
            <a:ext uri="{FF2B5EF4-FFF2-40B4-BE49-F238E27FC236}">
              <a16:creationId xmlns:a16="http://schemas.microsoft.com/office/drawing/2014/main" id="{25383A11-4557-439B-ABA5-AE3DA80E311C}"/>
            </a:ext>
          </a:extLst>
        </xdr:cNvPr>
        <xdr:cNvSpPr/>
      </xdr:nvSpPr>
      <xdr:spPr>
        <a:xfrm rot="10800000">
          <a:off x="11803380" y="101323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640</xdr:row>
      <xdr:rowOff>0</xdr:rowOff>
    </xdr:from>
    <xdr:to>
      <xdr:col>28</xdr:col>
      <xdr:colOff>83820</xdr:colOff>
      <xdr:row>640</xdr:row>
      <xdr:rowOff>114300</xdr:rowOff>
    </xdr:to>
    <xdr:sp macro="" textlink="">
      <xdr:nvSpPr>
        <xdr:cNvPr id="689" name="Arrow: Down 688">
          <a:extLst>
            <a:ext uri="{FF2B5EF4-FFF2-40B4-BE49-F238E27FC236}">
              <a16:creationId xmlns:a16="http://schemas.microsoft.com/office/drawing/2014/main" id="{D74E9029-38A4-4351-84F9-660BF5CBA724}"/>
            </a:ext>
          </a:extLst>
        </xdr:cNvPr>
        <xdr:cNvSpPr/>
      </xdr:nvSpPr>
      <xdr:spPr>
        <a:xfrm rot="10800000">
          <a:off x="11803380" y="101323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641</xdr:row>
      <xdr:rowOff>0</xdr:rowOff>
    </xdr:from>
    <xdr:to>
      <xdr:col>28</xdr:col>
      <xdr:colOff>83820</xdr:colOff>
      <xdr:row>641</xdr:row>
      <xdr:rowOff>114300</xdr:rowOff>
    </xdr:to>
    <xdr:sp macro="" textlink="">
      <xdr:nvSpPr>
        <xdr:cNvPr id="691" name="Arrow: Down 690">
          <a:extLst>
            <a:ext uri="{FF2B5EF4-FFF2-40B4-BE49-F238E27FC236}">
              <a16:creationId xmlns:a16="http://schemas.microsoft.com/office/drawing/2014/main" id="{7B227B53-FD9B-48BF-A534-08334E63364F}"/>
            </a:ext>
          </a:extLst>
        </xdr:cNvPr>
        <xdr:cNvSpPr/>
      </xdr:nvSpPr>
      <xdr:spPr>
        <a:xfrm rot="10800000">
          <a:off x="11803380" y="101506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642</xdr:row>
      <xdr:rowOff>0</xdr:rowOff>
    </xdr:from>
    <xdr:to>
      <xdr:col>28</xdr:col>
      <xdr:colOff>83820</xdr:colOff>
      <xdr:row>642</xdr:row>
      <xdr:rowOff>114300</xdr:rowOff>
    </xdr:to>
    <xdr:sp macro="" textlink="">
      <xdr:nvSpPr>
        <xdr:cNvPr id="695" name="Arrow: Down 694">
          <a:extLst>
            <a:ext uri="{FF2B5EF4-FFF2-40B4-BE49-F238E27FC236}">
              <a16:creationId xmlns:a16="http://schemas.microsoft.com/office/drawing/2014/main" id="{7D37CF1D-E265-4AE5-B91C-5E115213E39E}"/>
            </a:ext>
          </a:extLst>
        </xdr:cNvPr>
        <xdr:cNvSpPr/>
      </xdr:nvSpPr>
      <xdr:spPr>
        <a:xfrm>
          <a:off x="11803380" y="10187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643</xdr:row>
      <xdr:rowOff>0</xdr:rowOff>
    </xdr:from>
    <xdr:to>
      <xdr:col>28</xdr:col>
      <xdr:colOff>83820</xdr:colOff>
      <xdr:row>643</xdr:row>
      <xdr:rowOff>114300</xdr:rowOff>
    </xdr:to>
    <xdr:sp macro="" textlink="">
      <xdr:nvSpPr>
        <xdr:cNvPr id="696" name="Arrow: Down 695">
          <a:extLst>
            <a:ext uri="{FF2B5EF4-FFF2-40B4-BE49-F238E27FC236}">
              <a16:creationId xmlns:a16="http://schemas.microsoft.com/office/drawing/2014/main" id="{EC1F3055-6C17-42FC-90FE-02B283C4A66C}"/>
            </a:ext>
          </a:extLst>
        </xdr:cNvPr>
        <xdr:cNvSpPr/>
      </xdr:nvSpPr>
      <xdr:spPr>
        <a:xfrm>
          <a:off x="11803380" y="10187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644</xdr:row>
      <xdr:rowOff>0</xdr:rowOff>
    </xdr:from>
    <xdr:to>
      <xdr:col>28</xdr:col>
      <xdr:colOff>83820</xdr:colOff>
      <xdr:row>644</xdr:row>
      <xdr:rowOff>114300</xdr:rowOff>
    </xdr:to>
    <xdr:sp macro="" textlink="">
      <xdr:nvSpPr>
        <xdr:cNvPr id="697" name="Arrow: Down 696">
          <a:extLst>
            <a:ext uri="{FF2B5EF4-FFF2-40B4-BE49-F238E27FC236}">
              <a16:creationId xmlns:a16="http://schemas.microsoft.com/office/drawing/2014/main" id="{21454CCF-5835-4A48-B149-83BB31A6D608}"/>
            </a:ext>
          </a:extLst>
        </xdr:cNvPr>
        <xdr:cNvSpPr/>
      </xdr:nvSpPr>
      <xdr:spPr>
        <a:xfrm>
          <a:off x="11803380" y="10205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645</xdr:row>
      <xdr:rowOff>0</xdr:rowOff>
    </xdr:from>
    <xdr:to>
      <xdr:col>28</xdr:col>
      <xdr:colOff>83820</xdr:colOff>
      <xdr:row>645</xdr:row>
      <xdr:rowOff>114300</xdr:rowOff>
    </xdr:to>
    <xdr:sp macro="" textlink="">
      <xdr:nvSpPr>
        <xdr:cNvPr id="699" name="Arrow: Down 698">
          <a:extLst>
            <a:ext uri="{FF2B5EF4-FFF2-40B4-BE49-F238E27FC236}">
              <a16:creationId xmlns:a16="http://schemas.microsoft.com/office/drawing/2014/main" id="{15187062-92E9-46C3-817D-5F2E67FF5087}"/>
            </a:ext>
          </a:extLst>
        </xdr:cNvPr>
        <xdr:cNvSpPr/>
      </xdr:nvSpPr>
      <xdr:spPr>
        <a:xfrm>
          <a:off x="11803380" y="10223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646</xdr:row>
      <xdr:rowOff>0</xdr:rowOff>
    </xdr:from>
    <xdr:to>
      <xdr:col>28</xdr:col>
      <xdr:colOff>83820</xdr:colOff>
      <xdr:row>646</xdr:row>
      <xdr:rowOff>114300</xdr:rowOff>
    </xdr:to>
    <xdr:sp macro="" textlink="">
      <xdr:nvSpPr>
        <xdr:cNvPr id="651" name="Arrow: Down 650">
          <a:extLst>
            <a:ext uri="{FF2B5EF4-FFF2-40B4-BE49-F238E27FC236}">
              <a16:creationId xmlns:a16="http://schemas.microsoft.com/office/drawing/2014/main" id="{95E6B965-1C34-4589-B2B0-23B6D8F0D543}"/>
            </a:ext>
          </a:extLst>
        </xdr:cNvPr>
        <xdr:cNvSpPr/>
      </xdr:nvSpPr>
      <xdr:spPr>
        <a:xfrm>
          <a:off x="11803380" y="10242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647</xdr:row>
      <xdr:rowOff>0</xdr:rowOff>
    </xdr:from>
    <xdr:to>
      <xdr:col>28</xdr:col>
      <xdr:colOff>83820</xdr:colOff>
      <xdr:row>647</xdr:row>
      <xdr:rowOff>114300</xdr:rowOff>
    </xdr:to>
    <xdr:sp macro="" textlink="">
      <xdr:nvSpPr>
        <xdr:cNvPr id="663" name="Arrow: Down 662">
          <a:extLst>
            <a:ext uri="{FF2B5EF4-FFF2-40B4-BE49-F238E27FC236}">
              <a16:creationId xmlns:a16="http://schemas.microsoft.com/office/drawing/2014/main" id="{557BD76F-2A79-43A4-8E8B-CFABDCA9BA2F}"/>
            </a:ext>
          </a:extLst>
        </xdr:cNvPr>
        <xdr:cNvSpPr/>
      </xdr:nvSpPr>
      <xdr:spPr>
        <a:xfrm>
          <a:off x="11803380" y="10260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648</xdr:row>
      <xdr:rowOff>0</xdr:rowOff>
    </xdr:from>
    <xdr:to>
      <xdr:col>28</xdr:col>
      <xdr:colOff>83820</xdr:colOff>
      <xdr:row>648</xdr:row>
      <xdr:rowOff>114300</xdr:rowOff>
    </xdr:to>
    <xdr:sp macro="" textlink="">
      <xdr:nvSpPr>
        <xdr:cNvPr id="680" name="Arrow: Down 679">
          <a:extLst>
            <a:ext uri="{FF2B5EF4-FFF2-40B4-BE49-F238E27FC236}">
              <a16:creationId xmlns:a16="http://schemas.microsoft.com/office/drawing/2014/main" id="{643039E2-D147-4CF8-A1AB-8D1FF8BCC430}"/>
            </a:ext>
          </a:extLst>
        </xdr:cNvPr>
        <xdr:cNvSpPr/>
      </xdr:nvSpPr>
      <xdr:spPr>
        <a:xfrm rot="10800000">
          <a:off x="11803380" y="102969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649</xdr:row>
      <xdr:rowOff>0</xdr:rowOff>
    </xdr:from>
    <xdr:to>
      <xdr:col>28</xdr:col>
      <xdr:colOff>83820</xdr:colOff>
      <xdr:row>649</xdr:row>
      <xdr:rowOff>114300</xdr:rowOff>
    </xdr:to>
    <xdr:sp macro="" textlink="">
      <xdr:nvSpPr>
        <xdr:cNvPr id="686" name="Arrow: Down 685">
          <a:extLst>
            <a:ext uri="{FF2B5EF4-FFF2-40B4-BE49-F238E27FC236}">
              <a16:creationId xmlns:a16="http://schemas.microsoft.com/office/drawing/2014/main" id="{FC3ABBBE-20BD-4EA3-B81E-6F1D6692AB10}"/>
            </a:ext>
          </a:extLst>
        </xdr:cNvPr>
        <xdr:cNvSpPr/>
      </xdr:nvSpPr>
      <xdr:spPr>
        <a:xfrm>
          <a:off x="11803380" y="10315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650</xdr:row>
      <xdr:rowOff>0</xdr:rowOff>
    </xdr:from>
    <xdr:to>
      <xdr:col>28</xdr:col>
      <xdr:colOff>83820</xdr:colOff>
      <xdr:row>650</xdr:row>
      <xdr:rowOff>114300</xdr:rowOff>
    </xdr:to>
    <xdr:sp macro="" textlink="">
      <xdr:nvSpPr>
        <xdr:cNvPr id="690" name="Arrow: Down 689">
          <a:extLst>
            <a:ext uri="{FF2B5EF4-FFF2-40B4-BE49-F238E27FC236}">
              <a16:creationId xmlns:a16="http://schemas.microsoft.com/office/drawing/2014/main" id="{82D4E3E4-40A2-46CA-9280-81503235D77B}"/>
            </a:ext>
          </a:extLst>
        </xdr:cNvPr>
        <xdr:cNvSpPr/>
      </xdr:nvSpPr>
      <xdr:spPr>
        <a:xfrm>
          <a:off x="11803380" y="10315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651</xdr:row>
      <xdr:rowOff>0</xdr:rowOff>
    </xdr:from>
    <xdr:to>
      <xdr:col>28</xdr:col>
      <xdr:colOff>83820</xdr:colOff>
      <xdr:row>651</xdr:row>
      <xdr:rowOff>114300</xdr:rowOff>
    </xdr:to>
    <xdr:sp macro="" textlink="">
      <xdr:nvSpPr>
        <xdr:cNvPr id="693" name="Arrow: Down 692">
          <a:extLst>
            <a:ext uri="{FF2B5EF4-FFF2-40B4-BE49-F238E27FC236}">
              <a16:creationId xmlns:a16="http://schemas.microsoft.com/office/drawing/2014/main" id="{30A78124-6ACE-4C63-8BF8-35BAD5E85D8A}"/>
            </a:ext>
          </a:extLst>
        </xdr:cNvPr>
        <xdr:cNvSpPr/>
      </xdr:nvSpPr>
      <xdr:spPr>
        <a:xfrm>
          <a:off x="11803380" y="10333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652</xdr:row>
      <xdr:rowOff>0</xdr:rowOff>
    </xdr:from>
    <xdr:to>
      <xdr:col>28</xdr:col>
      <xdr:colOff>83820</xdr:colOff>
      <xdr:row>652</xdr:row>
      <xdr:rowOff>114300</xdr:rowOff>
    </xdr:to>
    <xdr:sp macro="" textlink="">
      <xdr:nvSpPr>
        <xdr:cNvPr id="698" name="Arrow: Down 697">
          <a:extLst>
            <a:ext uri="{FF2B5EF4-FFF2-40B4-BE49-F238E27FC236}">
              <a16:creationId xmlns:a16="http://schemas.microsoft.com/office/drawing/2014/main" id="{86FA262C-7679-4F29-AD4C-70E912755D97}"/>
            </a:ext>
          </a:extLst>
        </xdr:cNvPr>
        <xdr:cNvSpPr/>
      </xdr:nvSpPr>
      <xdr:spPr>
        <a:xfrm>
          <a:off x="11803380" y="10351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653</xdr:row>
      <xdr:rowOff>0</xdr:rowOff>
    </xdr:from>
    <xdr:to>
      <xdr:col>28</xdr:col>
      <xdr:colOff>83820</xdr:colOff>
      <xdr:row>653</xdr:row>
      <xdr:rowOff>114300</xdr:rowOff>
    </xdr:to>
    <xdr:sp macro="" textlink="">
      <xdr:nvSpPr>
        <xdr:cNvPr id="667" name="Arrow: Down 666">
          <a:extLst>
            <a:ext uri="{FF2B5EF4-FFF2-40B4-BE49-F238E27FC236}">
              <a16:creationId xmlns:a16="http://schemas.microsoft.com/office/drawing/2014/main" id="{FF2FC8D3-6A37-490B-9568-58BD5F830F53}"/>
            </a:ext>
          </a:extLst>
        </xdr:cNvPr>
        <xdr:cNvSpPr/>
      </xdr:nvSpPr>
      <xdr:spPr>
        <a:xfrm rot="10800000">
          <a:off x="11803380" y="103883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654</xdr:row>
      <xdr:rowOff>0</xdr:rowOff>
    </xdr:from>
    <xdr:to>
      <xdr:col>28</xdr:col>
      <xdr:colOff>83820</xdr:colOff>
      <xdr:row>654</xdr:row>
      <xdr:rowOff>114300</xdr:rowOff>
    </xdr:to>
    <xdr:sp macro="" textlink="">
      <xdr:nvSpPr>
        <xdr:cNvPr id="681" name="Arrow: Down 680">
          <a:extLst>
            <a:ext uri="{FF2B5EF4-FFF2-40B4-BE49-F238E27FC236}">
              <a16:creationId xmlns:a16="http://schemas.microsoft.com/office/drawing/2014/main" id="{19BB4C96-059D-4669-8DAC-D212EE54D0DA}"/>
            </a:ext>
          </a:extLst>
        </xdr:cNvPr>
        <xdr:cNvSpPr/>
      </xdr:nvSpPr>
      <xdr:spPr>
        <a:xfrm>
          <a:off x="11803380" y="10406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655</xdr:row>
      <xdr:rowOff>0</xdr:rowOff>
    </xdr:from>
    <xdr:to>
      <xdr:col>28</xdr:col>
      <xdr:colOff>83820</xdr:colOff>
      <xdr:row>655</xdr:row>
      <xdr:rowOff>114300</xdr:rowOff>
    </xdr:to>
    <xdr:sp macro="" textlink="">
      <xdr:nvSpPr>
        <xdr:cNvPr id="684" name="Arrow: Down 683">
          <a:extLst>
            <a:ext uri="{FF2B5EF4-FFF2-40B4-BE49-F238E27FC236}">
              <a16:creationId xmlns:a16="http://schemas.microsoft.com/office/drawing/2014/main" id="{3E8A2761-A09C-4356-96E4-C4F815CAF70D}"/>
            </a:ext>
          </a:extLst>
        </xdr:cNvPr>
        <xdr:cNvSpPr/>
      </xdr:nvSpPr>
      <xdr:spPr>
        <a:xfrm>
          <a:off x="11803380" y="10406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656</xdr:row>
      <xdr:rowOff>0</xdr:rowOff>
    </xdr:from>
    <xdr:to>
      <xdr:col>28</xdr:col>
      <xdr:colOff>83820</xdr:colOff>
      <xdr:row>656</xdr:row>
      <xdr:rowOff>114300</xdr:rowOff>
    </xdr:to>
    <xdr:sp macro="" textlink="">
      <xdr:nvSpPr>
        <xdr:cNvPr id="685" name="Arrow: Down 684">
          <a:extLst>
            <a:ext uri="{FF2B5EF4-FFF2-40B4-BE49-F238E27FC236}">
              <a16:creationId xmlns:a16="http://schemas.microsoft.com/office/drawing/2014/main" id="{01CB2638-4589-4F62-91D9-920B0CBBA2DB}"/>
            </a:ext>
          </a:extLst>
        </xdr:cNvPr>
        <xdr:cNvSpPr/>
      </xdr:nvSpPr>
      <xdr:spPr>
        <a:xfrm>
          <a:off x="11803380" y="10424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657</xdr:row>
      <xdr:rowOff>0</xdr:rowOff>
    </xdr:from>
    <xdr:to>
      <xdr:col>28</xdr:col>
      <xdr:colOff>83820</xdr:colOff>
      <xdr:row>657</xdr:row>
      <xdr:rowOff>114300</xdr:rowOff>
    </xdr:to>
    <xdr:sp macro="" textlink="">
      <xdr:nvSpPr>
        <xdr:cNvPr id="692" name="Arrow: Down 691">
          <a:extLst>
            <a:ext uri="{FF2B5EF4-FFF2-40B4-BE49-F238E27FC236}">
              <a16:creationId xmlns:a16="http://schemas.microsoft.com/office/drawing/2014/main" id="{7ED9CE50-57E1-4291-AC21-DD7E7C074D0A}"/>
            </a:ext>
          </a:extLst>
        </xdr:cNvPr>
        <xdr:cNvSpPr/>
      </xdr:nvSpPr>
      <xdr:spPr>
        <a:xfrm>
          <a:off x="11803380" y="10443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658</xdr:row>
      <xdr:rowOff>0</xdr:rowOff>
    </xdr:from>
    <xdr:to>
      <xdr:col>28</xdr:col>
      <xdr:colOff>83820</xdr:colOff>
      <xdr:row>658</xdr:row>
      <xdr:rowOff>114300</xdr:rowOff>
    </xdr:to>
    <xdr:sp macro="" textlink="">
      <xdr:nvSpPr>
        <xdr:cNvPr id="700" name="Arrow: Down 699">
          <a:extLst>
            <a:ext uri="{FF2B5EF4-FFF2-40B4-BE49-F238E27FC236}">
              <a16:creationId xmlns:a16="http://schemas.microsoft.com/office/drawing/2014/main" id="{520FD3FE-3485-462D-BEA2-D2E0B9BA48AC}"/>
            </a:ext>
          </a:extLst>
        </xdr:cNvPr>
        <xdr:cNvSpPr/>
      </xdr:nvSpPr>
      <xdr:spPr>
        <a:xfrm>
          <a:off x="11803380" y="10461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659</xdr:row>
      <xdr:rowOff>0</xdr:rowOff>
    </xdr:from>
    <xdr:to>
      <xdr:col>28</xdr:col>
      <xdr:colOff>83820</xdr:colOff>
      <xdr:row>659</xdr:row>
      <xdr:rowOff>114300</xdr:rowOff>
    </xdr:to>
    <xdr:sp macro="" textlink="">
      <xdr:nvSpPr>
        <xdr:cNvPr id="701" name="Arrow: Down 700">
          <a:extLst>
            <a:ext uri="{FF2B5EF4-FFF2-40B4-BE49-F238E27FC236}">
              <a16:creationId xmlns:a16="http://schemas.microsoft.com/office/drawing/2014/main" id="{97DC7EEE-27C4-45DD-A676-E04BCF978E25}"/>
            </a:ext>
          </a:extLst>
        </xdr:cNvPr>
        <xdr:cNvSpPr/>
      </xdr:nvSpPr>
      <xdr:spPr>
        <a:xfrm>
          <a:off x="11803380" y="10479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660</xdr:row>
      <xdr:rowOff>0</xdr:rowOff>
    </xdr:from>
    <xdr:to>
      <xdr:col>28</xdr:col>
      <xdr:colOff>83820</xdr:colOff>
      <xdr:row>660</xdr:row>
      <xdr:rowOff>114300</xdr:rowOff>
    </xdr:to>
    <xdr:sp macro="" textlink="">
      <xdr:nvSpPr>
        <xdr:cNvPr id="703" name="Arrow: Down 702">
          <a:extLst>
            <a:ext uri="{FF2B5EF4-FFF2-40B4-BE49-F238E27FC236}">
              <a16:creationId xmlns:a16="http://schemas.microsoft.com/office/drawing/2014/main" id="{9C0326A0-3137-4A01-9F93-0F51357AD43E}"/>
            </a:ext>
          </a:extLst>
        </xdr:cNvPr>
        <xdr:cNvSpPr/>
      </xdr:nvSpPr>
      <xdr:spPr>
        <a:xfrm>
          <a:off x="11803380" y="10498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661</xdr:row>
      <xdr:rowOff>0</xdr:rowOff>
    </xdr:from>
    <xdr:to>
      <xdr:col>28</xdr:col>
      <xdr:colOff>83820</xdr:colOff>
      <xdr:row>661</xdr:row>
      <xdr:rowOff>114300</xdr:rowOff>
    </xdr:to>
    <xdr:sp macro="" textlink="">
      <xdr:nvSpPr>
        <xdr:cNvPr id="704" name="Arrow: Down 703">
          <a:extLst>
            <a:ext uri="{FF2B5EF4-FFF2-40B4-BE49-F238E27FC236}">
              <a16:creationId xmlns:a16="http://schemas.microsoft.com/office/drawing/2014/main" id="{A2AE975D-D2FF-4C80-A3EE-887D9249C82A}"/>
            </a:ext>
          </a:extLst>
        </xdr:cNvPr>
        <xdr:cNvSpPr/>
      </xdr:nvSpPr>
      <xdr:spPr>
        <a:xfrm>
          <a:off x="11803380" y="10516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662</xdr:row>
      <xdr:rowOff>0</xdr:rowOff>
    </xdr:from>
    <xdr:to>
      <xdr:col>28</xdr:col>
      <xdr:colOff>83820</xdr:colOff>
      <xdr:row>662</xdr:row>
      <xdr:rowOff>114300</xdr:rowOff>
    </xdr:to>
    <xdr:sp macro="" textlink="">
      <xdr:nvSpPr>
        <xdr:cNvPr id="706" name="Arrow: Down 705">
          <a:extLst>
            <a:ext uri="{FF2B5EF4-FFF2-40B4-BE49-F238E27FC236}">
              <a16:creationId xmlns:a16="http://schemas.microsoft.com/office/drawing/2014/main" id="{5EBE084B-892E-44B0-8CA7-7E320FF30949}"/>
            </a:ext>
          </a:extLst>
        </xdr:cNvPr>
        <xdr:cNvSpPr/>
      </xdr:nvSpPr>
      <xdr:spPr>
        <a:xfrm>
          <a:off x="11803380" y="10534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663</xdr:row>
      <xdr:rowOff>0</xdr:rowOff>
    </xdr:from>
    <xdr:to>
      <xdr:col>28</xdr:col>
      <xdr:colOff>83820</xdr:colOff>
      <xdr:row>663</xdr:row>
      <xdr:rowOff>114300</xdr:rowOff>
    </xdr:to>
    <xdr:sp macro="" textlink="">
      <xdr:nvSpPr>
        <xdr:cNvPr id="707" name="Arrow: Down 706">
          <a:extLst>
            <a:ext uri="{FF2B5EF4-FFF2-40B4-BE49-F238E27FC236}">
              <a16:creationId xmlns:a16="http://schemas.microsoft.com/office/drawing/2014/main" id="{11BCBCEC-6258-4BCF-AEC4-44D483DE9BE0}"/>
            </a:ext>
          </a:extLst>
        </xdr:cNvPr>
        <xdr:cNvSpPr/>
      </xdr:nvSpPr>
      <xdr:spPr>
        <a:xfrm>
          <a:off x="11803380" y="10552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664</xdr:row>
      <xdr:rowOff>0</xdr:rowOff>
    </xdr:from>
    <xdr:to>
      <xdr:col>28</xdr:col>
      <xdr:colOff>83820</xdr:colOff>
      <xdr:row>664</xdr:row>
      <xdr:rowOff>114300</xdr:rowOff>
    </xdr:to>
    <xdr:sp macro="" textlink="">
      <xdr:nvSpPr>
        <xdr:cNvPr id="709" name="Arrow: Down 708">
          <a:extLst>
            <a:ext uri="{FF2B5EF4-FFF2-40B4-BE49-F238E27FC236}">
              <a16:creationId xmlns:a16="http://schemas.microsoft.com/office/drawing/2014/main" id="{0D7E1DC2-7B7E-469D-A3E1-BFD1B12D0A59}"/>
            </a:ext>
          </a:extLst>
        </xdr:cNvPr>
        <xdr:cNvSpPr/>
      </xdr:nvSpPr>
      <xdr:spPr>
        <a:xfrm rot="10800000">
          <a:off x="11803380" y="105895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665</xdr:row>
      <xdr:rowOff>0</xdr:rowOff>
    </xdr:from>
    <xdr:to>
      <xdr:col>28</xdr:col>
      <xdr:colOff>83820</xdr:colOff>
      <xdr:row>665</xdr:row>
      <xdr:rowOff>114300</xdr:rowOff>
    </xdr:to>
    <xdr:sp macro="" textlink="">
      <xdr:nvSpPr>
        <xdr:cNvPr id="713" name="Arrow: Down 712">
          <a:extLst>
            <a:ext uri="{FF2B5EF4-FFF2-40B4-BE49-F238E27FC236}">
              <a16:creationId xmlns:a16="http://schemas.microsoft.com/office/drawing/2014/main" id="{3A515F92-6653-490B-8306-EA7CCB604935}"/>
            </a:ext>
          </a:extLst>
        </xdr:cNvPr>
        <xdr:cNvSpPr/>
      </xdr:nvSpPr>
      <xdr:spPr>
        <a:xfrm>
          <a:off x="11803380" y="10607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666</xdr:row>
      <xdr:rowOff>0</xdr:rowOff>
    </xdr:from>
    <xdr:to>
      <xdr:col>28</xdr:col>
      <xdr:colOff>83820</xdr:colOff>
      <xdr:row>666</xdr:row>
      <xdr:rowOff>114300</xdr:rowOff>
    </xdr:to>
    <xdr:sp macro="" textlink="">
      <xdr:nvSpPr>
        <xdr:cNvPr id="715" name="Arrow: Down 714">
          <a:extLst>
            <a:ext uri="{FF2B5EF4-FFF2-40B4-BE49-F238E27FC236}">
              <a16:creationId xmlns:a16="http://schemas.microsoft.com/office/drawing/2014/main" id="{F1BCCAAB-AB5D-4B5A-BF8E-E374CF4D9A8E}"/>
            </a:ext>
          </a:extLst>
        </xdr:cNvPr>
        <xdr:cNvSpPr/>
      </xdr:nvSpPr>
      <xdr:spPr>
        <a:xfrm>
          <a:off x="11803380" y="10607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667</xdr:row>
      <xdr:rowOff>0</xdr:rowOff>
    </xdr:from>
    <xdr:to>
      <xdr:col>28</xdr:col>
      <xdr:colOff>83820</xdr:colOff>
      <xdr:row>667</xdr:row>
      <xdr:rowOff>114300</xdr:rowOff>
    </xdr:to>
    <xdr:sp macro="" textlink="">
      <xdr:nvSpPr>
        <xdr:cNvPr id="716" name="Arrow: Down 715">
          <a:extLst>
            <a:ext uri="{FF2B5EF4-FFF2-40B4-BE49-F238E27FC236}">
              <a16:creationId xmlns:a16="http://schemas.microsoft.com/office/drawing/2014/main" id="{AD9ACC1C-811E-4DEA-A166-E5A1AC1DC714}"/>
            </a:ext>
          </a:extLst>
        </xdr:cNvPr>
        <xdr:cNvSpPr/>
      </xdr:nvSpPr>
      <xdr:spPr>
        <a:xfrm>
          <a:off x="11803380" y="10626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668</xdr:row>
      <xdr:rowOff>0</xdr:rowOff>
    </xdr:from>
    <xdr:to>
      <xdr:col>28</xdr:col>
      <xdr:colOff>83820</xdr:colOff>
      <xdr:row>668</xdr:row>
      <xdr:rowOff>114300</xdr:rowOff>
    </xdr:to>
    <xdr:sp macro="" textlink="">
      <xdr:nvSpPr>
        <xdr:cNvPr id="718" name="Arrow: Down 717">
          <a:extLst>
            <a:ext uri="{FF2B5EF4-FFF2-40B4-BE49-F238E27FC236}">
              <a16:creationId xmlns:a16="http://schemas.microsoft.com/office/drawing/2014/main" id="{3C55F4D6-6310-44FA-9DB6-BB68BA728744}"/>
            </a:ext>
          </a:extLst>
        </xdr:cNvPr>
        <xdr:cNvSpPr/>
      </xdr:nvSpPr>
      <xdr:spPr>
        <a:xfrm>
          <a:off x="11803380" y="10644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669</xdr:row>
      <xdr:rowOff>0</xdr:rowOff>
    </xdr:from>
    <xdr:to>
      <xdr:col>28</xdr:col>
      <xdr:colOff>83820</xdr:colOff>
      <xdr:row>669</xdr:row>
      <xdr:rowOff>114300</xdr:rowOff>
    </xdr:to>
    <xdr:sp macro="" textlink="">
      <xdr:nvSpPr>
        <xdr:cNvPr id="720" name="Arrow: Down 719">
          <a:extLst>
            <a:ext uri="{FF2B5EF4-FFF2-40B4-BE49-F238E27FC236}">
              <a16:creationId xmlns:a16="http://schemas.microsoft.com/office/drawing/2014/main" id="{2C5D2E12-DE20-4D5C-83C2-FC1B38F8B850}"/>
            </a:ext>
          </a:extLst>
        </xdr:cNvPr>
        <xdr:cNvSpPr/>
      </xdr:nvSpPr>
      <xdr:spPr>
        <a:xfrm>
          <a:off x="11803380" y="10662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670</xdr:row>
      <xdr:rowOff>0</xdr:rowOff>
    </xdr:from>
    <xdr:to>
      <xdr:col>28</xdr:col>
      <xdr:colOff>83820</xdr:colOff>
      <xdr:row>670</xdr:row>
      <xdr:rowOff>114300</xdr:rowOff>
    </xdr:to>
    <xdr:sp macro="" textlink="">
      <xdr:nvSpPr>
        <xdr:cNvPr id="723" name="Arrow: Down 722">
          <a:extLst>
            <a:ext uri="{FF2B5EF4-FFF2-40B4-BE49-F238E27FC236}">
              <a16:creationId xmlns:a16="http://schemas.microsoft.com/office/drawing/2014/main" id="{5D9052C9-A330-4BA9-A77D-1CDE02E75C07}"/>
            </a:ext>
          </a:extLst>
        </xdr:cNvPr>
        <xdr:cNvSpPr/>
      </xdr:nvSpPr>
      <xdr:spPr>
        <a:xfrm rot="10800000">
          <a:off x="11803380" y="106992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671</xdr:row>
      <xdr:rowOff>0</xdr:rowOff>
    </xdr:from>
    <xdr:to>
      <xdr:col>28</xdr:col>
      <xdr:colOff>83820</xdr:colOff>
      <xdr:row>671</xdr:row>
      <xdr:rowOff>114300</xdr:rowOff>
    </xdr:to>
    <xdr:sp macro="" textlink="">
      <xdr:nvSpPr>
        <xdr:cNvPr id="725" name="Arrow: Down 724">
          <a:extLst>
            <a:ext uri="{FF2B5EF4-FFF2-40B4-BE49-F238E27FC236}">
              <a16:creationId xmlns:a16="http://schemas.microsoft.com/office/drawing/2014/main" id="{8C90FF5C-70AD-484E-83EF-82151A2DD86B}"/>
            </a:ext>
          </a:extLst>
        </xdr:cNvPr>
        <xdr:cNvSpPr/>
      </xdr:nvSpPr>
      <xdr:spPr>
        <a:xfrm rot="10800000">
          <a:off x="11803380" y="106992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672</xdr:row>
      <xdr:rowOff>0</xdr:rowOff>
    </xdr:from>
    <xdr:to>
      <xdr:col>28</xdr:col>
      <xdr:colOff>83820</xdr:colOff>
      <xdr:row>672</xdr:row>
      <xdr:rowOff>114300</xdr:rowOff>
    </xdr:to>
    <xdr:sp macro="" textlink="">
      <xdr:nvSpPr>
        <xdr:cNvPr id="729" name="Arrow: Down 728">
          <a:extLst>
            <a:ext uri="{FF2B5EF4-FFF2-40B4-BE49-F238E27FC236}">
              <a16:creationId xmlns:a16="http://schemas.microsoft.com/office/drawing/2014/main" id="{100DBD40-E7CC-4655-93DF-64F97A48E160}"/>
            </a:ext>
          </a:extLst>
        </xdr:cNvPr>
        <xdr:cNvSpPr/>
      </xdr:nvSpPr>
      <xdr:spPr>
        <a:xfrm>
          <a:off x="11803380" y="10735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673</xdr:row>
      <xdr:rowOff>0</xdr:rowOff>
    </xdr:from>
    <xdr:to>
      <xdr:col>28</xdr:col>
      <xdr:colOff>83820</xdr:colOff>
      <xdr:row>673</xdr:row>
      <xdr:rowOff>114300</xdr:rowOff>
    </xdr:to>
    <xdr:sp macro="" textlink="">
      <xdr:nvSpPr>
        <xdr:cNvPr id="731" name="Arrow: Down 730">
          <a:extLst>
            <a:ext uri="{FF2B5EF4-FFF2-40B4-BE49-F238E27FC236}">
              <a16:creationId xmlns:a16="http://schemas.microsoft.com/office/drawing/2014/main" id="{78DA9A34-76A6-4350-AA71-6B74493039C1}"/>
            </a:ext>
          </a:extLst>
        </xdr:cNvPr>
        <xdr:cNvSpPr/>
      </xdr:nvSpPr>
      <xdr:spPr>
        <a:xfrm>
          <a:off x="11803380" y="10735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674</xdr:row>
      <xdr:rowOff>0</xdr:rowOff>
    </xdr:from>
    <xdr:to>
      <xdr:col>28</xdr:col>
      <xdr:colOff>83820</xdr:colOff>
      <xdr:row>674</xdr:row>
      <xdr:rowOff>114300</xdr:rowOff>
    </xdr:to>
    <xdr:sp macro="" textlink="">
      <xdr:nvSpPr>
        <xdr:cNvPr id="688" name="Arrow: Down 687">
          <a:extLst>
            <a:ext uri="{FF2B5EF4-FFF2-40B4-BE49-F238E27FC236}">
              <a16:creationId xmlns:a16="http://schemas.microsoft.com/office/drawing/2014/main" id="{AB4595FA-4A4E-4AF4-85A8-EAFAC0629F9C}"/>
            </a:ext>
          </a:extLst>
        </xdr:cNvPr>
        <xdr:cNvSpPr/>
      </xdr:nvSpPr>
      <xdr:spPr>
        <a:xfrm>
          <a:off x="11803380" y="10754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675</xdr:row>
      <xdr:rowOff>0</xdr:rowOff>
    </xdr:from>
    <xdr:to>
      <xdr:col>28</xdr:col>
      <xdr:colOff>83820</xdr:colOff>
      <xdr:row>675</xdr:row>
      <xdr:rowOff>114300</xdr:rowOff>
    </xdr:to>
    <xdr:sp macro="" textlink="">
      <xdr:nvSpPr>
        <xdr:cNvPr id="702" name="Arrow: Down 701">
          <a:extLst>
            <a:ext uri="{FF2B5EF4-FFF2-40B4-BE49-F238E27FC236}">
              <a16:creationId xmlns:a16="http://schemas.microsoft.com/office/drawing/2014/main" id="{868F1C77-449F-4053-BDDE-C2AB5D16A61A}"/>
            </a:ext>
          </a:extLst>
        </xdr:cNvPr>
        <xdr:cNvSpPr/>
      </xdr:nvSpPr>
      <xdr:spPr>
        <a:xfrm>
          <a:off x="11803380" y="10772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676</xdr:row>
      <xdr:rowOff>0</xdr:rowOff>
    </xdr:from>
    <xdr:to>
      <xdr:col>28</xdr:col>
      <xdr:colOff>83820</xdr:colOff>
      <xdr:row>676</xdr:row>
      <xdr:rowOff>114300</xdr:rowOff>
    </xdr:to>
    <xdr:sp macro="" textlink="">
      <xdr:nvSpPr>
        <xdr:cNvPr id="705" name="Arrow: Down 704">
          <a:extLst>
            <a:ext uri="{FF2B5EF4-FFF2-40B4-BE49-F238E27FC236}">
              <a16:creationId xmlns:a16="http://schemas.microsoft.com/office/drawing/2014/main" id="{290BCB7A-4129-4DCC-9C7B-29846B4E2B0C}"/>
            </a:ext>
          </a:extLst>
        </xdr:cNvPr>
        <xdr:cNvSpPr/>
      </xdr:nvSpPr>
      <xdr:spPr>
        <a:xfrm>
          <a:off x="11803380" y="10790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677</xdr:row>
      <xdr:rowOff>0</xdr:rowOff>
    </xdr:from>
    <xdr:to>
      <xdr:col>28</xdr:col>
      <xdr:colOff>83820</xdr:colOff>
      <xdr:row>677</xdr:row>
      <xdr:rowOff>114300</xdr:rowOff>
    </xdr:to>
    <xdr:sp macro="" textlink="">
      <xdr:nvSpPr>
        <xdr:cNvPr id="711" name="Arrow: Down 710">
          <a:extLst>
            <a:ext uri="{FF2B5EF4-FFF2-40B4-BE49-F238E27FC236}">
              <a16:creationId xmlns:a16="http://schemas.microsoft.com/office/drawing/2014/main" id="{76F289D4-3A71-44AD-936A-378FA1D07DA1}"/>
            </a:ext>
          </a:extLst>
        </xdr:cNvPr>
        <xdr:cNvSpPr/>
      </xdr:nvSpPr>
      <xdr:spPr>
        <a:xfrm rot="10800000">
          <a:off x="11803380" y="108272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678</xdr:row>
      <xdr:rowOff>0</xdr:rowOff>
    </xdr:from>
    <xdr:to>
      <xdr:col>28</xdr:col>
      <xdr:colOff>83820</xdr:colOff>
      <xdr:row>678</xdr:row>
      <xdr:rowOff>114300</xdr:rowOff>
    </xdr:to>
    <xdr:sp macro="" textlink="">
      <xdr:nvSpPr>
        <xdr:cNvPr id="712" name="Arrow: Down 711">
          <a:extLst>
            <a:ext uri="{FF2B5EF4-FFF2-40B4-BE49-F238E27FC236}">
              <a16:creationId xmlns:a16="http://schemas.microsoft.com/office/drawing/2014/main" id="{16F40983-85E0-42FA-800B-BE0B0761BA8B}"/>
            </a:ext>
          </a:extLst>
        </xdr:cNvPr>
        <xdr:cNvSpPr/>
      </xdr:nvSpPr>
      <xdr:spPr>
        <a:xfrm rot="10800000">
          <a:off x="11803380" y="108272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679</xdr:row>
      <xdr:rowOff>0</xdr:rowOff>
    </xdr:from>
    <xdr:to>
      <xdr:col>28</xdr:col>
      <xdr:colOff>83820</xdr:colOff>
      <xdr:row>679</xdr:row>
      <xdr:rowOff>114300</xdr:rowOff>
    </xdr:to>
    <xdr:sp macro="" textlink="">
      <xdr:nvSpPr>
        <xdr:cNvPr id="717" name="Arrow: Down 716">
          <a:extLst>
            <a:ext uri="{FF2B5EF4-FFF2-40B4-BE49-F238E27FC236}">
              <a16:creationId xmlns:a16="http://schemas.microsoft.com/office/drawing/2014/main" id="{E136058A-2F5A-4094-848A-C688714A7E98}"/>
            </a:ext>
          </a:extLst>
        </xdr:cNvPr>
        <xdr:cNvSpPr/>
      </xdr:nvSpPr>
      <xdr:spPr>
        <a:xfrm>
          <a:off x="11803380" y="10863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680</xdr:row>
      <xdr:rowOff>0</xdr:rowOff>
    </xdr:from>
    <xdr:to>
      <xdr:col>28</xdr:col>
      <xdr:colOff>83820</xdr:colOff>
      <xdr:row>680</xdr:row>
      <xdr:rowOff>114300</xdr:rowOff>
    </xdr:to>
    <xdr:sp macro="" textlink="">
      <xdr:nvSpPr>
        <xdr:cNvPr id="721" name="Arrow: Down 720">
          <a:extLst>
            <a:ext uri="{FF2B5EF4-FFF2-40B4-BE49-F238E27FC236}">
              <a16:creationId xmlns:a16="http://schemas.microsoft.com/office/drawing/2014/main" id="{352D398E-BE56-4B1A-B5E8-639C5AAD66C8}"/>
            </a:ext>
          </a:extLst>
        </xdr:cNvPr>
        <xdr:cNvSpPr/>
      </xdr:nvSpPr>
      <xdr:spPr>
        <a:xfrm>
          <a:off x="11803380" y="10863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681</xdr:row>
      <xdr:rowOff>0</xdr:rowOff>
    </xdr:from>
    <xdr:to>
      <xdr:col>28</xdr:col>
      <xdr:colOff>83820</xdr:colOff>
      <xdr:row>681</xdr:row>
      <xdr:rowOff>114300</xdr:rowOff>
    </xdr:to>
    <xdr:sp macro="" textlink="">
      <xdr:nvSpPr>
        <xdr:cNvPr id="708" name="Arrow: Down 707">
          <a:extLst>
            <a:ext uri="{FF2B5EF4-FFF2-40B4-BE49-F238E27FC236}">
              <a16:creationId xmlns:a16="http://schemas.microsoft.com/office/drawing/2014/main" id="{53ACCE03-34E6-4B6A-B7C8-D5944D879B8D}"/>
            </a:ext>
          </a:extLst>
        </xdr:cNvPr>
        <xdr:cNvSpPr/>
      </xdr:nvSpPr>
      <xdr:spPr>
        <a:xfrm>
          <a:off x="11803380" y="10882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682</xdr:row>
      <xdr:rowOff>0</xdr:rowOff>
    </xdr:from>
    <xdr:to>
      <xdr:col>28</xdr:col>
      <xdr:colOff>83820</xdr:colOff>
      <xdr:row>682</xdr:row>
      <xdr:rowOff>114300</xdr:rowOff>
    </xdr:to>
    <xdr:sp macro="" textlink="">
      <xdr:nvSpPr>
        <xdr:cNvPr id="714" name="Arrow: Down 713">
          <a:extLst>
            <a:ext uri="{FF2B5EF4-FFF2-40B4-BE49-F238E27FC236}">
              <a16:creationId xmlns:a16="http://schemas.microsoft.com/office/drawing/2014/main" id="{390D0938-F76D-4449-8402-6D521105B66D}"/>
            </a:ext>
          </a:extLst>
        </xdr:cNvPr>
        <xdr:cNvSpPr/>
      </xdr:nvSpPr>
      <xdr:spPr>
        <a:xfrm>
          <a:off x="11803380" y="10900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683</xdr:row>
      <xdr:rowOff>0</xdr:rowOff>
    </xdr:from>
    <xdr:to>
      <xdr:col>28</xdr:col>
      <xdr:colOff>83820</xdr:colOff>
      <xdr:row>683</xdr:row>
      <xdr:rowOff>114300</xdr:rowOff>
    </xdr:to>
    <xdr:sp macro="" textlink="">
      <xdr:nvSpPr>
        <xdr:cNvPr id="722" name="Arrow: Down 721">
          <a:extLst>
            <a:ext uri="{FF2B5EF4-FFF2-40B4-BE49-F238E27FC236}">
              <a16:creationId xmlns:a16="http://schemas.microsoft.com/office/drawing/2014/main" id="{E7033E4B-9D6C-447D-BBC1-7FEBEE383611}"/>
            </a:ext>
          </a:extLst>
        </xdr:cNvPr>
        <xdr:cNvSpPr/>
      </xdr:nvSpPr>
      <xdr:spPr>
        <a:xfrm>
          <a:off x="11803380" y="10918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684</xdr:row>
      <xdr:rowOff>0</xdr:rowOff>
    </xdr:from>
    <xdr:to>
      <xdr:col>28</xdr:col>
      <xdr:colOff>83820</xdr:colOff>
      <xdr:row>684</xdr:row>
      <xdr:rowOff>114300</xdr:rowOff>
    </xdr:to>
    <xdr:sp macro="" textlink="">
      <xdr:nvSpPr>
        <xdr:cNvPr id="719" name="Arrow: Down 718">
          <a:extLst>
            <a:ext uri="{FF2B5EF4-FFF2-40B4-BE49-F238E27FC236}">
              <a16:creationId xmlns:a16="http://schemas.microsoft.com/office/drawing/2014/main" id="{F44518D7-BD1A-475A-81B2-A769FFFDA53C}"/>
            </a:ext>
          </a:extLst>
        </xdr:cNvPr>
        <xdr:cNvSpPr/>
      </xdr:nvSpPr>
      <xdr:spPr>
        <a:xfrm rot="10800000">
          <a:off x="11803380" y="109552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685</xdr:row>
      <xdr:rowOff>0</xdr:rowOff>
    </xdr:from>
    <xdr:to>
      <xdr:col>28</xdr:col>
      <xdr:colOff>83820</xdr:colOff>
      <xdr:row>685</xdr:row>
      <xdr:rowOff>114300</xdr:rowOff>
    </xdr:to>
    <xdr:sp macro="" textlink="">
      <xdr:nvSpPr>
        <xdr:cNvPr id="726" name="Arrow: Down 725">
          <a:extLst>
            <a:ext uri="{FF2B5EF4-FFF2-40B4-BE49-F238E27FC236}">
              <a16:creationId xmlns:a16="http://schemas.microsoft.com/office/drawing/2014/main" id="{976BE31D-D868-4A8E-BD0B-E8464E9C019D}"/>
            </a:ext>
          </a:extLst>
        </xdr:cNvPr>
        <xdr:cNvSpPr/>
      </xdr:nvSpPr>
      <xdr:spPr>
        <a:xfrm rot="10800000">
          <a:off x="11803380" y="109552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686</xdr:row>
      <xdr:rowOff>0</xdr:rowOff>
    </xdr:from>
    <xdr:to>
      <xdr:col>28</xdr:col>
      <xdr:colOff>83820</xdr:colOff>
      <xdr:row>686</xdr:row>
      <xdr:rowOff>114300</xdr:rowOff>
    </xdr:to>
    <xdr:sp macro="" textlink="">
      <xdr:nvSpPr>
        <xdr:cNvPr id="728" name="Arrow: Down 727">
          <a:extLst>
            <a:ext uri="{FF2B5EF4-FFF2-40B4-BE49-F238E27FC236}">
              <a16:creationId xmlns:a16="http://schemas.microsoft.com/office/drawing/2014/main" id="{3769235E-9CED-4EF4-A221-FFD095752629}"/>
            </a:ext>
          </a:extLst>
        </xdr:cNvPr>
        <xdr:cNvSpPr/>
      </xdr:nvSpPr>
      <xdr:spPr>
        <a:xfrm>
          <a:off x="11803380" y="10991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687</xdr:row>
      <xdr:rowOff>0</xdr:rowOff>
    </xdr:from>
    <xdr:to>
      <xdr:col>28</xdr:col>
      <xdr:colOff>83820</xdr:colOff>
      <xdr:row>687</xdr:row>
      <xdr:rowOff>114300</xdr:rowOff>
    </xdr:to>
    <xdr:sp macro="" textlink="">
      <xdr:nvSpPr>
        <xdr:cNvPr id="730" name="Arrow: Down 729">
          <a:extLst>
            <a:ext uri="{FF2B5EF4-FFF2-40B4-BE49-F238E27FC236}">
              <a16:creationId xmlns:a16="http://schemas.microsoft.com/office/drawing/2014/main" id="{DFA70FB2-0DF6-4E71-9434-D8C6E656E3A5}"/>
            </a:ext>
          </a:extLst>
        </xdr:cNvPr>
        <xdr:cNvSpPr/>
      </xdr:nvSpPr>
      <xdr:spPr>
        <a:xfrm>
          <a:off x="11803380" y="10991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688</xdr:row>
      <xdr:rowOff>0</xdr:rowOff>
    </xdr:from>
    <xdr:to>
      <xdr:col>28</xdr:col>
      <xdr:colOff>83820</xdr:colOff>
      <xdr:row>688</xdr:row>
      <xdr:rowOff>114300</xdr:rowOff>
    </xdr:to>
    <xdr:sp macro="" textlink="">
      <xdr:nvSpPr>
        <xdr:cNvPr id="732" name="Arrow: Down 731">
          <a:extLst>
            <a:ext uri="{FF2B5EF4-FFF2-40B4-BE49-F238E27FC236}">
              <a16:creationId xmlns:a16="http://schemas.microsoft.com/office/drawing/2014/main" id="{B841A3A8-DE63-4A30-AFBC-C9DAD173AAD5}"/>
            </a:ext>
          </a:extLst>
        </xdr:cNvPr>
        <xdr:cNvSpPr/>
      </xdr:nvSpPr>
      <xdr:spPr>
        <a:xfrm>
          <a:off x="11803380" y="11010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689</xdr:row>
      <xdr:rowOff>0</xdr:rowOff>
    </xdr:from>
    <xdr:to>
      <xdr:col>28</xdr:col>
      <xdr:colOff>83820</xdr:colOff>
      <xdr:row>689</xdr:row>
      <xdr:rowOff>114300</xdr:rowOff>
    </xdr:to>
    <xdr:sp macro="" textlink="">
      <xdr:nvSpPr>
        <xdr:cNvPr id="710" name="Arrow: Down 709">
          <a:extLst>
            <a:ext uri="{FF2B5EF4-FFF2-40B4-BE49-F238E27FC236}">
              <a16:creationId xmlns:a16="http://schemas.microsoft.com/office/drawing/2014/main" id="{1DF6063D-E1E4-4DE0-ABE5-715EE94F270F}"/>
            </a:ext>
          </a:extLst>
        </xdr:cNvPr>
        <xdr:cNvSpPr/>
      </xdr:nvSpPr>
      <xdr:spPr>
        <a:xfrm>
          <a:off x="11803380" y="11028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690</xdr:row>
      <xdr:rowOff>0</xdr:rowOff>
    </xdr:from>
    <xdr:to>
      <xdr:col>28</xdr:col>
      <xdr:colOff>83820</xdr:colOff>
      <xdr:row>690</xdr:row>
      <xdr:rowOff>114300</xdr:rowOff>
    </xdr:to>
    <xdr:sp macro="" textlink="">
      <xdr:nvSpPr>
        <xdr:cNvPr id="727" name="Arrow: Down 726">
          <a:extLst>
            <a:ext uri="{FF2B5EF4-FFF2-40B4-BE49-F238E27FC236}">
              <a16:creationId xmlns:a16="http://schemas.microsoft.com/office/drawing/2014/main" id="{23E2934B-6F57-41B4-97DD-0808FA94D0D1}"/>
            </a:ext>
          </a:extLst>
        </xdr:cNvPr>
        <xdr:cNvSpPr/>
      </xdr:nvSpPr>
      <xdr:spPr>
        <a:xfrm>
          <a:off x="11803380" y="11046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690</xdr:row>
      <xdr:rowOff>0</xdr:rowOff>
    </xdr:from>
    <xdr:to>
      <xdr:col>28</xdr:col>
      <xdr:colOff>83820</xdr:colOff>
      <xdr:row>690</xdr:row>
      <xdr:rowOff>114300</xdr:rowOff>
    </xdr:to>
    <xdr:sp macro="" textlink="">
      <xdr:nvSpPr>
        <xdr:cNvPr id="733" name="Arrow: Down 732">
          <a:extLst>
            <a:ext uri="{FF2B5EF4-FFF2-40B4-BE49-F238E27FC236}">
              <a16:creationId xmlns:a16="http://schemas.microsoft.com/office/drawing/2014/main" id="{0D77F79D-EB5D-4B23-A842-EA225167A683}"/>
            </a:ext>
          </a:extLst>
        </xdr:cNvPr>
        <xdr:cNvSpPr/>
      </xdr:nvSpPr>
      <xdr:spPr>
        <a:xfrm>
          <a:off x="11803380" y="11046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27</xdr:col>
      <xdr:colOff>152400</xdr:colOff>
      <xdr:row>691</xdr:row>
      <xdr:rowOff>0</xdr:rowOff>
    </xdr:from>
    <xdr:to>
      <xdr:col>28</xdr:col>
      <xdr:colOff>76200</xdr:colOff>
      <xdr:row>691</xdr:row>
      <xdr:rowOff>114300</xdr:rowOff>
    </xdr:to>
    <xdr:sp macro="" textlink="">
      <xdr:nvSpPr>
        <xdr:cNvPr id="736" name="Arrow: Down 735">
          <a:extLst>
            <a:ext uri="{FF2B5EF4-FFF2-40B4-BE49-F238E27FC236}">
              <a16:creationId xmlns:a16="http://schemas.microsoft.com/office/drawing/2014/main" id="{5FBD6406-539C-4F34-A1F8-CA3D2A42F21D}"/>
            </a:ext>
          </a:extLst>
        </xdr:cNvPr>
        <xdr:cNvSpPr/>
      </xdr:nvSpPr>
      <xdr:spPr>
        <a:xfrm rot="10800000">
          <a:off x="11795760" y="110832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27</xdr:col>
      <xdr:colOff>152400</xdr:colOff>
      <xdr:row>692</xdr:row>
      <xdr:rowOff>0</xdr:rowOff>
    </xdr:from>
    <xdr:to>
      <xdr:col>28</xdr:col>
      <xdr:colOff>76200</xdr:colOff>
      <xdr:row>692</xdr:row>
      <xdr:rowOff>114300</xdr:rowOff>
    </xdr:to>
    <xdr:sp macro="" textlink="">
      <xdr:nvSpPr>
        <xdr:cNvPr id="738" name="Arrow: Down 737">
          <a:extLst>
            <a:ext uri="{FF2B5EF4-FFF2-40B4-BE49-F238E27FC236}">
              <a16:creationId xmlns:a16="http://schemas.microsoft.com/office/drawing/2014/main" id="{F8F6D43F-B0B8-4D32-B7CD-AB61464B874D}"/>
            </a:ext>
          </a:extLst>
        </xdr:cNvPr>
        <xdr:cNvSpPr/>
      </xdr:nvSpPr>
      <xdr:spPr>
        <a:xfrm rot="10800000">
          <a:off x="11795760" y="110832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693</xdr:row>
      <xdr:rowOff>0</xdr:rowOff>
    </xdr:from>
    <xdr:to>
      <xdr:col>28</xdr:col>
      <xdr:colOff>83820</xdr:colOff>
      <xdr:row>693</xdr:row>
      <xdr:rowOff>114300</xdr:rowOff>
    </xdr:to>
    <xdr:sp macro="" textlink="">
      <xdr:nvSpPr>
        <xdr:cNvPr id="740" name="Arrow: Down 739">
          <a:extLst>
            <a:ext uri="{FF2B5EF4-FFF2-40B4-BE49-F238E27FC236}">
              <a16:creationId xmlns:a16="http://schemas.microsoft.com/office/drawing/2014/main" id="{119C6E4C-9234-4FAE-BE67-54CA2ECF8765}"/>
            </a:ext>
          </a:extLst>
        </xdr:cNvPr>
        <xdr:cNvSpPr/>
      </xdr:nvSpPr>
      <xdr:spPr>
        <a:xfrm>
          <a:off x="11803380" y="11119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694</xdr:row>
      <xdr:rowOff>0</xdr:rowOff>
    </xdr:from>
    <xdr:to>
      <xdr:col>28</xdr:col>
      <xdr:colOff>83820</xdr:colOff>
      <xdr:row>694</xdr:row>
      <xdr:rowOff>114300</xdr:rowOff>
    </xdr:to>
    <xdr:sp macro="" textlink="">
      <xdr:nvSpPr>
        <xdr:cNvPr id="741" name="Arrow: Down 740">
          <a:extLst>
            <a:ext uri="{FF2B5EF4-FFF2-40B4-BE49-F238E27FC236}">
              <a16:creationId xmlns:a16="http://schemas.microsoft.com/office/drawing/2014/main" id="{C30BADAF-9E8E-485F-916E-49AEAD8DEE39}"/>
            </a:ext>
          </a:extLst>
        </xdr:cNvPr>
        <xdr:cNvSpPr/>
      </xdr:nvSpPr>
      <xdr:spPr>
        <a:xfrm>
          <a:off x="11803380" y="11119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695</xdr:row>
      <xdr:rowOff>0</xdr:rowOff>
    </xdr:from>
    <xdr:to>
      <xdr:col>28</xdr:col>
      <xdr:colOff>83820</xdr:colOff>
      <xdr:row>695</xdr:row>
      <xdr:rowOff>114300</xdr:rowOff>
    </xdr:to>
    <xdr:sp macro="" textlink="">
      <xdr:nvSpPr>
        <xdr:cNvPr id="734" name="Arrow: Down 733">
          <a:extLst>
            <a:ext uri="{FF2B5EF4-FFF2-40B4-BE49-F238E27FC236}">
              <a16:creationId xmlns:a16="http://schemas.microsoft.com/office/drawing/2014/main" id="{2073F7E2-ABD3-4FA0-8CAC-D6386C68A03A}"/>
            </a:ext>
          </a:extLst>
        </xdr:cNvPr>
        <xdr:cNvSpPr/>
      </xdr:nvSpPr>
      <xdr:spPr>
        <a:xfrm>
          <a:off x="11803380" y="11138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696</xdr:row>
      <xdr:rowOff>0</xdr:rowOff>
    </xdr:from>
    <xdr:to>
      <xdr:col>28</xdr:col>
      <xdr:colOff>83820</xdr:colOff>
      <xdr:row>696</xdr:row>
      <xdr:rowOff>114300</xdr:rowOff>
    </xdr:to>
    <xdr:sp macro="" textlink="">
      <xdr:nvSpPr>
        <xdr:cNvPr id="739" name="Arrow: Down 738">
          <a:extLst>
            <a:ext uri="{FF2B5EF4-FFF2-40B4-BE49-F238E27FC236}">
              <a16:creationId xmlns:a16="http://schemas.microsoft.com/office/drawing/2014/main" id="{9387675D-91DD-4CA4-9D6C-1158F89B80E4}"/>
            </a:ext>
          </a:extLst>
        </xdr:cNvPr>
        <xdr:cNvSpPr/>
      </xdr:nvSpPr>
      <xdr:spPr>
        <a:xfrm rot="10800000">
          <a:off x="11803380" y="111747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697</xdr:row>
      <xdr:rowOff>0</xdr:rowOff>
    </xdr:from>
    <xdr:to>
      <xdr:col>28</xdr:col>
      <xdr:colOff>83820</xdr:colOff>
      <xdr:row>697</xdr:row>
      <xdr:rowOff>114300</xdr:rowOff>
    </xdr:to>
    <xdr:sp macro="" textlink="">
      <xdr:nvSpPr>
        <xdr:cNvPr id="743" name="Arrow: Down 742">
          <a:extLst>
            <a:ext uri="{FF2B5EF4-FFF2-40B4-BE49-F238E27FC236}">
              <a16:creationId xmlns:a16="http://schemas.microsoft.com/office/drawing/2014/main" id="{8DC25AA3-D52B-49AD-B882-62A2F9E74227}"/>
            </a:ext>
          </a:extLst>
        </xdr:cNvPr>
        <xdr:cNvSpPr/>
      </xdr:nvSpPr>
      <xdr:spPr>
        <a:xfrm rot="10800000">
          <a:off x="11803380" y="111930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698</xdr:row>
      <xdr:rowOff>0</xdr:rowOff>
    </xdr:from>
    <xdr:to>
      <xdr:col>28</xdr:col>
      <xdr:colOff>83820</xdr:colOff>
      <xdr:row>698</xdr:row>
      <xdr:rowOff>114300</xdr:rowOff>
    </xdr:to>
    <xdr:sp macro="" textlink="">
      <xdr:nvSpPr>
        <xdr:cNvPr id="744" name="Arrow: Down 743">
          <a:extLst>
            <a:ext uri="{FF2B5EF4-FFF2-40B4-BE49-F238E27FC236}">
              <a16:creationId xmlns:a16="http://schemas.microsoft.com/office/drawing/2014/main" id="{E8BBA2C6-ED73-47B3-BF89-D1DAAB078A89}"/>
            </a:ext>
          </a:extLst>
        </xdr:cNvPr>
        <xdr:cNvSpPr/>
      </xdr:nvSpPr>
      <xdr:spPr>
        <a:xfrm rot="10800000">
          <a:off x="11803380" y="111930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699</xdr:row>
      <xdr:rowOff>0</xdr:rowOff>
    </xdr:from>
    <xdr:to>
      <xdr:col>28</xdr:col>
      <xdr:colOff>83820</xdr:colOff>
      <xdr:row>699</xdr:row>
      <xdr:rowOff>114300</xdr:rowOff>
    </xdr:to>
    <xdr:sp macro="" textlink="">
      <xdr:nvSpPr>
        <xdr:cNvPr id="746" name="Arrow: Down 745">
          <a:extLst>
            <a:ext uri="{FF2B5EF4-FFF2-40B4-BE49-F238E27FC236}">
              <a16:creationId xmlns:a16="http://schemas.microsoft.com/office/drawing/2014/main" id="{6AC19884-F33D-444D-9483-34FB99DAF82C}"/>
            </a:ext>
          </a:extLst>
        </xdr:cNvPr>
        <xdr:cNvSpPr/>
      </xdr:nvSpPr>
      <xdr:spPr>
        <a:xfrm rot="10800000">
          <a:off x="11803380" y="112113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700</xdr:row>
      <xdr:rowOff>0</xdr:rowOff>
    </xdr:from>
    <xdr:to>
      <xdr:col>28</xdr:col>
      <xdr:colOff>83820</xdr:colOff>
      <xdr:row>700</xdr:row>
      <xdr:rowOff>114300</xdr:rowOff>
    </xdr:to>
    <xdr:sp macro="" textlink="">
      <xdr:nvSpPr>
        <xdr:cNvPr id="748" name="Arrow: Down 747">
          <a:extLst>
            <a:ext uri="{FF2B5EF4-FFF2-40B4-BE49-F238E27FC236}">
              <a16:creationId xmlns:a16="http://schemas.microsoft.com/office/drawing/2014/main" id="{9C78CA6C-76E1-4F9D-9B17-E19D1D4CF378}"/>
            </a:ext>
          </a:extLst>
        </xdr:cNvPr>
        <xdr:cNvSpPr/>
      </xdr:nvSpPr>
      <xdr:spPr>
        <a:xfrm>
          <a:off x="11803380" y="11247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701</xdr:row>
      <xdr:rowOff>0</xdr:rowOff>
    </xdr:from>
    <xdr:to>
      <xdr:col>28</xdr:col>
      <xdr:colOff>83820</xdr:colOff>
      <xdr:row>701</xdr:row>
      <xdr:rowOff>114300</xdr:rowOff>
    </xdr:to>
    <xdr:sp macro="" textlink="">
      <xdr:nvSpPr>
        <xdr:cNvPr id="750" name="Arrow: Down 749">
          <a:extLst>
            <a:ext uri="{FF2B5EF4-FFF2-40B4-BE49-F238E27FC236}">
              <a16:creationId xmlns:a16="http://schemas.microsoft.com/office/drawing/2014/main" id="{D8446FE3-4CC7-4FEA-9D39-9DA1389358B4}"/>
            </a:ext>
          </a:extLst>
        </xdr:cNvPr>
        <xdr:cNvSpPr/>
      </xdr:nvSpPr>
      <xdr:spPr>
        <a:xfrm>
          <a:off x="11803380" y="11247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702</xdr:row>
      <xdr:rowOff>0</xdr:rowOff>
    </xdr:from>
    <xdr:to>
      <xdr:col>28</xdr:col>
      <xdr:colOff>83820</xdr:colOff>
      <xdr:row>702</xdr:row>
      <xdr:rowOff>114300</xdr:rowOff>
    </xdr:to>
    <xdr:sp macro="" textlink="">
      <xdr:nvSpPr>
        <xdr:cNvPr id="752" name="Arrow: Down 751">
          <a:extLst>
            <a:ext uri="{FF2B5EF4-FFF2-40B4-BE49-F238E27FC236}">
              <a16:creationId xmlns:a16="http://schemas.microsoft.com/office/drawing/2014/main" id="{08696169-A5F7-4ED1-9C26-069E26679C5E}"/>
            </a:ext>
          </a:extLst>
        </xdr:cNvPr>
        <xdr:cNvSpPr/>
      </xdr:nvSpPr>
      <xdr:spPr>
        <a:xfrm>
          <a:off x="11803380" y="11266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703</xdr:row>
      <xdr:rowOff>0</xdr:rowOff>
    </xdr:from>
    <xdr:to>
      <xdr:col>28</xdr:col>
      <xdr:colOff>83820</xdr:colOff>
      <xdr:row>703</xdr:row>
      <xdr:rowOff>114300</xdr:rowOff>
    </xdr:to>
    <xdr:sp macro="" textlink="">
      <xdr:nvSpPr>
        <xdr:cNvPr id="754" name="Arrow: Down 753">
          <a:extLst>
            <a:ext uri="{FF2B5EF4-FFF2-40B4-BE49-F238E27FC236}">
              <a16:creationId xmlns:a16="http://schemas.microsoft.com/office/drawing/2014/main" id="{679B334C-CBA1-4B8D-A308-F97D931D0D48}"/>
            </a:ext>
          </a:extLst>
        </xdr:cNvPr>
        <xdr:cNvSpPr/>
      </xdr:nvSpPr>
      <xdr:spPr>
        <a:xfrm>
          <a:off x="11803380" y="11284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704</xdr:row>
      <xdr:rowOff>0</xdr:rowOff>
    </xdr:from>
    <xdr:to>
      <xdr:col>28</xdr:col>
      <xdr:colOff>83820</xdr:colOff>
      <xdr:row>704</xdr:row>
      <xdr:rowOff>114300</xdr:rowOff>
    </xdr:to>
    <xdr:sp macro="" textlink="">
      <xdr:nvSpPr>
        <xdr:cNvPr id="757" name="Arrow: Down 756">
          <a:extLst>
            <a:ext uri="{FF2B5EF4-FFF2-40B4-BE49-F238E27FC236}">
              <a16:creationId xmlns:a16="http://schemas.microsoft.com/office/drawing/2014/main" id="{F65A14F9-4E8A-48DB-84A1-7E223D2B45BB}"/>
            </a:ext>
          </a:extLst>
        </xdr:cNvPr>
        <xdr:cNvSpPr/>
      </xdr:nvSpPr>
      <xdr:spPr>
        <a:xfrm rot="10800000">
          <a:off x="11803380" y="113210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705</xdr:row>
      <xdr:rowOff>0</xdr:rowOff>
    </xdr:from>
    <xdr:to>
      <xdr:col>28</xdr:col>
      <xdr:colOff>83820</xdr:colOff>
      <xdr:row>705</xdr:row>
      <xdr:rowOff>114300</xdr:rowOff>
    </xdr:to>
    <xdr:sp macro="" textlink="">
      <xdr:nvSpPr>
        <xdr:cNvPr id="761" name="Arrow: Down 760">
          <a:extLst>
            <a:ext uri="{FF2B5EF4-FFF2-40B4-BE49-F238E27FC236}">
              <a16:creationId xmlns:a16="http://schemas.microsoft.com/office/drawing/2014/main" id="{854D414C-C2B3-43BF-8838-5B91F8A9D434}"/>
            </a:ext>
          </a:extLst>
        </xdr:cNvPr>
        <xdr:cNvSpPr/>
      </xdr:nvSpPr>
      <xdr:spPr>
        <a:xfrm rot="10800000">
          <a:off x="11803380" y="113210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706</xdr:row>
      <xdr:rowOff>0</xdr:rowOff>
    </xdr:from>
    <xdr:to>
      <xdr:col>28</xdr:col>
      <xdr:colOff>83820</xdr:colOff>
      <xdr:row>706</xdr:row>
      <xdr:rowOff>114300</xdr:rowOff>
    </xdr:to>
    <xdr:sp macro="" textlink="">
      <xdr:nvSpPr>
        <xdr:cNvPr id="763" name="Arrow: Down 762">
          <a:extLst>
            <a:ext uri="{FF2B5EF4-FFF2-40B4-BE49-F238E27FC236}">
              <a16:creationId xmlns:a16="http://schemas.microsoft.com/office/drawing/2014/main" id="{A68E6E77-2996-42C0-9704-B28E18CF2AC5}"/>
            </a:ext>
          </a:extLst>
        </xdr:cNvPr>
        <xdr:cNvSpPr/>
      </xdr:nvSpPr>
      <xdr:spPr>
        <a:xfrm rot="10800000">
          <a:off x="11803380" y="113393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707</xdr:row>
      <xdr:rowOff>0</xdr:rowOff>
    </xdr:from>
    <xdr:to>
      <xdr:col>28</xdr:col>
      <xdr:colOff>83820</xdr:colOff>
      <xdr:row>707</xdr:row>
      <xdr:rowOff>114300</xdr:rowOff>
    </xdr:to>
    <xdr:sp macro="" textlink="">
      <xdr:nvSpPr>
        <xdr:cNvPr id="765" name="Arrow: Down 764">
          <a:extLst>
            <a:ext uri="{FF2B5EF4-FFF2-40B4-BE49-F238E27FC236}">
              <a16:creationId xmlns:a16="http://schemas.microsoft.com/office/drawing/2014/main" id="{44F31DC8-EC5C-440A-9643-B921BC77669F}"/>
            </a:ext>
          </a:extLst>
        </xdr:cNvPr>
        <xdr:cNvSpPr/>
      </xdr:nvSpPr>
      <xdr:spPr>
        <a:xfrm>
          <a:off x="11803380" y="11375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708</xdr:row>
      <xdr:rowOff>0</xdr:rowOff>
    </xdr:from>
    <xdr:to>
      <xdr:col>28</xdr:col>
      <xdr:colOff>83820</xdr:colOff>
      <xdr:row>708</xdr:row>
      <xdr:rowOff>114300</xdr:rowOff>
    </xdr:to>
    <xdr:sp macro="" textlink="">
      <xdr:nvSpPr>
        <xdr:cNvPr id="767" name="Arrow: Down 766">
          <a:extLst>
            <a:ext uri="{FF2B5EF4-FFF2-40B4-BE49-F238E27FC236}">
              <a16:creationId xmlns:a16="http://schemas.microsoft.com/office/drawing/2014/main" id="{E96B2493-AD1A-47A8-9FD6-46BCF6BC6F8E}"/>
            </a:ext>
          </a:extLst>
        </xdr:cNvPr>
        <xdr:cNvSpPr/>
      </xdr:nvSpPr>
      <xdr:spPr>
        <a:xfrm>
          <a:off x="11803380" y="11375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709</xdr:row>
      <xdr:rowOff>0</xdr:rowOff>
    </xdr:from>
    <xdr:to>
      <xdr:col>28</xdr:col>
      <xdr:colOff>83820</xdr:colOff>
      <xdr:row>709</xdr:row>
      <xdr:rowOff>114300</xdr:rowOff>
    </xdr:to>
    <xdr:sp macro="" textlink="">
      <xdr:nvSpPr>
        <xdr:cNvPr id="768" name="Arrow: Down 767">
          <a:extLst>
            <a:ext uri="{FF2B5EF4-FFF2-40B4-BE49-F238E27FC236}">
              <a16:creationId xmlns:a16="http://schemas.microsoft.com/office/drawing/2014/main" id="{6C7FF258-B675-4728-B4A8-88189320D73D}"/>
            </a:ext>
          </a:extLst>
        </xdr:cNvPr>
        <xdr:cNvSpPr/>
      </xdr:nvSpPr>
      <xdr:spPr>
        <a:xfrm>
          <a:off x="11803380" y="11394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710</xdr:row>
      <xdr:rowOff>0</xdr:rowOff>
    </xdr:from>
    <xdr:to>
      <xdr:col>28</xdr:col>
      <xdr:colOff>83820</xdr:colOff>
      <xdr:row>710</xdr:row>
      <xdr:rowOff>114300</xdr:rowOff>
    </xdr:to>
    <xdr:sp macro="" textlink="">
      <xdr:nvSpPr>
        <xdr:cNvPr id="770" name="Arrow: Down 769">
          <a:extLst>
            <a:ext uri="{FF2B5EF4-FFF2-40B4-BE49-F238E27FC236}">
              <a16:creationId xmlns:a16="http://schemas.microsoft.com/office/drawing/2014/main" id="{F854A2F0-083B-499E-B39F-46B2462C9B97}"/>
            </a:ext>
          </a:extLst>
        </xdr:cNvPr>
        <xdr:cNvSpPr/>
      </xdr:nvSpPr>
      <xdr:spPr>
        <a:xfrm>
          <a:off x="11803380" y="11412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711</xdr:row>
      <xdr:rowOff>0</xdr:rowOff>
    </xdr:from>
    <xdr:to>
      <xdr:col>28</xdr:col>
      <xdr:colOff>83820</xdr:colOff>
      <xdr:row>711</xdr:row>
      <xdr:rowOff>114300</xdr:rowOff>
    </xdr:to>
    <xdr:sp macro="" textlink="">
      <xdr:nvSpPr>
        <xdr:cNvPr id="774" name="Arrow: Down 773">
          <a:extLst>
            <a:ext uri="{FF2B5EF4-FFF2-40B4-BE49-F238E27FC236}">
              <a16:creationId xmlns:a16="http://schemas.microsoft.com/office/drawing/2014/main" id="{203782CB-2200-40F8-AC23-5BC3A994E618}"/>
            </a:ext>
          </a:extLst>
        </xdr:cNvPr>
        <xdr:cNvSpPr/>
      </xdr:nvSpPr>
      <xdr:spPr>
        <a:xfrm rot="10800000">
          <a:off x="11803380" y="114490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712</xdr:row>
      <xdr:rowOff>0</xdr:rowOff>
    </xdr:from>
    <xdr:to>
      <xdr:col>28</xdr:col>
      <xdr:colOff>83820</xdr:colOff>
      <xdr:row>712</xdr:row>
      <xdr:rowOff>114300</xdr:rowOff>
    </xdr:to>
    <xdr:sp macro="" textlink="">
      <xdr:nvSpPr>
        <xdr:cNvPr id="776" name="Arrow: Down 775">
          <a:extLst>
            <a:ext uri="{FF2B5EF4-FFF2-40B4-BE49-F238E27FC236}">
              <a16:creationId xmlns:a16="http://schemas.microsoft.com/office/drawing/2014/main" id="{38BF6601-A3F8-4E67-BA05-379963457AED}"/>
            </a:ext>
          </a:extLst>
        </xdr:cNvPr>
        <xdr:cNvSpPr/>
      </xdr:nvSpPr>
      <xdr:spPr>
        <a:xfrm rot="10800000">
          <a:off x="11803380" y="114490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713</xdr:row>
      <xdr:rowOff>0</xdr:rowOff>
    </xdr:from>
    <xdr:to>
      <xdr:col>28</xdr:col>
      <xdr:colOff>83820</xdr:colOff>
      <xdr:row>713</xdr:row>
      <xdr:rowOff>114300</xdr:rowOff>
    </xdr:to>
    <xdr:sp macro="" textlink="">
      <xdr:nvSpPr>
        <xdr:cNvPr id="780" name="Arrow: Down 779">
          <a:extLst>
            <a:ext uri="{FF2B5EF4-FFF2-40B4-BE49-F238E27FC236}">
              <a16:creationId xmlns:a16="http://schemas.microsoft.com/office/drawing/2014/main" id="{90E5C566-A981-45F0-84B6-0ED7B8366725}"/>
            </a:ext>
          </a:extLst>
        </xdr:cNvPr>
        <xdr:cNvSpPr/>
      </xdr:nvSpPr>
      <xdr:spPr>
        <a:xfrm>
          <a:off x="11803380" y="11485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714</xdr:row>
      <xdr:rowOff>0</xdr:rowOff>
    </xdr:from>
    <xdr:to>
      <xdr:col>28</xdr:col>
      <xdr:colOff>83820</xdr:colOff>
      <xdr:row>714</xdr:row>
      <xdr:rowOff>114300</xdr:rowOff>
    </xdr:to>
    <xdr:sp macro="" textlink="">
      <xdr:nvSpPr>
        <xdr:cNvPr id="782" name="Arrow: Down 781">
          <a:extLst>
            <a:ext uri="{FF2B5EF4-FFF2-40B4-BE49-F238E27FC236}">
              <a16:creationId xmlns:a16="http://schemas.microsoft.com/office/drawing/2014/main" id="{669C6864-D6FF-4E5F-BFC4-7BBC61EC8DE3}"/>
            </a:ext>
          </a:extLst>
        </xdr:cNvPr>
        <xdr:cNvSpPr/>
      </xdr:nvSpPr>
      <xdr:spPr>
        <a:xfrm>
          <a:off x="11803380" y="11485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715</xdr:row>
      <xdr:rowOff>0</xdr:rowOff>
    </xdr:from>
    <xdr:to>
      <xdr:col>28</xdr:col>
      <xdr:colOff>83820</xdr:colOff>
      <xdr:row>715</xdr:row>
      <xdr:rowOff>114300</xdr:rowOff>
    </xdr:to>
    <xdr:sp macro="" textlink="">
      <xdr:nvSpPr>
        <xdr:cNvPr id="783" name="Arrow: Down 782">
          <a:extLst>
            <a:ext uri="{FF2B5EF4-FFF2-40B4-BE49-F238E27FC236}">
              <a16:creationId xmlns:a16="http://schemas.microsoft.com/office/drawing/2014/main" id="{EBC35CB4-AB6E-4A53-803A-04EE0724751B}"/>
            </a:ext>
          </a:extLst>
        </xdr:cNvPr>
        <xdr:cNvSpPr/>
      </xdr:nvSpPr>
      <xdr:spPr>
        <a:xfrm>
          <a:off x="11803380" y="11503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729DF-E2F2-405B-9CBF-3816C53F84D6}">
  <sheetPr>
    <pageSetUpPr fitToPage="1"/>
  </sheetPr>
  <dimension ref="A1:CO912"/>
  <sheetViews>
    <sheetView topLeftCell="A732" zoomScaleNormal="100" workbookViewId="0">
      <selection activeCell="N768" sqref="N768"/>
    </sheetView>
  </sheetViews>
  <sheetFormatPr defaultRowHeight="14.4" outlineLevelCol="1" x14ac:dyDescent="0.3"/>
  <cols>
    <col min="1" max="1" width="3.33203125" customWidth="1"/>
    <col min="2" max="2" width="10.109375" customWidth="1"/>
    <col min="3" max="3" width="1.77734375" customWidth="1"/>
    <col min="4" max="4" width="11.88671875" customWidth="1"/>
    <col min="5" max="5" width="1" customWidth="1"/>
    <col min="6" max="6" width="2" customWidth="1"/>
    <col min="7" max="7" width="0.77734375" customWidth="1"/>
    <col min="8" max="8" width="11.5546875" customWidth="1"/>
    <col min="9" max="9" width="2.21875" customWidth="1"/>
    <col min="10" max="10" width="8" customWidth="1"/>
    <col min="11" max="11" width="1.21875" customWidth="1"/>
    <col min="12" max="12" width="2.5546875" customWidth="1"/>
    <col min="13" max="13" width="2.21875" customWidth="1"/>
    <col min="14" max="14" width="12.21875" customWidth="1"/>
    <col min="15" max="15" width="9.44140625" customWidth="1"/>
    <col min="16" max="16" width="1.21875" customWidth="1"/>
    <col min="17" max="17" width="10" customWidth="1" outlineLevel="1"/>
    <col min="18" max="18" width="1.21875" customWidth="1" outlineLevel="1"/>
    <col min="19" max="19" width="10.5546875" customWidth="1" outlineLevel="1"/>
    <col min="20" max="21" width="1.21875" customWidth="1" outlineLevel="1"/>
    <col min="22" max="22" width="5.109375" customWidth="1"/>
    <col min="23" max="23" width="8.88671875" customWidth="1"/>
    <col min="24" max="24" width="1.77734375" customWidth="1"/>
    <col min="25" max="25" width="2.5546875" customWidth="1"/>
    <col min="26" max="26" width="1.44140625" customWidth="1"/>
    <col min="27" max="27" width="9.5546875" customWidth="1"/>
    <col min="28" max="28" width="2.33203125" customWidth="1"/>
    <col min="29" max="29" width="5.6640625" customWidth="1"/>
    <col min="30" max="30" width="1" customWidth="1"/>
    <col min="31" max="31" width="8.109375" customWidth="1"/>
    <col min="32" max="32" width="1.6640625" customWidth="1"/>
    <col min="33" max="33" width="12.5546875" hidden="1" customWidth="1" outlineLevel="1"/>
    <col min="34" max="34" width="11" hidden="1" customWidth="1" outlineLevel="1"/>
    <col min="35" max="35" width="8.109375" hidden="1" customWidth="1" outlineLevel="1"/>
    <col min="36" max="36" width="2.21875" hidden="1" customWidth="1" outlineLevel="1"/>
    <col min="37" max="37" width="3.5546875" customWidth="1" collapsed="1"/>
    <col min="38" max="38" width="9.88671875" customWidth="1"/>
    <col min="39" max="39" width="1" customWidth="1"/>
    <col min="40" max="40" width="1.44140625" customWidth="1"/>
    <col min="41" max="41" width="1.21875" customWidth="1"/>
    <col min="42" max="42" width="11.33203125" customWidth="1"/>
    <col min="43" max="43" width="1.33203125" customWidth="1"/>
    <col min="44" max="44" width="10.21875" customWidth="1"/>
    <col min="45" max="45" width="1.5546875" customWidth="1"/>
    <col min="46" max="46" width="2.21875" customWidth="1"/>
    <col min="47" max="47" width="1.33203125" customWidth="1"/>
    <col min="48" max="48" width="7.44140625" customWidth="1"/>
    <col min="49" max="49" width="2" customWidth="1"/>
    <col min="50" max="50" width="9.21875" customWidth="1"/>
    <col min="51" max="51" width="0.88671875" customWidth="1"/>
    <col min="52" max="52" width="4" customWidth="1"/>
    <col min="53" max="53" width="13.88671875" customWidth="1"/>
    <col min="54" max="54" width="1.109375" customWidth="1"/>
    <col min="55" max="55" width="12.6640625" customWidth="1"/>
    <col min="56" max="56" width="1.33203125" customWidth="1"/>
    <col min="57" max="57" width="12.21875" customWidth="1"/>
    <col min="58" max="58" width="1.109375" customWidth="1"/>
    <col min="59" max="59" width="12.21875" customWidth="1"/>
    <col min="60" max="60" width="1.109375" customWidth="1"/>
    <col min="61" max="61" width="3.88671875" customWidth="1"/>
    <col min="62" max="62" width="1.44140625" hidden="1" customWidth="1" outlineLevel="1"/>
    <col min="63" max="63" width="15.109375" hidden="1" customWidth="1" outlineLevel="1"/>
    <col min="64" max="64" width="0.88671875" hidden="1" customWidth="1" outlineLevel="1"/>
    <col min="65" max="65" width="6.88671875" hidden="1" customWidth="1" outlineLevel="1"/>
    <col min="66" max="66" width="10.109375" customWidth="1" collapsed="1"/>
    <col min="67" max="67" width="0.88671875" customWidth="1"/>
    <col min="68" max="68" width="13.33203125" customWidth="1"/>
    <col min="69" max="69" width="1" customWidth="1"/>
    <col min="70" max="70" width="11.6640625" customWidth="1"/>
    <col min="71" max="71" width="1.109375" customWidth="1"/>
    <col min="72" max="72" width="3.44140625" customWidth="1"/>
    <col min="73" max="73" width="0.77734375" customWidth="1"/>
    <col min="74" max="74" width="1.88671875" customWidth="1"/>
    <col min="75" max="75" width="6.6640625" customWidth="1"/>
    <col min="76" max="76" width="1.77734375" customWidth="1"/>
    <col min="77" max="77" width="10.109375" bestFit="1" customWidth="1"/>
    <col min="78" max="78" width="2.109375" customWidth="1"/>
    <col min="79" max="79" width="11.44140625" customWidth="1"/>
    <col min="80" max="80" width="1.33203125" customWidth="1"/>
    <col min="81" max="81" width="11.44140625" customWidth="1"/>
    <col min="82" max="82" width="1.109375" customWidth="1"/>
    <col min="83" max="83" width="3.21875" customWidth="1"/>
    <col min="84" max="84" width="1.44140625" customWidth="1"/>
    <col min="85" max="85" width="7.77734375" customWidth="1"/>
    <col min="86" max="86" width="1" customWidth="1"/>
    <col min="87" max="87" width="7.21875" customWidth="1"/>
    <col min="88" max="88" width="1.44140625" customWidth="1"/>
    <col min="89" max="89" width="4.77734375" customWidth="1"/>
    <col min="90" max="90" width="12.21875" customWidth="1"/>
  </cols>
  <sheetData>
    <row r="1" spans="2:90" ht="15.6" x14ac:dyDescent="0.3">
      <c r="B1" s="608" t="s">
        <v>5</v>
      </c>
      <c r="C1" s="608"/>
      <c r="D1" s="608"/>
    </row>
    <row r="2" spans="2:90" ht="15.6" x14ac:dyDescent="0.3">
      <c r="B2" s="608" t="s">
        <v>6</v>
      </c>
      <c r="C2" s="608"/>
      <c r="D2" s="608"/>
      <c r="E2" s="9"/>
      <c r="F2" s="9"/>
      <c r="BU2" s="61"/>
      <c r="BV2" s="61"/>
      <c r="BW2" s="61"/>
      <c r="BX2" s="61"/>
      <c r="BY2" s="61"/>
      <c r="BZ2" s="61"/>
      <c r="CA2" s="61"/>
      <c r="CB2" s="61"/>
      <c r="CC2" s="61"/>
      <c r="CD2" s="61"/>
      <c r="CE2" s="61"/>
      <c r="CF2" s="61"/>
      <c r="CG2" s="61"/>
      <c r="CH2" s="61"/>
      <c r="CI2" s="61"/>
      <c r="CJ2" s="61"/>
      <c r="CK2" s="61"/>
    </row>
    <row r="3" spans="2:90" ht="16.2" thickBot="1" x14ac:dyDescent="0.35">
      <c r="B3" s="613" t="s">
        <v>13</v>
      </c>
      <c r="C3" s="613"/>
      <c r="D3" s="153"/>
      <c r="E3" s="153"/>
      <c r="F3" s="153"/>
      <c r="BU3" s="61"/>
      <c r="BV3" s="61"/>
      <c r="BW3" s="61"/>
      <c r="BX3" s="61"/>
      <c r="BY3" s="61"/>
      <c r="BZ3" s="61"/>
      <c r="CA3" s="61"/>
      <c r="CB3" s="61"/>
      <c r="CC3" s="61"/>
      <c r="CD3" s="61"/>
      <c r="CE3" s="61"/>
      <c r="CF3" s="61"/>
      <c r="CG3" s="61"/>
      <c r="CH3" s="61"/>
      <c r="CI3" s="61"/>
      <c r="CJ3" s="61"/>
      <c r="CK3" s="61"/>
    </row>
    <row r="4" spans="2:90" ht="16.2" thickBot="1" x14ac:dyDescent="0.35">
      <c r="E4" s="9"/>
      <c r="F4" s="9"/>
      <c r="J4" s="609" t="s">
        <v>11</v>
      </c>
      <c r="K4" s="610"/>
      <c r="L4" s="610"/>
      <c r="M4" s="610"/>
      <c r="N4" s="610"/>
      <c r="O4" s="610"/>
      <c r="P4" s="610"/>
      <c r="Q4" s="610"/>
      <c r="R4" s="610"/>
      <c r="S4" s="610"/>
      <c r="T4" s="610"/>
      <c r="U4" s="610"/>
      <c r="V4" s="610"/>
      <c r="W4" s="610"/>
      <c r="X4" s="610"/>
      <c r="Y4" s="610"/>
      <c r="Z4" s="610"/>
      <c r="AA4" s="610"/>
      <c r="AB4" s="610"/>
      <c r="AC4" s="610"/>
      <c r="AD4" s="11"/>
      <c r="AE4" s="282"/>
      <c r="AF4" s="404"/>
      <c r="AG4" s="404"/>
      <c r="AH4" s="404"/>
      <c r="AI4" s="404"/>
      <c r="AJ4" s="12"/>
      <c r="AL4" s="625" t="s">
        <v>14</v>
      </c>
      <c r="AM4" s="626"/>
      <c r="AN4" s="626"/>
      <c r="AO4" s="626"/>
      <c r="AP4" s="626"/>
      <c r="AQ4" s="626"/>
      <c r="AR4" s="626"/>
      <c r="AS4" s="626"/>
      <c r="AT4" s="626"/>
      <c r="AU4" s="626"/>
      <c r="AV4" s="626"/>
      <c r="AW4" s="626"/>
      <c r="AX4" s="626"/>
      <c r="AY4" s="626"/>
      <c r="AZ4" s="626"/>
      <c r="BA4" s="626"/>
      <c r="BB4" s="626"/>
      <c r="BC4" s="626"/>
      <c r="BD4" s="626"/>
      <c r="BE4" s="626"/>
      <c r="BF4" s="626"/>
      <c r="BG4" s="626"/>
      <c r="BH4" s="626"/>
      <c r="BI4" s="626"/>
      <c r="BJ4" s="626"/>
      <c r="BK4" s="626"/>
      <c r="BL4" s="626"/>
      <c r="BM4" s="626"/>
      <c r="BN4" s="626"/>
      <c r="BO4" s="626"/>
      <c r="BP4" s="626"/>
      <c r="BQ4" s="626"/>
      <c r="BR4" s="626"/>
      <c r="BS4" s="626"/>
      <c r="BT4" s="626"/>
      <c r="BU4" s="627"/>
      <c r="BV4" s="167"/>
      <c r="BW4" s="167"/>
      <c r="BX4" s="167"/>
      <c r="BY4" s="167"/>
      <c r="BZ4" s="167"/>
      <c r="CA4" s="167"/>
      <c r="CB4" s="167"/>
      <c r="CC4" s="167"/>
      <c r="CD4" s="167"/>
      <c r="CE4" s="167"/>
      <c r="CF4" s="167"/>
      <c r="CG4" s="167"/>
      <c r="CH4" s="167"/>
      <c r="CI4" s="167"/>
      <c r="CJ4" s="61"/>
      <c r="CK4" s="61"/>
    </row>
    <row r="5" spans="2:90" x14ac:dyDescent="0.3"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</row>
    <row r="6" spans="2:90" x14ac:dyDescent="0.3">
      <c r="D6" s="290" t="s">
        <v>7</v>
      </c>
      <c r="E6" s="291"/>
      <c r="F6" s="614" t="s">
        <v>12</v>
      </c>
      <c r="G6" s="614"/>
      <c r="H6" s="614"/>
      <c r="I6" s="614"/>
      <c r="J6" s="614"/>
      <c r="K6" s="614"/>
      <c r="L6" s="614"/>
      <c r="M6" s="292"/>
      <c r="N6" s="499"/>
      <c r="O6" s="292"/>
      <c r="P6" s="293"/>
      <c r="Q6" s="620" t="s">
        <v>111</v>
      </c>
      <c r="R6" s="614"/>
      <c r="S6" s="614"/>
      <c r="T6" s="614"/>
      <c r="U6" s="621"/>
      <c r="V6" s="3"/>
      <c r="W6" s="8" t="s">
        <v>7</v>
      </c>
      <c r="X6" s="30"/>
      <c r="Y6" s="615">
        <v>1.2500000000000001E-2</v>
      </c>
      <c r="Z6" s="615"/>
      <c r="AA6" s="615"/>
      <c r="AB6" s="615"/>
      <c r="AC6" s="615"/>
      <c r="AD6" s="615"/>
      <c r="AE6" s="615"/>
      <c r="AF6" s="615"/>
      <c r="AG6" s="615"/>
      <c r="AH6" s="615"/>
      <c r="AI6" s="615"/>
      <c r="AJ6" s="616"/>
      <c r="AK6" s="3"/>
      <c r="AL6" s="631" t="s">
        <v>25</v>
      </c>
      <c r="AM6" s="632"/>
      <c r="AN6" s="632"/>
      <c r="AO6" s="632"/>
      <c r="AP6" s="632"/>
      <c r="AQ6" s="632"/>
      <c r="AR6" s="632"/>
      <c r="AS6" s="632"/>
      <c r="AT6" s="632"/>
      <c r="AU6" s="632"/>
      <c r="AV6" s="632"/>
      <c r="AW6" s="632"/>
      <c r="AX6" s="632"/>
      <c r="AY6" s="633"/>
      <c r="AZ6" s="3"/>
      <c r="BA6" s="634" t="s">
        <v>7</v>
      </c>
      <c r="BB6" s="604"/>
      <c r="BC6" s="604"/>
      <c r="BD6" s="85"/>
      <c r="BE6" s="628" t="s">
        <v>24</v>
      </c>
      <c r="BF6" s="628"/>
      <c r="BG6" s="628"/>
      <c r="BH6" s="628"/>
      <c r="BI6" s="628"/>
      <c r="BJ6" s="628"/>
      <c r="BK6" s="628"/>
      <c r="BL6" s="628"/>
      <c r="BM6" s="628"/>
      <c r="BN6" s="628"/>
      <c r="BO6" s="628"/>
      <c r="BP6" s="628"/>
      <c r="BQ6" s="628"/>
      <c r="BR6" s="604"/>
      <c r="BS6" s="604"/>
      <c r="BT6" s="604"/>
      <c r="BU6" s="629"/>
      <c r="BV6" s="3"/>
    </row>
    <row r="7" spans="2:90" ht="16.2" x14ac:dyDescent="0.3">
      <c r="D7" s="611" t="s">
        <v>20</v>
      </c>
      <c r="E7" s="612"/>
      <c r="F7" s="612"/>
      <c r="G7" s="612"/>
      <c r="H7" s="612"/>
      <c r="I7" s="612"/>
      <c r="J7" s="612"/>
      <c r="K7" s="422"/>
      <c r="L7" s="422"/>
      <c r="M7" s="422"/>
      <c r="N7" s="498"/>
      <c r="O7" s="422"/>
      <c r="P7" s="423"/>
      <c r="Q7" s="405"/>
      <c r="R7" s="406"/>
      <c r="S7" s="406"/>
      <c r="T7" s="406"/>
      <c r="U7" s="294"/>
      <c r="V7" s="3"/>
      <c r="W7" s="617" t="s">
        <v>33</v>
      </c>
      <c r="X7" s="618"/>
      <c r="Y7" s="618"/>
      <c r="Z7" s="618"/>
      <c r="AA7" s="618"/>
      <c r="AB7" s="618"/>
      <c r="AC7" s="618"/>
      <c r="AD7" s="618"/>
      <c r="AE7" s="618"/>
      <c r="AF7" s="618"/>
      <c r="AG7" s="618"/>
      <c r="AH7" s="618"/>
      <c r="AI7" s="618"/>
      <c r="AJ7" s="619"/>
      <c r="AK7" s="3"/>
      <c r="AL7" s="611" t="s">
        <v>68</v>
      </c>
      <c r="AM7" s="612"/>
      <c r="AN7" s="612"/>
      <c r="AO7" s="612"/>
      <c r="AP7" s="612"/>
      <c r="AQ7" s="612"/>
      <c r="AR7" s="612"/>
      <c r="AS7" s="612"/>
      <c r="AT7" s="612"/>
      <c r="AU7" s="612"/>
      <c r="AV7" s="612"/>
      <c r="AW7" s="612"/>
      <c r="AX7" s="612"/>
      <c r="AY7" s="630"/>
      <c r="BA7" s="611" t="s">
        <v>23</v>
      </c>
      <c r="BB7" s="612"/>
      <c r="BC7" s="612"/>
      <c r="BD7" s="612"/>
      <c r="BE7" s="612"/>
      <c r="BF7" s="612"/>
      <c r="BG7" s="612"/>
      <c r="BH7" s="612"/>
      <c r="BI7" s="612"/>
      <c r="BJ7" s="612"/>
      <c r="BK7" s="612"/>
      <c r="BL7" s="612"/>
      <c r="BM7" s="612"/>
      <c r="BN7" s="612"/>
      <c r="BO7" s="612"/>
      <c r="BP7" s="612"/>
      <c r="BQ7" s="612"/>
      <c r="BR7" s="612"/>
      <c r="BS7" s="612"/>
      <c r="BT7" s="612"/>
      <c r="BU7" s="630"/>
      <c r="BW7" s="161" t="s">
        <v>18</v>
      </c>
    </row>
    <row r="8" spans="2:90" x14ac:dyDescent="0.3">
      <c r="D8" s="52" t="s">
        <v>1</v>
      </c>
      <c r="E8" s="13"/>
      <c r="F8" s="53" t="s">
        <v>15</v>
      </c>
      <c r="G8" s="13"/>
      <c r="H8" s="71" t="s">
        <v>2</v>
      </c>
      <c r="I8" s="13"/>
      <c r="J8" s="54" t="s">
        <v>3</v>
      </c>
      <c r="K8" s="13"/>
      <c r="L8" s="53" t="s">
        <v>15</v>
      </c>
      <c r="M8" s="285"/>
      <c r="N8" s="285"/>
      <c r="O8" s="288" t="s">
        <v>102</v>
      </c>
      <c r="P8" s="295"/>
      <c r="Q8" s="409" t="s">
        <v>1</v>
      </c>
      <c r="R8" s="285"/>
      <c r="S8" s="53" t="s">
        <v>71</v>
      </c>
      <c r="T8" s="285"/>
      <c r="U8" s="295"/>
      <c r="W8" s="412" t="s">
        <v>1</v>
      </c>
      <c r="X8" s="413"/>
      <c r="Y8" s="414" t="s">
        <v>15</v>
      </c>
      <c r="Z8" s="413"/>
      <c r="AA8" s="415" t="s">
        <v>2</v>
      </c>
      <c r="AB8" s="413"/>
      <c r="AC8" s="416" t="s">
        <v>3</v>
      </c>
      <c r="AD8" s="413"/>
      <c r="AE8" s="417" t="s">
        <v>102</v>
      </c>
      <c r="AF8" s="418"/>
      <c r="AG8" s="412" t="s">
        <v>1</v>
      </c>
      <c r="AH8" s="411"/>
      <c r="AI8" s="417" t="s">
        <v>112</v>
      </c>
      <c r="AJ8" s="48"/>
      <c r="AL8" s="20" t="s">
        <v>1</v>
      </c>
      <c r="AM8" s="283"/>
      <c r="AN8" s="301" t="s">
        <v>15</v>
      </c>
      <c r="AO8" s="283"/>
      <c r="AP8" s="72" t="s">
        <v>2</v>
      </c>
      <c r="AQ8" s="283"/>
      <c r="AR8" s="284" t="s">
        <v>3</v>
      </c>
      <c r="AS8" s="283"/>
      <c r="AT8" s="301" t="s">
        <v>15</v>
      </c>
      <c r="AU8" s="283"/>
      <c r="AV8" s="302" t="s">
        <v>16</v>
      </c>
      <c r="AW8" s="299"/>
      <c r="AX8" s="303" t="s">
        <v>102</v>
      </c>
      <c r="AY8" s="304"/>
      <c r="BA8" s="623" t="s">
        <v>1</v>
      </c>
      <c r="BB8" s="624"/>
      <c r="BC8" s="624"/>
      <c r="BD8" s="63"/>
      <c r="BE8" s="624" t="s">
        <v>22</v>
      </c>
      <c r="BF8" s="624"/>
      <c r="BG8" s="624"/>
      <c r="BH8" s="624"/>
      <c r="BI8" s="635"/>
      <c r="BJ8" s="636" t="s">
        <v>111</v>
      </c>
      <c r="BK8" s="637"/>
      <c r="BL8" s="637"/>
      <c r="BM8" s="638"/>
      <c r="BN8" s="623" t="s">
        <v>22</v>
      </c>
      <c r="BO8" s="624"/>
      <c r="BP8" s="624"/>
      <c r="BQ8" s="63"/>
      <c r="BR8" s="93"/>
      <c r="BS8" s="421"/>
      <c r="BT8" s="94"/>
      <c r="BU8" s="168"/>
    </row>
    <row r="9" spans="2:90" x14ac:dyDescent="0.3">
      <c r="B9" s="2" t="s">
        <v>0</v>
      </c>
      <c r="D9" s="14"/>
      <c r="E9" s="15"/>
      <c r="F9" s="15"/>
      <c r="G9" s="15"/>
      <c r="H9" s="16">
        <f>85435-71593+564331</f>
        <v>578173</v>
      </c>
      <c r="I9" s="15"/>
      <c r="J9" s="37"/>
      <c r="K9" s="15"/>
      <c r="L9" s="15"/>
      <c r="M9" s="15"/>
      <c r="N9" s="15"/>
      <c r="O9" s="15"/>
      <c r="P9" s="40"/>
      <c r="Q9" s="14"/>
      <c r="R9" s="15"/>
      <c r="S9" s="15"/>
      <c r="T9" s="15"/>
      <c r="U9" s="40"/>
      <c r="W9" s="31"/>
      <c r="X9" s="32"/>
      <c r="Y9" s="32"/>
      <c r="Z9" s="32"/>
      <c r="AA9" s="33">
        <f>1295-1092+2705</f>
        <v>2908</v>
      </c>
      <c r="AB9" s="32"/>
      <c r="AC9" s="45"/>
      <c r="AD9" s="32"/>
      <c r="AE9" s="32"/>
      <c r="AF9" s="48"/>
      <c r="AG9" s="32"/>
      <c r="AH9" s="32"/>
      <c r="AI9" s="32"/>
      <c r="AJ9" s="48"/>
      <c r="AL9" s="21"/>
      <c r="AM9" s="22"/>
      <c r="AN9" s="22"/>
      <c r="AO9" s="22"/>
      <c r="AP9" s="22"/>
      <c r="AQ9" s="22"/>
      <c r="AR9" s="22"/>
      <c r="AS9" s="22"/>
      <c r="AT9" s="22"/>
      <c r="AU9" s="22"/>
      <c r="AV9" s="127"/>
      <c r="AW9" s="127"/>
      <c r="AX9" s="22"/>
      <c r="AY9" s="305"/>
      <c r="BA9" s="407" t="s">
        <v>34</v>
      </c>
      <c r="BB9" s="63"/>
      <c r="BC9" s="86" t="s">
        <v>2</v>
      </c>
      <c r="BD9" s="64"/>
      <c r="BE9" s="408" t="s">
        <v>34</v>
      </c>
      <c r="BF9" s="63"/>
      <c r="BG9" s="62" t="s">
        <v>10</v>
      </c>
      <c r="BH9" s="143"/>
      <c r="BI9" s="419" t="s">
        <v>15</v>
      </c>
      <c r="BJ9" s="63"/>
      <c r="BK9" s="408" t="s">
        <v>113</v>
      </c>
      <c r="BL9" s="63"/>
      <c r="BM9" s="62" t="s">
        <v>10</v>
      </c>
      <c r="BN9" s="420" t="s">
        <v>102</v>
      </c>
      <c r="BO9" s="63"/>
      <c r="BP9" s="92" t="s">
        <v>2</v>
      </c>
      <c r="BQ9" s="309"/>
      <c r="BR9" s="93" t="s">
        <v>21</v>
      </c>
      <c r="BS9" s="63"/>
      <c r="BT9" s="94" t="s">
        <v>15</v>
      </c>
      <c r="BU9" s="169"/>
    </row>
    <row r="10" spans="2:90" x14ac:dyDescent="0.3">
      <c r="B10" s="157">
        <v>43910</v>
      </c>
      <c r="D10" s="17">
        <v>5594</v>
      </c>
      <c r="E10" s="16"/>
      <c r="F10" s="16"/>
      <c r="G10" s="16"/>
      <c r="H10" s="16">
        <f t="shared" ref="H10:H23" si="0">+H9+D10</f>
        <v>583767</v>
      </c>
      <c r="I10" s="16"/>
      <c r="J10" s="38">
        <f t="shared" ref="J10:J51" si="1">+D10/H9</f>
        <v>9.6753047963152889E-3</v>
      </c>
      <c r="K10" s="16"/>
      <c r="L10" s="16"/>
      <c r="M10" s="16"/>
      <c r="N10" s="16"/>
      <c r="O10" s="16">
        <f t="shared" ref="O10:O41" si="2">+H10/BW10</f>
        <v>583767</v>
      </c>
      <c r="P10" s="41"/>
      <c r="Q10" s="17"/>
      <c r="R10" s="16"/>
      <c r="S10" s="16"/>
      <c r="T10" s="16"/>
      <c r="U10" s="41"/>
      <c r="V10" s="1"/>
      <c r="W10" s="34">
        <f>49+3</f>
        <v>52</v>
      </c>
      <c r="X10" s="33"/>
      <c r="Y10" s="33"/>
      <c r="Z10" s="33"/>
      <c r="AA10" s="33">
        <f t="shared" ref="AA10:AA23" si="3">+AA9+W10</f>
        <v>2960</v>
      </c>
      <c r="AB10" s="33"/>
      <c r="AC10" s="46">
        <f t="shared" ref="AC10:AC41" si="4">+AA10/H10</f>
        <v>5.0705161477096168E-3</v>
      </c>
      <c r="AD10" s="213"/>
      <c r="AE10" s="33">
        <f t="shared" ref="AE10:AE41" si="5">+AA10/BW10</f>
        <v>2960</v>
      </c>
      <c r="AF10" s="50"/>
      <c r="AG10" s="33"/>
      <c r="AH10" s="33"/>
      <c r="AI10" s="33"/>
      <c r="AJ10" s="49"/>
      <c r="AK10" s="1"/>
      <c r="AL10" s="23"/>
      <c r="AM10" s="24"/>
      <c r="AN10" s="24"/>
      <c r="AO10" s="24"/>
      <c r="AP10" s="24">
        <v>176</v>
      </c>
      <c r="AQ10" s="24"/>
      <c r="AR10" s="24"/>
      <c r="AS10" s="24"/>
      <c r="AT10" s="24"/>
      <c r="AU10" s="24"/>
      <c r="AV10" s="127"/>
      <c r="AW10" s="127"/>
      <c r="AX10" s="22"/>
      <c r="AY10" s="305"/>
      <c r="AZ10" s="1"/>
      <c r="BA10" s="65"/>
      <c r="BB10" s="66"/>
      <c r="BC10" s="66"/>
      <c r="BD10" s="66"/>
      <c r="BE10" s="66"/>
      <c r="BF10" s="66"/>
      <c r="BG10" s="66"/>
      <c r="BH10" s="66"/>
      <c r="BI10" s="170"/>
      <c r="BJ10" s="66"/>
      <c r="BK10" s="66"/>
      <c r="BL10" s="66"/>
      <c r="BM10" s="66"/>
      <c r="BN10" s="65"/>
      <c r="BO10" s="66"/>
      <c r="BP10" s="66"/>
      <c r="BQ10" s="66"/>
      <c r="BR10" s="69"/>
      <c r="BS10" s="66"/>
      <c r="BT10" s="66"/>
      <c r="BU10" s="170"/>
      <c r="BV10" s="1"/>
      <c r="BW10">
        <v>1</v>
      </c>
    </row>
    <row r="11" spans="2:90" x14ac:dyDescent="0.3">
      <c r="B11" s="433">
        <f t="shared" ref="B11:B76" si="6">1+B10</f>
        <v>43911</v>
      </c>
      <c r="D11" s="17">
        <v>4824</v>
      </c>
      <c r="E11" s="16"/>
      <c r="F11" s="16"/>
      <c r="G11" s="16"/>
      <c r="H11" s="16">
        <f t="shared" si="0"/>
        <v>588591</v>
      </c>
      <c r="I11" s="16"/>
      <c r="J11" s="38">
        <f t="shared" si="1"/>
        <v>8.2635709109970239E-3</v>
      </c>
      <c r="K11" s="60"/>
      <c r="L11" s="60"/>
      <c r="M11" s="60"/>
      <c r="N11" s="60"/>
      <c r="O11" s="16">
        <f t="shared" si="2"/>
        <v>294295.5</v>
      </c>
      <c r="P11" s="42"/>
      <c r="Q11" s="410"/>
      <c r="R11" s="60"/>
      <c r="S11" s="60"/>
      <c r="T11" s="60"/>
      <c r="U11" s="42"/>
      <c r="V11" s="434"/>
      <c r="W11" s="34">
        <v>46</v>
      </c>
      <c r="X11" s="33"/>
      <c r="Y11" s="33"/>
      <c r="Z11" s="33"/>
      <c r="AA11" s="33">
        <f t="shared" si="3"/>
        <v>3006</v>
      </c>
      <c r="AB11" s="33"/>
      <c r="AC11" s="46">
        <f t="shared" si="4"/>
        <v>5.1071117295371487E-3</v>
      </c>
      <c r="AD11" s="213"/>
      <c r="AE11" s="33">
        <f t="shared" si="5"/>
        <v>1503</v>
      </c>
      <c r="AF11" s="50"/>
      <c r="AG11" s="33"/>
      <c r="AH11" s="33"/>
      <c r="AI11" s="33"/>
      <c r="AJ11" s="49"/>
      <c r="AK11" s="1"/>
      <c r="AL11" s="23">
        <f t="shared" ref="AL11:AL51" si="7">+AP11-AP10</f>
        <v>0</v>
      </c>
      <c r="AM11" s="24"/>
      <c r="AN11" s="24"/>
      <c r="AO11" s="24"/>
      <c r="AP11" s="24">
        <v>176</v>
      </c>
      <c r="AQ11" s="24"/>
      <c r="AR11" s="24"/>
      <c r="AS11" s="24"/>
      <c r="AT11" s="24"/>
      <c r="AU11" s="24"/>
      <c r="AV11" s="127"/>
      <c r="AW11" s="127"/>
      <c r="AX11" s="22"/>
      <c r="AY11" s="305"/>
      <c r="AZ11" s="1"/>
      <c r="BA11" s="65"/>
      <c r="BB11" s="66"/>
      <c r="BC11" s="66"/>
      <c r="BD11" s="66"/>
      <c r="BE11" s="66"/>
      <c r="BF11" s="66"/>
      <c r="BG11" s="66"/>
      <c r="BH11" s="66"/>
      <c r="BI11" s="170"/>
      <c r="BJ11" s="66"/>
      <c r="BK11" s="66"/>
      <c r="BL11" s="66"/>
      <c r="BM11" s="66"/>
      <c r="BN11" s="65"/>
      <c r="BO11" s="66"/>
      <c r="BP11" s="66"/>
      <c r="BQ11" s="66"/>
      <c r="BR11" s="69"/>
      <c r="BS11" s="66"/>
      <c r="BT11" s="66"/>
      <c r="BU11" s="170"/>
      <c r="BV11" s="1"/>
      <c r="BW11">
        <f>+BW10+1</f>
        <v>2</v>
      </c>
    </row>
    <row r="12" spans="2:90" x14ac:dyDescent="0.3">
      <c r="B12" s="347">
        <f t="shared" si="6"/>
        <v>43912</v>
      </c>
      <c r="D12" s="17">
        <v>9339</v>
      </c>
      <c r="E12" s="16"/>
      <c r="F12" s="16"/>
      <c r="G12" s="16"/>
      <c r="H12" s="16">
        <f t="shared" si="0"/>
        <v>597930</v>
      </c>
      <c r="I12" s="16"/>
      <c r="J12" s="38">
        <f t="shared" si="1"/>
        <v>1.586670540324266E-2</v>
      </c>
      <c r="K12" s="60"/>
      <c r="L12" s="60"/>
      <c r="M12" s="60"/>
      <c r="N12" s="60"/>
      <c r="O12" s="16">
        <f t="shared" si="2"/>
        <v>199310</v>
      </c>
      <c r="P12" s="42"/>
      <c r="Q12" s="410"/>
      <c r="R12" s="60"/>
      <c r="S12" s="60"/>
      <c r="T12" s="60"/>
      <c r="U12" s="42"/>
      <c r="V12" s="1"/>
      <c r="W12" s="34">
        <f>117-4</f>
        <v>113</v>
      </c>
      <c r="X12" s="33"/>
      <c r="Y12" s="33"/>
      <c r="Z12" s="33"/>
      <c r="AA12" s="33">
        <f t="shared" si="3"/>
        <v>3119</v>
      </c>
      <c r="AB12" s="33"/>
      <c r="AC12" s="46">
        <f t="shared" si="4"/>
        <v>5.2163296706972387E-3</v>
      </c>
      <c r="AD12" s="213"/>
      <c r="AE12" s="33">
        <f t="shared" si="5"/>
        <v>1039.6666666666667</v>
      </c>
      <c r="AF12" s="50"/>
      <c r="AG12" s="33"/>
      <c r="AH12" s="33"/>
      <c r="AI12" s="33"/>
      <c r="AJ12" s="49"/>
      <c r="AK12" s="1"/>
      <c r="AL12" s="23">
        <f t="shared" si="7"/>
        <v>2</v>
      </c>
      <c r="AM12" s="24"/>
      <c r="AN12" s="24"/>
      <c r="AO12" s="24"/>
      <c r="AP12" s="24">
        <v>178</v>
      </c>
      <c r="AQ12" s="24"/>
      <c r="AR12" s="25">
        <f t="shared" ref="AR12:AR51" si="8">+AL12/AP11</f>
        <v>1.1363636363636364E-2</v>
      </c>
      <c r="AS12" s="25"/>
      <c r="AT12" s="25"/>
      <c r="AU12" s="24"/>
      <c r="AV12" s="298">
        <f t="shared" ref="AV12:AV43" si="9">+AP12/H12</f>
        <v>2.9769370996604952E-4</v>
      </c>
      <c r="AW12" s="298"/>
      <c r="AX12" s="24">
        <f t="shared" ref="AX12:AX43" si="10">+AP12/BW12</f>
        <v>59.333333333333336</v>
      </c>
      <c r="AY12" s="306"/>
      <c r="AZ12" s="1"/>
      <c r="BA12" s="65"/>
      <c r="BB12" s="66"/>
      <c r="BC12" s="66"/>
      <c r="BD12" s="66"/>
      <c r="BE12" s="66"/>
      <c r="BF12" s="66"/>
      <c r="BG12" s="66"/>
      <c r="BH12" s="66"/>
      <c r="BI12" s="170"/>
      <c r="BJ12" s="66"/>
      <c r="BK12" s="66"/>
      <c r="BL12" s="66"/>
      <c r="BM12" s="66"/>
      <c r="BN12" s="65"/>
      <c r="BO12" s="66"/>
      <c r="BP12" s="66"/>
      <c r="BQ12" s="66"/>
      <c r="BR12" s="69"/>
      <c r="BS12" s="66"/>
      <c r="BT12" s="66"/>
      <c r="BU12" s="170"/>
      <c r="BV12" s="1"/>
      <c r="BW12">
        <f t="shared" ref="BW12:BW76" si="11">+BW11+1</f>
        <v>3</v>
      </c>
    </row>
    <row r="13" spans="2:90" x14ac:dyDescent="0.3">
      <c r="B13" s="157">
        <f t="shared" si="6"/>
        <v>43913</v>
      </c>
      <c r="D13" s="17">
        <v>10168</v>
      </c>
      <c r="E13" s="16"/>
      <c r="F13" s="16"/>
      <c r="G13" s="16"/>
      <c r="H13" s="16">
        <f t="shared" si="0"/>
        <v>608098</v>
      </c>
      <c r="I13" s="16"/>
      <c r="J13" s="38">
        <f t="shared" si="1"/>
        <v>1.7005335072667369E-2</v>
      </c>
      <c r="K13" s="60"/>
      <c r="L13" s="60"/>
      <c r="M13" s="60"/>
      <c r="N13" s="60"/>
      <c r="O13" s="16">
        <f t="shared" si="2"/>
        <v>152024.5</v>
      </c>
      <c r="P13" s="42"/>
      <c r="Q13" s="410"/>
      <c r="R13" s="60"/>
      <c r="S13" s="60"/>
      <c r="T13" s="60"/>
      <c r="U13" s="42"/>
      <c r="V13" s="1"/>
      <c r="W13" s="34">
        <f>140+1</f>
        <v>141</v>
      </c>
      <c r="X13" s="33"/>
      <c r="Y13" s="33"/>
      <c r="Z13" s="33"/>
      <c r="AA13" s="33">
        <f t="shared" si="3"/>
        <v>3260</v>
      </c>
      <c r="AB13" s="33"/>
      <c r="AC13" s="46">
        <f t="shared" si="4"/>
        <v>5.3609780002565376E-3</v>
      </c>
      <c r="AD13" s="213"/>
      <c r="AE13" s="33">
        <f t="shared" si="5"/>
        <v>815</v>
      </c>
      <c r="AF13" s="50"/>
      <c r="AG13" s="33"/>
      <c r="AH13" s="33"/>
      <c r="AI13" s="33"/>
      <c r="AJ13" s="49"/>
      <c r="AK13" s="1"/>
      <c r="AL13" s="23">
        <f t="shared" si="7"/>
        <v>117</v>
      </c>
      <c r="AM13" s="24"/>
      <c r="AN13" s="24"/>
      <c r="AO13" s="24"/>
      <c r="AP13" s="24">
        <v>295</v>
      </c>
      <c r="AQ13" s="24"/>
      <c r="AR13" s="25">
        <f t="shared" si="8"/>
        <v>0.65730337078651691</v>
      </c>
      <c r="AS13" s="25"/>
      <c r="AT13" s="25"/>
      <c r="AU13" s="24"/>
      <c r="AV13" s="298">
        <f t="shared" si="9"/>
        <v>4.8511917486984007E-4</v>
      </c>
      <c r="AW13" s="298"/>
      <c r="AX13" s="24">
        <f t="shared" si="10"/>
        <v>73.75</v>
      </c>
      <c r="AY13" s="308"/>
      <c r="AZ13" s="1"/>
      <c r="BA13" s="65"/>
      <c r="BB13" s="66"/>
      <c r="BC13" s="66"/>
      <c r="BD13" s="66"/>
      <c r="BE13" s="66"/>
      <c r="BF13" s="66"/>
      <c r="BG13" s="66"/>
      <c r="BH13" s="66"/>
      <c r="BI13" s="170"/>
      <c r="BJ13" s="66"/>
      <c r="BK13" s="66"/>
      <c r="BL13" s="66"/>
      <c r="BM13" s="66"/>
      <c r="BN13" s="65"/>
      <c r="BO13" s="66"/>
      <c r="BP13" s="66"/>
      <c r="BQ13" s="66"/>
      <c r="BR13" s="69"/>
      <c r="BS13" s="66"/>
      <c r="BT13" s="66"/>
      <c r="BU13" s="170"/>
      <c r="BV13" s="1"/>
      <c r="BW13">
        <f t="shared" si="11"/>
        <v>4</v>
      </c>
    </row>
    <row r="14" spans="2:90" x14ac:dyDescent="0.3">
      <c r="B14" s="157">
        <f t="shared" si="6"/>
        <v>43914</v>
      </c>
      <c r="D14" s="17">
        <v>11089</v>
      </c>
      <c r="E14" s="16"/>
      <c r="F14" s="16"/>
      <c r="G14" s="16"/>
      <c r="H14" s="16">
        <f t="shared" si="0"/>
        <v>619187</v>
      </c>
      <c r="I14" s="16"/>
      <c r="J14" s="38">
        <f t="shared" si="1"/>
        <v>1.8235547559768327E-2</v>
      </c>
      <c r="K14" s="60"/>
      <c r="L14" s="60"/>
      <c r="M14" s="60"/>
      <c r="N14" s="60"/>
      <c r="O14" s="16">
        <f t="shared" si="2"/>
        <v>123837.4</v>
      </c>
      <c r="P14" s="42"/>
      <c r="Q14" s="410"/>
      <c r="R14" s="60"/>
      <c r="S14" s="60"/>
      <c r="T14" s="60"/>
      <c r="U14" s="42"/>
      <c r="V14" s="1"/>
      <c r="W14" s="34">
        <v>225</v>
      </c>
      <c r="X14" s="33"/>
      <c r="Y14" s="33"/>
      <c r="Z14" s="33"/>
      <c r="AA14" s="33">
        <f t="shared" si="3"/>
        <v>3485</v>
      </c>
      <c r="AB14" s="33"/>
      <c r="AC14" s="46">
        <f t="shared" si="4"/>
        <v>5.6283481403840846E-3</v>
      </c>
      <c r="AD14" s="213"/>
      <c r="AE14" s="33">
        <f t="shared" si="5"/>
        <v>697</v>
      </c>
      <c r="AF14" s="50"/>
      <c r="AG14" s="33"/>
      <c r="AH14" s="33"/>
      <c r="AI14" s="33"/>
      <c r="AJ14" s="49"/>
      <c r="AK14" s="1"/>
      <c r="AL14" s="23">
        <f t="shared" si="7"/>
        <v>83</v>
      </c>
      <c r="AM14" s="24"/>
      <c r="AN14" s="24"/>
      <c r="AO14" s="24"/>
      <c r="AP14" s="24">
        <v>378</v>
      </c>
      <c r="AQ14" s="24"/>
      <c r="AR14" s="25">
        <f t="shared" si="8"/>
        <v>0.28135593220338984</v>
      </c>
      <c r="AS14" s="25"/>
      <c r="AT14" s="25"/>
      <c r="AU14" s="24"/>
      <c r="AV14" s="298">
        <f t="shared" si="9"/>
        <v>6.1047793316074139E-4</v>
      </c>
      <c r="AW14" s="298"/>
      <c r="AX14" s="24">
        <f t="shared" si="10"/>
        <v>75.599999999999994</v>
      </c>
      <c r="AY14" s="308"/>
      <c r="AZ14" s="1"/>
      <c r="BA14" s="65"/>
      <c r="BB14" s="66"/>
      <c r="BC14" s="66"/>
      <c r="BD14" s="66"/>
      <c r="BE14" s="66"/>
      <c r="BF14" s="66"/>
      <c r="BG14" s="66"/>
      <c r="BH14" s="66"/>
      <c r="BI14" s="170"/>
      <c r="BJ14" s="66"/>
      <c r="BK14" s="66"/>
      <c r="BL14" s="66"/>
      <c r="BM14" s="66"/>
      <c r="BN14" s="65"/>
      <c r="BO14" s="66"/>
      <c r="BP14" s="66"/>
      <c r="BQ14" s="66"/>
      <c r="BR14" s="69"/>
      <c r="BS14" s="66"/>
      <c r="BT14" s="66"/>
      <c r="BU14" s="170"/>
      <c r="BV14" s="1"/>
      <c r="BW14">
        <f t="shared" si="11"/>
        <v>5</v>
      </c>
      <c r="CL14" s="56"/>
    </row>
    <row r="15" spans="2:90" x14ac:dyDescent="0.3">
      <c r="B15" s="157">
        <f t="shared" si="6"/>
        <v>43915</v>
      </c>
      <c r="D15" s="17">
        <v>13355</v>
      </c>
      <c r="E15" s="16"/>
      <c r="F15" s="16"/>
      <c r="G15" s="16"/>
      <c r="H15" s="16">
        <f t="shared" si="0"/>
        <v>632542</v>
      </c>
      <c r="I15" s="16"/>
      <c r="J15" s="38">
        <f t="shared" si="1"/>
        <v>2.1568605284025665E-2</v>
      </c>
      <c r="K15" s="60"/>
      <c r="L15" s="60"/>
      <c r="M15" s="60"/>
      <c r="N15" s="60"/>
      <c r="O15" s="16">
        <f t="shared" si="2"/>
        <v>105423.66666666667</v>
      </c>
      <c r="P15" s="42"/>
      <c r="Q15" s="410"/>
      <c r="R15" s="60"/>
      <c r="S15" s="60"/>
      <c r="T15" s="60"/>
      <c r="U15" s="42"/>
      <c r="V15" s="1"/>
      <c r="W15" s="34">
        <v>247</v>
      </c>
      <c r="X15" s="33"/>
      <c r="Y15" s="33"/>
      <c r="Z15" s="33"/>
      <c r="AA15" s="33">
        <f t="shared" si="3"/>
        <v>3732</v>
      </c>
      <c r="AB15" s="33"/>
      <c r="AC15" s="46">
        <f t="shared" si="4"/>
        <v>5.9000034780299178E-3</v>
      </c>
      <c r="AD15" s="213"/>
      <c r="AE15" s="33">
        <f t="shared" si="5"/>
        <v>622</v>
      </c>
      <c r="AF15" s="50"/>
      <c r="AG15" s="33"/>
      <c r="AH15" s="33"/>
      <c r="AI15" s="33"/>
      <c r="AJ15" s="49"/>
      <c r="AK15" s="1"/>
      <c r="AL15" s="23">
        <f t="shared" si="7"/>
        <v>16</v>
      </c>
      <c r="AM15" s="24"/>
      <c r="AN15" s="24"/>
      <c r="AO15" s="24"/>
      <c r="AP15" s="24">
        <v>394</v>
      </c>
      <c r="AQ15" s="24"/>
      <c r="AR15" s="25">
        <f t="shared" si="8"/>
        <v>4.2328042328042326E-2</v>
      </c>
      <c r="AS15" s="25"/>
      <c r="AT15" s="25"/>
      <c r="AU15" s="24"/>
      <c r="AV15" s="298">
        <f t="shared" si="9"/>
        <v>6.2288353974913923E-4</v>
      </c>
      <c r="AW15" s="298"/>
      <c r="AX15" s="24">
        <f t="shared" si="10"/>
        <v>65.666666666666671</v>
      </c>
      <c r="AY15" s="308"/>
      <c r="AZ15" s="1"/>
      <c r="BA15" s="65"/>
      <c r="BB15" s="66"/>
      <c r="BC15" s="66"/>
      <c r="BD15" s="66"/>
      <c r="BE15" s="66"/>
      <c r="BF15" s="66"/>
      <c r="BG15" s="66"/>
      <c r="BH15" s="66"/>
      <c r="BI15" s="170"/>
      <c r="BJ15" s="66"/>
      <c r="BK15" s="66"/>
      <c r="BL15" s="66"/>
      <c r="BM15" s="66"/>
      <c r="BN15" s="65"/>
      <c r="BO15" s="66"/>
      <c r="BP15" s="66"/>
      <c r="BQ15" s="66"/>
      <c r="BR15" s="69"/>
      <c r="BS15" s="66"/>
      <c r="BT15" s="66"/>
      <c r="BU15" s="170"/>
      <c r="BV15" s="1"/>
      <c r="BW15">
        <f t="shared" si="11"/>
        <v>6</v>
      </c>
      <c r="CL15" s="56"/>
    </row>
    <row r="16" spans="2:90" x14ac:dyDescent="0.3">
      <c r="B16" s="157">
        <f t="shared" si="6"/>
        <v>43916</v>
      </c>
      <c r="D16" s="17">
        <v>17224</v>
      </c>
      <c r="E16" s="16"/>
      <c r="F16" s="16"/>
      <c r="G16" s="16"/>
      <c r="H16" s="16">
        <f t="shared" si="0"/>
        <v>649766</v>
      </c>
      <c r="I16" s="16"/>
      <c r="J16" s="38">
        <f t="shared" si="1"/>
        <v>2.722981240771364E-2</v>
      </c>
      <c r="K16" s="60"/>
      <c r="L16" s="60"/>
      <c r="M16" s="60"/>
      <c r="N16" s="60"/>
      <c r="O16" s="16">
        <f t="shared" si="2"/>
        <v>92823.71428571429</v>
      </c>
      <c r="P16" s="42"/>
      <c r="Q16" s="410"/>
      <c r="R16" s="60"/>
      <c r="S16" s="60"/>
      <c r="T16" s="60"/>
      <c r="U16" s="42"/>
      <c r="V16" s="1"/>
      <c r="W16" s="34">
        <v>268</v>
      </c>
      <c r="X16" s="33"/>
      <c r="Y16" s="33"/>
      <c r="Z16" s="33"/>
      <c r="AA16" s="33">
        <f t="shared" si="3"/>
        <v>4000</v>
      </c>
      <c r="AB16" s="33"/>
      <c r="AC16" s="46">
        <f t="shared" si="4"/>
        <v>6.1560623362872172E-3</v>
      </c>
      <c r="AD16" s="213"/>
      <c r="AE16" s="33">
        <f t="shared" si="5"/>
        <v>571.42857142857144</v>
      </c>
      <c r="AF16" s="50"/>
      <c r="AG16" s="33"/>
      <c r="AH16" s="33"/>
      <c r="AI16" s="33"/>
      <c r="AJ16" s="49"/>
      <c r="AK16" s="1"/>
      <c r="AL16" s="23">
        <f t="shared" si="7"/>
        <v>1474</v>
      </c>
      <c r="AM16" s="24"/>
      <c r="AN16" s="24"/>
      <c r="AO16" s="24"/>
      <c r="AP16" s="24">
        <v>1868</v>
      </c>
      <c r="AQ16" s="24"/>
      <c r="AR16" s="25">
        <f t="shared" si="8"/>
        <v>3.7411167512690353</v>
      </c>
      <c r="AS16" s="25"/>
      <c r="AT16" s="25"/>
      <c r="AU16" s="24"/>
      <c r="AV16" s="298">
        <f t="shared" si="9"/>
        <v>2.8748811110461303E-3</v>
      </c>
      <c r="AW16" s="298"/>
      <c r="AX16" s="24">
        <f t="shared" si="10"/>
        <v>266.85714285714283</v>
      </c>
      <c r="AY16" s="308"/>
      <c r="AZ16" s="1"/>
      <c r="BA16" s="65"/>
      <c r="BB16" s="66"/>
      <c r="BC16" s="66"/>
      <c r="BD16" s="66"/>
      <c r="BE16" s="66"/>
      <c r="BF16" s="66"/>
      <c r="BG16" s="66"/>
      <c r="BH16" s="66"/>
      <c r="BI16" s="170"/>
      <c r="BJ16" s="66"/>
      <c r="BK16" s="66"/>
      <c r="BL16" s="66"/>
      <c r="BM16" s="66"/>
      <c r="BN16" s="65"/>
      <c r="BO16" s="66"/>
      <c r="BP16" s="66"/>
      <c r="BQ16" s="66"/>
      <c r="BR16" s="69"/>
      <c r="BS16" s="66"/>
      <c r="BT16" s="66"/>
      <c r="BU16" s="170"/>
      <c r="BV16" s="1"/>
      <c r="BW16">
        <f t="shared" si="11"/>
        <v>7</v>
      </c>
      <c r="CL16" s="56"/>
    </row>
    <row r="17" spans="2:90" x14ac:dyDescent="0.3">
      <c r="B17" s="157">
        <f t="shared" si="6"/>
        <v>43917</v>
      </c>
      <c r="D17" s="17">
        <v>18691</v>
      </c>
      <c r="E17" s="16"/>
      <c r="F17" s="16"/>
      <c r="G17" s="16"/>
      <c r="H17" s="16">
        <f t="shared" si="0"/>
        <v>668457</v>
      </c>
      <c r="I17" s="16"/>
      <c r="J17" s="38">
        <f t="shared" si="1"/>
        <v>2.8765740281886096E-2</v>
      </c>
      <c r="K17" s="60"/>
      <c r="L17" s="60"/>
      <c r="M17" s="60"/>
      <c r="N17" s="60"/>
      <c r="O17" s="16">
        <f t="shared" si="2"/>
        <v>83557.125</v>
      </c>
      <c r="P17" s="42"/>
      <c r="Q17" s="410"/>
      <c r="R17" s="60"/>
      <c r="S17" s="60"/>
      <c r="T17" s="60"/>
      <c r="U17" s="42"/>
      <c r="V17" s="1"/>
      <c r="W17" s="34">
        <f>401-1</f>
        <v>400</v>
      </c>
      <c r="X17" s="33"/>
      <c r="Y17" s="33"/>
      <c r="Z17" s="33"/>
      <c r="AA17" s="33">
        <f t="shared" si="3"/>
        <v>4400</v>
      </c>
      <c r="AB17" s="33"/>
      <c r="AC17" s="46">
        <f t="shared" si="4"/>
        <v>6.5823231711239468E-3</v>
      </c>
      <c r="AD17" s="213"/>
      <c r="AE17" s="33">
        <f t="shared" si="5"/>
        <v>550</v>
      </c>
      <c r="AF17" s="50"/>
      <c r="AG17" s="33"/>
      <c r="AH17" s="33"/>
      <c r="AI17" s="33"/>
      <c r="AJ17" s="49"/>
      <c r="AK17" s="1"/>
      <c r="AL17" s="23">
        <f t="shared" si="7"/>
        <v>654</v>
      </c>
      <c r="AM17" s="24"/>
      <c r="AN17" s="24"/>
      <c r="AO17" s="24"/>
      <c r="AP17" s="24">
        <v>2522</v>
      </c>
      <c r="AQ17" s="24"/>
      <c r="AR17" s="25">
        <f t="shared" si="8"/>
        <v>0.3501070663811563</v>
      </c>
      <c r="AS17" s="25"/>
      <c r="AT17" s="25"/>
      <c r="AU17" s="24"/>
      <c r="AV17" s="298">
        <f t="shared" si="9"/>
        <v>3.7728679630851347E-3</v>
      </c>
      <c r="AW17" s="298"/>
      <c r="AX17" s="24">
        <f t="shared" si="10"/>
        <v>315.25</v>
      </c>
      <c r="AY17" s="308"/>
      <c r="AZ17" s="1"/>
      <c r="BA17" s="65"/>
      <c r="BB17" s="66"/>
      <c r="BC17" s="66"/>
      <c r="BD17" s="66"/>
      <c r="BE17" s="66"/>
      <c r="BF17" s="66"/>
      <c r="BG17" s="66"/>
      <c r="BH17" s="66"/>
      <c r="BI17" s="170"/>
      <c r="BJ17" s="66"/>
      <c r="BK17" s="66"/>
      <c r="BL17" s="66"/>
      <c r="BM17" s="66"/>
      <c r="BN17" s="65"/>
      <c r="BO17" s="66"/>
      <c r="BP17" s="66"/>
      <c r="BQ17" s="66"/>
      <c r="BR17" s="69"/>
      <c r="BS17" s="66"/>
      <c r="BT17" s="66"/>
      <c r="BU17" s="170"/>
      <c r="BV17" s="1"/>
      <c r="BW17">
        <f t="shared" si="11"/>
        <v>8</v>
      </c>
      <c r="CL17" s="56"/>
    </row>
    <row r="18" spans="2:90" x14ac:dyDescent="0.3">
      <c r="B18" s="433">
        <f t="shared" si="6"/>
        <v>43918</v>
      </c>
      <c r="D18" s="17">
        <v>19452</v>
      </c>
      <c r="E18" s="16"/>
      <c r="F18" s="16"/>
      <c r="G18" s="16"/>
      <c r="H18" s="16">
        <f t="shared" si="0"/>
        <v>687909</v>
      </c>
      <c r="I18" s="16"/>
      <c r="J18" s="38">
        <f t="shared" si="1"/>
        <v>2.9099852346523413E-2</v>
      </c>
      <c r="K18" s="60"/>
      <c r="L18" s="60"/>
      <c r="M18" s="60"/>
      <c r="N18" s="60"/>
      <c r="O18" s="16">
        <f t="shared" si="2"/>
        <v>76434.333333333328</v>
      </c>
      <c r="P18" s="42"/>
      <c r="Q18" s="410"/>
      <c r="R18" s="60"/>
      <c r="S18" s="60"/>
      <c r="T18" s="60"/>
      <c r="U18" s="42"/>
      <c r="V18" s="434"/>
      <c r="W18" s="34">
        <v>525</v>
      </c>
      <c r="X18" s="33"/>
      <c r="Y18" s="33"/>
      <c r="Z18" s="33"/>
      <c r="AA18" s="33">
        <f t="shared" si="3"/>
        <v>4925</v>
      </c>
      <c r="AB18" s="33"/>
      <c r="AC18" s="46">
        <f t="shared" si="4"/>
        <v>7.1593771850637219E-3</v>
      </c>
      <c r="AD18" s="213"/>
      <c r="AE18" s="33">
        <f t="shared" si="5"/>
        <v>547.22222222222217</v>
      </c>
      <c r="AF18" s="50"/>
      <c r="AG18" s="33"/>
      <c r="AH18" s="33"/>
      <c r="AI18" s="33"/>
      <c r="AJ18" s="49"/>
      <c r="AK18" s="1"/>
      <c r="AL18" s="23">
        <f t="shared" si="7"/>
        <v>709</v>
      </c>
      <c r="AM18" s="24"/>
      <c r="AN18" s="24"/>
      <c r="AO18" s="24"/>
      <c r="AP18" s="24">
        <v>3231</v>
      </c>
      <c r="AQ18" s="24"/>
      <c r="AR18" s="25">
        <f t="shared" si="8"/>
        <v>0.28112609040444092</v>
      </c>
      <c r="AS18" s="25"/>
      <c r="AT18" s="25"/>
      <c r="AU18" s="24"/>
      <c r="AV18" s="298">
        <f t="shared" si="9"/>
        <v>4.696842169531144E-3</v>
      </c>
      <c r="AW18" s="298"/>
      <c r="AX18" s="24">
        <f t="shared" si="10"/>
        <v>359</v>
      </c>
      <c r="AY18" s="308"/>
      <c r="AZ18" s="1"/>
      <c r="BA18" s="65"/>
      <c r="BB18" s="66"/>
      <c r="BC18" s="66"/>
      <c r="BD18" s="66"/>
      <c r="BE18" s="66"/>
      <c r="BF18" s="66"/>
      <c r="BG18" s="66"/>
      <c r="BH18" s="66"/>
      <c r="BI18" s="170"/>
      <c r="BJ18" s="66"/>
      <c r="BK18" s="66"/>
      <c r="BL18" s="66"/>
      <c r="BM18" s="66"/>
      <c r="BN18" s="65"/>
      <c r="BO18" s="66"/>
      <c r="BP18" s="66"/>
      <c r="BQ18" s="66"/>
      <c r="BR18" s="69"/>
      <c r="BS18" s="66"/>
      <c r="BT18" s="66"/>
      <c r="BU18" s="170"/>
      <c r="BV18" s="1"/>
      <c r="BW18">
        <f t="shared" si="11"/>
        <v>9</v>
      </c>
      <c r="CL18" s="56"/>
    </row>
    <row r="19" spans="2:90" x14ac:dyDescent="0.3">
      <c r="B19" s="347">
        <f t="shared" si="6"/>
        <v>43919</v>
      </c>
      <c r="D19" s="17">
        <v>19913</v>
      </c>
      <c r="E19" s="16"/>
      <c r="F19" s="16"/>
      <c r="G19" s="16"/>
      <c r="H19" s="16">
        <f t="shared" si="0"/>
        <v>707822</v>
      </c>
      <c r="I19" s="16"/>
      <c r="J19" s="38">
        <f t="shared" si="1"/>
        <v>2.8947142718004852E-2</v>
      </c>
      <c r="K19" s="60"/>
      <c r="L19" s="60"/>
      <c r="M19" s="60"/>
      <c r="N19" s="60"/>
      <c r="O19" s="16">
        <f t="shared" si="2"/>
        <v>70782.2</v>
      </c>
      <c r="P19" s="42"/>
      <c r="Q19" s="410"/>
      <c r="R19" s="60"/>
      <c r="S19" s="60"/>
      <c r="T19" s="60"/>
      <c r="U19" s="42"/>
      <c r="V19" s="348"/>
      <c r="W19" s="34">
        <v>363</v>
      </c>
      <c r="X19" s="33"/>
      <c r="Y19" s="33"/>
      <c r="Z19" s="33"/>
      <c r="AA19" s="33">
        <f t="shared" si="3"/>
        <v>5288</v>
      </c>
      <c r="AB19" s="33"/>
      <c r="AC19" s="46">
        <f t="shared" si="4"/>
        <v>7.470804806858221E-3</v>
      </c>
      <c r="AD19" s="213"/>
      <c r="AE19" s="33">
        <f t="shared" si="5"/>
        <v>528.79999999999995</v>
      </c>
      <c r="AF19" s="50"/>
      <c r="AG19" s="33"/>
      <c r="AH19" s="33"/>
      <c r="AI19" s="33"/>
      <c r="AJ19" s="49"/>
      <c r="AK19" s="348"/>
      <c r="AL19" s="23">
        <f t="shared" si="7"/>
        <v>1328</v>
      </c>
      <c r="AM19" s="24"/>
      <c r="AN19" s="24"/>
      <c r="AO19" s="24"/>
      <c r="AP19" s="24">
        <v>4559</v>
      </c>
      <c r="AQ19" s="24"/>
      <c r="AR19" s="25">
        <f t="shared" si="8"/>
        <v>0.41101826060043328</v>
      </c>
      <c r="AS19" s="25"/>
      <c r="AT19" s="25"/>
      <c r="AU19" s="24"/>
      <c r="AV19" s="298">
        <f t="shared" si="9"/>
        <v>6.4408848552319651E-3</v>
      </c>
      <c r="AW19" s="298"/>
      <c r="AX19" s="24">
        <f t="shared" si="10"/>
        <v>455.9</v>
      </c>
      <c r="AY19" s="308"/>
      <c r="AZ19" s="348"/>
      <c r="BA19" s="65"/>
      <c r="BB19" s="66"/>
      <c r="BC19" s="66"/>
      <c r="BD19" s="66"/>
      <c r="BE19" s="66"/>
      <c r="BF19" s="66"/>
      <c r="BG19" s="66"/>
      <c r="BH19" s="66"/>
      <c r="BI19" s="170"/>
      <c r="BJ19" s="66"/>
      <c r="BK19" s="66"/>
      <c r="BL19" s="66"/>
      <c r="BM19" s="66"/>
      <c r="BN19" s="65"/>
      <c r="BO19" s="66"/>
      <c r="BP19" s="66"/>
      <c r="BQ19" s="66"/>
      <c r="BR19" s="69"/>
      <c r="BS19" s="66"/>
      <c r="BT19" s="66"/>
      <c r="BU19" s="170"/>
      <c r="BV19" s="1"/>
      <c r="BW19">
        <f t="shared" si="11"/>
        <v>10</v>
      </c>
      <c r="CL19" s="56"/>
    </row>
    <row r="20" spans="2:90" x14ac:dyDescent="0.3">
      <c r="B20" s="158">
        <f t="shared" si="6"/>
        <v>43920</v>
      </c>
      <c r="D20" s="17">
        <v>20353</v>
      </c>
      <c r="E20" s="16"/>
      <c r="F20" s="16"/>
      <c r="G20" s="16"/>
      <c r="H20" s="16">
        <f t="shared" si="0"/>
        <v>728175</v>
      </c>
      <c r="I20" s="16"/>
      <c r="J20" s="38">
        <f t="shared" si="1"/>
        <v>2.8754404355897385E-2</v>
      </c>
      <c r="K20" s="60"/>
      <c r="L20" s="60"/>
      <c r="M20" s="60"/>
      <c r="N20" s="60"/>
      <c r="O20" s="16">
        <f t="shared" si="2"/>
        <v>66197.727272727279</v>
      </c>
      <c r="P20" s="42"/>
      <c r="Q20" s="410"/>
      <c r="R20" s="60"/>
      <c r="S20" s="60"/>
      <c r="T20" s="60"/>
      <c r="U20" s="42"/>
      <c r="V20" s="10"/>
      <c r="W20" s="34">
        <f>573-15</f>
        <v>558</v>
      </c>
      <c r="X20" s="33"/>
      <c r="Y20" s="33"/>
      <c r="Z20" s="33"/>
      <c r="AA20" s="33">
        <f t="shared" si="3"/>
        <v>5846</v>
      </c>
      <c r="AB20" s="33"/>
      <c r="AC20" s="46">
        <f t="shared" si="4"/>
        <v>8.0282899028392904E-3</v>
      </c>
      <c r="AD20" s="213"/>
      <c r="AE20" s="33">
        <f t="shared" si="5"/>
        <v>531.4545454545455</v>
      </c>
      <c r="AF20" s="50"/>
      <c r="AG20" s="33"/>
      <c r="AH20" s="33"/>
      <c r="AI20" s="33"/>
      <c r="AJ20" s="49"/>
      <c r="AK20" s="10"/>
      <c r="AL20" s="23">
        <f t="shared" si="7"/>
        <v>947</v>
      </c>
      <c r="AM20" s="24"/>
      <c r="AN20" s="24"/>
      <c r="AO20" s="24"/>
      <c r="AP20" s="24">
        <v>5506</v>
      </c>
      <c r="AQ20" s="24"/>
      <c r="AR20" s="25">
        <f t="shared" si="8"/>
        <v>0.20772099144549244</v>
      </c>
      <c r="AS20" s="25"/>
      <c r="AT20" s="25"/>
      <c r="AU20" s="24"/>
      <c r="AV20" s="298">
        <f t="shared" si="9"/>
        <v>7.5613691763655715E-3</v>
      </c>
      <c r="AW20" s="298"/>
      <c r="AX20" s="24">
        <f t="shared" si="10"/>
        <v>500.54545454545456</v>
      </c>
      <c r="AY20" s="308"/>
      <c r="AZ20" s="10"/>
      <c r="BA20" s="65"/>
      <c r="BB20" s="66"/>
      <c r="BC20" s="66"/>
      <c r="BD20" s="66"/>
      <c r="BE20" s="66"/>
      <c r="BF20" s="66"/>
      <c r="BG20" s="66"/>
      <c r="BH20" s="66"/>
      <c r="BI20" s="170"/>
      <c r="BJ20" s="66"/>
      <c r="BK20" s="66"/>
      <c r="BL20" s="66"/>
      <c r="BM20" s="66"/>
      <c r="BN20" s="65"/>
      <c r="BO20" s="66"/>
      <c r="BP20" s="66"/>
      <c r="BQ20" s="66"/>
      <c r="BR20" s="69"/>
      <c r="BS20" s="66"/>
      <c r="BT20" s="66"/>
      <c r="BU20" s="170"/>
      <c r="BV20" s="1"/>
      <c r="BW20">
        <f t="shared" si="11"/>
        <v>11</v>
      </c>
      <c r="CL20" s="56"/>
    </row>
    <row r="21" spans="2:90" x14ac:dyDescent="0.3">
      <c r="B21" s="158">
        <f t="shared" si="6"/>
        <v>43921</v>
      </c>
      <c r="D21" s="17">
        <v>24742</v>
      </c>
      <c r="E21" s="16"/>
      <c r="F21" s="16"/>
      <c r="G21" s="16"/>
      <c r="H21" s="16">
        <f t="shared" si="0"/>
        <v>752917</v>
      </c>
      <c r="I21" s="16"/>
      <c r="J21" s="38">
        <f t="shared" si="1"/>
        <v>3.3978095924743365E-2</v>
      </c>
      <c r="K21" s="60"/>
      <c r="L21" s="60"/>
      <c r="M21" s="60"/>
      <c r="N21" s="60"/>
      <c r="O21" s="16">
        <f t="shared" si="2"/>
        <v>62743.083333333336</v>
      </c>
      <c r="P21" s="42"/>
      <c r="Q21" s="410"/>
      <c r="R21" s="60"/>
      <c r="S21" s="60"/>
      <c r="T21" s="60"/>
      <c r="U21" s="42"/>
      <c r="V21" s="1"/>
      <c r="W21" s="34">
        <f>748+164</f>
        <v>912</v>
      </c>
      <c r="X21" s="33"/>
      <c r="Y21" s="33"/>
      <c r="Z21" s="33"/>
      <c r="AA21" s="33">
        <f t="shared" si="3"/>
        <v>6758</v>
      </c>
      <c r="AB21" s="33"/>
      <c r="AC21" s="46">
        <f t="shared" si="4"/>
        <v>8.9757569559460078E-3</v>
      </c>
      <c r="AD21" s="33"/>
      <c r="AE21" s="33">
        <f t="shared" si="5"/>
        <v>563.16666666666663</v>
      </c>
      <c r="AF21" s="50"/>
      <c r="AG21" s="33"/>
      <c r="AH21" s="33"/>
      <c r="AI21" s="33"/>
      <c r="AJ21" s="50"/>
      <c r="AK21" s="1"/>
      <c r="AL21" s="23">
        <f t="shared" si="7"/>
        <v>1745</v>
      </c>
      <c r="AM21" s="24"/>
      <c r="AN21" s="24"/>
      <c r="AO21" s="24"/>
      <c r="AP21" s="24">
        <v>7251</v>
      </c>
      <c r="AQ21" s="24"/>
      <c r="AR21" s="25">
        <f t="shared" si="8"/>
        <v>0.31692698873955683</v>
      </c>
      <c r="AS21" s="25"/>
      <c r="AT21" s="25"/>
      <c r="AU21" s="24"/>
      <c r="AV21" s="298">
        <f t="shared" si="9"/>
        <v>9.6305436057360898E-3</v>
      </c>
      <c r="AW21" s="298"/>
      <c r="AX21" s="24">
        <f t="shared" si="10"/>
        <v>604.25</v>
      </c>
      <c r="AY21" s="308"/>
      <c r="AZ21" s="1"/>
      <c r="BA21" s="65"/>
      <c r="BB21" s="66"/>
      <c r="BC21" s="66"/>
      <c r="BD21" s="66"/>
      <c r="BE21" s="66"/>
      <c r="BF21" s="66"/>
      <c r="BG21" s="66"/>
      <c r="BH21" s="66"/>
      <c r="BI21" s="170"/>
      <c r="BJ21" s="66"/>
      <c r="BK21" s="66"/>
      <c r="BL21" s="66"/>
      <c r="BM21" s="66"/>
      <c r="BN21" s="65"/>
      <c r="BO21" s="66"/>
      <c r="BP21" s="66"/>
      <c r="BQ21" s="66"/>
      <c r="BR21" s="69"/>
      <c r="BS21" s="66"/>
      <c r="BT21" s="66"/>
      <c r="BU21" s="170"/>
      <c r="BV21" s="1"/>
      <c r="BW21">
        <f t="shared" si="11"/>
        <v>12</v>
      </c>
      <c r="CL21" s="56"/>
    </row>
    <row r="22" spans="2:90" x14ac:dyDescent="0.3">
      <c r="B22" s="158">
        <f t="shared" si="6"/>
        <v>43922</v>
      </c>
      <c r="D22" s="17">
        <v>26473</v>
      </c>
      <c r="E22" s="16"/>
      <c r="F22" s="16"/>
      <c r="G22" s="16"/>
      <c r="H22" s="16">
        <f t="shared" si="0"/>
        <v>779390</v>
      </c>
      <c r="I22" s="16"/>
      <c r="J22" s="38">
        <f t="shared" si="1"/>
        <v>3.5160582109316163E-2</v>
      </c>
      <c r="K22" s="60"/>
      <c r="L22" s="60"/>
      <c r="M22" s="60"/>
      <c r="N22" s="60"/>
      <c r="O22" s="16">
        <f t="shared" si="2"/>
        <v>59953.076923076922</v>
      </c>
      <c r="P22" s="42"/>
      <c r="Q22" s="410"/>
      <c r="R22" s="60"/>
      <c r="S22" s="60"/>
      <c r="T22" s="60"/>
      <c r="U22" s="42"/>
      <c r="V22" s="1"/>
      <c r="W22" s="34">
        <f>1046+3</f>
        <v>1049</v>
      </c>
      <c r="X22" s="33"/>
      <c r="Y22" s="33"/>
      <c r="Z22" s="33"/>
      <c r="AA22" s="33">
        <f t="shared" si="3"/>
        <v>7807</v>
      </c>
      <c r="AB22" s="33"/>
      <c r="AC22" s="46">
        <f t="shared" si="4"/>
        <v>1.0016808016525745E-2</v>
      </c>
      <c r="AD22" s="33"/>
      <c r="AE22" s="33">
        <f t="shared" si="5"/>
        <v>600.53846153846155</v>
      </c>
      <c r="AF22" s="50"/>
      <c r="AG22" s="33"/>
      <c r="AH22" s="33"/>
      <c r="AI22" s="33"/>
      <c r="AJ22" s="50"/>
      <c r="AK22" s="1"/>
      <c r="AL22" s="23">
        <f t="shared" si="7"/>
        <v>1627</v>
      </c>
      <c r="AM22" s="24"/>
      <c r="AN22" s="24"/>
      <c r="AO22" s="24"/>
      <c r="AP22" s="24">
        <v>8878</v>
      </c>
      <c r="AQ22" s="24"/>
      <c r="AR22" s="25">
        <f t="shared" si="8"/>
        <v>0.22438284374569026</v>
      </c>
      <c r="AS22" s="25"/>
      <c r="AT22" s="25"/>
      <c r="AU22" s="24"/>
      <c r="AV22" s="298">
        <f t="shared" si="9"/>
        <v>1.1390959596607603E-2</v>
      </c>
      <c r="AW22" s="298"/>
      <c r="AX22" s="24">
        <f t="shared" si="10"/>
        <v>682.92307692307691</v>
      </c>
      <c r="AY22" s="308"/>
      <c r="AZ22" s="1"/>
      <c r="BA22" s="65"/>
      <c r="BB22" s="66"/>
      <c r="BC22" s="66"/>
      <c r="BD22" s="66"/>
      <c r="BE22" s="66"/>
      <c r="BF22" s="66"/>
      <c r="BG22" s="66"/>
      <c r="BH22" s="66"/>
      <c r="BI22" s="170"/>
      <c r="BJ22" s="66"/>
      <c r="BK22" s="66"/>
      <c r="BL22" s="66"/>
      <c r="BM22" s="66"/>
      <c r="BN22" s="65"/>
      <c r="BO22" s="66"/>
      <c r="BP22" s="66"/>
      <c r="BQ22" s="66"/>
      <c r="BR22" s="69"/>
      <c r="BS22" s="66"/>
      <c r="BT22" s="66"/>
      <c r="BU22" s="170"/>
      <c r="BV22" s="1"/>
      <c r="BW22">
        <f t="shared" si="11"/>
        <v>13</v>
      </c>
    </row>
    <row r="23" spans="2:90" x14ac:dyDescent="0.3">
      <c r="B23" s="158">
        <f t="shared" si="6"/>
        <v>43923</v>
      </c>
      <c r="D23" s="17">
        <f>29874-56</f>
        <v>29818</v>
      </c>
      <c r="E23" s="16"/>
      <c r="F23" s="16"/>
      <c r="G23" s="16"/>
      <c r="H23" s="16">
        <f t="shared" si="0"/>
        <v>809208</v>
      </c>
      <c r="I23" s="16"/>
      <c r="J23" s="38">
        <f t="shared" si="1"/>
        <v>3.8258124943866358E-2</v>
      </c>
      <c r="K23" s="60"/>
      <c r="L23" s="60"/>
      <c r="M23" s="60"/>
      <c r="N23" s="60"/>
      <c r="O23" s="16">
        <f t="shared" si="2"/>
        <v>57800.571428571428</v>
      </c>
      <c r="P23" s="42"/>
      <c r="Q23" s="410"/>
      <c r="R23" s="60"/>
      <c r="S23" s="60"/>
      <c r="T23" s="60"/>
      <c r="U23" s="42"/>
      <c r="V23" s="1"/>
      <c r="W23" s="34">
        <f>968+6</f>
        <v>974</v>
      </c>
      <c r="X23" s="33"/>
      <c r="Y23" s="33"/>
      <c r="Z23" s="33"/>
      <c r="AA23" s="33">
        <f t="shared" si="3"/>
        <v>8781</v>
      </c>
      <c r="AB23" s="33"/>
      <c r="AC23" s="46">
        <f t="shared" si="4"/>
        <v>1.0851350950559065E-2</v>
      </c>
      <c r="AD23" s="33"/>
      <c r="AE23" s="33">
        <f t="shared" si="5"/>
        <v>627.21428571428567</v>
      </c>
      <c r="AF23" s="50"/>
      <c r="AG23" s="33"/>
      <c r="AH23" s="33"/>
      <c r="AI23" s="33"/>
      <c r="AJ23" s="50"/>
      <c r="AK23" s="1"/>
      <c r="AL23" s="23">
        <f t="shared" si="7"/>
        <v>1525</v>
      </c>
      <c r="AM23" s="24"/>
      <c r="AN23" s="24"/>
      <c r="AO23" s="24"/>
      <c r="AP23" s="24">
        <v>10403</v>
      </c>
      <c r="AQ23" s="24"/>
      <c r="AR23" s="25">
        <f t="shared" si="8"/>
        <v>0.17177292182924081</v>
      </c>
      <c r="AS23" s="25"/>
      <c r="AT23" s="25"/>
      <c r="AU23" s="24"/>
      <c r="AV23" s="298">
        <f t="shared" si="9"/>
        <v>1.2855779972516338E-2</v>
      </c>
      <c r="AW23" s="298"/>
      <c r="AX23" s="24">
        <f t="shared" si="10"/>
        <v>743.07142857142856</v>
      </c>
      <c r="AY23" s="308"/>
      <c r="AZ23" s="1"/>
      <c r="BA23" s="65"/>
      <c r="BB23" s="66"/>
      <c r="BC23" s="66"/>
      <c r="BD23" s="66"/>
      <c r="BE23" s="66"/>
      <c r="BF23" s="66"/>
      <c r="BG23" s="66"/>
      <c r="BH23" s="66"/>
      <c r="BI23" s="170"/>
      <c r="BJ23" s="66"/>
      <c r="BK23" s="66"/>
      <c r="BL23" s="66"/>
      <c r="BM23" s="66"/>
      <c r="BN23" s="65"/>
      <c r="BO23" s="66"/>
      <c r="BP23" s="66"/>
      <c r="BQ23" s="66"/>
      <c r="BR23" s="69"/>
      <c r="BS23" s="66"/>
      <c r="BT23" s="66"/>
      <c r="BU23" s="170"/>
      <c r="BV23" s="1"/>
      <c r="BW23">
        <f t="shared" si="11"/>
        <v>14</v>
      </c>
    </row>
    <row r="24" spans="2:90" x14ac:dyDescent="0.3">
      <c r="B24" s="158">
        <f t="shared" si="6"/>
        <v>43924</v>
      </c>
      <c r="D24" s="17">
        <v>32284</v>
      </c>
      <c r="E24" s="16"/>
      <c r="F24" s="16"/>
      <c r="G24" s="16"/>
      <c r="H24" s="16">
        <f>+H23+D24+2310</f>
        <v>843802</v>
      </c>
      <c r="I24" s="286" t="s">
        <v>45</v>
      </c>
      <c r="J24" s="38">
        <f t="shared" si="1"/>
        <v>3.98957993494874E-2</v>
      </c>
      <c r="K24" s="60"/>
      <c r="L24" s="60"/>
      <c r="M24" s="60"/>
      <c r="N24" s="60"/>
      <c r="O24" s="16">
        <f t="shared" si="2"/>
        <v>56253.466666666667</v>
      </c>
      <c r="P24" s="42"/>
      <c r="Q24" s="410"/>
      <c r="R24" s="60"/>
      <c r="S24" s="60"/>
      <c r="T24" s="60"/>
      <c r="U24" s="42"/>
      <c r="V24" s="1"/>
      <c r="W24" s="34">
        <f>7121-6076</f>
        <v>1045</v>
      </c>
      <c r="X24" s="33"/>
      <c r="Y24" s="33"/>
      <c r="Z24" s="33"/>
      <c r="AA24" s="33">
        <f>+AA23+W24+21+653</f>
        <v>10500</v>
      </c>
      <c r="AB24" s="296" t="s">
        <v>45</v>
      </c>
      <c r="AC24" s="46">
        <f t="shared" si="4"/>
        <v>1.2443677545206103E-2</v>
      </c>
      <c r="AD24" s="33"/>
      <c r="AE24" s="33">
        <f t="shared" si="5"/>
        <v>700</v>
      </c>
      <c r="AF24" s="50"/>
      <c r="AG24" s="33"/>
      <c r="AH24" s="33"/>
      <c r="AI24" s="33"/>
      <c r="AJ24" s="50"/>
      <c r="AK24" s="1"/>
      <c r="AL24" s="23">
        <f t="shared" si="7"/>
        <v>1835</v>
      </c>
      <c r="AM24" s="24"/>
      <c r="AN24" s="24"/>
      <c r="AO24" s="24"/>
      <c r="AP24" s="24">
        <v>12238</v>
      </c>
      <c r="AQ24" s="24"/>
      <c r="AR24" s="25">
        <f t="shared" si="8"/>
        <v>0.17639142555032203</v>
      </c>
      <c r="AS24" s="25"/>
      <c r="AT24" s="25"/>
      <c r="AU24" s="24"/>
      <c r="AV24" s="298">
        <f t="shared" si="9"/>
        <v>1.4503402456974504E-2</v>
      </c>
      <c r="AW24" s="298"/>
      <c r="AX24" s="24">
        <f t="shared" si="10"/>
        <v>815.86666666666667</v>
      </c>
      <c r="AY24" s="308"/>
      <c r="AZ24" s="1"/>
      <c r="BA24" s="65">
        <v>698344</v>
      </c>
      <c r="BB24" s="66"/>
      <c r="BC24" s="66">
        <f>+BA24</f>
        <v>698344</v>
      </c>
      <c r="BD24" s="66"/>
      <c r="BE24" s="66">
        <f t="shared" ref="BE24:BE68" si="12">+D24</f>
        <v>32284</v>
      </c>
      <c r="BF24" s="66"/>
      <c r="BG24" s="66"/>
      <c r="BH24" s="66"/>
      <c r="BI24" s="170"/>
      <c r="BJ24" s="66"/>
      <c r="BK24" s="66"/>
      <c r="BL24" s="66"/>
      <c r="BM24" s="66"/>
      <c r="BN24" s="65"/>
      <c r="BO24" s="66"/>
      <c r="BP24" s="66">
        <f>+BE24</f>
        <v>32284</v>
      </c>
      <c r="BQ24" s="66"/>
      <c r="BR24" s="73">
        <f t="shared" ref="BR24:BR68" si="13">+BP24/BC24</f>
        <v>4.6229365470312624E-2</v>
      </c>
      <c r="BS24" s="66"/>
      <c r="BT24" s="66"/>
      <c r="BU24" s="170"/>
      <c r="BV24" s="1"/>
      <c r="BW24">
        <f t="shared" si="11"/>
        <v>15</v>
      </c>
    </row>
    <row r="25" spans="2:90" x14ac:dyDescent="0.3">
      <c r="B25" s="433">
        <f t="shared" si="6"/>
        <v>43925</v>
      </c>
      <c r="D25" s="17">
        <v>34196</v>
      </c>
      <c r="E25" s="16"/>
      <c r="F25" s="16"/>
      <c r="G25" s="16"/>
      <c r="H25" s="16">
        <f t="shared" ref="H25:H34" si="14">+H24+D25</f>
        <v>877998</v>
      </c>
      <c r="I25" s="16"/>
      <c r="J25" s="38">
        <f t="shared" si="1"/>
        <v>4.052609498436837E-2</v>
      </c>
      <c r="K25" s="16"/>
      <c r="L25" s="16"/>
      <c r="M25" s="16"/>
      <c r="N25" s="16"/>
      <c r="O25" s="16">
        <f t="shared" si="2"/>
        <v>54874.875</v>
      </c>
      <c r="P25" s="41"/>
      <c r="Q25" s="17"/>
      <c r="R25" s="16"/>
      <c r="S25" s="16"/>
      <c r="T25" s="16"/>
      <c r="U25" s="41"/>
      <c r="V25" s="434"/>
      <c r="W25" s="34">
        <f>1331-1</f>
        <v>1330</v>
      </c>
      <c r="X25" s="33"/>
      <c r="Y25" s="33"/>
      <c r="Z25" s="33"/>
      <c r="AA25" s="33">
        <f t="shared" ref="AA25:AA34" si="15">+AA24+W25</f>
        <v>11830</v>
      </c>
      <c r="AB25" s="33"/>
      <c r="AC25" s="46">
        <f t="shared" si="4"/>
        <v>1.3473834792334379E-2</v>
      </c>
      <c r="AD25" s="33"/>
      <c r="AE25" s="33">
        <f t="shared" si="5"/>
        <v>739.375</v>
      </c>
      <c r="AF25" s="50"/>
      <c r="AG25" s="33"/>
      <c r="AH25" s="33"/>
      <c r="AI25" s="33"/>
      <c r="AJ25" s="50"/>
      <c r="AK25" s="1"/>
      <c r="AL25" s="23">
        <f t="shared" si="7"/>
        <v>2587</v>
      </c>
      <c r="AM25" s="24"/>
      <c r="AN25" s="24"/>
      <c r="AO25" s="24"/>
      <c r="AP25" s="24">
        <v>14825</v>
      </c>
      <c r="AQ25" s="24"/>
      <c r="AR25" s="25">
        <f t="shared" si="8"/>
        <v>0.21139075012256905</v>
      </c>
      <c r="AS25" s="25"/>
      <c r="AT25" s="25"/>
      <c r="AU25" s="24"/>
      <c r="AV25" s="298">
        <f t="shared" si="9"/>
        <v>1.6885004293859439E-2</v>
      </c>
      <c r="AW25" s="298"/>
      <c r="AX25" s="24">
        <f t="shared" si="10"/>
        <v>926.5625</v>
      </c>
      <c r="AY25" s="308"/>
      <c r="AZ25" s="1"/>
      <c r="BA25" s="65">
        <v>934611</v>
      </c>
      <c r="BB25" s="66"/>
      <c r="BC25" s="66">
        <f>+BC24+BA25</f>
        <v>1632955</v>
      </c>
      <c r="BD25" s="66"/>
      <c r="BE25" s="66">
        <f t="shared" si="12"/>
        <v>34196</v>
      </c>
      <c r="BF25" s="66"/>
      <c r="BG25" s="66"/>
      <c r="BH25" s="66"/>
      <c r="BI25" s="170"/>
      <c r="BJ25" s="66"/>
      <c r="BK25" s="66"/>
      <c r="BL25" s="66"/>
      <c r="BM25" s="66"/>
      <c r="BN25" s="65"/>
      <c r="BO25" s="66"/>
      <c r="BP25" s="66">
        <f t="shared" ref="BP25:BP68" si="16">+BP24+BE25</f>
        <v>66480</v>
      </c>
      <c r="BQ25" s="66"/>
      <c r="BR25" s="73">
        <f t="shared" si="13"/>
        <v>4.0711470922346296E-2</v>
      </c>
      <c r="BS25" s="66"/>
      <c r="BT25" s="75"/>
      <c r="BU25" s="170"/>
      <c r="BV25" s="1"/>
      <c r="BW25">
        <f t="shared" si="11"/>
        <v>16</v>
      </c>
    </row>
    <row r="26" spans="2:90" x14ac:dyDescent="0.3">
      <c r="B26" s="347">
        <f t="shared" si="6"/>
        <v>43926</v>
      </c>
      <c r="D26" s="17">
        <v>25316</v>
      </c>
      <c r="E26" s="16"/>
      <c r="F26" s="16"/>
      <c r="G26" s="16"/>
      <c r="H26" s="16">
        <f t="shared" si="14"/>
        <v>903314</v>
      </c>
      <c r="I26" s="16"/>
      <c r="J26" s="38">
        <f t="shared" si="1"/>
        <v>2.8833778664643882E-2</v>
      </c>
      <c r="K26" s="16"/>
      <c r="L26" s="16"/>
      <c r="M26" s="16"/>
      <c r="N26" s="16"/>
      <c r="O26" s="16">
        <f t="shared" si="2"/>
        <v>53136.117647058825</v>
      </c>
      <c r="P26" s="41"/>
      <c r="Q26" s="17">
        <f>SUM(D20:D26)</f>
        <v>193182</v>
      </c>
      <c r="R26" s="16"/>
      <c r="S26" s="16"/>
      <c r="T26" s="16"/>
      <c r="U26" s="41"/>
      <c r="V26" s="348"/>
      <c r="W26" s="34">
        <v>1165</v>
      </c>
      <c r="X26" s="33"/>
      <c r="Y26" s="33"/>
      <c r="Z26" s="33"/>
      <c r="AA26" s="33">
        <f t="shared" si="15"/>
        <v>12995</v>
      </c>
      <c r="AB26" s="33"/>
      <c r="AC26" s="46">
        <f t="shared" si="4"/>
        <v>1.4385916746557675E-2</v>
      </c>
      <c r="AD26" s="33"/>
      <c r="AE26" s="33">
        <f t="shared" si="5"/>
        <v>764.41176470588232</v>
      </c>
      <c r="AF26" s="50"/>
      <c r="AG26" s="33">
        <f>SUM(W20:W26)</f>
        <v>7033</v>
      </c>
      <c r="AH26" s="33"/>
      <c r="AI26" s="33"/>
      <c r="AJ26" s="50"/>
      <c r="AK26" s="348"/>
      <c r="AL26" s="23">
        <f t="shared" si="7"/>
        <v>3152</v>
      </c>
      <c r="AM26" s="24"/>
      <c r="AN26" s="24"/>
      <c r="AO26" s="24"/>
      <c r="AP26" s="24">
        <v>17977</v>
      </c>
      <c r="AQ26" s="24"/>
      <c r="AR26" s="25">
        <f t="shared" si="8"/>
        <v>0.21261382799325465</v>
      </c>
      <c r="AS26" s="25"/>
      <c r="AT26" s="25"/>
      <c r="AU26" s="24"/>
      <c r="AV26" s="298">
        <f t="shared" si="9"/>
        <v>1.9901163936349928E-2</v>
      </c>
      <c r="AW26" s="298"/>
      <c r="AX26" s="24">
        <f t="shared" si="10"/>
        <v>1057.4705882352941</v>
      </c>
      <c r="AY26" s="308"/>
      <c r="AZ26" s="348"/>
      <c r="BA26" s="65">
        <v>139414</v>
      </c>
      <c r="BB26" s="66"/>
      <c r="BC26" s="66">
        <f>+BC25+BA26</f>
        <v>1772369</v>
      </c>
      <c r="BD26" s="66"/>
      <c r="BE26" s="66">
        <f t="shared" si="12"/>
        <v>25316</v>
      </c>
      <c r="BF26" s="66"/>
      <c r="BG26" s="66"/>
      <c r="BH26" s="66"/>
      <c r="BI26" s="170"/>
      <c r="BJ26" s="66"/>
      <c r="BK26" s="66"/>
      <c r="BL26" s="66"/>
      <c r="BM26" s="66"/>
      <c r="BN26" s="65"/>
      <c r="BO26" s="66"/>
      <c r="BP26" s="66">
        <f t="shared" si="16"/>
        <v>91796</v>
      </c>
      <c r="BQ26" s="66"/>
      <c r="BR26" s="73">
        <f t="shared" si="13"/>
        <v>5.1792826437384087E-2</v>
      </c>
      <c r="BS26" s="66"/>
      <c r="BT26" s="75"/>
      <c r="BU26" s="170"/>
      <c r="BV26" s="1"/>
      <c r="BW26">
        <f t="shared" si="11"/>
        <v>17</v>
      </c>
    </row>
    <row r="27" spans="2:90" x14ac:dyDescent="0.3">
      <c r="B27" s="158">
        <f t="shared" si="6"/>
        <v>43927</v>
      </c>
      <c r="D27" s="17">
        <v>31210</v>
      </c>
      <c r="E27" s="16"/>
      <c r="F27" s="16"/>
      <c r="G27" s="16"/>
      <c r="H27" s="16">
        <f t="shared" si="14"/>
        <v>934524</v>
      </c>
      <c r="I27" s="16"/>
      <c r="J27" s="38">
        <f t="shared" si="1"/>
        <v>3.4550554956526744E-2</v>
      </c>
      <c r="K27" s="16"/>
      <c r="L27" s="16"/>
      <c r="M27" s="16"/>
      <c r="N27" s="16"/>
      <c r="O27" s="16">
        <f t="shared" si="2"/>
        <v>51918</v>
      </c>
      <c r="P27" s="41"/>
      <c r="Q27" s="17"/>
      <c r="R27" s="16"/>
      <c r="S27" s="16"/>
      <c r="T27" s="16"/>
      <c r="U27" s="41"/>
      <c r="V27" s="10"/>
      <c r="W27" s="34">
        <v>1255</v>
      </c>
      <c r="X27" s="33"/>
      <c r="Y27" s="33"/>
      <c r="Z27" s="33"/>
      <c r="AA27" s="33">
        <f t="shared" si="15"/>
        <v>14250</v>
      </c>
      <c r="AB27" s="33"/>
      <c r="AC27" s="46">
        <f t="shared" si="4"/>
        <v>1.5248404535357037E-2</v>
      </c>
      <c r="AD27" s="33"/>
      <c r="AE27" s="33">
        <f t="shared" si="5"/>
        <v>791.66666666666663</v>
      </c>
      <c r="AF27" s="50"/>
      <c r="AG27" s="33"/>
      <c r="AH27" s="33"/>
      <c r="AI27" s="33"/>
      <c r="AJ27" s="50"/>
      <c r="AK27" s="10"/>
      <c r="AL27" s="23">
        <f t="shared" si="7"/>
        <v>1694</v>
      </c>
      <c r="AM27" s="24"/>
      <c r="AN27" s="24"/>
      <c r="AO27" s="24"/>
      <c r="AP27" s="24">
        <v>19671</v>
      </c>
      <c r="AQ27" s="24"/>
      <c r="AR27" s="25">
        <f t="shared" si="8"/>
        <v>9.4231518050842747E-2</v>
      </c>
      <c r="AS27" s="25"/>
      <c r="AT27" s="25"/>
      <c r="AU27" s="24"/>
      <c r="AV27" s="298">
        <f t="shared" si="9"/>
        <v>2.1049218639649703E-2</v>
      </c>
      <c r="AW27" s="298"/>
      <c r="AX27" s="24">
        <f t="shared" si="10"/>
        <v>1092.8333333333333</v>
      </c>
      <c r="AY27" s="308"/>
      <c r="AZ27" s="10"/>
      <c r="BA27" s="65">
        <f t="shared" ref="BA27:BA51" si="17">+BC27-BC26</f>
        <v>142171</v>
      </c>
      <c r="BB27" s="66"/>
      <c r="BC27" s="66">
        <v>1914540</v>
      </c>
      <c r="BD27" s="66"/>
      <c r="BE27" s="66">
        <f t="shared" si="12"/>
        <v>31210</v>
      </c>
      <c r="BF27" s="66"/>
      <c r="BG27" s="66"/>
      <c r="BH27" s="66"/>
      <c r="BI27" s="170"/>
      <c r="BJ27" s="66"/>
      <c r="BK27" s="66"/>
      <c r="BL27" s="66"/>
      <c r="BM27" s="66"/>
      <c r="BN27" s="65"/>
      <c r="BO27" s="66"/>
      <c r="BP27" s="66">
        <f t="shared" si="16"/>
        <v>123006</v>
      </c>
      <c r="BQ27" s="66"/>
      <c r="BR27" s="73">
        <f t="shared" si="13"/>
        <v>6.4248331191826755E-2</v>
      </c>
      <c r="BS27" s="66"/>
      <c r="BT27" s="75"/>
      <c r="BU27" s="170"/>
      <c r="BV27" s="1"/>
      <c r="BW27">
        <f t="shared" si="11"/>
        <v>18</v>
      </c>
    </row>
    <row r="28" spans="2:90" x14ac:dyDescent="0.3">
      <c r="B28" s="158">
        <f t="shared" si="6"/>
        <v>43928</v>
      </c>
      <c r="D28" s="17">
        <v>33460</v>
      </c>
      <c r="E28" s="16"/>
      <c r="F28" s="16"/>
      <c r="G28" s="16"/>
      <c r="H28" s="16">
        <f t="shared" si="14"/>
        <v>967984</v>
      </c>
      <c r="I28" s="16"/>
      <c r="J28" s="38">
        <f t="shared" si="1"/>
        <v>3.5804323912494489E-2</v>
      </c>
      <c r="K28" s="16"/>
      <c r="L28" s="16"/>
      <c r="M28" s="16"/>
      <c r="N28" s="16"/>
      <c r="O28" s="16">
        <f t="shared" si="2"/>
        <v>50946.526315789473</v>
      </c>
      <c r="P28" s="41"/>
      <c r="Q28" s="17"/>
      <c r="R28" s="16"/>
      <c r="S28" s="16"/>
      <c r="T28" s="16"/>
      <c r="U28" s="41"/>
      <c r="V28" s="1"/>
      <c r="W28" s="34">
        <v>1970</v>
      </c>
      <c r="X28" s="33"/>
      <c r="Y28" s="33"/>
      <c r="Z28" s="33"/>
      <c r="AA28" s="33">
        <f t="shared" si="15"/>
        <v>16220</v>
      </c>
      <c r="AB28" s="33"/>
      <c r="AC28" s="46">
        <f t="shared" si="4"/>
        <v>1.6756475313641547E-2</v>
      </c>
      <c r="AD28" s="33"/>
      <c r="AE28" s="33">
        <f t="shared" si="5"/>
        <v>853.68421052631584</v>
      </c>
      <c r="AF28" s="50"/>
      <c r="AG28" s="33"/>
      <c r="AH28" s="33"/>
      <c r="AI28" s="33"/>
      <c r="AJ28" s="50"/>
      <c r="AK28" s="1"/>
      <c r="AL28" s="23">
        <f t="shared" si="7"/>
        <v>2003</v>
      </c>
      <c r="AM28" s="24"/>
      <c r="AN28" s="24"/>
      <c r="AO28" s="24"/>
      <c r="AP28" s="24">
        <v>21674</v>
      </c>
      <c r="AQ28" s="24"/>
      <c r="AR28" s="25">
        <f t="shared" si="8"/>
        <v>0.10182502160540897</v>
      </c>
      <c r="AS28" s="25"/>
      <c r="AT28" s="25"/>
      <c r="AU28" s="24"/>
      <c r="AV28" s="298">
        <f t="shared" si="9"/>
        <v>2.239086596472669E-2</v>
      </c>
      <c r="AW28" s="298"/>
      <c r="AX28" s="24">
        <f t="shared" si="10"/>
        <v>1140.7368421052631</v>
      </c>
      <c r="AY28" s="308"/>
      <c r="AZ28" s="1"/>
      <c r="BA28" s="65">
        <f t="shared" si="17"/>
        <v>161199</v>
      </c>
      <c r="BB28" s="66"/>
      <c r="BC28" s="66">
        <v>2075739</v>
      </c>
      <c r="BD28" s="66"/>
      <c r="BE28" s="66">
        <f t="shared" si="12"/>
        <v>33460</v>
      </c>
      <c r="BF28" s="66"/>
      <c r="BG28" s="66"/>
      <c r="BH28" s="66"/>
      <c r="BI28" s="170"/>
      <c r="BJ28" s="66"/>
      <c r="BK28" s="66"/>
      <c r="BL28" s="66"/>
      <c r="BM28" s="66"/>
      <c r="BN28" s="65"/>
      <c r="BO28" s="66"/>
      <c r="BP28" s="66">
        <f t="shared" si="16"/>
        <v>156466</v>
      </c>
      <c r="BQ28" s="66"/>
      <c r="BR28" s="73">
        <f t="shared" si="13"/>
        <v>7.5378455576544059E-2</v>
      </c>
      <c r="BS28" s="66"/>
      <c r="BT28" s="75"/>
      <c r="BU28" s="170"/>
      <c r="BV28" s="1"/>
      <c r="BW28">
        <f t="shared" si="11"/>
        <v>19</v>
      </c>
    </row>
    <row r="29" spans="2:90" x14ac:dyDescent="0.3">
      <c r="B29" s="158">
        <f t="shared" si="6"/>
        <v>43929</v>
      </c>
      <c r="D29" s="17">
        <v>31935</v>
      </c>
      <c r="E29" s="16"/>
      <c r="F29" s="16"/>
      <c r="G29" s="16"/>
      <c r="H29" s="16">
        <f t="shared" si="14"/>
        <v>999919</v>
      </c>
      <c r="I29" s="16"/>
      <c r="J29" s="38">
        <f t="shared" si="1"/>
        <v>3.2991247789219656E-2</v>
      </c>
      <c r="K29" s="16"/>
      <c r="L29" s="16"/>
      <c r="M29" s="16"/>
      <c r="N29" s="16"/>
      <c r="O29" s="16">
        <f t="shared" si="2"/>
        <v>49995.95</v>
      </c>
      <c r="P29" s="41"/>
      <c r="Q29" s="17"/>
      <c r="R29" s="16"/>
      <c r="S29" s="16"/>
      <c r="T29" s="16"/>
      <c r="U29" s="41"/>
      <c r="V29" s="1"/>
      <c r="W29" s="34">
        <f>1940+10</f>
        <v>1950</v>
      </c>
      <c r="X29" s="33"/>
      <c r="Y29" s="33"/>
      <c r="Z29" s="33"/>
      <c r="AA29" s="33">
        <f t="shared" si="15"/>
        <v>18170</v>
      </c>
      <c r="AB29" s="33"/>
      <c r="AC29" s="46">
        <f t="shared" si="4"/>
        <v>1.8171471889223027E-2</v>
      </c>
      <c r="AD29" s="33"/>
      <c r="AE29" s="33">
        <f t="shared" si="5"/>
        <v>908.5</v>
      </c>
      <c r="AF29" s="50"/>
      <c r="AG29" s="33"/>
      <c r="AH29" s="33"/>
      <c r="AI29" s="33"/>
      <c r="AJ29" s="50"/>
      <c r="AK29" s="1"/>
      <c r="AL29" s="23">
        <f t="shared" si="7"/>
        <v>1217</v>
      </c>
      <c r="AM29" s="24"/>
      <c r="AN29" s="24"/>
      <c r="AO29" s="24"/>
      <c r="AP29" s="24">
        <v>22891</v>
      </c>
      <c r="AQ29" s="24"/>
      <c r="AR29" s="25">
        <f t="shared" si="8"/>
        <v>5.6150226077327677E-2</v>
      </c>
      <c r="AS29" s="25"/>
      <c r="AT29" s="25"/>
      <c r="AU29" s="24"/>
      <c r="AV29" s="298">
        <f t="shared" si="9"/>
        <v>2.2892854321200019E-2</v>
      </c>
      <c r="AW29" s="298"/>
      <c r="AX29" s="24">
        <f t="shared" si="10"/>
        <v>1144.55</v>
      </c>
      <c r="AY29" s="308"/>
      <c r="AZ29" s="1"/>
      <c r="BA29" s="65">
        <f t="shared" si="17"/>
        <v>133302</v>
      </c>
      <c r="BB29" s="66"/>
      <c r="BC29" s="66">
        <v>2209041</v>
      </c>
      <c r="BD29" s="66"/>
      <c r="BE29" s="66">
        <f t="shared" si="12"/>
        <v>31935</v>
      </c>
      <c r="BF29" s="66"/>
      <c r="BG29" s="66"/>
      <c r="BH29" s="66"/>
      <c r="BI29" s="170"/>
      <c r="BJ29" s="66"/>
      <c r="BK29" s="66"/>
      <c r="BL29" s="66"/>
      <c r="BM29" s="66"/>
      <c r="BN29" s="65"/>
      <c r="BO29" s="66"/>
      <c r="BP29" s="66">
        <f t="shared" si="16"/>
        <v>188401</v>
      </c>
      <c r="BQ29" s="66"/>
      <c r="BR29" s="73">
        <f t="shared" si="13"/>
        <v>8.528633013149145E-2</v>
      </c>
      <c r="BS29" s="66"/>
      <c r="BT29" s="75"/>
      <c r="BU29" s="170"/>
      <c r="BV29" s="1"/>
      <c r="BW29">
        <f t="shared" si="11"/>
        <v>20</v>
      </c>
    </row>
    <row r="30" spans="2:90" x14ac:dyDescent="0.3">
      <c r="B30" s="158">
        <f t="shared" si="6"/>
        <v>43930</v>
      </c>
      <c r="D30" s="17">
        <v>33536</v>
      </c>
      <c r="E30" s="16"/>
      <c r="F30" s="16"/>
      <c r="G30" s="16"/>
      <c r="H30" s="16">
        <f t="shared" si="14"/>
        <v>1033455</v>
      </c>
      <c r="I30" s="16"/>
      <c r="J30" s="38">
        <f t="shared" si="1"/>
        <v>3.3538716636047516E-2</v>
      </c>
      <c r="K30" s="16"/>
      <c r="L30" s="16"/>
      <c r="M30" s="16"/>
      <c r="N30" s="16"/>
      <c r="O30" s="16">
        <f t="shared" si="2"/>
        <v>49212.142857142855</v>
      </c>
      <c r="P30" s="41"/>
      <c r="Q30" s="17"/>
      <c r="R30" s="16"/>
      <c r="S30" s="16"/>
      <c r="T30" s="16"/>
      <c r="U30" s="41"/>
      <c r="V30" s="1"/>
      <c r="W30" s="34">
        <v>1900</v>
      </c>
      <c r="X30" s="33"/>
      <c r="Y30" s="33"/>
      <c r="Z30" s="33"/>
      <c r="AA30" s="33">
        <f t="shared" si="15"/>
        <v>20070</v>
      </c>
      <c r="AB30" s="33"/>
      <c r="AC30" s="46">
        <f t="shared" si="4"/>
        <v>1.9420294062150747E-2</v>
      </c>
      <c r="AD30" s="33"/>
      <c r="AE30" s="33">
        <f t="shared" si="5"/>
        <v>955.71428571428567</v>
      </c>
      <c r="AF30" s="50"/>
      <c r="AG30" s="33"/>
      <c r="AH30" s="33"/>
      <c r="AI30" s="33"/>
      <c r="AJ30" s="50"/>
      <c r="AK30" s="1"/>
      <c r="AL30" s="23">
        <f t="shared" si="7"/>
        <v>3037</v>
      </c>
      <c r="AM30" s="24"/>
      <c r="AN30" s="24"/>
      <c r="AO30" s="24"/>
      <c r="AP30" s="24">
        <v>25928</v>
      </c>
      <c r="AQ30" s="24"/>
      <c r="AR30" s="25">
        <f t="shared" si="8"/>
        <v>0.13267222926040803</v>
      </c>
      <c r="AS30" s="25"/>
      <c r="AT30" s="25"/>
      <c r="AU30" s="24"/>
      <c r="AV30" s="298">
        <f t="shared" si="9"/>
        <v>2.5088658915966344E-2</v>
      </c>
      <c r="AW30" s="298"/>
      <c r="AX30" s="24">
        <f t="shared" si="10"/>
        <v>1234.6666666666667</v>
      </c>
      <c r="AY30" s="308"/>
      <c r="AZ30" s="1"/>
      <c r="BA30" s="65">
        <f t="shared" si="17"/>
        <v>144055</v>
      </c>
      <c r="BB30" s="66"/>
      <c r="BC30" s="66">
        <v>2353096</v>
      </c>
      <c r="BD30" s="66"/>
      <c r="BE30" s="66">
        <f t="shared" si="12"/>
        <v>33536</v>
      </c>
      <c r="BF30" s="66"/>
      <c r="BG30" s="66"/>
      <c r="BH30" s="66"/>
      <c r="BI30" s="170"/>
      <c r="BJ30" s="66"/>
      <c r="BK30" s="66"/>
      <c r="BL30" s="66"/>
      <c r="BM30" s="66"/>
      <c r="BN30" s="65"/>
      <c r="BO30" s="66"/>
      <c r="BP30" s="66">
        <f t="shared" si="16"/>
        <v>221937</v>
      </c>
      <c r="BQ30" s="66"/>
      <c r="BR30" s="73">
        <f t="shared" si="13"/>
        <v>9.4317018940153735E-2</v>
      </c>
      <c r="BS30" s="66"/>
      <c r="BT30" s="75"/>
      <c r="BU30" s="170"/>
      <c r="BV30" s="1"/>
      <c r="BW30">
        <f t="shared" si="11"/>
        <v>21</v>
      </c>
    </row>
    <row r="31" spans="2:90" x14ac:dyDescent="0.3">
      <c r="B31" s="158">
        <f t="shared" si="6"/>
        <v>43931</v>
      </c>
      <c r="D31" s="17">
        <v>33752</v>
      </c>
      <c r="E31" s="16"/>
      <c r="F31" s="16"/>
      <c r="G31" s="16"/>
      <c r="H31" s="16">
        <f t="shared" si="14"/>
        <v>1067207</v>
      </c>
      <c r="I31" s="16"/>
      <c r="J31" s="38">
        <f t="shared" si="1"/>
        <v>3.2659380427788341E-2</v>
      </c>
      <c r="K31" s="16"/>
      <c r="L31" s="16"/>
      <c r="M31" s="16"/>
      <c r="N31" s="16"/>
      <c r="O31" s="16">
        <f t="shared" si="2"/>
        <v>48509.409090909088</v>
      </c>
      <c r="P31" s="41"/>
      <c r="Q31" s="17"/>
      <c r="R31" s="16"/>
      <c r="S31" s="16"/>
      <c r="T31" s="16"/>
      <c r="U31" s="41"/>
      <c r="V31" s="1"/>
      <c r="W31" s="34">
        <v>2035</v>
      </c>
      <c r="X31" s="33"/>
      <c r="Y31" s="33"/>
      <c r="Z31" s="33"/>
      <c r="AA31" s="33">
        <f t="shared" si="15"/>
        <v>22105</v>
      </c>
      <c r="AB31" s="33"/>
      <c r="AC31" s="46">
        <f t="shared" si="4"/>
        <v>2.0712945098748416E-2</v>
      </c>
      <c r="AD31" s="33"/>
      <c r="AE31" s="33">
        <f t="shared" si="5"/>
        <v>1004.7727272727273</v>
      </c>
      <c r="AF31" s="50"/>
      <c r="AG31" s="33"/>
      <c r="AH31" s="33"/>
      <c r="AI31" s="33"/>
      <c r="AJ31" s="50"/>
      <c r="AK31" s="1"/>
      <c r="AL31" s="23">
        <f t="shared" si="7"/>
        <v>1386</v>
      </c>
      <c r="AM31" s="24"/>
      <c r="AN31" s="24"/>
      <c r="AO31" s="24"/>
      <c r="AP31" s="24">
        <v>27314</v>
      </c>
      <c r="AQ31" s="24"/>
      <c r="AR31" s="25">
        <f t="shared" si="8"/>
        <v>5.3455723542116633E-2</v>
      </c>
      <c r="AS31" s="25"/>
      <c r="AT31" s="25"/>
      <c r="AU31" s="24"/>
      <c r="AV31" s="298">
        <f t="shared" si="9"/>
        <v>2.5593910084922608E-2</v>
      </c>
      <c r="AW31" s="298"/>
      <c r="AX31" s="24">
        <f t="shared" si="10"/>
        <v>1241.5454545454545</v>
      </c>
      <c r="AY31" s="308"/>
      <c r="AZ31" s="1"/>
      <c r="BA31" s="65">
        <f t="shared" si="17"/>
        <v>185792</v>
      </c>
      <c r="BB31" s="66"/>
      <c r="BC31" s="66">
        <v>2538888</v>
      </c>
      <c r="BD31" s="66"/>
      <c r="BE31" s="66">
        <f t="shared" si="12"/>
        <v>33752</v>
      </c>
      <c r="BF31" s="66"/>
      <c r="BG31" s="66"/>
      <c r="BH31" s="66"/>
      <c r="BI31" s="170"/>
      <c r="BJ31" s="66"/>
      <c r="BK31" s="66"/>
      <c r="BL31" s="66"/>
      <c r="BM31" s="66"/>
      <c r="BN31" s="65"/>
      <c r="BO31" s="66"/>
      <c r="BP31" s="66">
        <f t="shared" si="16"/>
        <v>255689</v>
      </c>
      <c r="BQ31" s="66"/>
      <c r="BR31" s="73">
        <f t="shared" si="13"/>
        <v>0.10070905057647285</v>
      </c>
      <c r="BS31" s="66"/>
      <c r="BT31" s="75"/>
      <c r="BU31" s="170"/>
      <c r="BV31" s="1"/>
      <c r="BW31">
        <f t="shared" si="11"/>
        <v>22</v>
      </c>
    </row>
    <row r="32" spans="2:90" x14ac:dyDescent="0.3">
      <c r="B32" s="433">
        <f t="shared" si="6"/>
        <v>43932</v>
      </c>
      <c r="D32" s="17">
        <v>30003</v>
      </c>
      <c r="E32" s="16"/>
      <c r="F32" s="16"/>
      <c r="G32" s="16"/>
      <c r="H32" s="16">
        <f t="shared" si="14"/>
        <v>1097210</v>
      </c>
      <c r="I32" s="16"/>
      <c r="J32" s="38">
        <f t="shared" si="1"/>
        <v>2.8113571219079335E-2</v>
      </c>
      <c r="K32" s="16"/>
      <c r="L32" s="16"/>
      <c r="M32" s="16"/>
      <c r="N32" s="16"/>
      <c r="O32" s="16">
        <f t="shared" si="2"/>
        <v>47704.782608695656</v>
      </c>
      <c r="P32" s="41"/>
      <c r="Q32" s="17"/>
      <c r="R32" s="16"/>
      <c r="S32" s="60"/>
      <c r="T32" s="16"/>
      <c r="U32" s="41"/>
      <c r="V32" s="434"/>
      <c r="W32" s="34">
        <v>1830</v>
      </c>
      <c r="X32" s="33"/>
      <c r="Y32" s="33"/>
      <c r="Z32" s="33"/>
      <c r="AA32" s="33">
        <f t="shared" si="15"/>
        <v>23935</v>
      </c>
      <c r="AB32" s="33"/>
      <c r="AC32" s="46">
        <f t="shared" si="4"/>
        <v>2.1814420211263112E-2</v>
      </c>
      <c r="AD32" s="33"/>
      <c r="AE32" s="33">
        <f t="shared" si="5"/>
        <v>1040.6521739130435</v>
      </c>
      <c r="AF32" s="50"/>
      <c r="AG32" s="33"/>
      <c r="AH32" s="33"/>
      <c r="AI32" s="213"/>
      <c r="AJ32" s="50"/>
      <c r="AK32" s="1"/>
      <c r="AL32" s="23">
        <f t="shared" si="7"/>
        <v>3139</v>
      </c>
      <c r="AM32" s="24"/>
      <c r="AN32" s="24"/>
      <c r="AO32" s="24"/>
      <c r="AP32" s="24">
        <v>30453</v>
      </c>
      <c r="AQ32" s="24"/>
      <c r="AR32" s="25">
        <f t="shared" si="8"/>
        <v>0.1149227502379732</v>
      </c>
      <c r="AS32" s="25"/>
      <c r="AT32" s="25"/>
      <c r="AU32" s="24"/>
      <c r="AV32" s="298">
        <f t="shared" si="9"/>
        <v>2.7754942080367478E-2</v>
      </c>
      <c r="AW32" s="298"/>
      <c r="AX32" s="24">
        <f t="shared" si="10"/>
        <v>1324.0434782608695</v>
      </c>
      <c r="AY32" s="308"/>
      <c r="AZ32" s="1"/>
      <c r="BA32" s="65">
        <f t="shared" si="17"/>
        <v>131786</v>
      </c>
      <c r="BB32" s="66"/>
      <c r="BC32" s="66">
        <v>2670674</v>
      </c>
      <c r="BD32" s="66"/>
      <c r="BE32" s="66">
        <f t="shared" si="12"/>
        <v>30003</v>
      </c>
      <c r="BF32" s="66"/>
      <c r="BG32" s="66"/>
      <c r="BH32" s="66"/>
      <c r="BI32" s="170"/>
      <c r="BJ32" s="66"/>
      <c r="BK32" s="66"/>
      <c r="BL32" s="66"/>
      <c r="BM32" s="66"/>
      <c r="BN32" s="65"/>
      <c r="BO32" s="66"/>
      <c r="BP32" s="66">
        <f t="shared" si="16"/>
        <v>285692</v>
      </c>
      <c r="BQ32" s="66"/>
      <c r="BR32" s="73">
        <f t="shared" si="13"/>
        <v>0.10697374520439409</v>
      </c>
      <c r="BS32" s="66"/>
      <c r="BT32" s="75"/>
      <c r="BU32" s="170"/>
      <c r="BV32" s="1"/>
      <c r="BW32">
        <f t="shared" si="11"/>
        <v>23</v>
      </c>
    </row>
    <row r="33" spans="2:75" x14ac:dyDescent="0.3">
      <c r="B33" s="347">
        <f t="shared" si="6"/>
        <v>43933</v>
      </c>
      <c r="D33" s="17">
        <v>27421</v>
      </c>
      <c r="E33" s="16"/>
      <c r="F33" s="16"/>
      <c r="G33" s="16"/>
      <c r="H33" s="16">
        <f t="shared" si="14"/>
        <v>1124631</v>
      </c>
      <c r="I33" s="16"/>
      <c r="J33" s="38">
        <f t="shared" si="1"/>
        <v>2.4991569526344092E-2</v>
      </c>
      <c r="K33" s="16"/>
      <c r="L33" s="16"/>
      <c r="M33" s="16"/>
      <c r="N33" s="16"/>
      <c r="O33" s="16">
        <f t="shared" si="2"/>
        <v>46859.625</v>
      </c>
      <c r="P33" s="41"/>
      <c r="Q33" s="17">
        <f>SUM(D27:D33)</f>
        <v>221317</v>
      </c>
      <c r="R33" s="16"/>
      <c r="S33" s="60">
        <f>+(Q33-Q26)/Q26</f>
        <v>0.14563986292718784</v>
      </c>
      <c r="T33" s="16"/>
      <c r="U33" s="41"/>
      <c r="V33" s="348"/>
      <c r="W33" s="34">
        <v>1528</v>
      </c>
      <c r="X33" s="33"/>
      <c r="Y33" s="33"/>
      <c r="Z33" s="33"/>
      <c r="AA33" s="33">
        <f t="shared" si="15"/>
        <v>25463</v>
      </c>
      <c r="AB33" s="33"/>
      <c r="AC33" s="46">
        <f t="shared" si="4"/>
        <v>2.2641204092720191E-2</v>
      </c>
      <c r="AD33" s="33"/>
      <c r="AE33" s="33">
        <f t="shared" si="5"/>
        <v>1060.9583333333333</v>
      </c>
      <c r="AF33" s="50"/>
      <c r="AG33" s="33">
        <f>SUM(W27:W33)</f>
        <v>12468</v>
      </c>
      <c r="AH33" s="33"/>
      <c r="AI33" s="213">
        <f>+(AG33-AG26)/AG26</f>
        <v>0.77278544006824967</v>
      </c>
      <c r="AJ33" s="50"/>
      <c r="AK33" s="348"/>
      <c r="AL33" s="23">
        <f t="shared" si="7"/>
        <v>2181</v>
      </c>
      <c r="AM33" s="24"/>
      <c r="AN33" s="24"/>
      <c r="AO33" s="24"/>
      <c r="AP33" s="24">
        <v>32634</v>
      </c>
      <c r="AQ33" s="24"/>
      <c r="AR33" s="25">
        <f t="shared" si="8"/>
        <v>7.1618559747808092E-2</v>
      </c>
      <c r="AS33" s="25"/>
      <c r="AT33" s="25"/>
      <c r="AU33" s="24"/>
      <c r="AV33" s="298">
        <f t="shared" si="9"/>
        <v>2.9017517745820631E-2</v>
      </c>
      <c r="AW33" s="298"/>
      <c r="AX33" s="24">
        <f t="shared" si="10"/>
        <v>1359.75</v>
      </c>
      <c r="AY33" s="308"/>
      <c r="AZ33" s="348"/>
      <c r="BA33" s="65">
        <f t="shared" si="17"/>
        <v>161584</v>
      </c>
      <c r="BB33" s="66"/>
      <c r="BC33" s="66">
        <v>2832258</v>
      </c>
      <c r="BD33" s="66"/>
      <c r="BE33" s="66">
        <f t="shared" si="12"/>
        <v>27421</v>
      </c>
      <c r="BF33" s="66"/>
      <c r="BG33" s="66"/>
      <c r="BH33" s="66"/>
      <c r="BI33" s="170"/>
      <c r="BJ33" s="66"/>
      <c r="BK33" s="66"/>
      <c r="BL33" s="66"/>
      <c r="BM33" s="66"/>
      <c r="BN33" s="65"/>
      <c r="BO33" s="66"/>
      <c r="BP33" s="66">
        <f t="shared" si="16"/>
        <v>313113</v>
      </c>
      <c r="BQ33" s="66"/>
      <c r="BR33" s="73">
        <f t="shared" si="13"/>
        <v>0.1105524284863879</v>
      </c>
      <c r="BS33" s="66"/>
      <c r="BT33" s="75"/>
      <c r="BU33" s="170"/>
      <c r="BV33" s="1"/>
      <c r="BW33">
        <f t="shared" si="11"/>
        <v>24</v>
      </c>
    </row>
    <row r="34" spans="2:75" x14ac:dyDescent="0.3">
      <c r="B34" s="158">
        <f t="shared" si="6"/>
        <v>43934</v>
      </c>
      <c r="D34" s="17">
        <v>26641</v>
      </c>
      <c r="E34" s="16"/>
      <c r="F34" s="16"/>
      <c r="G34" s="16"/>
      <c r="H34" s="16">
        <f t="shared" si="14"/>
        <v>1151272</v>
      </c>
      <c r="I34" s="16"/>
      <c r="J34" s="38">
        <f t="shared" si="1"/>
        <v>2.3688658768965108E-2</v>
      </c>
      <c r="K34" s="16"/>
      <c r="L34" s="16"/>
      <c r="M34" s="16"/>
      <c r="N34" s="16"/>
      <c r="O34" s="16">
        <f t="shared" si="2"/>
        <v>46050.879999999997</v>
      </c>
      <c r="P34" s="41"/>
      <c r="Q34" s="17"/>
      <c r="R34" s="16"/>
      <c r="S34" s="60"/>
      <c r="T34" s="16"/>
      <c r="U34" s="41"/>
      <c r="V34" s="10"/>
      <c r="W34" s="34">
        <v>1535</v>
      </c>
      <c r="X34" s="33"/>
      <c r="Y34" s="33"/>
      <c r="Z34" s="33"/>
      <c r="AA34" s="33">
        <f t="shared" si="15"/>
        <v>26998</v>
      </c>
      <c r="AB34" s="33"/>
      <c r="AC34" s="46">
        <f t="shared" si="4"/>
        <v>2.345058335475891E-2</v>
      </c>
      <c r="AD34" s="33"/>
      <c r="AE34" s="33">
        <f t="shared" si="5"/>
        <v>1079.92</v>
      </c>
      <c r="AF34" s="50"/>
      <c r="AG34" s="33"/>
      <c r="AH34" s="33"/>
      <c r="AI34" s="213"/>
      <c r="AJ34" s="50"/>
      <c r="AK34" s="10"/>
      <c r="AL34" s="23">
        <f t="shared" si="7"/>
        <v>3620</v>
      </c>
      <c r="AM34" s="24"/>
      <c r="AN34" s="24"/>
      <c r="AO34" s="24"/>
      <c r="AP34" s="24">
        <v>36254</v>
      </c>
      <c r="AQ34" s="24"/>
      <c r="AR34" s="25">
        <f t="shared" si="8"/>
        <v>0.11092725378439665</v>
      </c>
      <c r="AS34" s="25"/>
      <c r="AT34" s="25"/>
      <c r="AU34" s="24"/>
      <c r="AV34" s="298">
        <f t="shared" si="9"/>
        <v>3.149038628577782E-2</v>
      </c>
      <c r="AW34" s="298"/>
      <c r="AX34" s="24">
        <f t="shared" si="10"/>
        <v>1450.16</v>
      </c>
      <c r="AY34" s="308"/>
      <c r="AZ34" s="10"/>
      <c r="BA34" s="65">
        <f t="shared" si="17"/>
        <v>111697</v>
      </c>
      <c r="BB34" s="66"/>
      <c r="BC34" s="66">
        <v>2943955</v>
      </c>
      <c r="BD34" s="66"/>
      <c r="BE34" s="66">
        <f t="shared" si="12"/>
        <v>26641</v>
      </c>
      <c r="BF34" s="66"/>
      <c r="BG34" s="66"/>
      <c r="BH34" s="66"/>
      <c r="BI34" s="170"/>
      <c r="BJ34" s="66"/>
      <c r="BK34" s="66"/>
      <c r="BL34" s="66"/>
      <c r="BM34" s="66"/>
      <c r="BN34" s="65"/>
      <c r="BO34" s="66"/>
      <c r="BP34" s="66">
        <f t="shared" si="16"/>
        <v>339754</v>
      </c>
      <c r="BQ34" s="66"/>
      <c r="BR34" s="73">
        <f t="shared" si="13"/>
        <v>0.11540733469091749</v>
      </c>
      <c r="BS34" s="66"/>
      <c r="BT34" s="75"/>
      <c r="BU34" s="170"/>
      <c r="BV34" s="1"/>
      <c r="BW34">
        <f t="shared" si="11"/>
        <v>25</v>
      </c>
    </row>
    <row r="35" spans="2:75" x14ac:dyDescent="0.3">
      <c r="B35" s="158">
        <f t="shared" si="6"/>
        <v>43935</v>
      </c>
      <c r="D35" s="17">
        <v>30720</v>
      </c>
      <c r="E35" s="16"/>
      <c r="F35" s="16"/>
      <c r="G35" s="16"/>
      <c r="H35" s="16">
        <f>+H34+D35+5109-168+16794+1462+194+2800</f>
        <v>1208183</v>
      </c>
      <c r="I35" s="287" t="s">
        <v>60</v>
      </c>
      <c r="J35" s="38">
        <f t="shared" si="1"/>
        <v>2.668352917468678E-2</v>
      </c>
      <c r="K35" s="16"/>
      <c r="L35" s="16"/>
      <c r="M35" s="16"/>
      <c r="N35" s="16"/>
      <c r="O35" s="16">
        <f t="shared" si="2"/>
        <v>46468.576923076922</v>
      </c>
      <c r="P35" s="41"/>
      <c r="Q35" s="17"/>
      <c r="R35" s="16"/>
      <c r="S35" s="16"/>
      <c r="T35" s="16"/>
      <c r="U35" s="41"/>
      <c r="V35" s="1"/>
      <c r="W35" s="34">
        <v>2407</v>
      </c>
      <c r="X35" s="33"/>
      <c r="Y35" s="33"/>
      <c r="Z35" s="33"/>
      <c r="AA35" s="33">
        <f>+AA34+W35+3778+317+73+3+2024</f>
        <v>35600</v>
      </c>
      <c r="AB35" s="297" t="s">
        <v>60</v>
      </c>
      <c r="AC35" s="46">
        <f t="shared" si="4"/>
        <v>2.9465734909363897E-2</v>
      </c>
      <c r="AD35" s="33"/>
      <c r="AE35" s="33">
        <f t="shared" si="5"/>
        <v>1369.2307692307693</v>
      </c>
      <c r="AF35" s="50"/>
      <c r="AG35" s="33"/>
      <c r="AH35" s="33"/>
      <c r="AI35" s="33"/>
      <c r="AJ35" s="50"/>
      <c r="AK35" s="1"/>
      <c r="AL35" s="23">
        <f t="shared" si="7"/>
        <v>2566</v>
      </c>
      <c r="AM35" s="24"/>
      <c r="AN35" s="24"/>
      <c r="AO35" s="24"/>
      <c r="AP35" s="24">
        <v>38820</v>
      </c>
      <c r="AQ35" s="24"/>
      <c r="AR35" s="25">
        <f t="shared" si="8"/>
        <v>7.0778396866552656E-2</v>
      </c>
      <c r="AS35" s="25"/>
      <c r="AT35" s="25"/>
      <c r="AU35" s="24"/>
      <c r="AV35" s="298">
        <f t="shared" si="9"/>
        <v>3.2130894078132202E-2</v>
      </c>
      <c r="AW35" s="298"/>
      <c r="AX35" s="24">
        <f t="shared" si="10"/>
        <v>1493.0769230769231</v>
      </c>
      <c r="AY35" s="308"/>
      <c r="AZ35" s="1"/>
      <c r="BA35" s="65">
        <f t="shared" si="17"/>
        <v>121064</v>
      </c>
      <c r="BB35" s="66"/>
      <c r="BC35" s="66">
        <v>3065019</v>
      </c>
      <c r="BD35" s="66"/>
      <c r="BE35" s="66">
        <f t="shared" si="12"/>
        <v>30720</v>
      </c>
      <c r="BF35" s="66"/>
      <c r="BG35" s="66"/>
      <c r="BH35" s="66"/>
      <c r="BI35" s="170"/>
      <c r="BJ35" s="66"/>
      <c r="BK35" s="66"/>
      <c r="BL35" s="66"/>
      <c r="BM35" s="66"/>
      <c r="BN35" s="65"/>
      <c r="BO35" s="66"/>
      <c r="BP35" s="66">
        <f t="shared" si="16"/>
        <v>370474</v>
      </c>
      <c r="BQ35" s="66"/>
      <c r="BR35" s="73">
        <f t="shared" si="13"/>
        <v>0.12087168138272553</v>
      </c>
      <c r="BS35" s="66"/>
      <c r="BT35" s="75"/>
      <c r="BU35" s="170"/>
      <c r="BV35" s="1"/>
      <c r="BW35">
        <f t="shared" si="11"/>
        <v>26</v>
      </c>
    </row>
    <row r="36" spans="2:75" x14ac:dyDescent="0.3">
      <c r="B36" s="158">
        <f t="shared" si="6"/>
        <v>43936</v>
      </c>
      <c r="D36" s="17">
        <v>30342</v>
      </c>
      <c r="E36" s="16"/>
      <c r="F36" s="16"/>
      <c r="G36" s="16"/>
      <c r="H36" s="16">
        <f t="shared" ref="H36:H45" si="18">+H35+D36</f>
        <v>1238525</v>
      </c>
      <c r="I36" s="16"/>
      <c r="J36" s="38">
        <f t="shared" si="1"/>
        <v>2.5113745185952791E-2</v>
      </c>
      <c r="K36" s="16"/>
      <c r="L36" s="16"/>
      <c r="M36" s="16"/>
      <c r="N36" s="16"/>
      <c r="O36" s="16">
        <f t="shared" si="2"/>
        <v>45871.296296296299</v>
      </c>
      <c r="P36" s="41"/>
      <c r="Q36" s="17"/>
      <c r="R36" s="16"/>
      <c r="S36" s="16"/>
      <c r="T36" s="16"/>
      <c r="U36" s="41"/>
      <c r="V36" s="1"/>
      <c r="W36" s="34">
        <v>2618</v>
      </c>
      <c r="X36" s="33"/>
      <c r="Y36" s="33"/>
      <c r="Z36" s="33"/>
      <c r="AA36" s="33">
        <f t="shared" ref="AA36:AA51" si="19">+AA35+W36</f>
        <v>38218</v>
      </c>
      <c r="AB36" s="33"/>
      <c r="AC36" s="46">
        <f t="shared" si="4"/>
        <v>3.085767344219939E-2</v>
      </c>
      <c r="AD36" s="33"/>
      <c r="AE36" s="33">
        <f t="shared" si="5"/>
        <v>1415.4814814814815</v>
      </c>
      <c r="AF36" s="50"/>
      <c r="AG36" s="33"/>
      <c r="AH36" s="33"/>
      <c r="AI36" s="33"/>
      <c r="AJ36" s="50"/>
      <c r="AK36" s="1"/>
      <c r="AL36" s="23">
        <f t="shared" si="7"/>
        <v>9881</v>
      </c>
      <c r="AM36" s="24"/>
      <c r="AN36" s="24"/>
      <c r="AO36" s="24"/>
      <c r="AP36" s="24">
        <v>48701</v>
      </c>
      <c r="AQ36" s="24"/>
      <c r="AR36" s="25">
        <f t="shared" si="8"/>
        <v>0.25453374549201441</v>
      </c>
      <c r="AS36" s="25"/>
      <c r="AT36" s="25"/>
      <c r="AU36" s="24"/>
      <c r="AV36" s="298">
        <f t="shared" si="9"/>
        <v>3.9321773884257484E-2</v>
      </c>
      <c r="AW36" s="298"/>
      <c r="AX36" s="24">
        <f t="shared" si="10"/>
        <v>1803.7407407407406</v>
      </c>
      <c r="AY36" s="308"/>
      <c r="AZ36" s="1"/>
      <c r="BA36" s="65">
        <f t="shared" si="17"/>
        <v>193860</v>
      </c>
      <c r="BB36" s="66"/>
      <c r="BC36" s="66">
        <v>3258879</v>
      </c>
      <c r="BD36" s="66"/>
      <c r="BE36" s="66">
        <f t="shared" si="12"/>
        <v>30342</v>
      </c>
      <c r="BF36" s="66"/>
      <c r="BG36" s="66"/>
      <c r="BH36" s="66"/>
      <c r="BI36" s="170"/>
      <c r="BJ36" s="66"/>
      <c r="BK36" s="66"/>
      <c r="BL36" s="66"/>
      <c r="BM36" s="66"/>
      <c r="BN36" s="65"/>
      <c r="BO36" s="66"/>
      <c r="BP36" s="66">
        <f t="shared" si="16"/>
        <v>400816</v>
      </c>
      <c r="BQ36" s="66"/>
      <c r="BR36" s="73">
        <f t="shared" si="13"/>
        <v>0.12299198589453612</v>
      </c>
      <c r="BS36" s="66"/>
      <c r="BT36" s="75"/>
      <c r="BU36" s="170"/>
      <c r="BV36" s="1"/>
      <c r="BW36">
        <f t="shared" si="11"/>
        <v>27</v>
      </c>
    </row>
    <row r="37" spans="2:75" x14ac:dyDescent="0.3">
      <c r="B37" s="158">
        <f t="shared" si="6"/>
        <v>43937</v>
      </c>
      <c r="D37" s="17">
        <v>29567</v>
      </c>
      <c r="E37" s="16"/>
      <c r="F37" s="16"/>
      <c r="G37" s="16"/>
      <c r="H37" s="16">
        <f t="shared" si="18"/>
        <v>1268092</v>
      </c>
      <c r="I37" s="16"/>
      <c r="J37" s="38">
        <f t="shared" si="1"/>
        <v>2.3872751862094022E-2</v>
      </c>
      <c r="K37" s="16"/>
      <c r="L37" s="16"/>
      <c r="M37" s="16"/>
      <c r="N37" s="16"/>
      <c r="O37" s="16">
        <f t="shared" si="2"/>
        <v>45289</v>
      </c>
      <c r="P37" s="41"/>
      <c r="Q37" s="17"/>
      <c r="R37" s="16"/>
      <c r="S37" s="16"/>
      <c r="T37" s="16"/>
      <c r="U37" s="41"/>
      <c r="V37" s="10"/>
      <c r="W37" s="34">
        <v>2176</v>
      </c>
      <c r="X37" s="33"/>
      <c r="Y37" s="33"/>
      <c r="Z37" s="33"/>
      <c r="AA37" s="33">
        <f t="shared" si="19"/>
        <v>40394</v>
      </c>
      <c r="AB37" s="33"/>
      <c r="AC37" s="46">
        <f t="shared" si="4"/>
        <v>3.1854155692173751E-2</v>
      </c>
      <c r="AD37" s="33"/>
      <c r="AE37" s="33">
        <f t="shared" si="5"/>
        <v>1442.6428571428571</v>
      </c>
      <c r="AF37" s="50"/>
      <c r="AG37" s="33"/>
      <c r="AH37" s="33"/>
      <c r="AI37" s="33"/>
      <c r="AJ37" s="50"/>
      <c r="AK37" s="10"/>
      <c r="AL37" s="23">
        <f t="shared" si="7"/>
        <v>8807</v>
      </c>
      <c r="AM37" s="24"/>
      <c r="AN37" s="24"/>
      <c r="AO37" s="24"/>
      <c r="AP37" s="24">
        <v>57508</v>
      </c>
      <c r="AQ37" s="24"/>
      <c r="AR37" s="25">
        <f t="shared" si="8"/>
        <v>0.1808381758074783</v>
      </c>
      <c r="AS37" s="25"/>
      <c r="AT37" s="25"/>
      <c r="AU37" s="24"/>
      <c r="AV37" s="298">
        <f t="shared" si="9"/>
        <v>4.5350021922699615E-2</v>
      </c>
      <c r="AW37" s="298"/>
      <c r="AX37" s="24">
        <f t="shared" si="10"/>
        <v>2053.8571428571427</v>
      </c>
      <c r="AY37" s="308"/>
      <c r="AZ37" s="1"/>
      <c r="BA37" s="65">
        <f t="shared" si="17"/>
        <v>139261</v>
      </c>
      <c r="BB37" s="66"/>
      <c r="BC37" s="66">
        <v>3398140</v>
      </c>
      <c r="BD37" s="66"/>
      <c r="BE37" s="66">
        <f t="shared" si="12"/>
        <v>29567</v>
      </c>
      <c r="BF37" s="66"/>
      <c r="BG37" s="66"/>
      <c r="BH37" s="66"/>
      <c r="BI37" s="170"/>
      <c r="BJ37" s="66"/>
      <c r="BK37" s="66"/>
      <c r="BL37" s="66"/>
      <c r="BM37" s="66"/>
      <c r="BN37" s="65"/>
      <c r="BO37" s="66"/>
      <c r="BP37" s="66">
        <f t="shared" si="16"/>
        <v>430383</v>
      </c>
      <c r="BQ37" s="66"/>
      <c r="BR37" s="73">
        <f t="shared" si="13"/>
        <v>0.12665252167362145</v>
      </c>
      <c r="BS37" s="66"/>
      <c r="BT37" s="75"/>
      <c r="BU37" s="170"/>
      <c r="BV37" s="1"/>
      <c r="BW37">
        <f t="shared" si="11"/>
        <v>28</v>
      </c>
    </row>
    <row r="38" spans="2:75" x14ac:dyDescent="0.3">
      <c r="B38" s="158">
        <f t="shared" si="6"/>
        <v>43938</v>
      </c>
      <c r="D38" s="17">
        <v>32165</v>
      </c>
      <c r="E38" s="16"/>
      <c r="F38" s="16"/>
      <c r="G38" s="16"/>
      <c r="H38" s="16">
        <f t="shared" si="18"/>
        <v>1300257</v>
      </c>
      <c r="I38" s="16"/>
      <c r="J38" s="38">
        <f t="shared" si="1"/>
        <v>2.5364878888913422E-2</v>
      </c>
      <c r="K38" s="16"/>
      <c r="L38" s="16"/>
      <c r="M38" s="16"/>
      <c r="N38" s="16"/>
      <c r="O38" s="16">
        <f t="shared" si="2"/>
        <v>44836.448275862072</v>
      </c>
      <c r="P38" s="41"/>
      <c r="Q38" s="17"/>
      <c r="R38" s="16"/>
      <c r="S38" s="16"/>
      <c r="T38" s="16"/>
      <c r="U38" s="41"/>
      <c r="V38" s="10"/>
      <c r="W38" s="34">
        <v>2528</v>
      </c>
      <c r="X38" s="33"/>
      <c r="Y38" s="33"/>
      <c r="Z38" s="33"/>
      <c r="AA38" s="33">
        <f t="shared" si="19"/>
        <v>42922</v>
      </c>
      <c r="AB38" s="33"/>
      <c r="AC38" s="46">
        <f t="shared" si="4"/>
        <v>3.3010397175327645E-2</v>
      </c>
      <c r="AD38" s="33"/>
      <c r="AE38" s="33">
        <f t="shared" si="5"/>
        <v>1480.0689655172414</v>
      </c>
      <c r="AF38" s="50"/>
      <c r="AG38" s="33"/>
      <c r="AH38" s="33"/>
      <c r="AI38" s="33"/>
      <c r="AJ38" s="50"/>
      <c r="AK38" s="10"/>
      <c r="AL38" s="23">
        <f t="shared" si="7"/>
        <v>3002</v>
      </c>
      <c r="AM38" s="24"/>
      <c r="AN38" s="24"/>
      <c r="AO38" s="24"/>
      <c r="AP38" s="24">
        <v>60510</v>
      </c>
      <c r="AQ38" s="24"/>
      <c r="AR38" s="25">
        <f t="shared" si="8"/>
        <v>5.2201432844126032E-2</v>
      </c>
      <c r="AS38" s="25"/>
      <c r="AT38" s="25"/>
      <c r="AU38" s="24"/>
      <c r="AV38" s="298">
        <f t="shared" si="9"/>
        <v>4.6536953848354594E-2</v>
      </c>
      <c r="AW38" s="298"/>
      <c r="AX38" s="24">
        <f t="shared" si="10"/>
        <v>2086.5517241379312</v>
      </c>
      <c r="AY38" s="308"/>
      <c r="AZ38" s="1"/>
      <c r="BA38" s="65">
        <f t="shared" si="17"/>
        <v>174117</v>
      </c>
      <c r="BB38" s="66"/>
      <c r="BC38" s="66">
        <v>3572257</v>
      </c>
      <c r="BD38" s="66"/>
      <c r="BE38" s="66">
        <f t="shared" si="12"/>
        <v>32165</v>
      </c>
      <c r="BF38" s="66"/>
      <c r="BG38" s="66"/>
      <c r="BH38" s="66"/>
      <c r="BI38" s="170"/>
      <c r="BJ38" s="66"/>
      <c r="BK38" s="66"/>
      <c r="BL38" s="66"/>
      <c r="BM38" s="66"/>
      <c r="BN38" s="65"/>
      <c r="BO38" s="66"/>
      <c r="BP38" s="66">
        <f t="shared" si="16"/>
        <v>462548</v>
      </c>
      <c r="BQ38" s="66"/>
      <c r="BR38" s="73">
        <f t="shared" si="13"/>
        <v>0.12948340502936939</v>
      </c>
      <c r="BS38" s="66"/>
      <c r="BT38" s="75"/>
      <c r="BU38" s="170"/>
      <c r="BV38" s="1"/>
      <c r="BW38">
        <f t="shared" si="11"/>
        <v>29</v>
      </c>
    </row>
    <row r="39" spans="2:75" x14ac:dyDescent="0.3">
      <c r="B39" s="252">
        <f t="shared" si="6"/>
        <v>43939</v>
      </c>
      <c r="C39" s="98"/>
      <c r="D39" s="17">
        <v>29057</v>
      </c>
      <c r="E39" s="16"/>
      <c r="F39" s="16"/>
      <c r="G39" s="16"/>
      <c r="H39" s="16">
        <f t="shared" si="18"/>
        <v>1329314</v>
      </c>
      <c r="I39" s="16"/>
      <c r="J39" s="38">
        <f t="shared" si="1"/>
        <v>2.2347120607695246E-2</v>
      </c>
      <c r="K39" s="16"/>
      <c r="L39" s="16"/>
      <c r="M39" s="16"/>
      <c r="N39" s="16"/>
      <c r="O39" s="16">
        <f t="shared" si="2"/>
        <v>44310.466666666667</v>
      </c>
      <c r="P39" s="41"/>
      <c r="Q39" s="17"/>
      <c r="R39" s="16"/>
      <c r="S39" s="60"/>
      <c r="T39" s="16"/>
      <c r="U39" s="41"/>
      <c r="V39" s="7"/>
      <c r="W39" s="34">
        <v>1867</v>
      </c>
      <c r="X39" s="33"/>
      <c r="Y39" s="33"/>
      <c r="Z39" s="33"/>
      <c r="AA39" s="33">
        <f t="shared" si="19"/>
        <v>44789</v>
      </c>
      <c r="AB39" s="33"/>
      <c r="AC39" s="46">
        <f t="shared" si="4"/>
        <v>3.3693318508644307E-2</v>
      </c>
      <c r="AD39" s="33"/>
      <c r="AE39" s="33">
        <f t="shared" si="5"/>
        <v>1492.9666666666667</v>
      </c>
      <c r="AF39" s="50"/>
      <c r="AG39" s="33"/>
      <c r="AH39" s="33"/>
      <c r="AI39" s="213"/>
      <c r="AJ39" s="50"/>
      <c r="AK39" s="78"/>
      <c r="AL39" s="23">
        <f t="shared" si="7"/>
        <v>7759</v>
      </c>
      <c r="AM39" s="24"/>
      <c r="AN39" s="24"/>
      <c r="AO39" s="24"/>
      <c r="AP39" s="24">
        <v>68269</v>
      </c>
      <c r="AQ39" s="24"/>
      <c r="AR39" s="25">
        <f t="shared" si="8"/>
        <v>0.12822673938192033</v>
      </c>
      <c r="AS39" s="25"/>
      <c r="AT39" s="25"/>
      <c r="AU39" s="24"/>
      <c r="AV39" s="298">
        <f t="shared" si="9"/>
        <v>5.1356564363273086E-2</v>
      </c>
      <c r="AW39" s="298"/>
      <c r="AX39" s="24">
        <f t="shared" si="10"/>
        <v>2275.6333333333332</v>
      </c>
      <c r="AY39" s="308"/>
      <c r="AZ39" s="78"/>
      <c r="BA39" s="65">
        <f t="shared" si="17"/>
        <v>149888</v>
      </c>
      <c r="BB39" s="66"/>
      <c r="BC39" s="66">
        <v>3722145</v>
      </c>
      <c r="BD39" s="66"/>
      <c r="BE39" s="66">
        <f t="shared" si="12"/>
        <v>29057</v>
      </c>
      <c r="BF39" s="66"/>
      <c r="BG39" s="66"/>
      <c r="BH39" s="66"/>
      <c r="BI39" s="170"/>
      <c r="BJ39" s="66"/>
      <c r="BK39" s="66"/>
      <c r="BL39" s="66"/>
      <c r="BM39" s="144"/>
      <c r="BN39" s="65"/>
      <c r="BO39" s="66"/>
      <c r="BP39" s="66">
        <f t="shared" si="16"/>
        <v>491605</v>
      </c>
      <c r="BQ39" s="66"/>
      <c r="BR39" s="73">
        <f t="shared" si="13"/>
        <v>0.13207572515310392</v>
      </c>
      <c r="BS39" s="66"/>
      <c r="BT39" s="75"/>
      <c r="BU39" s="170"/>
      <c r="BV39" s="78"/>
      <c r="BW39" s="98">
        <f t="shared" si="11"/>
        <v>30</v>
      </c>
    </row>
    <row r="40" spans="2:75" x14ac:dyDescent="0.3">
      <c r="B40" s="347">
        <f t="shared" si="6"/>
        <v>43940</v>
      </c>
      <c r="C40" s="61"/>
      <c r="D40" s="17">
        <v>26183</v>
      </c>
      <c r="E40" s="16"/>
      <c r="F40" s="16"/>
      <c r="G40" s="16"/>
      <c r="H40" s="16">
        <f t="shared" si="18"/>
        <v>1355497</v>
      </c>
      <c r="I40" s="16"/>
      <c r="J40" s="38">
        <f t="shared" si="1"/>
        <v>1.9696625477501929E-2</v>
      </c>
      <c r="K40" s="16"/>
      <c r="L40" s="16"/>
      <c r="M40" s="16"/>
      <c r="N40" s="16"/>
      <c r="O40" s="16">
        <f t="shared" si="2"/>
        <v>43725.709677419356</v>
      </c>
      <c r="P40" s="41"/>
      <c r="Q40" s="17">
        <f>SUM(D34:D40)</f>
        <v>204675</v>
      </c>
      <c r="R40" s="16"/>
      <c r="S40" s="60">
        <f>+(Q40-Q33)/Q33</f>
        <v>-7.5195308087494403E-2</v>
      </c>
      <c r="T40" s="16"/>
      <c r="U40" s="41"/>
      <c r="V40" s="348"/>
      <c r="W40" s="34">
        <v>1570</v>
      </c>
      <c r="X40" s="33"/>
      <c r="Y40" s="33"/>
      <c r="Z40" s="33"/>
      <c r="AA40" s="33">
        <f t="shared" si="19"/>
        <v>46359</v>
      </c>
      <c r="AB40" s="33"/>
      <c r="AC40" s="46">
        <f t="shared" si="4"/>
        <v>3.4200739654901488E-2</v>
      </c>
      <c r="AD40" s="33"/>
      <c r="AE40" s="33">
        <f t="shared" si="5"/>
        <v>1495.4516129032259</v>
      </c>
      <c r="AF40" s="50"/>
      <c r="AG40" s="33">
        <f>SUM(W34:W40)</f>
        <v>14701</v>
      </c>
      <c r="AH40" s="33"/>
      <c r="AI40" s="213">
        <f>+(AG40-AG33)/AG33</f>
        <v>0.17909849213987808</v>
      </c>
      <c r="AJ40" s="50"/>
      <c r="AK40" s="348"/>
      <c r="AL40" s="23">
        <f t="shared" si="7"/>
        <v>2734</v>
      </c>
      <c r="AM40" s="24"/>
      <c r="AN40" s="24"/>
      <c r="AO40" s="24"/>
      <c r="AP40" s="24">
        <v>71003</v>
      </c>
      <c r="AQ40" s="24"/>
      <c r="AR40" s="25">
        <f t="shared" si="8"/>
        <v>4.004745931535543E-2</v>
      </c>
      <c r="AS40" s="25"/>
      <c r="AT40" s="25"/>
      <c r="AU40" s="24"/>
      <c r="AV40" s="298">
        <f t="shared" si="9"/>
        <v>5.238152500521949E-2</v>
      </c>
      <c r="AW40" s="298"/>
      <c r="AX40" s="24">
        <f t="shared" si="10"/>
        <v>2290.4193548387098</v>
      </c>
      <c r="AY40" s="308"/>
      <c r="AZ40" s="348"/>
      <c r="BA40" s="65">
        <f t="shared" si="17"/>
        <v>139404</v>
      </c>
      <c r="BB40" s="66"/>
      <c r="BC40" s="66">
        <v>3861549</v>
      </c>
      <c r="BD40" s="66"/>
      <c r="BE40" s="66">
        <f t="shared" si="12"/>
        <v>26183</v>
      </c>
      <c r="BF40" s="66"/>
      <c r="BG40" s="144">
        <f t="shared" ref="BG40:BG51" si="20">+BE40/BA40</f>
        <v>0.18782100944018823</v>
      </c>
      <c r="BH40" s="66"/>
      <c r="BI40" s="170"/>
      <c r="BJ40" s="66"/>
      <c r="BK40" s="66">
        <f>SUM(BA34:BA40)</f>
        <v>1029291</v>
      </c>
      <c r="BL40" s="66"/>
      <c r="BM40" s="144">
        <f>+Q40/BK40</f>
        <v>0.19885047085809551</v>
      </c>
      <c r="BN40" s="65">
        <f t="shared" ref="BN40:BN68" si="21">+BC40/BW40</f>
        <v>124566.09677419355</v>
      </c>
      <c r="BO40" s="66"/>
      <c r="BP40" s="66">
        <f t="shared" si="16"/>
        <v>517788</v>
      </c>
      <c r="BQ40" s="66"/>
      <c r="BR40" s="73">
        <f t="shared" si="13"/>
        <v>0.13408815995860729</v>
      </c>
      <c r="BS40" s="66"/>
      <c r="BT40" s="75"/>
      <c r="BU40" s="170"/>
      <c r="BV40" s="1"/>
      <c r="BW40">
        <f t="shared" si="11"/>
        <v>31</v>
      </c>
    </row>
    <row r="41" spans="2:75" x14ac:dyDescent="0.3">
      <c r="B41" s="158">
        <f t="shared" si="6"/>
        <v>43941</v>
      </c>
      <c r="C41" s="61"/>
      <c r="D41" s="17">
        <v>28143</v>
      </c>
      <c r="E41" s="16"/>
      <c r="F41" s="16"/>
      <c r="G41" s="16"/>
      <c r="H41" s="16">
        <f t="shared" si="18"/>
        <v>1383640</v>
      </c>
      <c r="I41" s="16"/>
      <c r="J41" s="38">
        <f t="shared" si="1"/>
        <v>2.0762126363983099E-2</v>
      </c>
      <c r="K41" s="16"/>
      <c r="L41" s="16"/>
      <c r="M41" s="16"/>
      <c r="N41" s="16"/>
      <c r="O41" s="16">
        <f t="shared" si="2"/>
        <v>43238.75</v>
      </c>
      <c r="P41" s="41"/>
      <c r="Q41" s="17"/>
      <c r="R41" s="16"/>
      <c r="S41" s="60"/>
      <c r="T41" s="16"/>
      <c r="U41" s="41"/>
      <c r="V41" s="10"/>
      <c r="W41" s="34">
        <v>1952</v>
      </c>
      <c r="X41" s="33"/>
      <c r="Y41" s="33"/>
      <c r="Z41" s="33"/>
      <c r="AA41" s="33">
        <f t="shared" si="19"/>
        <v>48311</v>
      </c>
      <c r="AB41" s="33"/>
      <c r="AC41" s="46">
        <f t="shared" si="4"/>
        <v>3.4915874071290223E-2</v>
      </c>
      <c r="AD41" s="33"/>
      <c r="AE41" s="33">
        <f t="shared" si="5"/>
        <v>1509.71875</v>
      </c>
      <c r="AF41" s="50"/>
      <c r="AG41" s="33"/>
      <c r="AH41" s="33"/>
      <c r="AI41" s="213"/>
      <c r="AJ41" s="50"/>
      <c r="AK41" s="10"/>
      <c r="AL41" s="23">
        <f t="shared" si="7"/>
        <v>1386</v>
      </c>
      <c r="AM41" s="24"/>
      <c r="AN41" s="24"/>
      <c r="AO41" s="24"/>
      <c r="AP41" s="24">
        <v>72389</v>
      </c>
      <c r="AQ41" s="24"/>
      <c r="AR41" s="25">
        <f t="shared" si="8"/>
        <v>1.9520301959072152E-2</v>
      </c>
      <c r="AS41" s="25"/>
      <c r="AT41" s="25"/>
      <c r="AU41" s="24"/>
      <c r="AV41" s="298">
        <f t="shared" si="9"/>
        <v>5.2317799427596776E-2</v>
      </c>
      <c r="AW41" s="298"/>
      <c r="AX41" s="24">
        <f t="shared" si="10"/>
        <v>2262.15625</v>
      </c>
      <c r="AY41" s="308"/>
      <c r="AZ41" s="10"/>
      <c r="BA41" s="65">
        <f t="shared" si="17"/>
        <v>164811</v>
      </c>
      <c r="BB41" s="66"/>
      <c r="BC41" s="66">
        <v>4026360</v>
      </c>
      <c r="BD41" s="66"/>
      <c r="BE41" s="66">
        <f t="shared" si="12"/>
        <v>28143</v>
      </c>
      <c r="BF41" s="66"/>
      <c r="BG41" s="144">
        <f t="shared" si="20"/>
        <v>0.17075923330360232</v>
      </c>
      <c r="BH41" s="66"/>
      <c r="BI41" s="170"/>
      <c r="BJ41" s="66"/>
      <c r="BK41" s="66"/>
      <c r="BL41" s="66"/>
      <c r="BM41" s="66"/>
      <c r="BN41" s="65">
        <f t="shared" si="21"/>
        <v>125823.75</v>
      </c>
      <c r="BO41" s="66"/>
      <c r="BP41" s="66">
        <f t="shared" si="16"/>
        <v>545931</v>
      </c>
      <c r="BQ41" s="66"/>
      <c r="BR41" s="73">
        <f t="shared" si="13"/>
        <v>0.13558921705957738</v>
      </c>
      <c r="BS41" s="66"/>
      <c r="BT41" s="75"/>
      <c r="BU41" s="170"/>
      <c r="BV41" s="1"/>
      <c r="BW41">
        <f t="shared" si="11"/>
        <v>32</v>
      </c>
    </row>
    <row r="42" spans="2:75" x14ac:dyDescent="0.3">
      <c r="B42" s="158">
        <f t="shared" si="6"/>
        <v>43942</v>
      </c>
      <c r="C42" s="61"/>
      <c r="D42" s="17">
        <v>26105</v>
      </c>
      <c r="E42" s="16"/>
      <c r="F42" s="16"/>
      <c r="G42" s="16"/>
      <c r="H42" s="16">
        <f t="shared" si="18"/>
        <v>1409745</v>
      </c>
      <c r="I42" s="16"/>
      <c r="J42" s="38">
        <f t="shared" si="1"/>
        <v>1.8866901795264665E-2</v>
      </c>
      <c r="K42" s="16"/>
      <c r="L42" s="16"/>
      <c r="M42" s="16"/>
      <c r="N42" s="16"/>
      <c r="O42" s="16">
        <f t="shared" ref="O42:O68" si="22">+H42/BW42</f>
        <v>42719.545454545456</v>
      </c>
      <c r="P42" s="41"/>
      <c r="Q42" s="17"/>
      <c r="R42" s="16"/>
      <c r="S42" s="16"/>
      <c r="T42" s="16"/>
      <c r="U42" s="41"/>
      <c r="V42" s="1"/>
      <c r="W42" s="34">
        <v>2683</v>
      </c>
      <c r="X42" s="33"/>
      <c r="Y42" s="33"/>
      <c r="Z42" s="33"/>
      <c r="AA42" s="33">
        <f t="shared" si="19"/>
        <v>50994</v>
      </c>
      <c r="AB42" s="33"/>
      <c r="AC42" s="46">
        <f t="shared" ref="AC42:AC68" si="23">+AA42/H42</f>
        <v>3.6172499281785002E-2</v>
      </c>
      <c r="AD42" s="33"/>
      <c r="AE42" s="33">
        <f t="shared" ref="AE42:AE68" si="24">+AA42/BW42</f>
        <v>1545.2727272727273</v>
      </c>
      <c r="AF42" s="50"/>
      <c r="AG42" s="33"/>
      <c r="AH42" s="33"/>
      <c r="AI42" s="33"/>
      <c r="AJ42" s="50"/>
      <c r="AK42" s="1"/>
      <c r="AL42" s="23">
        <f t="shared" si="7"/>
        <v>10534</v>
      </c>
      <c r="AM42" s="24"/>
      <c r="AN42" s="24"/>
      <c r="AO42" s="24"/>
      <c r="AP42" s="24">
        <v>82923</v>
      </c>
      <c r="AQ42" s="24"/>
      <c r="AR42" s="25">
        <f t="shared" si="8"/>
        <v>0.14551934686209231</v>
      </c>
      <c r="AS42" s="25"/>
      <c r="AT42" s="25"/>
      <c r="AU42" s="24"/>
      <c r="AV42" s="298">
        <f t="shared" si="9"/>
        <v>5.8821276188246813E-2</v>
      </c>
      <c r="AW42" s="298"/>
      <c r="AX42" s="24">
        <f t="shared" si="10"/>
        <v>2512.818181818182</v>
      </c>
      <c r="AY42" s="308"/>
      <c r="AZ42" s="1"/>
      <c r="BA42" s="65">
        <f t="shared" si="17"/>
        <v>161032</v>
      </c>
      <c r="BB42" s="66"/>
      <c r="BC42" s="66">
        <v>4187392</v>
      </c>
      <c r="BD42" s="66"/>
      <c r="BE42" s="66">
        <f t="shared" si="12"/>
        <v>26105</v>
      </c>
      <c r="BF42" s="66"/>
      <c r="BG42" s="144">
        <f t="shared" si="20"/>
        <v>0.16211063639525064</v>
      </c>
      <c r="BH42" s="66"/>
      <c r="BI42" s="170"/>
      <c r="BJ42" s="66"/>
      <c r="BK42" s="66"/>
      <c r="BL42" s="66"/>
      <c r="BM42" s="66"/>
      <c r="BN42" s="65">
        <f t="shared" si="21"/>
        <v>126890.66666666667</v>
      </c>
      <c r="BO42" s="66"/>
      <c r="BP42" s="66">
        <f t="shared" si="16"/>
        <v>572036</v>
      </c>
      <c r="BQ42" s="66"/>
      <c r="BR42" s="73">
        <f t="shared" si="13"/>
        <v>0.13660913523262211</v>
      </c>
      <c r="BS42" s="66"/>
      <c r="BT42" s="75"/>
      <c r="BU42" s="170"/>
      <c r="BV42" s="1"/>
      <c r="BW42">
        <f t="shared" si="11"/>
        <v>33</v>
      </c>
    </row>
    <row r="43" spans="2:75" x14ac:dyDescent="0.3">
      <c r="B43" s="158">
        <f t="shared" si="6"/>
        <v>43943</v>
      </c>
      <c r="C43" s="61"/>
      <c r="D43" s="17">
        <v>30210</v>
      </c>
      <c r="E43" s="16"/>
      <c r="F43" s="16"/>
      <c r="G43" s="16"/>
      <c r="H43" s="16">
        <f t="shared" si="18"/>
        <v>1439955</v>
      </c>
      <c r="I43" s="16"/>
      <c r="J43" s="38">
        <f t="shared" si="1"/>
        <v>2.1429407446027473E-2</v>
      </c>
      <c r="K43" s="16"/>
      <c r="L43" s="16"/>
      <c r="M43" s="16"/>
      <c r="N43" s="16"/>
      <c r="O43" s="16">
        <f t="shared" si="22"/>
        <v>42351.617647058825</v>
      </c>
      <c r="P43" s="41"/>
      <c r="Q43" s="17"/>
      <c r="R43" s="16"/>
      <c r="S43" s="16"/>
      <c r="T43" s="16"/>
      <c r="U43" s="41"/>
      <c r="V43" s="1"/>
      <c r="W43" s="34">
        <v>2358</v>
      </c>
      <c r="X43" s="33"/>
      <c r="Y43" s="33"/>
      <c r="Z43" s="33"/>
      <c r="AA43" s="33">
        <f t="shared" si="19"/>
        <v>53352</v>
      </c>
      <c r="AB43" s="33"/>
      <c r="AC43" s="46">
        <f t="shared" si="23"/>
        <v>3.7051157848682771E-2</v>
      </c>
      <c r="AD43" s="33"/>
      <c r="AE43" s="33">
        <f t="shared" si="24"/>
        <v>1569.1764705882354</v>
      </c>
      <c r="AF43" s="50"/>
      <c r="AG43" s="33"/>
      <c r="AH43" s="33"/>
      <c r="AI43" s="33"/>
      <c r="AJ43" s="50"/>
      <c r="AK43" s="1"/>
      <c r="AL43" s="23">
        <f t="shared" si="7"/>
        <v>1127</v>
      </c>
      <c r="AM43" s="24"/>
      <c r="AN43" s="24"/>
      <c r="AO43" s="24"/>
      <c r="AP43" s="24">
        <v>84050</v>
      </c>
      <c r="AQ43" s="24"/>
      <c r="AR43" s="25">
        <f t="shared" si="8"/>
        <v>1.3590921698443134E-2</v>
      </c>
      <c r="AS43" s="25"/>
      <c r="AT43" s="25"/>
      <c r="AU43" s="24"/>
      <c r="AV43" s="298">
        <f t="shared" si="9"/>
        <v>5.8369879614293504E-2</v>
      </c>
      <c r="AW43" s="298"/>
      <c r="AX43" s="24">
        <f t="shared" si="10"/>
        <v>2472.0588235294117</v>
      </c>
      <c r="AY43" s="308"/>
      <c r="AZ43" s="1"/>
      <c r="BA43" s="65">
        <f t="shared" si="17"/>
        <v>137950</v>
      </c>
      <c r="BB43" s="66"/>
      <c r="BC43" s="66">
        <v>4325342</v>
      </c>
      <c r="BD43" s="66"/>
      <c r="BE43" s="66">
        <f t="shared" si="12"/>
        <v>30210</v>
      </c>
      <c r="BF43" s="66"/>
      <c r="BG43" s="144">
        <f t="shared" si="20"/>
        <v>0.21899238854657485</v>
      </c>
      <c r="BH43" s="66"/>
      <c r="BI43" s="170"/>
      <c r="BJ43" s="66"/>
      <c r="BK43" s="66"/>
      <c r="BL43" s="66"/>
      <c r="BM43" s="66"/>
      <c r="BN43" s="65">
        <f t="shared" si="21"/>
        <v>127215.94117647059</v>
      </c>
      <c r="BO43" s="66"/>
      <c r="BP43" s="66">
        <f t="shared" si="16"/>
        <v>602246</v>
      </c>
      <c r="BQ43" s="66"/>
      <c r="BR43" s="73">
        <f t="shared" si="13"/>
        <v>0.13923661990196382</v>
      </c>
      <c r="BS43" s="66"/>
      <c r="BT43" s="75"/>
      <c r="BU43" s="170"/>
      <c r="BV43" s="1"/>
      <c r="BW43">
        <f t="shared" si="11"/>
        <v>34</v>
      </c>
    </row>
    <row r="44" spans="2:75" x14ac:dyDescent="0.3">
      <c r="B44" s="158">
        <f t="shared" si="6"/>
        <v>43944</v>
      </c>
      <c r="C44" s="61"/>
      <c r="D44" s="17">
        <v>31900</v>
      </c>
      <c r="E44" s="16"/>
      <c r="F44" s="16"/>
      <c r="G44" s="16"/>
      <c r="H44" s="16">
        <f t="shared" si="18"/>
        <v>1471855</v>
      </c>
      <c r="I44" s="16"/>
      <c r="J44" s="38">
        <f t="shared" si="1"/>
        <v>2.2153470073717582E-2</v>
      </c>
      <c r="K44" s="16"/>
      <c r="L44" s="16"/>
      <c r="M44" s="16"/>
      <c r="N44" s="16"/>
      <c r="O44" s="16">
        <f t="shared" si="22"/>
        <v>42053</v>
      </c>
      <c r="P44" s="41"/>
      <c r="Q44" s="17"/>
      <c r="R44" s="16"/>
      <c r="S44" s="16"/>
      <c r="T44" s="16"/>
      <c r="U44" s="41"/>
      <c r="V44" s="1"/>
      <c r="W44" s="34">
        <v>2340</v>
      </c>
      <c r="X44" s="33"/>
      <c r="Y44" s="33"/>
      <c r="Z44" s="33"/>
      <c r="AA44" s="33">
        <f t="shared" si="19"/>
        <v>55692</v>
      </c>
      <c r="AB44" s="33"/>
      <c r="AC44" s="46">
        <f t="shared" si="23"/>
        <v>3.7837966375763914E-2</v>
      </c>
      <c r="AD44" s="33"/>
      <c r="AE44" s="33">
        <f t="shared" si="24"/>
        <v>1591.2</v>
      </c>
      <c r="AF44" s="50"/>
      <c r="AG44" s="33"/>
      <c r="AH44" s="33"/>
      <c r="AI44" s="33"/>
      <c r="AJ44" s="50"/>
      <c r="AK44" s="1"/>
      <c r="AL44" s="23">
        <f t="shared" si="7"/>
        <v>1872</v>
      </c>
      <c r="AM44" s="24"/>
      <c r="AN44" s="24"/>
      <c r="AO44" s="24"/>
      <c r="AP44" s="24">
        <v>85922</v>
      </c>
      <c r="AQ44" s="24"/>
      <c r="AR44" s="25">
        <f t="shared" si="8"/>
        <v>2.2272456870910173E-2</v>
      </c>
      <c r="AS44" s="25"/>
      <c r="AT44" s="25"/>
      <c r="AU44" s="24"/>
      <c r="AV44" s="298">
        <f t="shared" ref="AV44:AV68" si="25">+AP44/H44</f>
        <v>5.8376674332729785E-2</v>
      </c>
      <c r="AW44" s="298"/>
      <c r="AX44" s="24">
        <f t="shared" ref="AX44:AX68" si="26">+AP44/BW44</f>
        <v>2454.9142857142856</v>
      </c>
      <c r="AY44" s="308"/>
      <c r="AZ44" s="1"/>
      <c r="BA44" s="65">
        <f t="shared" si="17"/>
        <v>371362</v>
      </c>
      <c r="BB44" s="66"/>
      <c r="BC44" s="66">
        <v>4696704</v>
      </c>
      <c r="BD44" s="66"/>
      <c r="BE44" s="66">
        <f t="shared" si="12"/>
        <v>31900</v>
      </c>
      <c r="BF44" s="66"/>
      <c r="BG44" s="144">
        <f t="shared" si="20"/>
        <v>8.590001130971936E-2</v>
      </c>
      <c r="BH44" s="66"/>
      <c r="BI44" s="170"/>
      <c r="BJ44" s="66"/>
      <c r="BK44" s="66"/>
      <c r="BL44" s="66"/>
      <c r="BM44" s="66"/>
      <c r="BN44" s="65">
        <f t="shared" si="21"/>
        <v>134191.54285714286</v>
      </c>
      <c r="BO44" s="66"/>
      <c r="BP44" s="66">
        <f t="shared" si="16"/>
        <v>634146</v>
      </c>
      <c r="BQ44" s="66"/>
      <c r="BR44" s="73">
        <f t="shared" si="13"/>
        <v>0.13501936677295398</v>
      </c>
      <c r="BS44" s="66"/>
      <c r="BT44" s="75"/>
      <c r="BU44" s="170"/>
      <c r="BV44" s="1"/>
      <c r="BW44">
        <f t="shared" si="11"/>
        <v>35</v>
      </c>
    </row>
    <row r="45" spans="2:75" x14ac:dyDescent="0.3">
      <c r="B45" s="158">
        <f t="shared" si="6"/>
        <v>43945</v>
      </c>
      <c r="C45" s="61"/>
      <c r="D45" s="17">
        <v>38764</v>
      </c>
      <c r="E45" s="16"/>
      <c r="F45" s="16"/>
      <c r="G45" s="16"/>
      <c r="H45" s="16">
        <f t="shared" si="18"/>
        <v>1510619</v>
      </c>
      <c r="I45" s="16"/>
      <c r="J45" s="38">
        <f t="shared" si="1"/>
        <v>2.6336833451664737E-2</v>
      </c>
      <c r="K45" s="16"/>
      <c r="L45" s="16"/>
      <c r="M45" s="16"/>
      <c r="N45" s="16"/>
      <c r="O45" s="16">
        <f t="shared" si="22"/>
        <v>41961.638888888891</v>
      </c>
      <c r="P45" s="41"/>
      <c r="Q45" s="17"/>
      <c r="R45" s="16"/>
      <c r="S45" s="16"/>
      <c r="T45" s="16"/>
      <c r="U45" s="41"/>
      <c r="V45" s="1"/>
      <c r="W45" s="34">
        <v>1957</v>
      </c>
      <c r="X45" s="33"/>
      <c r="Y45" s="33"/>
      <c r="Z45" s="33"/>
      <c r="AA45" s="33">
        <f t="shared" si="19"/>
        <v>57649</v>
      </c>
      <c r="AB45" s="33"/>
      <c r="AC45" s="46">
        <f t="shared" si="23"/>
        <v>3.8162501597027443E-2</v>
      </c>
      <c r="AD45" s="33"/>
      <c r="AE45" s="33">
        <f t="shared" si="24"/>
        <v>1601.3611111111111</v>
      </c>
      <c r="AF45" s="50"/>
      <c r="AG45" s="33"/>
      <c r="AH45" s="33"/>
      <c r="AI45" s="33"/>
      <c r="AJ45" s="50"/>
      <c r="AK45" s="1"/>
      <c r="AL45" s="23">
        <f t="shared" si="7"/>
        <v>24510</v>
      </c>
      <c r="AM45" s="24"/>
      <c r="AN45" s="24"/>
      <c r="AO45" s="24"/>
      <c r="AP45" s="24">
        <v>110432</v>
      </c>
      <c r="AQ45" s="24"/>
      <c r="AR45" s="25">
        <f t="shared" si="8"/>
        <v>0.28525872302786248</v>
      </c>
      <c r="AS45" s="25"/>
      <c r="AT45" s="25"/>
      <c r="AU45" s="24"/>
      <c r="AV45" s="298">
        <f t="shared" si="25"/>
        <v>7.3103807114831734E-2</v>
      </c>
      <c r="AW45" s="298"/>
      <c r="AX45" s="24">
        <f t="shared" si="26"/>
        <v>3067.5555555555557</v>
      </c>
      <c r="AY45" s="308"/>
      <c r="AZ45" s="1"/>
      <c r="BA45" s="65">
        <f t="shared" si="17"/>
        <v>318898</v>
      </c>
      <c r="BB45" s="66"/>
      <c r="BC45" s="66">
        <v>5015602</v>
      </c>
      <c r="BD45" s="66"/>
      <c r="BE45" s="66">
        <f t="shared" si="12"/>
        <v>38764</v>
      </c>
      <c r="BF45" s="66"/>
      <c r="BG45" s="144">
        <f t="shared" si="20"/>
        <v>0.12155610884985167</v>
      </c>
      <c r="BH45" s="66"/>
      <c r="BI45" s="170"/>
      <c r="BJ45" s="66"/>
      <c r="BK45" s="66"/>
      <c r="BL45" s="66"/>
      <c r="BM45" s="66"/>
      <c r="BN45" s="65">
        <f t="shared" si="21"/>
        <v>139322.27777777778</v>
      </c>
      <c r="BO45" s="66"/>
      <c r="BP45" s="66">
        <f t="shared" si="16"/>
        <v>672910</v>
      </c>
      <c r="BQ45" s="66"/>
      <c r="BR45" s="73">
        <f t="shared" si="13"/>
        <v>0.13416335666187229</v>
      </c>
      <c r="BS45" s="66"/>
      <c r="BT45" s="75"/>
      <c r="BU45" s="170"/>
      <c r="BV45" s="1"/>
      <c r="BW45">
        <f t="shared" si="11"/>
        <v>36</v>
      </c>
    </row>
    <row r="46" spans="2:75" x14ac:dyDescent="0.3">
      <c r="B46" s="433">
        <f t="shared" si="6"/>
        <v>43946</v>
      </c>
      <c r="C46" s="61"/>
      <c r="D46" s="17">
        <v>35419</v>
      </c>
      <c r="E46" s="16"/>
      <c r="F46" s="16"/>
      <c r="G46" s="16"/>
      <c r="H46" s="16">
        <f>+H45+D46</f>
        <v>1546038</v>
      </c>
      <c r="I46" s="16"/>
      <c r="J46" s="38">
        <f t="shared" si="1"/>
        <v>2.3446679804768774E-2</v>
      </c>
      <c r="K46" s="16"/>
      <c r="L46" s="16"/>
      <c r="M46" s="16"/>
      <c r="N46" s="16"/>
      <c r="O46" s="16">
        <f t="shared" si="22"/>
        <v>41784.810810810814</v>
      </c>
      <c r="P46" s="41"/>
      <c r="Q46" s="17"/>
      <c r="R46" s="16"/>
      <c r="S46" s="60"/>
      <c r="T46" s="16"/>
      <c r="U46" s="41"/>
      <c r="V46" s="434"/>
      <c r="W46" s="34">
        <v>2065</v>
      </c>
      <c r="X46" s="33"/>
      <c r="Y46" s="33"/>
      <c r="Z46" s="33"/>
      <c r="AA46" s="33">
        <f t="shared" si="19"/>
        <v>59714</v>
      </c>
      <c r="AB46" s="33"/>
      <c r="AC46" s="46">
        <f t="shared" si="23"/>
        <v>3.8623888934165913E-2</v>
      </c>
      <c r="AD46" s="33"/>
      <c r="AE46" s="33">
        <f t="shared" si="24"/>
        <v>1613.8918918918919</v>
      </c>
      <c r="AF46" s="50"/>
      <c r="AG46" s="33"/>
      <c r="AH46" s="33"/>
      <c r="AI46" s="213"/>
      <c r="AJ46" s="50"/>
      <c r="AK46" s="1"/>
      <c r="AL46" s="23">
        <f t="shared" si="7"/>
        <v>7730</v>
      </c>
      <c r="AM46" s="24"/>
      <c r="AN46" s="24"/>
      <c r="AO46" s="24"/>
      <c r="AP46" s="24">
        <v>118162</v>
      </c>
      <c r="AQ46" s="24"/>
      <c r="AR46" s="25">
        <f t="shared" si="8"/>
        <v>6.9997826716893655E-2</v>
      </c>
      <c r="AS46" s="25"/>
      <c r="AT46" s="25"/>
      <c r="AU46" s="24"/>
      <c r="AV46" s="298">
        <f t="shared" si="25"/>
        <v>7.6428910544242765E-2</v>
      </c>
      <c r="AW46" s="298"/>
      <c r="AX46" s="24">
        <f t="shared" si="26"/>
        <v>3193.5675675675675</v>
      </c>
      <c r="AY46" s="308"/>
      <c r="AZ46" s="1"/>
      <c r="BA46" s="65">
        <f t="shared" si="17"/>
        <v>263635</v>
      </c>
      <c r="BB46" s="66"/>
      <c r="BC46" s="66">
        <v>5279237</v>
      </c>
      <c r="BD46" s="66"/>
      <c r="BE46" s="66">
        <f t="shared" si="12"/>
        <v>35419</v>
      </c>
      <c r="BF46" s="66"/>
      <c r="BG46" s="144">
        <f t="shared" si="20"/>
        <v>0.13434862594116867</v>
      </c>
      <c r="BH46" s="66"/>
      <c r="BI46" s="170"/>
      <c r="BJ46" s="66"/>
      <c r="BK46" s="66"/>
      <c r="BL46" s="66"/>
      <c r="BM46" s="144"/>
      <c r="BN46" s="65">
        <f t="shared" si="21"/>
        <v>142682.08108108109</v>
      </c>
      <c r="BO46" s="66"/>
      <c r="BP46" s="66">
        <f t="shared" si="16"/>
        <v>708329</v>
      </c>
      <c r="BQ46" s="66"/>
      <c r="BR46" s="73">
        <f t="shared" si="13"/>
        <v>0.13417260865537955</v>
      </c>
      <c r="BS46" s="66"/>
      <c r="BT46" s="75"/>
      <c r="BU46" s="170"/>
      <c r="BV46" s="1"/>
      <c r="BW46">
        <f t="shared" si="11"/>
        <v>37</v>
      </c>
    </row>
    <row r="47" spans="2:75" x14ac:dyDescent="0.3">
      <c r="B47" s="347">
        <f t="shared" si="6"/>
        <v>43947</v>
      </c>
      <c r="C47" s="61"/>
      <c r="D47" s="17">
        <v>26509</v>
      </c>
      <c r="E47" s="16"/>
      <c r="F47" s="16"/>
      <c r="G47" s="16"/>
      <c r="H47" s="16">
        <f t="shared" ref="H47:H52" si="27">+H46+D47</f>
        <v>1572547</v>
      </c>
      <c r="I47" s="16"/>
      <c r="J47" s="38">
        <f t="shared" si="1"/>
        <v>1.7146409079207628E-2</v>
      </c>
      <c r="K47" s="16"/>
      <c r="L47" s="16"/>
      <c r="M47" s="16"/>
      <c r="N47" s="16"/>
      <c r="O47" s="16">
        <f t="shared" si="22"/>
        <v>41382.815789473687</v>
      </c>
      <c r="P47" s="41"/>
      <c r="Q47" s="17">
        <f>SUM(D41:D47)</f>
        <v>217050</v>
      </c>
      <c r="R47" s="16"/>
      <c r="S47" s="60">
        <f>+(Q47-Q40)/Q40</f>
        <v>6.0461707585196041E-2</v>
      </c>
      <c r="T47" s="16"/>
      <c r="U47" s="41"/>
      <c r="V47" s="348"/>
      <c r="W47" s="34">
        <v>1156</v>
      </c>
      <c r="X47" s="33"/>
      <c r="Y47" s="33"/>
      <c r="Z47" s="33"/>
      <c r="AA47" s="33">
        <f t="shared" si="19"/>
        <v>60870</v>
      </c>
      <c r="AB47" s="33"/>
      <c r="AC47" s="46">
        <f t="shared" si="23"/>
        <v>3.8707905073743422E-2</v>
      </c>
      <c r="AD47" s="33"/>
      <c r="AE47" s="33">
        <f t="shared" si="24"/>
        <v>1601.8421052631579</v>
      </c>
      <c r="AF47" s="50"/>
      <c r="AG47" s="33">
        <f>SUM(W41:W47)</f>
        <v>14511</v>
      </c>
      <c r="AH47" s="33"/>
      <c r="AI47" s="213">
        <f>+(AG47-AG40)/AG40</f>
        <v>-1.2924290864567036E-2</v>
      </c>
      <c r="AJ47" s="50"/>
      <c r="AK47" s="348"/>
      <c r="AL47" s="23">
        <f t="shared" si="7"/>
        <v>619</v>
      </c>
      <c r="AM47" s="24"/>
      <c r="AN47" s="24"/>
      <c r="AO47" s="24"/>
      <c r="AP47" s="24">
        <v>118781</v>
      </c>
      <c r="AQ47" s="24"/>
      <c r="AR47" s="25">
        <f t="shared" si="8"/>
        <v>5.238570775714697E-3</v>
      </c>
      <c r="AS47" s="25"/>
      <c r="AT47" s="25"/>
      <c r="AU47" s="24"/>
      <c r="AV47" s="298">
        <f t="shared" si="25"/>
        <v>7.5534149376775384E-2</v>
      </c>
      <c r="AW47" s="298"/>
      <c r="AX47" s="24">
        <f t="shared" si="26"/>
        <v>3125.8157894736842</v>
      </c>
      <c r="AY47" s="308"/>
      <c r="AZ47" s="348"/>
      <c r="BA47" s="65">
        <f t="shared" si="17"/>
        <v>191227</v>
      </c>
      <c r="BB47" s="66"/>
      <c r="BC47" s="66">
        <v>5470464</v>
      </c>
      <c r="BD47" s="66"/>
      <c r="BE47" s="66">
        <f t="shared" si="12"/>
        <v>26509</v>
      </c>
      <c r="BF47" s="66"/>
      <c r="BG47" s="144">
        <f t="shared" si="20"/>
        <v>0.13862582166744236</v>
      </c>
      <c r="BH47" s="66"/>
      <c r="BI47" s="170"/>
      <c r="BJ47" s="66"/>
      <c r="BK47" s="66">
        <f>SUM(BA41:BA47)</f>
        <v>1608915</v>
      </c>
      <c r="BL47" s="66"/>
      <c r="BM47" s="144">
        <f>+Q47/BK47</f>
        <v>0.13490457855138402</v>
      </c>
      <c r="BN47" s="65">
        <f t="shared" si="21"/>
        <v>143959.57894736843</v>
      </c>
      <c r="BO47" s="66"/>
      <c r="BP47" s="66">
        <f t="shared" si="16"/>
        <v>734838</v>
      </c>
      <c r="BQ47" s="66"/>
      <c r="BR47" s="73">
        <f t="shared" si="13"/>
        <v>0.13432827635827602</v>
      </c>
      <c r="BS47" s="66"/>
      <c r="BT47" s="75"/>
      <c r="BU47" s="170"/>
      <c r="BV47" s="1"/>
      <c r="BW47">
        <f t="shared" si="11"/>
        <v>38</v>
      </c>
    </row>
    <row r="48" spans="2:75" x14ac:dyDescent="0.3">
      <c r="B48" s="158">
        <f t="shared" si="6"/>
        <v>43948</v>
      </c>
      <c r="C48" s="61"/>
      <c r="D48" s="17">
        <v>23196</v>
      </c>
      <c r="E48" s="16"/>
      <c r="F48" s="16"/>
      <c r="G48" s="16"/>
      <c r="H48" s="16">
        <f t="shared" si="27"/>
        <v>1595743</v>
      </c>
      <c r="I48" s="16"/>
      <c r="J48" s="38">
        <f t="shared" si="1"/>
        <v>1.4750592510112575E-2</v>
      </c>
      <c r="K48" s="16"/>
      <c r="L48" s="16"/>
      <c r="M48" s="16"/>
      <c r="N48" s="16"/>
      <c r="O48" s="16">
        <f t="shared" si="22"/>
        <v>40916.48717948718</v>
      </c>
      <c r="P48" s="41"/>
      <c r="Q48" s="17">
        <f>+Q47/7</f>
        <v>31007.142857142859</v>
      </c>
      <c r="R48" s="16"/>
      <c r="S48" s="16"/>
      <c r="T48" s="16"/>
      <c r="U48" s="41"/>
      <c r="V48" s="10"/>
      <c r="W48" s="34">
        <f>1384-1</f>
        <v>1383</v>
      </c>
      <c r="X48" s="33"/>
      <c r="Y48" s="33"/>
      <c r="Z48" s="33"/>
      <c r="AA48" s="33">
        <f t="shared" si="19"/>
        <v>62253</v>
      </c>
      <c r="AB48" s="33"/>
      <c r="AC48" s="46">
        <f t="shared" si="23"/>
        <v>3.9011921092556884E-2</v>
      </c>
      <c r="AD48" s="33"/>
      <c r="AE48" s="33">
        <f t="shared" si="24"/>
        <v>1596.2307692307693</v>
      </c>
      <c r="AF48" s="50"/>
      <c r="AG48" s="33"/>
      <c r="AH48" s="33"/>
      <c r="AI48" s="33"/>
      <c r="AJ48" s="50"/>
      <c r="AK48" s="10"/>
      <c r="AL48" s="23">
        <f t="shared" si="7"/>
        <v>19024</v>
      </c>
      <c r="AM48" s="24"/>
      <c r="AN48" s="24"/>
      <c r="AO48" s="24"/>
      <c r="AP48" s="24">
        <v>137805</v>
      </c>
      <c r="AQ48" s="24"/>
      <c r="AR48" s="25">
        <f t="shared" si="8"/>
        <v>0.16016029499667456</v>
      </c>
      <c r="AS48" s="25"/>
      <c r="AT48" s="25"/>
      <c r="AU48" s="24"/>
      <c r="AV48" s="298">
        <f t="shared" si="25"/>
        <v>8.6357890963645143E-2</v>
      </c>
      <c r="AW48" s="298"/>
      <c r="AX48" s="24">
        <f t="shared" si="26"/>
        <v>3533.4615384615386</v>
      </c>
      <c r="AY48" s="308"/>
      <c r="AZ48" s="10"/>
      <c r="BA48" s="65">
        <f t="shared" si="17"/>
        <v>202776</v>
      </c>
      <c r="BB48" s="66"/>
      <c r="BC48" s="66">
        <v>5673240</v>
      </c>
      <c r="BD48" s="66"/>
      <c r="BE48" s="66">
        <f t="shared" si="12"/>
        <v>23196</v>
      </c>
      <c r="BF48" s="66"/>
      <c r="BG48" s="144">
        <f t="shared" si="20"/>
        <v>0.11439223576754645</v>
      </c>
      <c r="BH48" s="66"/>
      <c r="BI48" s="170"/>
      <c r="BJ48" s="66"/>
      <c r="BK48" s="66"/>
      <c r="BL48" s="66"/>
      <c r="BM48" s="66"/>
      <c r="BN48" s="65">
        <f t="shared" si="21"/>
        <v>145467.69230769231</v>
      </c>
      <c r="BO48" s="66"/>
      <c r="BP48" s="66">
        <f t="shared" si="16"/>
        <v>758034</v>
      </c>
      <c r="BQ48" s="66"/>
      <c r="BR48" s="73">
        <f t="shared" si="13"/>
        <v>0.133615711656831</v>
      </c>
      <c r="BS48" s="66"/>
      <c r="BT48" s="75"/>
      <c r="BU48" s="170"/>
      <c r="BV48" s="1"/>
      <c r="BW48">
        <f t="shared" si="11"/>
        <v>39</v>
      </c>
    </row>
    <row r="49" spans="2:79" x14ac:dyDescent="0.3">
      <c r="B49" s="158">
        <f t="shared" si="6"/>
        <v>43949</v>
      </c>
      <c r="C49" s="61"/>
      <c r="D49" s="17">
        <v>25409</v>
      </c>
      <c r="E49" s="16"/>
      <c r="F49" s="16"/>
      <c r="G49" s="16"/>
      <c r="H49" s="16">
        <f t="shared" si="27"/>
        <v>1621152</v>
      </c>
      <c r="I49" s="16"/>
      <c r="J49" s="38">
        <f t="shared" si="1"/>
        <v>1.5922990105549577E-2</v>
      </c>
      <c r="K49" s="16"/>
      <c r="L49" s="16"/>
      <c r="M49" s="16"/>
      <c r="N49" s="16"/>
      <c r="O49" s="16">
        <f t="shared" si="22"/>
        <v>40528.800000000003</v>
      </c>
      <c r="P49" s="41"/>
      <c r="Q49" s="17"/>
      <c r="R49" s="16"/>
      <c r="S49" s="16"/>
      <c r="T49" s="16"/>
      <c r="U49" s="41"/>
      <c r="V49" s="1"/>
      <c r="W49" s="34">
        <v>2470</v>
      </c>
      <c r="X49" s="33"/>
      <c r="Y49" s="33"/>
      <c r="Z49" s="33"/>
      <c r="AA49" s="33">
        <f t="shared" si="19"/>
        <v>64723</v>
      </c>
      <c r="AB49" s="33"/>
      <c r="AC49" s="46">
        <f t="shared" si="23"/>
        <v>3.992407867985235E-2</v>
      </c>
      <c r="AD49" s="33"/>
      <c r="AE49" s="33">
        <f t="shared" si="24"/>
        <v>1618.075</v>
      </c>
      <c r="AF49" s="50"/>
      <c r="AG49" s="33"/>
      <c r="AH49" s="213">
        <f>+AH51/AH50</f>
        <v>6.194382152455194E-2</v>
      </c>
      <c r="AI49" s="33"/>
      <c r="AJ49" s="50"/>
      <c r="AK49" s="1"/>
      <c r="AL49" s="23">
        <f t="shared" si="7"/>
        <v>4146</v>
      </c>
      <c r="AM49" s="24"/>
      <c r="AN49" s="24"/>
      <c r="AO49" s="24"/>
      <c r="AP49" s="24">
        <v>141951</v>
      </c>
      <c r="AQ49" s="24"/>
      <c r="AR49" s="25">
        <f t="shared" si="8"/>
        <v>3.0085991074344183E-2</v>
      </c>
      <c r="AS49" s="25"/>
      <c r="AT49" s="25"/>
      <c r="AU49" s="24"/>
      <c r="AV49" s="298">
        <f t="shared" si="25"/>
        <v>8.7561807899567717E-2</v>
      </c>
      <c r="AW49" s="298"/>
      <c r="AX49" s="24">
        <f t="shared" si="26"/>
        <v>3548.7750000000001</v>
      </c>
      <c r="AY49" s="308"/>
      <c r="AZ49" s="1"/>
      <c r="BA49" s="65">
        <f t="shared" si="17"/>
        <v>187926</v>
      </c>
      <c r="BB49" s="66"/>
      <c r="BC49" s="66">
        <v>5861166</v>
      </c>
      <c r="BD49" s="66"/>
      <c r="BE49" s="66">
        <f t="shared" si="12"/>
        <v>25409</v>
      </c>
      <c r="BF49" s="66"/>
      <c r="BG49" s="144">
        <f t="shared" si="20"/>
        <v>0.13520747528282409</v>
      </c>
      <c r="BH49" s="66"/>
      <c r="BI49" s="170"/>
      <c r="BJ49" s="66"/>
      <c r="BK49" s="66"/>
      <c r="BL49" s="66"/>
      <c r="BM49" s="66"/>
      <c r="BN49" s="65">
        <f t="shared" si="21"/>
        <v>146529.15</v>
      </c>
      <c r="BO49" s="66"/>
      <c r="BP49" s="66">
        <f t="shared" si="16"/>
        <v>783443</v>
      </c>
      <c r="BQ49" s="66"/>
      <c r="BR49" s="73">
        <f t="shared" si="13"/>
        <v>0.13366674822040528</v>
      </c>
      <c r="BS49" s="66"/>
      <c r="BT49" s="75"/>
      <c r="BU49" s="170"/>
      <c r="BV49" s="1"/>
      <c r="BW49">
        <f t="shared" si="11"/>
        <v>40</v>
      </c>
    </row>
    <row r="50" spans="2:79" x14ac:dyDescent="0.3">
      <c r="B50" s="158">
        <f t="shared" si="6"/>
        <v>43950</v>
      </c>
      <c r="C50" s="61"/>
      <c r="D50" s="17">
        <v>28429</v>
      </c>
      <c r="E50" s="16"/>
      <c r="F50" s="16"/>
      <c r="G50" s="16"/>
      <c r="H50" s="16">
        <f t="shared" si="27"/>
        <v>1649581</v>
      </c>
      <c r="I50" s="16"/>
      <c r="J50" s="38">
        <f t="shared" si="1"/>
        <v>1.7536295177750145E-2</v>
      </c>
      <c r="K50" s="16"/>
      <c r="L50" s="16"/>
      <c r="M50" s="16"/>
      <c r="N50" s="16"/>
      <c r="O50" s="16">
        <f t="shared" si="22"/>
        <v>40233.682926829271</v>
      </c>
      <c r="P50" s="41"/>
      <c r="Q50" s="17"/>
      <c r="R50" s="16"/>
      <c r="S50" s="16"/>
      <c r="T50" s="16"/>
      <c r="U50" s="41"/>
      <c r="V50" s="1"/>
      <c r="W50" s="34">
        <v>2390</v>
      </c>
      <c r="X50" s="33"/>
      <c r="Y50" s="33"/>
      <c r="Z50" s="33"/>
      <c r="AA50" s="33">
        <f t="shared" si="19"/>
        <v>67113</v>
      </c>
      <c r="AB50" s="33"/>
      <c r="AC50" s="46">
        <f t="shared" si="23"/>
        <v>4.0684876947540013E-2</v>
      </c>
      <c r="AD50" s="33"/>
      <c r="AE50" s="33">
        <f t="shared" si="24"/>
        <v>1636.9024390243903</v>
      </c>
      <c r="AF50" s="50"/>
      <c r="AG50" s="33"/>
      <c r="AH50" s="33">
        <f>SUM(D22:D51)</f>
        <v>898992</v>
      </c>
      <c r="AI50" s="33"/>
      <c r="AJ50" s="50"/>
      <c r="AK50" s="1"/>
      <c r="AL50" s="23">
        <f t="shared" si="7"/>
        <v>5460</v>
      </c>
      <c r="AM50" s="24"/>
      <c r="AN50" s="24"/>
      <c r="AO50" s="24"/>
      <c r="AP50" s="24">
        <v>147411</v>
      </c>
      <c r="AQ50" s="24"/>
      <c r="AR50" s="25">
        <f t="shared" si="8"/>
        <v>3.8463977006150007E-2</v>
      </c>
      <c r="AS50" s="25"/>
      <c r="AT50" s="25"/>
      <c r="AU50" s="24"/>
      <c r="AV50" s="298">
        <f t="shared" si="25"/>
        <v>8.9362692708027075E-2</v>
      </c>
      <c r="AW50" s="298"/>
      <c r="AX50" s="24">
        <f t="shared" si="26"/>
        <v>3595.3902439024391</v>
      </c>
      <c r="AY50" s="308"/>
      <c r="AZ50" s="1"/>
      <c r="BA50" s="65">
        <f t="shared" si="17"/>
        <v>278745</v>
      </c>
      <c r="BB50" s="66"/>
      <c r="BC50" s="66">
        <v>6139911</v>
      </c>
      <c r="BD50" s="66"/>
      <c r="BE50" s="66">
        <f t="shared" si="12"/>
        <v>28429</v>
      </c>
      <c r="BF50" s="66"/>
      <c r="BG50" s="144">
        <f t="shared" si="20"/>
        <v>0.10198927335019463</v>
      </c>
      <c r="BH50" s="66"/>
      <c r="BI50" s="170"/>
      <c r="BJ50" s="66"/>
      <c r="BK50" s="66"/>
      <c r="BL50" s="66"/>
      <c r="BM50" s="66"/>
      <c r="BN50" s="65">
        <f t="shared" si="21"/>
        <v>149753.92682926828</v>
      </c>
      <c r="BO50" s="66"/>
      <c r="BP50" s="66">
        <f t="shared" si="16"/>
        <v>811872</v>
      </c>
      <c r="BQ50" s="66"/>
      <c r="BR50" s="73">
        <f t="shared" si="13"/>
        <v>0.13222862676673977</v>
      </c>
      <c r="BS50" s="66"/>
      <c r="BT50" s="75"/>
      <c r="BU50" s="170"/>
      <c r="BV50" s="1"/>
      <c r="BW50">
        <f t="shared" si="11"/>
        <v>41</v>
      </c>
    </row>
    <row r="51" spans="2:79" x14ac:dyDescent="0.3">
      <c r="B51" s="158">
        <f t="shared" si="6"/>
        <v>43951</v>
      </c>
      <c r="C51" s="61"/>
      <c r="D51" s="17">
        <v>30829</v>
      </c>
      <c r="E51" s="16"/>
      <c r="F51" s="16"/>
      <c r="G51" s="16"/>
      <c r="H51" s="16">
        <f t="shared" si="27"/>
        <v>1680410</v>
      </c>
      <c r="I51" s="16"/>
      <c r="J51" s="38">
        <f t="shared" si="1"/>
        <v>1.8688988294603297E-2</v>
      </c>
      <c r="K51" s="16"/>
      <c r="L51" s="16"/>
      <c r="M51" s="16"/>
      <c r="N51" s="16"/>
      <c r="O51" s="16">
        <f t="shared" si="22"/>
        <v>40009.761904761908</v>
      </c>
      <c r="P51" s="41"/>
      <c r="Q51" s="17"/>
      <c r="R51" s="16"/>
      <c r="S51" s="16"/>
      <c r="T51" s="16"/>
      <c r="U51" s="41"/>
      <c r="V51" s="1"/>
      <c r="W51" s="34">
        <v>2201</v>
      </c>
      <c r="X51" s="33"/>
      <c r="Y51" s="33"/>
      <c r="Z51" s="33"/>
      <c r="AA51" s="33">
        <f t="shared" si="19"/>
        <v>69314</v>
      </c>
      <c r="AB51" s="33"/>
      <c r="AC51" s="46">
        <f t="shared" si="23"/>
        <v>4.1248266792032896E-2</v>
      </c>
      <c r="AD51" s="33"/>
      <c r="AE51" s="33">
        <f t="shared" si="24"/>
        <v>1650.3333333333333</v>
      </c>
      <c r="AF51" s="50"/>
      <c r="AG51" s="33"/>
      <c r="AH51" s="33">
        <f>SUM(W22:W51)</f>
        <v>55687</v>
      </c>
      <c r="AI51" s="33"/>
      <c r="AJ51" s="50"/>
      <c r="AK51" s="1"/>
      <c r="AL51" s="23">
        <f t="shared" si="7"/>
        <v>4913</v>
      </c>
      <c r="AM51" s="24"/>
      <c r="AN51" s="24"/>
      <c r="AO51" s="24"/>
      <c r="AP51" s="24">
        <v>152324</v>
      </c>
      <c r="AQ51" s="24"/>
      <c r="AR51" s="25">
        <f t="shared" si="8"/>
        <v>3.3328584705347636E-2</v>
      </c>
      <c r="AS51" s="25"/>
      <c r="AT51" s="25"/>
      <c r="AU51" s="24"/>
      <c r="AV51" s="298">
        <f t="shared" si="25"/>
        <v>9.0646925452716895E-2</v>
      </c>
      <c r="AW51" s="298"/>
      <c r="AX51" s="24">
        <f t="shared" si="26"/>
        <v>3626.7619047619046</v>
      </c>
      <c r="AY51" s="308"/>
      <c r="AZ51" s="1"/>
      <c r="BA51" s="65">
        <f t="shared" si="17"/>
        <v>236535</v>
      </c>
      <c r="BB51" s="66"/>
      <c r="BC51" s="66">
        <v>6376446</v>
      </c>
      <c r="BD51" s="66"/>
      <c r="BE51" s="66">
        <f t="shared" si="12"/>
        <v>30829</v>
      </c>
      <c r="BF51" s="66"/>
      <c r="BG51" s="144">
        <f t="shared" si="20"/>
        <v>0.13033589109434121</v>
      </c>
      <c r="BH51" s="66"/>
      <c r="BI51" s="170"/>
      <c r="BJ51" s="66"/>
      <c r="BK51" s="66">
        <f>SUM(BA22:BA51)</f>
        <v>6376446</v>
      </c>
      <c r="BL51" s="66"/>
      <c r="BM51" s="66"/>
      <c r="BN51" s="65">
        <f t="shared" si="21"/>
        <v>151820.14285714287</v>
      </c>
      <c r="BO51" s="66"/>
      <c r="BP51" s="66">
        <f t="shared" si="16"/>
        <v>842701</v>
      </c>
      <c r="BQ51" s="66"/>
      <c r="BR51" s="73">
        <f t="shared" si="13"/>
        <v>0.13215841551861335</v>
      </c>
      <c r="BS51" s="66"/>
      <c r="BT51" s="75"/>
      <c r="BU51" s="170"/>
      <c r="BV51" s="1"/>
      <c r="BW51">
        <f t="shared" si="11"/>
        <v>42</v>
      </c>
    </row>
    <row r="52" spans="2:79" x14ac:dyDescent="0.3">
      <c r="B52" s="158">
        <f t="shared" si="6"/>
        <v>43952</v>
      </c>
      <c r="C52" s="61"/>
      <c r="D52" s="17">
        <v>36007</v>
      </c>
      <c r="E52" s="16"/>
      <c r="F52" s="16"/>
      <c r="G52" s="16"/>
      <c r="H52" s="16">
        <f t="shared" si="27"/>
        <v>1716417</v>
      </c>
      <c r="I52" s="16"/>
      <c r="J52" s="38">
        <f t="shared" ref="J52:J64" si="28">+D52/H51</f>
        <v>2.1427508762742426E-2</v>
      </c>
      <c r="K52" s="16"/>
      <c r="L52" s="16"/>
      <c r="M52" s="16"/>
      <c r="N52" s="16"/>
      <c r="O52" s="16">
        <f t="shared" si="22"/>
        <v>39916.674418604649</v>
      </c>
      <c r="P52" s="41"/>
      <c r="Q52" s="17"/>
      <c r="R52" s="16"/>
      <c r="S52" s="16"/>
      <c r="T52" s="16"/>
      <c r="U52" s="41"/>
      <c r="V52" s="1"/>
      <c r="W52" s="34">
        <v>1897</v>
      </c>
      <c r="X52" s="33"/>
      <c r="Y52" s="33"/>
      <c r="Z52" s="33"/>
      <c r="AA52" s="33">
        <f t="shared" ref="AA52:AA64" si="29">+AA51+W52</f>
        <v>71211</v>
      </c>
      <c r="AB52" s="33"/>
      <c r="AC52" s="46">
        <f t="shared" si="23"/>
        <v>4.1488169832855304E-2</v>
      </c>
      <c r="AD52" s="33"/>
      <c r="AE52" s="33">
        <f t="shared" si="24"/>
        <v>1656.0697674418604</v>
      </c>
      <c r="AF52" s="50"/>
      <c r="AG52" s="33"/>
      <c r="AH52" s="33">
        <f>+W52</f>
        <v>1897</v>
      </c>
      <c r="AI52" s="33"/>
      <c r="AJ52" s="50"/>
      <c r="AK52" s="1"/>
      <c r="AL52" s="23">
        <f t="shared" ref="AL52:AL64" si="30">+AP52-AP51</f>
        <v>9239</v>
      </c>
      <c r="AM52" s="24"/>
      <c r="AN52" s="24"/>
      <c r="AO52" s="24"/>
      <c r="AP52" s="24">
        <v>161563</v>
      </c>
      <c r="AQ52" s="24"/>
      <c r="AR52" s="25">
        <f t="shared" ref="AR52:AR64" si="31">+AL52/AP51</f>
        <v>6.0653606785536093E-2</v>
      </c>
      <c r="AS52" s="25"/>
      <c r="AT52" s="25"/>
      <c r="AU52" s="24"/>
      <c r="AV52" s="298">
        <f t="shared" si="25"/>
        <v>9.4128058624448493E-2</v>
      </c>
      <c r="AW52" s="298"/>
      <c r="AX52" s="24">
        <f t="shared" si="26"/>
        <v>3757.2790697674418</v>
      </c>
      <c r="AY52" s="308"/>
      <c r="AZ52" s="460"/>
      <c r="BA52" s="65">
        <f t="shared" ref="BA52:BA64" si="32">+BC52-BC51</f>
        <v>323432</v>
      </c>
      <c r="BB52" s="66"/>
      <c r="BC52" s="66">
        <v>6699878</v>
      </c>
      <c r="BD52" s="66"/>
      <c r="BE52" s="66">
        <f t="shared" si="12"/>
        <v>36007</v>
      </c>
      <c r="BF52" s="66"/>
      <c r="BG52" s="144">
        <f t="shared" ref="BG52:BG64" si="33">+BE52/BA52</f>
        <v>0.11132788344999876</v>
      </c>
      <c r="BH52" s="66"/>
      <c r="BI52" s="170"/>
      <c r="BJ52" s="66"/>
      <c r="BK52" s="66"/>
      <c r="BL52" s="66"/>
      <c r="BM52" s="66"/>
      <c r="BN52" s="65">
        <f t="shared" si="21"/>
        <v>155811.11627906977</v>
      </c>
      <c r="BO52" s="66"/>
      <c r="BP52" s="66">
        <f t="shared" si="16"/>
        <v>878708</v>
      </c>
      <c r="BQ52" s="66"/>
      <c r="BR52" s="73">
        <f t="shared" si="13"/>
        <v>0.13115283591731072</v>
      </c>
      <c r="BS52" s="66"/>
      <c r="BT52" s="75"/>
      <c r="BU52" s="170"/>
      <c r="BV52" s="1"/>
      <c r="BW52">
        <f t="shared" si="11"/>
        <v>43</v>
      </c>
    </row>
    <row r="53" spans="2:79" x14ac:dyDescent="0.3">
      <c r="B53" s="433">
        <f t="shared" si="6"/>
        <v>43953</v>
      </c>
      <c r="C53" s="61"/>
      <c r="D53" s="17">
        <v>29744</v>
      </c>
      <c r="E53" s="16"/>
      <c r="F53" s="16"/>
      <c r="G53" s="16"/>
      <c r="H53" s="16">
        <f t="shared" ref="H53:H64" si="34">+H52+D53</f>
        <v>1746161</v>
      </c>
      <c r="I53" s="16"/>
      <c r="J53" s="38">
        <f t="shared" si="28"/>
        <v>1.7329122235447445E-2</v>
      </c>
      <c r="K53" s="16"/>
      <c r="L53" s="16"/>
      <c r="M53" s="16"/>
      <c r="N53" s="16"/>
      <c r="O53" s="16">
        <f t="shared" si="22"/>
        <v>39685.477272727272</v>
      </c>
      <c r="P53" s="41"/>
      <c r="Q53" s="17"/>
      <c r="R53" s="16"/>
      <c r="S53" s="60"/>
      <c r="T53" s="16"/>
      <c r="U53" s="41"/>
      <c r="V53" s="434"/>
      <c r="W53" s="34">
        <v>1691</v>
      </c>
      <c r="X53" s="33"/>
      <c r="Y53" s="33"/>
      <c r="Z53" s="33"/>
      <c r="AA53" s="33">
        <f t="shared" si="29"/>
        <v>72902</v>
      </c>
      <c r="AB53" s="33"/>
      <c r="AC53" s="46">
        <f t="shared" si="23"/>
        <v>4.1749873007128208E-2</v>
      </c>
      <c r="AD53" s="33"/>
      <c r="AE53" s="33">
        <f t="shared" si="24"/>
        <v>1656.8636363636363</v>
      </c>
      <c r="AF53" s="50"/>
      <c r="AG53" s="33"/>
      <c r="AH53" s="33">
        <f t="shared" ref="AH53:AH82" si="35">+W53</f>
        <v>1691</v>
      </c>
      <c r="AI53" s="213"/>
      <c r="AJ53" s="50"/>
      <c r="AK53" s="1"/>
      <c r="AL53" s="23">
        <f t="shared" si="30"/>
        <v>11755</v>
      </c>
      <c r="AM53" s="24"/>
      <c r="AN53" s="24"/>
      <c r="AO53" s="24"/>
      <c r="AP53" s="24">
        <v>173318</v>
      </c>
      <c r="AQ53" s="24"/>
      <c r="AR53" s="25">
        <f t="shared" si="31"/>
        <v>7.2757995333089881E-2</v>
      </c>
      <c r="AS53" s="25"/>
      <c r="AT53" s="25"/>
      <c r="AU53" s="24"/>
      <c r="AV53" s="298">
        <f t="shared" si="25"/>
        <v>9.9256597759313142E-2</v>
      </c>
      <c r="AW53" s="298"/>
      <c r="AX53" s="24">
        <f t="shared" si="26"/>
        <v>3939.0454545454545</v>
      </c>
      <c r="AY53" s="308"/>
      <c r="AZ53" s="1"/>
      <c r="BA53" s="65">
        <f t="shared" si="32"/>
        <v>231254</v>
      </c>
      <c r="BB53" s="66"/>
      <c r="BC53" s="66">
        <v>6931132</v>
      </c>
      <c r="BD53" s="66"/>
      <c r="BE53" s="66">
        <f t="shared" si="12"/>
        <v>29744</v>
      </c>
      <c r="BF53" s="66"/>
      <c r="BG53" s="144">
        <f t="shared" si="33"/>
        <v>0.12862047791605766</v>
      </c>
      <c r="BH53" s="66"/>
      <c r="BI53" s="170"/>
      <c r="BJ53" s="66"/>
      <c r="BK53" s="66"/>
      <c r="BL53" s="66"/>
      <c r="BM53" s="144"/>
      <c r="BN53" s="65">
        <f t="shared" si="21"/>
        <v>157525.72727272726</v>
      </c>
      <c r="BO53" s="66"/>
      <c r="BP53" s="66">
        <f t="shared" si="16"/>
        <v>908452</v>
      </c>
      <c r="BQ53" s="66"/>
      <c r="BR53" s="73">
        <f t="shared" si="13"/>
        <v>0.13106834496875835</v>
      </c>
      <c r="BS53" s="66"/>
      <c r="BT53" s="75"/>
      <c r="BU53" s="170"/>
      <c r="BV53" s="1"/>
      <c r="BW53">
        <f t="shared" si="11"/>
        <v>44</v>
      </c>
    </row>
    <row r="54" spans="2:79" x14ac:dyDescent="0.3">
      <c r="B54" s="347">
        <f t="shared" si="6"/>
        <v>43954</v>
      </c>
      <c r="C54" s="61"/>
      <c r="D54" s="17">
        <v>27348</v>
      </c>
      <c r="E54" s="16"/>
      <c r="F54" s="16"/>
      <c r="G54" s="16"/>
      <c r="H54" s="16">
        <f t="shared" si="34"/>
        <v>1773509</v>
      </c>
      <c r="I54" s="16"/>
      <c r="J54" s="38">
        <f t="shared" si="28"/>
        <v>1.5661786055237749E-2</v>
      </c>
      <c r="K54" s="16"/>
      <c r="L54" s="16"/>
      <c r="M54" s="16"/>
      <c r="N54" s="16"/>
      <c r="O54" s="16">
        <f t="shared" si="22"/>
        <v>39411.311111111114</v>
      </c>
      <c r="P54" s="41"/>
      <c r="Q54" s="17">
        <f>SUM(D48:D54)</f>
        <v>200962</v>
      </c>
      <c r="R54" s="16"/>
      <c r="S54" s="60">
        <f>+(Q54-Q47)/Q47</f>
        <v>-7.4121170237272521E-2</v>
      </c>
      <c r="T54" s="16"/>
      <c r="U54" s="41"/>
      <c r="V54" s="348"/>
      <c r="W54" s="34">
        <v>1153</v>
      </c>
      <c r="X54" s="33"/>
      <c r="Y54" s="33"/>
      <c r="Z54" s="33"/>
      <c r="AA54" s="33">
        <f t="shared" si="29"/>
        <v>74055</v>
      </c>
      <c r="AB54" s="33"/>
      <c r="AC54" s="46">
        <f t="shared" si="23"/>
        <v>4.1756201970218364E-2</v>
      </c>
      <c r="AD54" s="33"/>
      <c r="AE54" s="33">
        <f t="shared" si="24"/>
        <v>1645.6666666666667</v>
      </c>
      <c r="AF54" s="50"/>
      <c r="AG54" s="33">
        <f>SUM(W48:W54)</f>
        <v>13185</v>
      </c>
      <c r="AH54" s="33">
        <f t="shared" si="35"/>
        <v>1153</v>
      </c>
      <c r="AI54" s="213">
        <f>+(AG54-AG47)/AG47</f>
        <v>-9.1378953897043619E-2</v>
      </c>
      <c r="AJ54" s="50"/>
      <c r="AK54" s="348"/>
      <c r="AL54" s="23">
        <f t="shared" si="30"/>
        <v>4945</v>
      </c>
      <c r="AM54" s="24"/>
      <c r="AN54" s="24"/>
      <c r="AO54" s="24">
        <v>178263</v>
      </c>
      <c r="AP54" s="24">
        <v>178263</v>
      </c>
      <c r="AQ54" s="24"/>
      <c r="AR54" s="25">
        <f t="shared" si="31"/>
        <v>2.8531370082738088E-2</v>
      </c>
      <c r="AS54" s="25"/>
      <c r="AT54" s="25"/>
      <c r="AU54" s="24"/>
      <c r="AV54" s="298">
        <f t="shared" si="25"/>
        <v>0.10051429115950355</v>
      </c>
      <c r="AW54" s="298"/>
      <c r="AX54" s="24">
        <f t="shared" si="26"/>
        <v>3961.4</v>
      </c>
      <c r="AY54" s="308"/>
      <c r="AZ54" s="348"/>
      <c r="BA54" s="65">
        <f t="shared" si="32"/>
        <v>265608</v>
      </c>
      <c r="BB54" s="66"/>
      <c r="BC54" s="66">
        <v>7196740</v>
      </c>
      <c r="BD54" s="66"/>
      <c r="BE54" s="66">
        <f t="shared" si="12"/>
        <v>27348</v>
      </c>
      <c r="BF54" s="66"/>
      <c r="BG54" s="144">
        <f t="shared" si="33"/>
        <v>0.10296376615162194</v>
      </c>
      <c r="BH54" s="66"/>
      <c r="BI54" s="170"/>
      <c r="BJ54" s="66"/>
      <c r="BK54" s="66">
        <f>SUM(BA48:BA54)</f>
        <v>1726276</v>
      </c>
      <c r="BL54" s="66"/>
      <c r="BM54" s="144">
        <f>+Q54/BK54</f>
        <v>0.11641359782560842</v>
      </c>
      <c r="BN54" s="65">
        <f t="shared" si="21"/>
        <v>159927.55555555556</v>
      </c>
      <c r="BO54" s="66"/>
      <c r="BP54" s="66">
        <f t="shared" si="16"/>
        <v>935800</v>
      </c>
      <c r="BQ54" s="66"/>
      <c r="BR54" s="73">
        <f t="shared" si="13"/>
        <v>0.13003109741355112</v>
      </c>
      <c r="BS54" s="66"/>
      <c r="BT54" s="75"/>
      <c r="BU54" s="170"/>
      <c r="BV54" s="1"/>
      <c r="BW54">
        <f t="shared" si="11"/>
        <v>45</v>
      </c>
    </row>
    <row r="55" spans="2:79" x14ac:dyDescent="0.3">
      <c r="B55" s="158">
        <f t="shared" si="6"/>
        <v>43955</v>
      </c>
      <c r="C55" s="61"/>
      <c r="D55" s="17">
        <v>24713</v>
      </c>
      <c r="E55" s="16"/>
      <c r="F55" s="16"/>
      <c r="G55" s="16"/>
      <c r="H55" s="16">
        <f t="shared" si="34"/>
        <v>1798222</v>
      </c>
      <c r="I55" s="16"/>
      <c r="J55" s="38">
        <f t="shared" si="28"/>
        <v>1.3934521899804287E-2</v>
      </c>
      <c r="K55" s="16"/>
      <c r="L55" s="16"/>
      <c r="M55" s="16"/>
      <c r="N55" s="16"/>
      <c r="O55" s="16">
        <f t="shared" si="22"/>
        <v>39091.782608695656</v>
      </c>
      <c r="P55" s="41"/>
      <c r="Q55" s="17"/>
      <c r="R55" s="16"/>
      <c r="S55" s="16"/>
      <c r="T55" s="16"/>
      <c r="U55" s="41"/>
      <c r="V55" s="10"/>
      <c r="W55" s="34">
        <v>1324</v>
      </c>
      <c r="X55" s="33"/>
      <c r="Y55" s="33"/>
      <c r="Z55" s="33"/>
      <c r="AA55" s="33">
        <f t="shared" si="29"/>
        <v>75379</v>
      </c>
      <c r="AB55" s="33"/>
      <c r="AC55" s="46">
        <f t="shared" si="23"/>
        <v>4.1918628511941239E-2</v>
      </c>
      <c r="AD55" s="33"/>
      <c r="AE55" s="33">
        <f t="shared" si="24"/>
        <v>1638.6739130434783</v>
      </c>
      <c r="AF55" s="50"/>
      <c r="AG55" s="33"/>
      <c r="AH55" s="33">
        <f t="shared" si="35"/>
        <v>1324</v>
      </c>
      <c r="AI55" s="33"/>
      <c r="AJ55" s="50"/>
      <c r="AK55" s="10"/>
      <c r="AL55" s="23">
        <f t="shared" si="30"/>
        <v>9764</v>
      </c>
      <c r="AM55" s="24"/>
      <c r="AN55" s="24"/>
      <c r="AO55" s="24">
        <v>178263</v>
      </c>
      <c r="AP55" s="24">
        <v>188027</v>
      </c>
      <c r="AQ55" s="24"/>
      <c r="AR55" s="25">
        <f t="shared" si="31"/>
        <v>5.4773003932392025E-2</v>
      </c>
      <c r="AS55" s="25"/>
      <c r="AT55" s="25"/>
      <c r="AU55" s="24"/>
      <c r="AV55" s="298">
        <f t="shared" si="25"/>
        <v>0.1045627291847169</v>
      </c>
      <c r="AW55" s="298"/>
      <c r="AX55" s="24">
        <f t="shared" si="26"/>
        <v>4087.5434782608695</v>
      </c>
      <c r="AY55" s="308"/>
      <c r="AZ55" s="10"/>
      <c r="BA55" s="65">
        <f t="shared" si="32"/>
        <v>265691</v>
      </c>
      <c r="BB55" s="66"/>
      <c r="BC55" s="66">
        <v>7462431</v>
      </c>
      <c r="BD55" s="66"/>
      <c r="BE55" s="66">
        <f t="shared" si="12"/>
        <v>24713</v>
      </c>
      <c r="BF55" s="66"/>
      <c r="BG55" s="144">
        <f t="shared" si="33"/>
        <v>9.3014065211091082E-2</v>
      </c>
      <c r="BH55" s="66"/>
      <c r="BI55" s="170"/>
      <c r="BJ55" s="66"/>
      <c r="BK55" s="66"/>
      <c r="BL55" s="66"/>
      <c r="BM55" s="66"/>
      <c r="BN55" s="65">
        <f t="shared" si="21"/>
        <v>162226.76086956522</v>
      </c>
      <c r="BO55" s="66"/>
      <c r="BP55" s="66">
        <f t="shared" si="16"/>
        <v>960513</v>
      </c>
      <c r="BQ55" s="66"/>
      <c r="BR55" s="73">
        <f t="shared" si="13"/>
        <v>0.12871314991053184</v>
      </c>
      <c r="BS55" s="66"/>
      <c r="BT55" s="75"/>
      <c r="BU55" s="170"/>
      <c r="BV55" s="1"/>
      <c r="BW55">
        <f t="shared" si="11"/>
        <v>46</v>
      </c>
    </row>
    <row r="56" spans="2:79" x14ac:dyDescent="0.3">
      <c r="B56" s="158">
        <f t="shared" si="6"/>
        <v>43956</v>
      </c>
      <c r="C56" s="61"/>
      <c r="D56" s="17">
        <v>24798</v>
      </c>
      <c r="E56" s="16"/>
      <c r="F56" s="16"/>
      <c r="G56" s="16"/>
      <c r="H56" s="16">
        <f t="shared" si="34"/>
        <v>1823020</v>
      </c>
      <c r="I56" s="16"/>
      <c r="J56" s="38">
        <f t="shared" si="28"/>
        <v>1.3790288407104351E-2</v>
      </c>
      <c r="K56" s="16"/>
      <c r="L56" s="16"/>
      <c r="M56" s="16"/>
      <c r="N56" s="16"/>
      <c r="O56" s="16">
        <f t="shared" si="22"/>
        <v>38787.659574468082</v>
      </c>
      <c r="P56" s="41"/>
      <c r="Q56" s="17"/>
      <c r="R56" s="16"/>
      <c r="S56" s="16"/>
      <c r="T56" s="16"/>
      <c r="U56" s="41"/>
      <c r="V56" s="1"/>
      <c r="W56" s="34">
        <v>2350</v>
      </c>
      <c r="X56" s="33"/>
      <c r="Y56" s="33"/>
      <c r="Z56" s="33"/>
      <c r="AA56" s="33">
        <f t="shared" si="29"/>
        <v>77729</v>
      </c>
      <c r="AB56" s="33"/>
      <c r="AC56" s="46">
        <f t="shared" si="23"/>
        <v>4.2637491634759904E-2</v>
      </c>
      <c r="AD56" s="33"/>
      <c r="AE56" s="33">
        <f t="shared" si="24"/>
        <v>1653.8085106382978</v>
      </c>
      <c r="AF56" s="50"/>
      <c r="AG56" s="33"/>
      <c r="AH56" s="33">
        <f t="shared" si="35"/>
        <v>2350</v>
      </c>
      <c r="AI56" s="33"/>
      <c r="AJ56" s="50"/>
      <c r="AK56" s="1"/>
      <c r="AL56" s="23">
        <f t="shared" si="30"/>
        <v>12599</v>
      </c>
      <c r="AM56" s="24"/>
      <c r="AN56" s="24"/>
      <c r="AO56" s="24">
        <v>178263</v>
      </c>
      <c r="AP56" s="24">
        <v>200626</v>
      </c>
      <c r="AQ56" s="24"/>
      <c r="AR56" s="25">
        <f t="shared" si="31"/>
        <v>6.7006334196684517E-2</v>
      </c>
      <c r="AS56" s="25"/>
      <c r="AT56" s="25"/>
      <c r="AU56" s="24"/>
      <c r="AV56" s="298">
        <f t="shared" si="25"/>
        <v>0.11005145308334521</v>
      </c>
      <c r="AW56" s="298"/>
      <c r="AX56" s="24">
        <f t="shared" si="26"/>
        <v>4268.6382978723404</v>
      </c>
      <c r="AY56" s="308"/>
      <c r="AZ56" s="1"/>
      <c r="BA56" s="65">
        <f t="shared" si="32"/>
        <v>265380</v>
      </c>
      <c r="BB56" s="66"/>
      <c r="BC56" s="66">
        <v>7727811</v>
      </c>
      <c r="BD56" s="66"/>
      <c r="BE56" s="66">
        <f t="shared" si="12"/>
        <v>24798</v>
      </c>
      <c r="BF56" s="66"/>
      <c r="BG56" s="144">
        <f t="shared" si="33"/>
        <v>9.344336423242143E-2</v>
      </c>
      <c r="BH56" s="66"/>
      <c r="BI56" s="170"/>
      <c r="BJ56" s="66"/>
      <c r="BK56" s="66"/>
      <c r="BL56" s="66"/>
      <c r="BM56" s="66"/>
      <c r="BN56" s="65">
        <f t="shared" si="21"/>
        <v>164421.51063829788</v>
      </c>
      <c r="BO56" s="66"/>
      <c r="BP56" s="66">
        <f t="shared" si="16"/>
        <v>985311</v>
      </c>
      <c r="BQ56" s="66"/>
      <c r="BR56" s="73">
        <f t="shared" si="13"/>
        <v>0.12750195365802813</v>
      </c>
      <c r="BS56" s="66"/>
      <c r="BT56" s="75"/>
      <c r="BU56" s="170"/>
      <c r="BV56" s="1"/>
      <c r="BW56">
        <f t="shared" si="11"/>
        <v>47</v>
      </c>
    </row>
    <row r="57" spans="2:79" x14ac:dyDescent="0.3">
      <c r="B57" s="158">
        <f t="shared" si="6"/>
        <v>43957</v>
      </c>
      <c r="C57" s="61"/>
      <c r="D57" s="17">
        <v>25459</v>
      </c>
      <c r="E57" s="16"/>
      <c r="F57" s="16"/>
      <c r="G57" s="16"/>
      <c r="H57" s="16">
        <f t="shared" si="34"/>
        <v>1848479</v>
      </c>
      <c r="I57" s="16"/>
      <c r="J57" s="38">
        <f t="shared" si="28"/>
        <v>1.3965288367653674E-2</v>
      </c>
      <c r="K57" s="16"/>
      <c r="L57" s="16"/>
      <c r="M57" s="16"/>
      <c r="N57" s="16"/>
      <c r="O57" s="16">
        <f t="shared" si="22"/>
        <v>38509.979166666664</v>
      </c>
      <c r="P57" s="41"/>
      <c r="Q57" s="17"/>
      <c r="R57" s="16"/>
      <c r="S57" s="16"/>
      <c r="T57" s="16"/>
      <c r="U57" s="41"/>
      <c r="V57" s="1"/>
      <c r="W57" s="34">
        <v>2528</v>
      </c>
      <c r="X57" s="33"/>
      <c r="Y57" s="33"/>
      <c r="Z57" s="33"/>
      <c r="AA57" s="33">
        <f t="shared" si="29"/>
        <v>80257</v>
      </c>
      <c r="AB57" s="33"/>
      <c r="AC57" s="46">
        <f t="shared" si="23"/>
        <v>4.3417858682733207E-2</v>
      </c>
      <c r="AD57" s="33"/>
      <c r="AE57" s="33">
        <f t="shared" si="24"/>
        <v>1672.0208333333333</v>
      </c>
      <c r="AF57" s="50"/>
      <c r="AG57" s="33"/>
      <c r="AH57" s="33">
        <f t="shared" si="35"/>
        <v>2528</v>
      </c>
      <c r="AI57" s="33"/>
      <c r="AJ57" s="50"/>
      <c r="AK57" s="1"/>
      <c r="AL57" s="23">
        <f t="shared" si="30"/>
        <v>5682</v>
      </c>
      <c r="AM57" s="24"/>
      <c r="AN57" s="24"/>
      <c r="AO57" s="24">
        <v>178263</v>
      </c>
      <c r="AP57" s="24">
        <v>206308</v>
      </c>
      <c r="AQ57" s="24"/>
      <c r="AR57" s="25">
        <f t="shared" si="31"/>
        <v>2.8321354161474584E-2</v>
      </c>
      <c r="AS57" s="25"/>
      <c r="AT57" s="25"/>
      <c r="AU57" s="24"/>
      <c r="AV57" s="298">
        <f t="shared" si="25"/>
        <v>0.111609599027092</v>
      </c>
      <c r="AW57" s="298"/>
      <c r="AX57" s="24">
        <f t="shared" si="26"/>
        <v>4298.083333333333</v>
      </c>
      <c r="AY57" s="308"/>
      <c r="AZ57" s="1"/>
      <c r="BA57" s="65">
        <f t="shared" si="32"/>
        <v>244534</v>
      </c>
      <c r="BB57" s="66"/>
      <c r="BC57" s="66">
        <v>7972345</v>
      </c>
      <c r="BD57" s="66"/>
      <c r="BE57" s="66">
        <f t="shared" si="12"/>
        <v>25459</v>
      </c>
      <c r="BF57" s="66"/>
      <c r="BG57" s="144">
        <f t="shared" si="33"/>
        <v>0.10411231158039373</v>
      </c>
      <c r="BH57" s="66"/>
      <c r="BI57" s="170"/>
      <c r="BJ57" s="66"/>
      <c r="BK57" s="66"/>
      <c r="BL57" s="66"/>
      <c r="BM57" s="66"/>
      <c r="BN57" s="65">
        <f t="shared" si="21"/>
        <v>166090.52083333334</v>
      </c>
      <c r="BO57" s="66"/>
      <c r="BP57" s="66">
        <f t="shared" si="16"/>
        <v>1010770</v>
      </c>
      <c r="BQ57" s="66"/>
      <c r="BR57" s="73">
        <f t="shared" si="13"/>
        <v>0.12678452826615005</v>
      </c>
      <c r="BS57" s="66"/>
      <c r="BT57" s="75"/>
      <c r="BU57" s="170"/>
      <c r="BV57" s="1"/>
      <c r="BW57">
        <f t="shared" si="11"/>
        <v>48</v>
      </c>
    </row>
    <row r="58" spans="2:79" x14ac:dyDescent="0.3">
      <c r="B58" s="158">
        <f t="shared" si="6"/>
        <v>43958</v>
      </c>
      <c r="C58" s="61"/>
      <c r="D58" s="17">
        <v>29531</v>
      </c>
      <c r="E58" s="16"/>
      <c r="F58" s="16"/>
      <c r="G58" s="16"/>
      <c r="H58" s="16">
        <f t="shared" si="34"/>
        <v>1878010</v>
      </c>
      <c r="I58" s="16"/>
      <c r="J58" s="38">
        <f t="shared" si="28"/>
        <v>1.5975837431747939E-2</v>
      </c>
      <c r="K58" s="16"/>
      <c r="L58" s="16"/>
      <c r="M58" s="16"/>
      <c r="N58" s="16"/>
      <c r="O58" s="16">
        <f t="shared" si="22"/>
        <v>38326.734693877552</v>
      </c>
      <c r="P58" s="41"/>
      <c r="Q58" s="17"/>
      <c r="R58" s="16"/>
      <c r="S58" s="16"/>
      <c r="T58" s="16"/>
      <c r="U58" s="41"/>
      <c r="V58" s="1"/>
      <c r="W58" s="34">
        <v>2129</v>
      </c>
      <c r="X58" s="33"/>
      <c r="Y58" s="33"/>
      <c r="Z58" s="33"/>
      <c r="AA58" s="33">
        <f t="shared" si="29"/>
        <v>82386</v>
      </c>
      <c r="AB58" s="33"/>
      <c r="AC58" s="46">
        <f t="shared" si="23"/>
        <v>4.3868775991608142E-2</v>
      </c>
      <c r="AD58" s="33"/>
      <c r="AE58" s="33">
        <f t="shared" si="24"/>
        <v>1681.3469387755101</v>
      </c>
      <c r="AF58" s="50"/>
      <c r="AG58" s="33"/>
      <c r="AH58" s="33">
        <f t="shared" si="35"/>
        <v>2129</v>
      </c>
      <c r="AI58" s="33"/>
      <c r="AJ58" s="50"/>
      <c r="AK58" s="1"/>
      <c r="AL58" s="23">
        <f t="shared" si="30"/>
        <v>10942</v>
      </c>
      <c r="AM58" s="24"/>
      <c r="AN58" s="24"/>
      <c r="AO58" s="24">
        <v>178263</v>
      </c>
      <c r="AP58" s="24">
        <v>217250</v>
      </c>
      <c r="AQ58" s="24"/>
      <c r="AR58" s="25">
        <f t="shared" si="31"/>
        <v>5.3037206506776277E-2</v>
      </c>
      <c r="AS58" s="25"/>
      <c r="AT58" s="25"/>
      <c r="AU58" s="24"/>
      <c r="AV58" s="298">
        <f t="shared" si="25"/>
        <v>0.11568096016528133</v>
      </c>
      <c r="AW58" s="298"/>
      <c r="AX58" s="24">
        <f t="shared" si="26"/>
        <v>4433.6734693877552</v>
      </c>
      <c r="AY58" s="308"/>
      <c r="AZ58" s="1"/>
      <c r="BA58" s="65">
        <f t="shared" si="32"/>
        <v>325217</v>
      </c>
      <c r="BB58" s="66"/>
      <c r="BC58" s="66">
        <v>8297562</v>
      </c>
      <c r="BD58" s="66"/>
      <c r="BE58" s="66">
        <f t="shared" si="12"/>
        <v>29531</v>
      </c>
      <c r="BF58" s="66"/>
      <c r="BG58" s="144">
        <f t="shared" si="33"/>
        <v>9.0803986261480799E-2</v>
      </c>
      <c r="BH58" s="66"/>
      <c r="BI58" s="170"/>
      <c r="BJ58" s="66"/>
      <c r="BK58" s="66"/>
      <c r="BL58" s="66"/>
      <c r="BM58" s="66"/>
      <c r="BN58" s="65">
        <f t="shared" si="21"/>
        <v>169338</v>
      </c>
      <c r="BO58" s="66"/>
      <c r="BP58" s="66">
        <f t="shared" si="16"/>
        <v>1040301</v>
      </c>
      <c r="BQ58" s="66"/>
      <c r="BR58" s="73">
        <f t="shared" si="13"/>
        <v>0.12537429669100394</v>
      </c>
      <c r="BS58" s="66"/>
      <c r="BT58" s="75"/>
      <c r="BU58" s="170"/>
      <c r="BV58" s="1"/>
      <c r="BW58">
        <f t="shared" si="11"/>
        <v>49</v>
      </c>
      <c r="BY58" s="1"/>
      <c r="CA58" s="1"/>
    </row>
    <row r="59" spans="2:79" x14ac:dyDescent="0.3">
      <c r="B59" s="158">
        <f t="shared" si="6"/>
        <v>43959</v>
      </c>
      <c r="C59" s="61"/>
      <c r="D59" s="17">
        <v>29162</v>
      </c>
      <c r="E59" s="16"/>
      <c r="F59" s="16"/>
      <c r="G59" s="16"/>
      <c r="H59" s="16">
        <f t="shared" si="34"/>
        <v>1907172</v>
      </c>
      <c r="I59" s="16"/>
      <c r="J59" s="38">
        <f t="shared" si="28"/>
        <v>1.5528138827801768E-2</v>
      </c>
      <c r="K59" s="16"/>
      <c r="L59" s="16"/>
      <c r="M59" s="16"/>
      <c r="N59" s="16"/>
      <c r="O59" s="16">
        <f t="shared" si="22"/>
        <v>38143.440000000002</v>
      </c>
      <c r="P59" s="41"/>
      <c r="Q59" s="17"/>
      <c r="R59" s="16"/>
      <c r="S59" s="16"/>
      <c r="T59" s="16"/>
      <c r="U59" s="41"/>
      <c r="V59" s="1"/>
      <c r="W59" s="34">
        <v>1687</v>
      </c>
      <c r="X59" s="33"/>
      <c r="Y59" s="33"/>
      <c r="Z59" s="33"/>
      <c r="AA59" s="33">
        <f t="shared" si="29"/>
        <v>84073</v>
      </c>
      <c r="AB59" s="33"/>
      <c r="AC59" s="46">
        <f t="shared" si="23"/>
        <v>4.4082547352834456E-2</v>
      </c>
      <c r="AD59" s="33"/>
      <c r="AE59" s="33">
        <f t="shared" si="24"/>
        <v>1681.46</v>
      </c>
      <c r="AF59" s="50"/>
      <c r="AG59" s="33"/>
      <c r="AH59" s="33">
        <f t="shared" si="35"/>
        <v>1687</v>
      </c>
      <c r="AI59" s="33"/>
      <c r="AJ59" s="50"/>
      <c r="AK59" s="1"/>
      <c r="AL59" s="23">
        <f t="shared" si="30"/>
        <v>6110</v>
      </c>
      <c r="AM59" s="24"/>
      <c r="AN59" s="24"/>
      <c r="AO59" s="24">
        <v>178263</v>
      </c>
      <c r="AP59" s="24">
        <v>223360</v>
      </c>
      <c r="AQ59" s="24"/>
      <c r="AR59" s="25">
        <f t="shared" si="31"/>
        <v>2.8124280782508632E-2</v>
      </c>
      <c r="AS59" s="25"/>
      <c r="AT59" s="25"/>
      <c r="AU59" s="24"/>
      <c r="AV59" s="298">
        <f t="shared" si="25"/>
        <v>0.11711581336135388</v>
      </c>
      <c r="AW59" s="298"/>
      <c r="AX59" s="24">
        <f t="shared" si="26"/>
        <v>4467.2</v>
      </c>
      <c r="AY59" s="308"/>
      <c r="AZ59" s="1"/>
      <c r="BA59" s="65">
        <f t="shared" si="32"/>
        <v>338873</v>
      </c>
      <c r="BB59" s="66"/>
      <c r="BC59" s="66">
        <v>8636435</v>
      </c>
      <c r="BD59" s="66"/>
      <c r="BE59" s="66">
        <f t="shared" si="12"/>
        <v>29162</v>
      </c>
      <c r="BF59" s="66"/>
      <c r="BG59" s="144">
        <f t="shared" si="33"/>
        <v>8.6055838027815731E-2</v>
      </c>
      <c r="BH59" s="66"/>
      <c r="BI59" s="170"/>
      <c r="BJ59" s="66"/>
      <c r="BK59" s="66"/>
      <c r="BL59" s="66"/>
      <c r="BM59" s="66"/>
      <c r="BN59" s="65">
        <f t="shared" si="21"/>
        <v>172728.7</v>
      </c>
      <c r="BO59" s="66"/>
      <c r="BP59" s="66">
        <f t="shared" si="16"/>
        <v>1069463</v>
      </c>
      <c r="BQ59" s="66"/>
      <c r="BR59" s="73">
        <f t="shared" si="13"/>
        <v>0.12383153465521364</v>
      </c>
      <c r="BS59" s="66"/>
      <c r="BT59" s="75"/>
      <c r="BU59" s="170"/>
      <c r="BV59" s="1"/>
      <c r="BW59">
        <f t="shared" si="11"/>
        <v>50</v>
      </c>
    </row>
    <row r="60" spans="2:79" x14ac:dyDescent="0.3">
      <c r="B60" s="433">
        <f t="shared" si="6"/>
        <v>43960</v>
      </c>
      <c r="C60" s="61"/>
      <c r="D60" s="17">
        <v>25524</v>
      </c>
      <c r="E60" s="16"/>
      <c r="F60" s="16"/>
      <c r="G60" s="16"/>
      <c r="H60" s="16">
        <f t="shared" si="34"/>
        <v>1932696</v>
      </c>
      <c r="I60" s="16"/>
      <c r="J60" s="38">
        <f t="shared" si="28"/>
        <v>1.3383166279706288E-2</v>
      </c>
      <c r="K60" s="16"/>
      <c r="L60" s="16"/>
      <c r="M60" s="16"/>
      <c r="N60" s="16"/>
      <c r="O60" s="16">
        <f t="shared" si="22"/>
        <v>37896</v>
      </c>
      <c r="P60" s="41"/>
      <c r="Q60" s="17"/>
      <c r="R60" s="16"/>
      <c r="S60" s="60"/>
      <c r="T60" s="16"/>
      <c r="U60" s="41"/>
      <c r="V60" s="434"/>
      <c r="W60" s="34">
        <v>1422</v>
      </c>
      <c r="X60" s="33"/>
      <c r="Y60" s="33"/>
      <c r="Z60" s="33"/>
      <c r="AA60" s="33">
        <f t="shared" si="29"/>
        <v>85495</v>
      </c>
      <c r="AB60" s="33"/>
      <c r="AC60" s="46">
        <f t="shared" si="23"/>
        <v>4.423613439464872E-2</v>
      </c>
      <c r="AD60" s="33"/>
      <c r="AE60" s="33">
        <f t="shared" si="24"/>
        <v>1676.3725490196077</v>
      </c>
      <c r="AF60" s="50"/>
      <c r="AG60" s="33"/>
      <c r="AH60" s="33">
        <f t="shared" si="35"/>
        <v>1422</v>
      </c>
      <c r="AI60" s="213"/>
      <c r="AJ60" s="50"/>
      <c r="AK60" s="1"/>
      <c r="AL60" s="23">
        <f t="shared" si="30"/>
        <v>14718</v>
      </c>
      <c r="AM60" s="24"/>
      <c r="AN60" s="24"/>
      <c r="AO60" s="24">
        <v>178263</v>
      </c>
      <c r="AP60" s="24">
        <v>238078</v>
      </c>
      <c r="AQ60" s="24"/>
      <c r="AR60" s="25">
        <f t="shared" si="31"/>
        <v>6.5893624641833806E-2</v>
      </c>
      <c r="AS60" s="25"/>
      <c r="AT60" s="25"/>
      <c r="AU60" s="24"/>
      <c r="AV60" s="298">
        <f t="shared" si="25"/>
        <v>0.12318440147855637</v>
      </c>
      <c r="AW60" s="298"/>
      <c r="AX60" s="24">
        <f t="shared" si="26"/>
        <v>4668.1960784313724</v>
      </c>
      <c r="AY60" s="308"/>
      <c r="AZ60" s="1"/>
      <c r="BA60" s="65">
        <f t="shared" si="32"/>
        <v>281828</v>
      </c>
      <c r="BB60" s="66"/>
      <c r="BC60" s="66">
        <v>8918263</v>
      </c>
      <c r="BD60" s="66"/>
      <c r="BE60" s="66">
        <f t="shared" si="12"/>
        <v>25524</v>
      </c>
      <c r="BF60" s="66"/>
      <c r="BG60" s="144">
        <f t="shared" si="33"/>
        <v>9.0565877059766944E-2</v>
      </c>
      <c r="BH60" s="66"/>
      <c r="BI60" s="170"/>
      <c r="BJ60" s="66"/>
      <c r="BK60" s="66"/>
      <c r="BL60" s="66"/>
      <c r="BM60" s="144"/>
      <c r="BN60" s="65">
        <f t="shared" si="21"/>
        <v>174867.90196078431</v>
      </c>
      <c r="BO60" s="66"/>
      <c r="BP60" s="66">
        <f t="shared" si="16"/>
        <v>1094987</v>
      </c>
      <c r="BQ60" s="66"/>
      <c r="BR60" s="73">
        <f t="shared" si="13"/>
        <v>0.12278029925782633</v>
      </c>
      <c r="BS60" s="66"/>
      <c r="BT60" s="75"/>
      <c r="BU60" s="170"/>
      <c r="BV60" s="1"/>
      <c r="BW60">
        <f t="shared" si="11"/>
        <v>51</v>
      </c>
    </row>
    <row r="61" spans="2:79" x14ac:dyDescent="0.3">
      <c r="B61" s="347">
        <f t="shared" si="6"/>
        <v>43961</v>
      </c>
      <c r="C61" s="61"/>
      <c r="D61" s="17">
        <v>20329</v>
      </c>
      <c r="E61" s="16"/>
      <c r="F61" s="16"/>
      <c r="G61" s="16"/>
      <c r="H61" s="16">
        <f t="shared" si="34"/>
        <v>1953025</v>
      </c>
      <c r="I61" s="16"/>
      <c r="J61" s="38">
        <f t="shared" si="28"/>
        <v>1.0518467467206432E-2</v>
      </c>
      <c r="K61" s="16"/>
      <c r="L61" s="16"/>
      <c r="M61" s="16"/>
      <c r="N61" s="16"/>
      <c r="O61" s="16">
        <f t="shared" si="22"/>
        <v>37558.173076923078</v>
      </c>
      <c r="P61" s="41"/>
      <c r="Q61" s="17">
        <f>SUM(D55:D61)</f>
        <v>179516</v>
      </c>
      <c r="R61" s="16"/>
      <c r="S61" s="60">
        <f>+(Q61-Q54)/Q54</f>
        <v>-0.10671669270807416</v>
      </c>
      <c r="T61" s="16"/>
      <c r="U61" s="41"/>
      <c r="V61" s="348"/>
      <c r="W61" s="34">
        <v>750</v>
      </c>
      <c r="X61" s="33"/>
      <c r="Y61" s="33"/>
      <c r="Z61" s="33"/>
      <c r="AA61" s="33">
        <f t="shared" si="29"/>
        <v>86245</v>
      </c>
      <c r="AB61" s="33"/>
      <c r="AC61" s="46">
        <f t="shared" si="23"/>
        <v>4.415970097669001E-2</v>
      </c>
      <c r="AD61" s="33"/>
      <c r="AE61" s="33">
        <f t="shared" si="24"/>
        <v>1658.5576923076924</v>
      </c>
      <c r="AF61" s="50"/>
      <c r="AG61" s="33">
        <f>SUM(W55:W61)</f>
        <v>12190</v>
      </c>
      <c r="AH61" s="33">
        <f t="shared" si="35"/>
        <v>750</v>
      </c>
      <c r="AI61" s="213">
        <f>+(AG61-AG54)/AG54</f>
        <v>-7.5464543041334847E-2</v>
      </c>
      <c r="AJ61" s="50"/>
      <c r="AK61" s="348"/>
      <c r="AL61" s="23">
        <f t="shared" si="30"/>
        <v>18258</v>
      </c>
      <c r="AM61" s="24"/>
      <c r="AN61" s="24"/>
      <c r="AO61" s="24">
        <v>178263</v>
      </c>
      <c r="AP61" s="24">
        <v>256336</v>
      </c>
      <c r="AQ61" s="24"/>
      <c r="AR61" s="25">
        <f t="shared" si="31"/>
        <v>7.6689152294626126E-2</v>
      </c>
      <c r="AS61" s="25"/>
      <c r="AT61" s="25"/>
      <c r="AU61" s="24"/>
      <c r="AV61" s="298">
        <f t="shared" si="25"/>
        <v>0.13125075203850436</v>
      </c>
      <c r="AW61" s="298"/>
      <c r="AX61" s="24">
        <f t="shared" si="26"/>
        <v>4929.5384615384619</v>
      </c>
      <c r="AY61" s="308"/>
      <c r="AZ61" s="348"/>
      <c r="BA61" s="65">
        <f t="shared" si="32"/>
        <v>526262</v>
      </c>
      <c r="BB61" s="66"/>
      <c r="BC61" s="66">
        <v>9444525</v>
      </c>
      <c r="BD61" s="66"/>
      <c r="BE61" s="66">
        <f t="shared" si="12"/>
        <v>20329</v>
      </c>
      <c r="BF61" s="66"/>
      <c r="BG61" s="144">
        <f t="shared" si="33"/>
        <v>3.8629047888694222E-2</v>
      </c>
      <c r="BH61" s="66"/>
      <c r="BI61" s="170"/>
      <c r="BJ61" s="66"/>
      <c r="BK61" s="66">
        <f>SUM(BA55:BA61)</f>
        <v>2247785</v>
      </c>
      <c r="BL61" s="66"/>
      <c r="BM61" s="144">
        <f>+Q61/BK61</f>
        <v>7.9863510077698707E-2</v>
      </c>
      <c r="BN61" s="65">
        <f t="shared" si="21"/>
        <v>181625.48076923078</v>
      </c>
      <c r="BO61" s="66"/>
      <c r="BP61" s="66">
        <f t="shared" si="16"/>
        <v>1115316</v>
      </c>
      <c r="BQ61" s="66"/>
      <c r="BR61" s="73">
        <f t="shared" si="13"/>
        <v>0.11809127510383</v>
      </c>
      <c r="BS61" s="66"/>
      <c r="BT61" s="75"/>
      <c r="BU61" s="170"/>
      <c r="BV61" s="1"/>
      <c r="BW61">
        <f t="shared" si="11"/>
        <v>52</v>
      </c>
    </row>
    <row r="62" spans="2:79" x14ac:dyDescent="0.3">
      <c r="B62" s="158">
        <f t="shared" si="6"/>
        <v>43962</v>
      </c>
      <c r="C62" s="61"/>
      <c r="D62" s="17">
        <v>18196</v>
      </c>
      <c r="E62" s="16"/>
      <c r="F62" s="16"/>
      <c r="G62" s="16"/>
      <c r="H62" s="16">
        <f t="shared" si="34"/>
        <v>1971221</v>
      </c>
      <c r="I62" s="16"/>
      <c r="J62" s="38">
        <f t="shared" si="28"/>
        <v>9.3168290216459077E-3</v>
      </c>
      <c r="K62" s="16"/>
      <c r="L62" s="16"/>
      <c r="M62" s="16"/>
      <c r="N62" s="16"/>
      <c r="O62" s="16">
        <f t="shared" si="22"/>
        <v>37192.849056603773</v>
      </c>
      <c r="P62" s="41"/>
      <c r="Q62" s="17"/>
      <c r="R62" s="16"/>
      <c r="S62" s="16"/>
      <c r="T62" s="16"/>
      <c r="U62" s="41"/>
      <c r="V62" s="10"/>
      <c r="W62" s="34">
        <v>1060</v>
      </c>
      <c r="X62" s="33"/>
      <c r="Y62" s="33"/>
      <c r="Z62" s="33"/>
      <c r="AA62" s="33">
        <f t="shared" si="29"/>
        <v>87305</v>
      </c>
      <c r="AB62" s="33"/>
      <c r="AC62" s="46">
        <f t="shared" si="23"/>
        <v>4.4289808195022276E-2</v>
      </c>
      <c r="AD62" s="33"/>
      <c r="AE62" s="33">
        <f t="shared" si="24"/>
        <v>1647.2641509433963</v>
      </c>
      <c r="AF62" s="50"/>
      <c r="AG62" s="33"/>
      <c r="AH62" s="33">
        <f t="shared" si="35"/>
        <v>1060</v>
      </c>
      <c r="AI62" s="33"/>
      <c r="AJ62" s="50"/>
      <c r="AK62" s="10"/>
      <c r="AL62" s="23">
        <f t="shared" si="30"/>
        <v>5889</v>
      </c>
      <c r="AM62" s="24"/>
      <c r="AN62" s="24"/>
      <c r="AO62" s="24">
        <v>178263</v>
      </c>
      <c r="AP62" s="24">
        <v>262225</v>
      </c>
      <c r="AQ62" s="24"/>
      <c r="AR62" s="25">
        <f t="shared" si="31"/>
        <v>2.297375319892641E-2</v>
      </c>
      <c r="AS62" s="25"/>
      <c r="AT62" s="25"/>
      <c r="AU62" s="24"/>
      <c r="AV62" s="298">
        <f t="shared" si="25"/>
        <v>0.13302668752007005</v>
      </c>
      <c r="AW62" s="298"/>
      <c r="AX62" s="24">
        <f t="shared" si="26"/>
        <v>4947.6415094339627</v>
      </c>
      <c r="AY62" s="308"/>
      <c r="AZ62" s="10"/>
      <c r="BA62" s="65">
        <f t="shared" si="32"/>
        <v>175330</v>
      </c>
      <c r="BB62" s="66"/>
      <c r="BC62" s="66">
        <v>9619855</v>
      </c>
      <c r="BD62" s="66"/>
      <c r="BE62" s="66">
        <f t="shared" si="12"/>
        <v>18196</v>
      </c>
      <c r="BF62" s="66"/>
      <c r="BG62" s="144">
        <f t="shared" si="33"/>
        <v>0.10378144071180061</v>
      </c>
      <c r="BH62" s="66"/>
      <c r="BI62" s="170"/>
      <c r="BJ62" s="66"/>
      <c r="BK62" s="66"/>
      <c r="BL62" s="66"/>
      <c r="BM62" s="66"/>
      <c r="BN62" s="65">
        <f t="shared" si="21"/>
        <v>181506.69811320756</v>
      </c>
      <c r="BO62" s="66"/>
      <c r="BP62" s="66">
        <f t="shared" si="16"/>
        <v>1133512</v>
      </c>
      <c r="BQ62" s="66"/>
      <c r="BR62" s="73">
        <f t="shared" si="13"/>
        <v>0.11783046625962658</v>
      </c>
      <c r="BS62" s="66"/>
      <c r="BT62" s="75"/>
      <c r="BU62" s="170"/>
      <c r="BV62" s="1"/>
      <c r="BW62">
        <f t="shared" si="11"/>
        <v>53</v>
      </c>
    </row>
    <row r="63" spans="2:79" x14ac:dyDescent="0.3">
      <c r="B63" s="158">
        <f t="shared" si="6"/>
        <v>43963</v>
      </c>
      <c r="C63" s="61"/>
      <c r="D63" s="17">
        <v>22802</v>
      </c>
      <c r="E63" s="16"/>
      <c r="F63" s="16"/>
      <c r="G63" s="16"/>
      <c r="H63" s="16">
        <f t="shared" si="34"/>
        <v>1994023</v>
      </c>
      <c r="I63" s="16"/>
      <c r="J63" s="38">
        <f t="shared" si="28"/>
        <v>1.156744981917299E-2</v>
      </c>
      <c r="K63" s="16"/>
      <c r="L63" s="16"/>
      <c r="M63" s="16"/>
      <c r="N63" s="16"/>
      <c r="O63" s="16">
        <f t="shared" si="22"/>
        <v>36926.351851851854</v>
      </c>
      <c r="P63" s="41"/>
      <c r="Q63" s="17"/>
      <c r="R63" s="16"/>
      <c r="S63" s="16"/>
      <c r="T63" s="16"/>
      <c r="U63" s="41"/>
      <c r="V63" s="1"/>
      <c r="W63" s="34">
        <v>1871</v>
      </c>
      <c r="X63" s="33"/>
      <c r="Y63" s="33"/>
      <c r="Z63" s="33"/>
      <c r="AA63" s="33">
        <f t="shared" si="29"/>
        <v>89176</v>
      </c>
      <c r="AB63" s="33"/>
      <c r="AC63" s="46">
        <f t="shared" si="23"/>
        <v>4.4721650652976418E-2</v>
      </c>
      <c r="AD63" s="33"/>
      <c r="AE63" s="33">
        <f t="shared" si="24"/>
        <v>1651.4074074074074</v>
      </c>
      <c r="AF63" s="50"/>
      <c r="AG63" s="33"/>
      <c r="AH63" s="33">
        <f t="shared" si="35"/>
        <v>1871</v>
      </c>
      <c r="AI63" s="33"/>
      <c r="AJ63" s="50"/>
      <c r="AK63" s="1"/>
      <c r="AL63" s="23">
        <f t="shared" si="30"/>
        <v>20014</v>
      </c>
      <c r="AM63" s="24"/>
      <c r="AN63" s="24"/>
      <c r="AO63" s="24">
        <v>178263</v>
      </c>
      <c r="AP63" s="24">
        <v>282239</v>
      </c>
      <c r="AQ63" s="24"/>
      <c r="AR63" s="25">
        <f t="shared" si="31"/>
        <v>7.6323767756697497E-2</v>
      </c>
      <c r="AS63" s="25"/>
      <c r="AT63" s="25"/>
      <c r="AU63" s="24"/>
      <c r="AV63" s="298">
        <f t="shared" si="25"/>
        <v>0.14154249976053435</v>
      </c>
      <c r="AW63" s="298"/>
      <c r="AX63" s="24">
        <f t="shared" si="26"/>
        <v>5226.6481481481478</v>
      </c>
      <c r="AY63" s="308"/>
      <c r="AZ63" s="1"/>
      <c r="BA63" s="65">
        <f t="shared" si="32"/>
        <v>310012</v>
      </c>
      <c r="BB63" s="66"/>
      <c r="BC63" s="66">
        <v>9929867</v>
      </c>
      <c r="BD63" s="66"/>
      <c r="BE63" s="66">
        <f t="shared" si="12"/>
        <v>22802</v>
      </c>
      <c r="BF63" s="66"/>
      <c r="BG63" s="144">
        <f t="shared" si="33"/>
        <v>7.3551991535811517E-2</v>
      </c>
      <c r="BH63" s="66"/>
      <c r="BI63" s="170"/>
      <c r="BJ63" s="66"/>
      <c r="BK63" s="66"/>
      <c r="BL63" s="66"/>
      <c r="BM63" s="66"/>
      <c r="BN63" s="65">
        <f t="shared" si="21"/>
        <v>183886.42592592593</v>
      </c>
      <c r="BO63" s="66"/>
      <c r="BP63" s="66">
        <f t="shared" si="16"/>
        <v>1156314</v>
      </c>
      <c r="BQ63" s="66"/>
      <c r="BR63" s="73">
        <f t="shared" si="13"/>
        <v>0.11644808535703449</v>
      </c>
      <c r="BS63" s="66"/>
      <c r="BT63" s="75"/>
      <c r="BU63" s="170"/>
      <c r="BV63" s="1"/>
      <c r="BW63">
        <f t="shared" si="11"/>
        <v>54</v>
      </c>
    </row>
    <row r="64" spans="2:79" x14ac:dyDescent="0.3">
      <c r="B64" s="158">
        <f t="shared" si="6"/>
        <v>43964</v>
      </c>
      <c r="C64" s="61"/>
      <c r="D64" s="17">
        <v>21712</v>
      </c>
      <c r="E64" s="16"/>
      <c r="F64" s="16"/>
      <c r="G64" s="16"/>
      <c r="H64" s="16">
        <f t="shared" si="34"/>
        <v>2015735</v>
      </c>
      <c r="I64" s="16"/>
      <c r="J64" s="38">
        <f t="shared" si="28"/>
        <v>1.0888540402994348E-2</v>
      </c>
      <c r="K64" s="16"/>
      <c r="L64" s="16"/>
      <c r="M64" s="16"/>
      <c r="N64" s="16"/>
      <c r="O64" s="16">
        <f t="shared" si="22"/>
        <v>36649.727272727272</v>
      </c>
      <c r="P64" s="41"/>
      <c r="Q64" s="17"/>
      <c r="R64" s="16"/>
      <c r="S64" s="16"/>
      <c r="T64" s="16"/>
      <c r="U64" s="41"/>
      <c r="V64" s="1"/>
      <c r="W64" s="34">
        <v>1822</v>
      </c>
      <c r="X64" s="33"/>
      <c r="Y64" s="33"/>
      <c r="Z64" s="33"/>
      <c r="AA64" s="33">
        <f t="shared" si="29"/>
        <v>90998</v>
      </c>
      <c r="AB64" s="33"/>
      <c r="AC64" s="46">
        <f t="shared" si="23"/>
        <v>4.5143830910313112E-2</v>
      </c>
      <c r="AD64" s="33"/>
      <c r="AE64" s="33">
        <f t="shared" si="24"/>
        <v>1654.5090909090909</v>
      </c>
      <c r="AF64" s="50"/>
      <c r="AG64" s="33"/>
      <c r="AH64" s="33">
        <f t="shared" si="35"/>
        <v>1822</v>
      </c>
      <c r="AI64" s="33"/>
      <c r="AJ64" s="50"/>
      <c r="AK64" s="1"/>
      <c r="AL64" s="23">
        <f t="shared" si="30"/>
        <v>28020</v>
      </c>
      <c r="AM64" s="24"/>
      <c r="AN64" s="24"/>
      <c r="AO64" s="24">
        <v>178263</v>
      </c>
      <c r="AP64" s="24">
        <v>310259</v>
      </c>
      <c r="AQ64" s="24"/>
      <c r="AR64" s="25">
        <f t="shared" si="31"/>
        <v>9.9277562633087554E-2</v>
      </c>
      <c r="AS64" s="25"/>
      <c r="AT64" s="25"/>
      <c r="AU64" s="24"/>
      <c r="AV64" s="298">
        <f t="shared" si="25"/>
        <v>0.15391854584059908</v>
      </c>
      <c r="AW64" s="298"/>
      <c r="AX64" s="24">
        <f t="shared" si="26"/>
        <v>5641.0727272727272</v>
      </c>
      <c r="AY64" s="308"/>
      <c r="AZ64" s="1"/>
      <c r="BA64" s="65">
        <f t="shared" si="32"/>
        <v>340129</v>
      </c>
      <c r="BB64" s="66"/>
      <c r="BC64" s="66">
        <v>10269996</v>
      </c>
      <c r="BD64" s="66"/>
      <c r="BE64" s="66">
        <f t="shared" si="12"/>
        <v>21712</v>
      </c>
      <c r="BF64" s="66"/>
      <c r="BG64" s="144">
        <f t="shared" si="33"/>
        <v>6.3834603929685499E-2</v>
      </c>
      <c r="BH64" s="66"/>
      <c r="BI64" s="170"/>
      <c r="BJ64" s="66"/>
      <c r="BK64" s="66"/>
      <c r="BL64" s="66"/>
      <c r="BM64" s="66"/>
      <c r="BN64" s="65">
        <f t="shared" si="21"/>
        <v>186727.2</v>
      </c>
      <c r="BO64" s="66"/>
      <c r="BP64" s="66">
        <f t="shared" si="16"/>
        <v>1178026</v>
      </c>
      <c r="BQ64" s="66"/>
      <c r="BR64" s="73">
        <f t="shared" si="13"/>
        <v>0.11470559482204278</v>
      </c>
      <c r="BS64" s="66"/>
      <c r="BT64" s="75"/>
      <c r="BU64" s="170"/>
      <c r="BV64" s="1"/>
      <c r="BW64">
        <f t="shared" si="11"/>
        <v>55</v>
      </c>
    </row>
    <row r="65" spans="2:75" x14ac:dyDescent="0.3">
      <c r="B65" s="158">
        <f t="shared" si="6"/>
        <v>43965</v>
      </c>
      <c r="C65" s="61"/>
      <c r="D65" s="17">
        <f>27246-1</f>
        <v>27245</v>
      </c>
      <c r="E65" s="16"/>
      <c r="F65" s="16"/>
      <c r="G65" s="16"/>
      <c r="H65" s="16">
        <f t="shared" ref="H65:H96" si="36">+H64+D65</f>
        <v>2042980</v>
      </c>
      <c r="I65" s="16"/>
      <c r="J65" s="38">
        <f t="shared" ref="J65:J96" si="37">+D65/H64</f>
        <v>1.3516161598622834E-2</v>
      </c>
      <c r="K65" s="16"/>
      <c r="L65" s="16"/>
      <c r="M65" s="16"/>
      <c r="N65" s="16"/>
      <c r="O65" s="16">
        <f t="shared" si="22"/>
        <v>36481.785714285717</v>
      </c>
      <c r="P65" s="41"/>
      <c r="Q65" s="17"/>
      <c r="R65" s="16"/>
      <c r="S65" s="16"/>
      <c r="T65" s="16"/>
      <c r="U65" s="41"/>
      <c r="V65" s="1"/>
      <c r="W65" s="34">
        <v>1753</v>
      </c>
      <c r="X65" s="33"/>
      <c r="Y65" s="33"/>
      <c r="Z65" s="33"/>
      <c r="AA65" s="33">
        <f t="shared" ref="AA65:AA96" si="38">+AA64+W65</f>
        <v>92751</v>
      </c>
      <c r="AB65" s="33"/>
      <c r="AC65" s="46">
        <f t="shared" si="23"/>
        <v>4.5399857071532761E-2</v>
      </c>
      <c r="AD65" s="33"/>
      <c r="AE65" s="33">
        <f t="shared" si="24"/>
        <v>1656.2678571428571</v>
      </c>
      <c r="AF65" s="50"/>
      <c r="AG65" s="33"/>
      <c r="AH65" s="33">
        <f t="shared" si="35"/>
        <v>1753</v>
      </c>
      <c r="AI65" s="33"/>
      <c r="AJ65" s="50"/>
      <c r="AK65" s="1"/>
      <c r="AL65" s="23">
        <f t="shared" ref="AL65:AL96" si="39">+AP65-AP64</f>
        <v>7602</v>
      </c>
      <c r="AM65" s="24"/>
      <c r="AN65" s="24"/>
      <c r="AO65" s="24">
        <v>178263</v>
      </c>
      <c r="AP65" s="24">
        <v>317861</v>
      </c>
      <c r="AQ65" s="24"/>
      <c r="AR65" s="25">
        <f t="shared" ref="AR65:AR96" si="40">+AL65/AP64</f>
        <v>2.4502109527846091E-2</v>
      </c>
      <c r="AS65" s="25"/>
      <c r="AT65" s="25"/>
      <c r="AU65" s="24"/>
      <c r="AV65" s="298">
        <f t="shared" si="25"/>
        <v>0.15558693672967919</v>
      </c>
      <c r="AW65" s="298"/>
      <c r="AX65" s="24">
        <f t="shared" si="26"/>
        <v>5676.0892857142853</v>
      </c>
      <c r="AY65" s="308"/>
      <c r="AZ65" s="1"/>
      <c r="BA65" s="65">
        <f t="shared" ref="BA65:BA96" si="41">+BC65-BC64</f>
        <v>365542</v>
      </c>
      <c r="BB65" s="66"/>
      <c r="BC65" s="66">
        <v>10635538</v>
      </c>
      <c r="BD65" s="66"/>
      <c r="BE65" s="66">
        <f t="shared" si="12"/>
        <v>27245</v>
      </c>
      <c r="BF65" s="66"/>
      <c r="BG65" s="144">
        <f t="shared" ref="BG65:BG96" si="42">+BE65/BA65</f>
        <v>7.4533158980363404E-2</v>
      </c>
      <c r="BH65" s="66"/>
      <c r="BI65" s="170"/>
      <c r="BJ65" s="66"/>
      <c r="BK65" s="66"/>
      <c r="BL65" s="66"/>
      <c r="BM65" s="66"/>
      <c r="BN65" s="65">
        <f t="shared" si="21"/>
        <v>189920.32142857142</v>
      </c>
      <c r="BO65" s="66"/>
      <c r="BP65" s="66">
        <f t="shared" si="16"/>
        <v>1205271</v>
      </c>
      <c r="BQ65" s="66"/>
      <c r="BR65" s="73">
        <f t="shared" si="13"/>
        <v>0.11332487364532005</v>
      </c>
      <c r="BS65" s="66"/>
      <c r="BT65" s="75"/>
      <c r="BU65" s="170"/>
      <c r="BV65" s="1"/>
      <c r="BW65">
        <f t="shared" si="11"/>
        <v>56</v>
      </c>
    </row>
    <row r="66" spans="2:75" x14ac:dyDescent="0.3">
      <c r="B66" s="158">
        <f t="shared" si="6"/>
        <v>43966</v>
      </c>
      <c r="C66" s="61"/>
      <c r="D66" s="17">
        <v>26692</v>
      </c>
      <c r="E66" s="16"/>
      <c r="F66" s="16"/>
      <c r="G66" s="16"/>
      <c r="H66" s="16">
        <f t="shared" si="36"/>
        <v>2069672</v>
      </c>
      <c r="I66" s="16"/>
      <c r="J66" s="38">
        <f t="shared" si="37"/>
        <v>1.3065228245014635E-2</v>
      </c>
      <c r="K66" s="16"/>
      <c r="L66" s="16"/>
      <c r="M66" s="16"/>
      <c r="N66" s="16"/>
      <c r="O66" s="16">
        <f t="shared" si="22"/>
        <v>36310.035087719298</v>
      </c>
      <c r="P66" s="41"/>
      <c r="Q66" s="17"/>
      <c r="R66" s="16"/>
      <c r="S66" s="16"/>
      <c r="T66" s="16"/>
      <c r="U66" s="41"/>
      <c r="V66" s="1"/>
      <c r="W66" s="34">
        <v>1602</v>
      </c>
      <c r="X66" s="33"/>
      <c r="Y66" s="33"/>
      <c r="Z66" s="33"/>
      <c r="AA66" s="33">
        <f t="shared" si="38"/>
        <v>94353</v>
      </c>
      <c r="AB66" s="33"/>
      <c r="AC66" s="46">
        <f t="shared" si="23"/>
        <v>4.5588383086788628E-2</v>
      </c>
      <c r="AD66" s="33"/>
      <c r="AE66" s="33">
        <f t="shared" si="24"/>
        <v>1655.3157894736842</v>
      </c>
      <c r="AF66" s="50"/>
      <c r="AG66" s="33"/>
      <c r="AH66" s="33">
        <f t="shared" si="35"/>
        <v>1602</v>
      </c>
      <c r="AI66" s="33"/>
      <c r="AJ66" s="50"/>
      <c r="AK66" s="1"/>
      <c r="AL66" s="23">
        <f t="shared" si="39"/>
        <v>8381</v>
      </c>
      <c r="AM66" s="24"/>
      <c r="AN66" s="24"/>
      <c r="AO66" s="24">
        <v>178263</v>
      </c>
      <c r="AP66" s="24">
        <v>326242</v>
      </c>
      <c r="AQ66" s="24"/>
      <c r="AR66" s="25">
        <f t="shared" si="40"/>
        <v>2.6366871053699573E-2</v>
      </c>
      <c r="AS66" s="25"/>
      <c r="AT66" s="25"/>
      <c r="AU66" s="24"/>
      <c r="AV66" s="298">
        <f t="shared" si="25"/>
        <v>0.15762980800822546</v>
      </c>
      <c r="AW66" s="298"/>
      <c r="AX66" s="24">
        <f t="shared" si="26"/>
        <v>5723.5438596491231</v>
      </c>
      <c r="AY66" s="308"/>
      <c r="AZ66" s="1"/>
      <c r="BA66" s="65">
        <f t="shared" si="41"/>
        <v>455362</v>
      </c>
      <c r="BB66" s="66"/>
      <c r="BC66" s="66">
        <v>11090900</v>
      </c>
      <c r="BD66" s="66"/>
      <c r="BE66" s="66">
        <f t="shared" si="12"/>
        <v>26692</v>
      </c>
      <c r="BF66" s="66"/>
      <c r="BG66" s="144">
        <f t="shared" si="42"/>
        <v>5.8617100241126839E-2</v>
      </c>
      <c r="BH66" s="66"/>
      <c r="BI66" s="170"/>
      <c r="BJ66" s="66"/>
      <c r="BK66" s="66"/>
      <c r="BL66" s="66"/>
      <c r="BM66" s="66"/>
      <c r="BN66" s="65">
        <f t="shared" si="21"/>
        <v>194577.19298245615</v>
      </c>
      <c r="BO66" s="66"/>
      <c r="BP66" s="66">
        <f t="shared" si="16"/>
        <v>1231963</v>
      </c>
      <c r="BQ66" s="66"/>
      <c r="BR66" s="73">
        <f t="shared" si="13"/>
        <v>0.11107872219567393</v>
      </c>
      <c r="BS66" s="66"/>
      <c r="BT66" s="75"/>
      <c r="BU66" s="170"/>
      <c r="BV66" s="1"/>
      <c r="BW66">
        <f t="shared" si="11"/>
        <v>57</v>
      </c>
    </row>
    <row r="67" spans="2:75" x14ac:dyDescent="0.3">
      <c r="B67" s="433">
        <f t="shared" si="6"/>
        <v>43967</v>
      </c>
      <c r="C67" s="61"/>
      <c r="D67" s="17">
        <v>23488</v>
      </c>
      <c r="E67" s="16"/>
      <c r="F67" s="16"/>
      <c r="G67" s="16"/>
      <c r="H67" s="16">
        <f t="shared" si="36"/>
        <v>2093160</v>
      </c>
      <c r="I67" s="16"/>
      <c r="J67" s="38">
        <f t="shared" si="37"/>
        <v>1.1348658144865466E-2</v>
      </c>
      <c r="K67" s="16"/>
      <c r="L67" s="16"/>
      <c r="M67" s="16"/>
      <c r="N67" s="16"/>
      <c r="O67" s="16">
        <f t="shared" si="22"/>
        <v>36088.965517241377</v>
      </c>
      <c r="P67" s="41"/>
      <c r="Q67" s="17"/>
      <c r="R67" s="16"/>
      <c r="S67" s="60"/>
      <c r="T67" s="16"/>
      <c r="U67" s="41"/>
      <c r="V67" s="434"/>
      <c r="W67" s="34">
        <v>1218</v>
      </c>
      <c r="X67" s="33"/>
      <c r="Y67" s="33"/>
      <c r="Z67" s="33"/>
      <c r="AA67" s="33">
        <f t="shared" si="38"/>
        <v>95571</v>
      </c>
      <c r="AB67" s="33"/>
      <c r="AC67" s="46">
        <f t="shared" si="23"/>
        <v>4.5658716963825029E-2</v>
      </c>
      <c r="AD67" s="33"/>
      <c r="AE67" s="33">
        <f t="shared" si="24"/>
        <v>1647.7758620689656</v>
      </c>
      <c r="AF67" s="50"/>
      <c r="AG67" s="33"/>
      <c r="AH67" s="33">
        <f t="shared" si="35"/>
        <v>1218</v>
      </c>
      <c r="AI67" s="213"/>
      <c r="AJ67" s="50"/>
      <c r="AK67" s="1"/>
      <c r="AL67" s="23">
        <f t="shared" si="39"/>
        <v>12990</v>
      </c>
      <c r="AM67" s="24"/>
      <c r="AN67" s="24"/>
      <c r="AO67" s="24">
        <v>178263</v>
      </c>
      <c r="AP67" s="24">
        <v>339232</v>
      </c>
      <c r="AQ67" s="24"/>
      <c r="AR67" s="25">
        <f t="shared" si="40"/>
        <v>3.981706831125361E-2</v>
      </c>
      <c r="AS67" s="25"/>
      <c r="AT67" s="25"/>
      <c r="AU67" s="24"/>
      <c r="AV67" s="298">
        <f t="shared" si="25"/>
        <v>0.1620669227388255</v>
      </c>
      <c r="AW67" s="298"/>
      <c r="AX67" s="24">
        <f t="shared" si="26"/>
        <v>5848.8275862068967</v>
      </c>
      <c r="AY67" s="308"/>
      <c r="AZ67" s="1"/>
      <c r="BA67" s="65">
        <f t="shared" si="41"/>
        <v>434725</v>
      </c>
      <c r="BB67" s="66"/>
      <c r="BC67" s="66">
        <v>11525625</v>
      </c>
      <c r="BD67" s="66"/>
      <c r="BE67" s="66">
        <f t="shared" si="12"/>
        <v>23488</v>
      </c>
      <c r="BF67" s="66"/>
      <c r="BG67" s="144">
        <f t="shared" si="42"/>
        <v>5.4029558916556447E-2</v>
      </c>
      <c r="BH67" s="66"/>
      <c r="BI67" s="170"/>
      <c r="BJ67" s="66"/>
      <c r="BK67" s="66"/>
      <c r="BL67" s="66"/>
      <c r="BM67" s="144"/>
      <c r="BN67" s="65">
        <f t="shared" si="21"/>
        <v>198717.6724137931</v>
      </c>
      <c r="BO67" s="66"/>
      <c r="BP67" s="66">
        <f t="shared" si="16"/>
        <v>1255451</v>
      </c>
      <c r="BQ67" s="66"/>
      <c r="BR67" s="73">
        <f t="shared" si="13"/>
        <v>0.10892693454801801</v>
      </c>
      <c r="BS67" s="66"/>
      <c r="BT67" s="75"/>
      <c r="BU67" s="170"/>
      <c r="BV67" s="1"/>
      <c r="BW67">
        <f t="shared" si="11"/>
        <v>58</v>
      </c>
    </row>
    <row r="68" spans="2:75" x14ac:dyDescent="0.3">
      <c r="B68" s="347">
        <f t="shared" si="6"/>
        <v>43968</v>
      </c>
      <c r="C68" s="61"/>
      <c r="D68" s="17">
        <v>19891</v>
      </c>
      <c r="E68" s="16"/>
      <c r="F68" s="16"/>
      <c r="G68" s="16"/>
      <c r="H68" s="16">
        <f t="shared" si="36"/>
        <v>2113051</v>
      </c>
      <c r="I68" s="16"/>
      <c r="J68" s="38">
        <f t="shared" si="37"/>
        <v>9.5028569244587132E-3</v>
      </c>
      <c r="K68" s="16"/>
      <c r="L68" s="16"/>
      <c r="M68" s="16"/>
      <c r="N68" s="16"/>
      <c r="O68" s="16">
        <f t="shared" si="22"/>
        <v>35814.423728813563</v>
      </c>
      <c r="P68" s="41"/>
      <c r="Q68" s="17">
        <f>SUM(D62:D68)</f>
        <v>160026</v>
      </c>
      <c r="R68" s="16"/>
      <c r="S68" s="60">
        <f>+(Q68-Q61)/Q61</f>
        <v>-0.10856970966376256</v>
      </c>
      <c r="T68" s="16"/>
      <c r="U68" s="41"/>
      <c r="V68" s="348"/>
      <c r="W68" s="34">
        <v>865</v>
      </c>
      <c r="X68" s="33"/>
      <c r="Y68" s="33"/>
      <c r="Z68" s="33"/>
      <c r="AA68" s="33">
        <f t="shared" si="38"/>
        <v>96436</v>
      </c>
      <c r="AB68" s="33"/>
      <c r="AC68" s="46">
        <f t="shared" si="23"/>
        <v>4.5638273756762139E-2</v>
      </c>
      <c r="AD68" s="33"/>
      <c r="AE68" s="33">
        <f t="shared" si="24"/>
        <v>1634.5084745762713</v>
      </c>
      <c r="AF68" s="50"/>
      <c r="AG68" s="33">
        <f>SUM(W62:W68)</f>
        <v>10191</v>
      </c>
      <c r="AH68" s="33">
        <f t="shared" si="35"/>
        <v>865</v>
      </c>
      <c r="AI68" s="213">
        <f>+(AG68-AG61)/AG61</f>
        <v>-0.16398687448728466</v>
      </c>
      <c r="AJ68" s="50"/>
      <c r="AK68" s="348"/>
      <c r="AL68" s="23">
        <f t="shared" si="39"/>
        <v>7157</v>
      </c>
      <c r="AM68" s="24"/>
      <c r="AN68" s="24"/>
      <c r="AO68" s="24">
        <v>178263</v>
      </c>
      <c r="AP68" s="24">
        <v>346389</v>
      </c>
      <c r="AQ68" s="24"/>
      <c r="AR68" s="25">
        <f t="shared" si="40"/>
        <v>2.109765588152061E-2</v>
      </c>
      <c r="AS68" s="25"/>
      <c r="AT68" s="25"/>
      <c r="AU68" s="24"/>
      <c r="AV68" s="298">
        <f t="shared" si="25"/>
        <v>0.16392836708626532</v>
      </c>
      <c r="AW68" s="298"/>
      <c r="AX68" s="24">
        <f t="shared" si="26"/>
        <v>5871</v>
      </c>
      <c r="AY68" s="308"/>
      <c r="AZ68" s="348"/>
      <c r="BA68" s="65">
        <f t="shared" si="41"/>
        <v>349955</v>
      </c>
      <c r="BB68" s="66"/>
      <c r="BC68" s="66">
        <v>11875580</v>
      </c>
      <c r="BD68" s="66"/>
      <c r="BE68" s="66">
        <f t="shared" si="12"/>
        <v>19891</v>
      </c>
      <c r="BF68" s="66"/>
      <c r="BG68" s="144">
        <f t="shared" si="42"/>
        <v>5.6838736408966868E-2</v>
      </c>
      <c r="BH68" s="66"/>
      <c r="BI68" s="170"/>
      <c r="BJ68" s="66"/>
      <c r="BK68" s="66">
        <f>SUM(BA62:BA68)</f>
        <v>2431055</v>
      </c>
      <c r="BL68" s="66"/>
      <c r="BM68" s="144">
        <f>+Q68/BK68</f>
        <v>6.5825742321749203E-2</v>
      </c>
      <c r="BN68" s="65">
        <f t="shared" si="21"/>
        <v>201281.01694915254</v>
      </c>
      <c r="BO68" s="66"/>
      <c r="BP68" s="66">
        <f t="shared" si="16"/>
        <v>1275342</v>
      </c>
      <c r="BQ68" s="66"/>
      <c r="BR68" s="73">
        <f t="shared" si="13"/>
        <v>0.10739197580244501</v>
      </c>
      <c r="BS68" s="66"/>
      <c r="BT68" s="75"/>
      <c r="BU68" s="170"/>
      <c r="BV68" s="1"/>
      <c r="BW68">
        <f t="shared" si="11"/>
        <v>59</v>
      </c>
    </row>
    <row r="69" spans="2:75" x14ac:dyDescent="0.3">
      <c r="B69" s="158">
        <f t="shared" si="6"/>
        <v>43969</v>
      </c>
      <c r="C69" s="61"/>
      <c r="D69" s="17">
        <v>22630</v>
      </c>
      <c r="E69" s="16"/>
      <c r="F69" s="16"/>
      <c r="G69" s="16"/>
      <c r="H69" s="16">
        <f t="shared" si="36"/>
        <v>2135681</v>
      </c>
      <c r="I69" s="16"/>
      <c r="J69" s="38">
        <f t="shared" si="37"/>
        <v>1.0709632659126543E-2</v>
      </c>
      <c r="K69" s="16"/>
      <c r="L69" s="16"/>
      <c r="M69" s="16"/>
      <c r="N69" s="16"/>
      <c r="O69" s="16">
        <f t="shared" ref="O69:O96" si="43">+H69/BW69</f>
        <v>35594.683333333334</v>
      </c>
      <c r="P69" s="41"/>
      <c r="Q69" s="17"/>
      <c r="R69" s="16"/>
      <c r="S69" s="60"/>
      <c r="T69" s="16"/>
      <c r="U69" s="41"/>
      <c r="V69" s="10"/>
      <c r="W69" s="34">
        <v>1003</v>
      </c>
      <c r="X69" s="33"/>
      <c r="Y69" s="33"/>
      <c r="Z69" s="33"/>
      <c r="AA69" s="33">
        <f t="shared" si="38"/>
        <v>97439</v>
      </c>
      <c r="AB69" s="33"/>
      <c r="AC69" s="46">
        <f t="shared" ref="AC69:AC96" si="44">+AA69/H69</f>
        <v>4.5624323108179543E-2</v>
      </c>
      <c r="AD69" s="33"/>
      <c r="AE69" s="33">
        <f t="shared" ref="AE69:AE96" si="45">+AA69/BW69</f>
        <v>1623.9833333333333</v>
      </c>
      <c r="AF69" s="50"/>
      <c r="AG69" s="33"/>
      <c r="AH69" s="33">
        <f t="shared" si="35"/>
        <v>1003</v>
      </c>
      <c r="AI69" s="213"/>
      <c r="AJ69" s="50"/>
      <c r="AK69" s="10"/>
      <c r="AL69" s="23">
        <f t="shared" si="39"/>
        <v>9994</v>
      </c>
      <c r="AM69" s="24"/>
      <c r="AN69" s="24"/>
      <c r="AO69" s="24">
        <v>178263</v>
      </c>
      <c r="AP69" s="24">
        <v>356383</v>
      </c>
      <c r="AQ69" s="24"/>
      <c r="AR69" s="25">
        <f t="shared" si="40"/>
        <v>2.8851955460479403E-2</v>
      </c>
      <c r="AS69" s="25"/>
      <c r="AT69" s="25"/>
      <c r="AU69" s="24"/>
      <c r="AV69" s="298">
        <f t="shared" ref="AV69:AV96" si="46">+AP69/H69</f>
        <v>0.16687089504471875</v>
      </c>
      <c r="AW69" s="298"/>
      <c r="AX69" s="24">
        <f t="shared" ref="AX69:AX96" si="47">+AP69/BW69</f>
        <v>5939.7166666666662</v>
      </c>
      <c r="AY69" s="308"/>
      <c r="AZ69" s="10"/>
      <c r="BA69" s="65">
        <f t="shared" si="41"/>
        <v>425164</v>
      </c>
      <c r="BB69" s="66"/>
      <c r="BC69" s="66">
        <v>12300744</v>
      </c>
      <c r="BD69" s="66"/>
      <c r="BE69" s="66">
        <f t="shared" ref="BE69:BE96" si="48">+D69</f>
        <v>22630</v>
      </c>
      <c r="BF69" s="66"/>
      <c r="BG69" s="144">
        <f t="shared" si="42"/>
        <v>5.3226519648888429E-2</v>
      </c>
      <c r="BH69" s="66"/>
      <c r="BI69" s="170"/>
      <c r="BJ69" s="66"/>
      <c r="BK69" s="66"/>
      <c r="BL69" s="66"/>
      <c r="BM69" s="144"/>
      <c r="BN69" s="65">
        <f t="shared" ref="BN69:BN96" si="49">+BC69/BW69</f>
        <v>205012.4</v>
      </c>
      <c r="BO69" s="66"/>
      <c r="BP69" s="66">
        <f t="shared" ref="BP69:BP96" si="50">+BP68+BE69</f>
        <v>1297972</v>
      </c>
      <c r="BQ69" s="66"/>
      <c r="BR69" s="73">
        <f t="shared" ref="BR69:BR96" si="51">+BP69/BC69</f>
        <v>0.10551979620094525</v>
      </c>
      <c r="BS69" s="66"/>
      <c r="BT69" s="75"/>
      <c r="BU69" s="170"/>
      <c r="BV69" s="1"/>
      <c r="BW69">
        <f t="shared" si="11"/>
        <v>60</v>
      </c>
    </row>
    <row r="70" spans="2:75" x14ac:dyDescent="0.3">
      <c r="B70" s="158">
        <f t="shared" si="6"/>
        <v>43970</v>
      </c>
      <c r="C70" s="61"/>
      <c r="D70" s="17">
        <v>20289</v>
      </c>
      <c r="E70" s="16"/>
      <c r="F70" s="16"/>
      <c r="G70" s="16"/>
      <c r="H70" s="16">
        <f t="shared" si="36"/>
        <v>2155970</v>
      </c>
      <c r="I70" s="16"/>
      <c r="J70" s="38">
        <f t="shared" si="37"/>
        <v>9.5000142811590312E-3</v>
      </c>
      <c r="K70" s="16"/>
      <c r="L70" s="16"/>
      <c r="M70" s="16"/>
      <c r="N70" s="16"/>
      <c r="O70" s="16">
        <f t="shared" si="43"/>
        <v>35343.770491803276</v>
      </c>
      <c r="P70" s="41"/>
      <c r="Q70" s="17"/>
      <c r="R70" s="16"/>
      <c r="S70" s="60"/>
      <c r="T70" s="16"/>
      <c r="U70" s="41"/>
      <c r="V70" s="10"/>
      <c r="W70" s="34">
        <v>1552</v>
      </c>
      <c r="X70" s="33"/>
      <c r="Y70" s="33"/>
      <c r="Z70" s="33"/>
      <c r="AA70" s="33">
        <f t="shared" si="38"/>
        <v>98991</v>
      </c>
      <c r="AB70" s="33"/>
      <c r="AC70" s="46">
        <f t="shared" si="44"/>
        <v>4.5914831839033013E-2</v>
      </c>
      <c r="AD70" s="33"/>
      <c r="AE70" s="33">
        <f t="shared" si="45"/>
        <v>1622.8032786885246</v>
      </c>
      <c r="AF70" s="50"/>
      <c r="AG70" s="33"/>
      <c r="AH70" s="33">
        <f t="shared" si="35"/>
        <v>1552</v>
      </c>
      <c r="AI70" s="213"/>
      <c r="AJ70" s="50"/>
      <c r="AK70" s="10"/>
      <c r="AL70" s="23">
        <f t="shared" si="39"/>
        <v>4797</v>
      </c>
      <c r="AM70" s="24"/>
      <c r="AN70" s="24"/>
      <c r="AO70" s="24">
        <v>178263</v>
      </c>
      <c r="AP70" s="24">
        <v>361180</v>
      </c>
      <c r="AQ70" s="24"/>
      <c r="AR70" s="25">
        <f t="shared" si="40"/>
        <v>1.346023800237385E-2</v>
      </c>
      <c r="AS70" s="25"/>
      <c r="AT70" s="25"/>
      <c r="AU70" s="24"/>
      <c r="AV70" s="298">
        <f t="shared" si="46"/>
        <v>0.16752552215476096</v>
      </c>
      <c r="AW70" s="298"/>
      <c r="AX70" s="24">
        <f t="shared" si="47"/>
        <v>5920.9836065573772</v>
      </c>
      <c r="AY70" s="308"/>
      <c r="AZ70" s="10"/>
      <c r="BA70" s="65">
        <f t="shared" si="41"/>
        <v>344729</v>
      </c>
      <c r="BB70" s="66"/>
      <c r="BC70" s="66">
        <v>12645473</v>
      </c>
      <c r="BD70" s="66"/>
      <c r="BE70" s="66">
        <f t="shared" si="48"/>
        <v>20289</v>
      </c>
      <c r="BF70" s="66"/>
      <c r="BG70" s="144">
        <f t="shared" si="42"/>
        <v>5.8854926623521667E-2</v>
      </c>
      <c r="BH70" s="66"/>
      <c r="BI70" s="170"/>
      <c r="BJ70" s="66"/>
      <c r="BK70" s="66"/>
      <c r="BL70" s="66"/>
      <c r="BM70" s="144"/>
      <c r="BN70" s="65">
        <f t="shared" si="49"/>
        <v>207302.83606557376</v>
      </c>
      <c r="BO70" s="66"/>
      <c r="BP70" s="66">
        <f t="shared" si="50"/>
        <v>1318261</v>
      </c>
      <c r="BQ70" s="66"/>
      <c r="BR70" s="73">
        <f t="shared" si="51"/>
        <v>0.10424766238479177</v>
      </c>
      <c r="BS70" s="66"/>
      <c r="BT70" s="75"/>
      <c r="BU70" s="170"/>
      <c r="BV70" s="1"/>
      <c r="BW70">
        <f t="shared" si="11"/>
        <v>61</v>
      </c>
    </row>
    <row r="71" spans="2:75" x14ac:dyDescent="0.3">
      <c r="B71" s="158">
        <f t="shared" si="6"/>
        <v>43971</v>
      </c>
      <c r="C71" s="61"/>
      <c r="D71" s="17">
        <v>22140</v>
      </c>
      <c r="E71" s="16"/>
      <c r="F71" s="16"/>
      <c r="G71" s="16"/>
      <c r="H71" s="16">
        <f t="shared" si="36"/>
        <v>2178110</v>
      </c>
      <c r="I71" s="16"/>
      <c r="J71" s="38">
        <f t="shared" si="37"/>
        <v>1.0269159589419147E-2</v>
      </c>
      <c r="K71" s="16"/>
      <c r="L71" s="16"/>
      <c r="M71" s="16"/>
      <c r="N71" s="16"/>
      <c r="O71" s="16">
        <f t="shared" si="43"/>
        <v>35130.806451612902</v>
      </c>
      <c r="P71" s="41"/>
      <c r="Q71" s="17"/>
      <c r="R71" s="16"/>
      <c r="S71" s="60"/>
      <c r="T71" s="16"/>
      <c r="U71" s="41"/>
      <c r="V71" s="10"/>
      <c r="W71" s="34">
        <v>1403</v>
      </c>
      <c r="X71" s="33"/>
      <c r="Y71" s="33"/>
      <c r="Z71" s="33"/>
      <c r="AA71" s="33">
        <f t="shared" si="38"/>
        <v>100394</v>
      </c>
      <c r="AB71" s="33"/>
      <c r="AC71" s="46">
        <f t="shared" si="44"/>
        <v>4.6092254293860276E-2</v>
      </c>
      <c r="AD71" s="33"/>
      <c r="AE71" s="33">
        <f t="shared" si="45"/>
        <v>1619.258064516129</v>
      </c>
      <c r="AF71" s="50"/>
      <c r="AG71" s="33"/>
      <c r="AH71" s="33">
        <f t="shared" si="35"/>
        <v>1403</v>
      </c>
      <c r="AI71" s="213"/>
      <c r="AJ71" s="50"/>
      <c r="AK71" s="10"/>
      <c r="AL71" s="23">
        <f t="shared" si="39"/>
        <v>8896</v>
      </c>
      <c r="AM71" s="24"/>
      <c r="AN71" s="24"/>
      <c r="AO71" s="24">
        <v>178263</v>
      </c>
      <c r="AP71" s="24">
        <v>370076</v>
      </c>
      <c r="AQ71" s="24"/>
      <c r="AR71" s="25">
        <f t="shared" si="40"/>
        <v>2.4630378204773245E-2</v>
      </c>
      <c r="AS71" s="25"/>
      <c r="AT71" s="25"/>
      <c r="AU71" s="24"/>
      <c r="AV71" s="298">
        <f t="shared" si="46"/>
        <v>0.16990693766614173</v>
      </c>
      <c r="AW71" s="298"/>
      <c r="AX71" s="24">
        <f t="shared" si="47"/>
        <v>5968.9677419354839</v>
      </c>
      <c r="AY71" s="308"/>
      <c r="AZ71" s="10"/>
      <c r="BA71" s="65">
        <f t="shared" si="41"/>
        <v>323101</v>
      </c>
      <c r="BB71" s="66"/>
      <c r="BC71" s="66">
        <v>12968574</v>
      </c>
      <c r="BD71" s="66"/>
      <c r="BE71" s="66">
        <f t="shared" si="48"/>
        <v>22140</v>
      </c>
      <c r="BF71" s="66"/>
      <c r="BG71" s="144">
        <f t="shared" si="42"/>
        <v>6.8523464798932843E-2</v>
      </c>
      <c r="BH71" s="66"/>
      <c r="BI71" s="170"/>
      <c r="BJ71" s="66"/>
      <c r="BK71" s="66"/>
      <c r="BL71" s="66"/>
      <c r="BM71" s="144"/>
      <c r="BN71" s="65">
        <f t="shared" si="49"/>
        <v>209170.54838709679</v>
      </c>
      <c r="BO71" s="66"/>
      <c r="BP71" s="66">
        <f t="shared" si="50"/>
        <v>1340401</v>
      </c>
      <c r="BQ71" s="66"/>
      <c r="BR71" s="73">
        <f t="shared" si="51"/>
        <v>0.10335762436178411</v>
      </c>
      <c r="BS71" s="66"/>
      <c r="BT71" s="75"/>
      <c r="BU71" s="170"/>
      <c r="BV71" s="1"/>
      <c r="BW71">
        <f t="shared" si="11"/>
        <v>62</v>
      </c>
    </row>
    <row r="72" spans="2:75" x14ac:dyDescent="0.3">
      <c r="B72" s="158">
        <f t="shared" si="6"/>
        <v>43972</v>
      </c>
      <c r="C72" s="61"/>
      <c r="D72" s="17">
        <v>28175</v>
      </c>
      <c r="E72" s="16"/>
      <c r="F72" s="16"/>
      <c r="G72" s="16"/>
      <c r="H72" s="16">
        <f t="shared" si="36"/>
        <v>2206285</v>
      </c>
      <c r="I72" s="16"/>
      <c r="J72" s="38">
        <f t="shared" si="37"/>
        <v>1.2935526672206639E-2</v>
      </c>
      <c r="K72" s="16"/>
      <c r="L72" s="16"/>
      <c r="M72" s="16"/>
      <c r="N72" s="16"/>
      <c r="O72" s="16">
        <f t="shared" si="43"/>
        <v>35020.396825396827</v>
      </c>
      <c r="P72" s="41"/>
      <c r="Q72" s="17"/>
      <c r="R72" s="16"/>
      <c r="S72" s="60"/>
      <c r="T72" s="16"/>
      <c r="U72" s="41"/>
      <c r="V72" s="10"/>
      <c r="W72" s="34">
        <v>1418</v>
      </c>
      <c r="X72" s="33"/>
      <c r="Y72" s="33"/>
      <c r="Z72" s="33"/>
      <c r="AA72" s="33">
        <f t="shared" si="38"/>
        <v>101812</v>
      </c>
      <c r="AB72" s="33"/>
      <c r="AC72" s="46">
        <f t="shared" si="44"/>
        <v>4.6146350086230928E-2</v>
      </c>
      <c r="AD72" s="33"/>
      <c r="AE72" s="33">
        <f t="shared" si="45"/>
        <v>1616.063492063492</v>
      </c>
      <c r="AF72" s="50"/>
      <c r="AG72" s="33"/>
      <c r="AH72" s="33">
        <f t="shared" si="35"/>
        <v>1418</v>
      </c>
      <c r="AI72" s="213"/>
      <c r="AJ72" s="50"/>
      <c r="AK72" s="10"/>
      <c r="AL72" s="23">
        <f t="shared" si="39"/>
        <v>12093</v>
      </c>
      <c r="AM72" s="24"/>
      <c r="AN72" s="24"/>
      <c r="AO72" s="24">
        <v>178263</v>
      </c>
      <c r="AP72" s="24">
        <v>382169</v>
      </c>
      <c r="AQ72" s="24"/>
      <c r="AR72" s="25">
        <f t="shared" si="40"/>
        <v>3.2677071736616263E-2</v>
      </c>
      <c r="AS72" s="25"/>
      <c r="AT72" s="25"/>
      <c r="AU72" s="24"/>
      <c r="AV72" s="298">
        <f t="shared" si="46"/>
        <v>0.17321832854776242</v>
      </c>
      <c r="AW72" s="298"/>
      <c r="AX72" s="24">
        <f t="shared" si="47"/>
        <v>6066.1746031746034</v>
      </c>
      <c r="AY72" s="308"/>
      <c r="AZ72" s="10"/>
      <c r="BA72" s="65">
        <f t="shared" si="41"/>
        <v>470540</v>
      </c>
      <c r="BB72" s="66"/>
      <c r="BC72" s="66">
        <v>13439114</v>
      </c>
      <c r="BD72" s="66"/>
      <c r="BE72" s="66">
        <f t="shared" si="48"/>
        <v>28175</v>
      </c>
      <c r="BF72" s="66"/>
      <c r="BG72" s="144">
        <f t="shared" si="42"/>
        <v>5.9878012496280872E-2</v>
      </c>
      <c r="BH72" s="66"/>
      <c r="BI72" s="170"/>
      <c r="BJ72" s="66"/>
      <c r="BK72" s="66"/>
      <c r="BL72" s="66"/>
      <c r="BM72" s="144"/>
      <c r="BN72" s="65">
        <f t="shared" si="49"/>
        <v>213319.26984126985</v>
      </c>
      <c r="BO72" s="66"/>
      <c r="BP72" s="66">
        <f t="shared" si="50"/>
        <v>1368576</v>
      </c>
      <c r="BQ72" s="66"/>
      <c r="BR72" s="73">
        <f t="shared" si="51"/>
        <v>0.10183528467724881</v>
      </c>
      <c r="BS72" s="66"/>
      <c r="BT72" s="75"/>
      <c r="BU72" s="170"/>
      <c r="BV72" s="1"/>
      <c r="BW72">
        <f t="shared" si="11"/>
        <v>63</v>
      </c>
    </row>
    <row r="73" spans="2:75" x14ac:dyDescent="0.3">
      <c r="B73" s="158">
        <f t="shared" si="6"/>
        <v>43973</v>
      </c>
      <c r="C73" s="61"/>
      <c r="D73" s="17">
        <v>24002</v>
      </c>
      <c r="E73" s="16"/>
      <c r="F73" s="16"/>
      <c r="G73" s="16"/>
      <c r="H73" s="16">
        <f t="shared" si="36"/>
        <v>2230287</v>
      </c>
      <c r="I73" s="16"/>
      <c r="J73" s="38">
        <f t="shared" si="37"/>
        <v>1.0878920900971542E-2</v>
      </c>
      <c r="K73" s="16"/>
      <c r="L73" s="16"/>
      <c r="M73" s="16"/>
      <c r="N73" s="16"/>
      <c r="O73" s="16">
        <f t="shared" si="43"/>
        <v>34848.234375</v>
      </c>
      <c r="P73" s="41"/>
      <c r="Q73" s="17"/>
      <c r="R73" s="16"/>
      <c r="S73" s="60"/>
      <c r="T73" s="16"/>
      <c r="U73" s="41"/>
      <c r="V73" s="10"/>
      <c r="W73" s="34">
        <v>1293</v>
      </c>
      <c r="X73" s="33"/>
      <c r="Y73" s="33"/>
      <c r="Z73" s="33"/>
      <c r="AA73" s="33">
        <f t="shared" si="38"/>
        <v>103105</v>
      </c>
      <c r="AB73" s="33"/>
      <c r="AC73" s="46">
        <f t="shared" si="44"/>
        <v>4.6229476296100011E-2</v>
      </c>
      <c r="AD73" s="33"/>
      <c r="AE73" s="33">
        <f t="shared" si="45"/>
        <v>1611.015625</v>
      </c>
      <c r="AF73" s="50"/>
      <c r="AG73" s="33"/>
      <c r="AH73" s="33">
        <f t="shared" si="35"/>
        <v>1293</v>
      </c>
      <c r="AI73" s="213"/>
      <c r="AJ73" s="50"/>
      <c r="AK73" s="10"/>
      <c r="AL73" s="23">
        <f t="shared" si="39"/>
        <v>51428</v>
      </c>
      <c r="AM73" s="24"/>
      <c r="AN73" s="24"/>
      <c r="AO73" s="24">
        <v>178263</v>
      </c>
      <c r="AP73" s="24">
        <v>433597</v>
      </c>
      <c r="AQ73" s="24"/>
      <c r="AR73" s="25">
        <f t="shared" si="40"/>
        <v>0.13456873791437821</v>
      </c>
      <c r="AS73" s="25"/>
      <c r="AT73" s="25"/>
      <c r="AU73" s="24"/>
      <c r="AV73" s="298">
        <f t="shared" si="46"/>
        <v>0.19441309571369067</v>
      </c>
      <c r="AW73" s="298"/>
      <c r="AX73" s="24">
        <f t="shared" si="47"/>
        <v>6774.953125</v>
      </c>
      <c r="AY73" s="308"/>
      <c r="AZ73" s="10"/>
      <c r="BA73" s="65">
        <f t="shared" si="41"/>
        <v>470791</v>
      </c>
      <c r="BB73" s="66"/>
      <c r="BC73" s="66">
        <v>13909905</v>
      </c>
      <c r="BD73" s="66"/>
      <c r="BE73" s="66">
        <f t="shared" si="48"/>
        <v>24002</v>
      </c>
      <c r="BF73" s="66"/>
      <c r="BG73" s="144">
        <f t="shared" si="42"/>
        <v>5.0982283008808582E-2</v>
      </c>
      <c r="BH73" s="66"/>
      <c r="BI73" s="170"/>
      <c r="BJ73" s="66"/>
      <c r="BK73" s="66"/>
      <c r="BL73" s="66"/>
      <c r="BM73" s="144"/>
      <c r="BN73" s="65">
        <f t="shared" si="49"/>
        <v>217342.265625</v>
      </c>
      <c r="BO73" s="66"/>
      <c r="BP73" s="66">
        <f t="shared" si="50"/>
        <v>1392578</v>
      </c>
      <c r="BQ73" s="66"/>
      <c r="BR73" s="73">
        <f t="shared" si="51"/>
        <v>0.10011412730712395</v>
      </c>
      <c r="BS73" s="66"/>
      <c r="BT73" s="75"/>
      <c r="BU73" s="170"/>
      <c r="BV73" s="1"/>
      <c r="BW73">
        <f t="shared" si="11"/>
        <v>64</v>
      </c>
    </row>
    <row r="74" spans="2:75" x14ac:dyDescent="0.3">
      <c r="B74" s="432">
        <f t="shared" si="6"/>
        <v>43974</v>
      </c>
      <c r="C74" s="61"/>
      <c r="D74" s="17">
        <v>21928</v>
      </c>
      <c r="E74" s="16"/>
      <c r="F74" s="16"/>
      <c r="G74" s="16"/>
      <c r="H74" s="16">
        <f t="shared" si="36"/>
        <v>2252215</v>
      </c>
      <c r="I74" s="16"/>
      <c r="J74" s="38">
        <f t="shared" si="37"/>
        <v>9.8319184930011246E-3</v>
      </c>
      <c r="K74" s="16"/>
      <c r="L74" s="16"/>
      <c r="M74" s="16"/>
      <c r="N74" s="16"/>
      <c r="O74" s="16">
        <f t="shared" si="43"/>
        <v>34649.461538461539</v>
      </c>
      <c r="P74" s="41"/>
      <c r="Q74" s="17"/>
      <c r="R74" s="16"/>
      <c r="S74" s="60"/>
      <c r="T74" s="16"/>
      <c r="U74" s="41"/>
      <c r="V74" s="434"/>
      <c r="W74" s="34">
        <v>1036</v>
      </c>
      <c r="X74" s="33"/>
      <c r="Y74" s="33"/>
      <c r="Z74" s="33"/>
      <c r="AA74" s="33">
        <f t="shared" si="38"/>
        <v>104141</v>
      </c>
      <c r="AB74" s="33"/>
      <c r="AC74" s="46">
        <f t="shared" si="44"/>
        <v>4.6239368799159936E-2</v>
      </c>
      <c r="AD74" s="33"/>
      <c r="AE74" s="33">
        <f t="shared" si="45"/>
        <v>1602.1692307692308</v>
      </c>
      <c r="AF74" s="50"/>
      <c r="AG74" s="33"/>
      <c r="AH74" s="33">
        <f t="shared" si="35"/>
        <v>1036</v>
      </c>
      <c r="AI74" s="213"/>
      <c r="AJ74" s="50"/>
      <c r="AK74" s="10"/>
      <c r="AL74" s="23">
        <f t="shared" si="39"/>
        <v>13317</v>
      </c>
      <c r="AM74" s="24"/>
      <c r="AN74" s="24"/>
      <c r="AO74" s="24">
        <v>178263</v>
      </c>
      <c r="AP74" s="24">
        <v>446914</v>
      </c>
      <c r="AQ74" s="24"/>
      <c r="AR74" s="25">
        <f t="shared" si="40"/>
        <v>3.0712850873045709E-2</v>
      </c>
      <c r="AS74" s="25"/>
      <c r="AT74" s="25"/>
      <c r="AU74" s="24"/>
      <c r="AV74" s="298">
        <f t="shared" si="46"/>
        <v>0.19843309808344231</v>
      </c>
      <c r="AW74" s="298"/>
      <c r="AX74" s="24">
        <f t="shared" si="47"/>
        <v>6875.6</v>
      </c>
      <c r="AY74" s="308"/>
      <c r="AZ74" s="10"/>
      <c r="BA74" s="65">
        <f t="shared" si="41"/>
        <v>448064</v>
      </c>
      <c r="BB74" s="66"/>
      <c r="BC74" s="66">
        <v>14357969</v>
      </c>
      <c r="BD74" s="66"/>
      <c r="BE74" s="66">
        <f t="shared" si="48"/>
        <v>21928</v>
      </c>
      <c r="BF74" s="66"/>
      <c r="BG74" s="144">
        <f t="shared" si="42"/>
        <v>4.8939437223253821E-2</v>
      </c>
      <c r="BH74" s="66"/>
      <c r="BI74" s="170"/>
      <c r="BJ74" s="66"/>
      <c r="BK74" s="66"/>
      <c r="BL74" s="66"/>
      <c r="BM74" s="144"/>
      <c r="BN74" s="65">
        <f t="shared" si="49"/>
        <v>220891.83076923076</v>
      </c>
      <c r="BO74" s="66"/>
      <c r="BP74" s="66">
        <f t="shared" si="50"/>
        <v>1414506</v>
      </c>
      <c r="BQ74" s="66"/>
      <c r="BR74" s="73">
        <f t="shared" si="51"/>
        <v>9.8517137068620225E-2</v>
      </c>
      <c r="BS74" s="66"/>
      <c r="BT74" s="75"/>
      <c r="BU74" s="170"/>
      <c r="BV74" s="1"/>
      <c r="BW74">
        <f t="shared" si="11"/>
        <v>65</v>
      </c>
    </row>
    <row r="75" spans="2:75" x14ac:dyDescent="0.3">
      <c r="B75" s="347">
        <f t="shared" si="6"/>
        <v>43975</v>
      </c>
      <c r="C75" s="61"/>
      <c r="D75" s="17">
        <v>19608</v>
      </c>
      <c r="E75" s="16"/>
      <c r="F75" s="16"/>
      <c r="G75" s="16"/>
      <c r="H75" s="16">
        <f t="shared" si="36"/>
        <v>2271823</v>
      </c>
      <c r="I75" s="16"/>
      <c r="J75" s="38">
        <f t="shared" si="37"/>
        <v>8.7060959988278213E-3</v>
      </c>
      <c r="K75" s="16"/>
      <c r="L75" s="16"/>
      <c r="M75" s="16"/>
      <c r="N75" s="16"/>
      <c r="O75" s="16">
        <f t="shared" si="43"/>
        <v>34421.560606060608</v>
      </c>
      <c r="P75" s="41"/>
      <c r="Q75" s="17">
        <f>SUM(D69:D75)</f>
        <v>158772</v>
      </c>
      <c r="R75" s="16"/>
      <c r="S75" s="60">
        <f>+(Q75-Q68)/Q68</f>
        <v>-7.8362266131753594E-3</v>
      </c>
      <c r="T75" s="16"/>
      <c r="U75" s="41"/>
      <c r="V75" s="348"/>
      <c r="W75" s="34">
        <v>617</v>
      </c>
      <c r="X75" s="33"/>
      <c r="Y75" s="33"/>
      <c r="Z75" s="33"/>
      <c r="AA75" s="33">
        <f t="shared" si="38"/>
        <v>104758</v>
      </c>
      <c r="AB75" s="33"/>
      <c r="AC75" s="46">
        <f t="shared" si="44"/>
        <v>4.6111866989637838E-2</v>
      </c>
      <c r="AD75" s="33"/>
      <c r="AE75" s="33">
        <f t="shared" si="45"/>
        <v>1587.2424242424242</v>
      </c>
      <c r="AF75" s="50"/>
      <c r="AG75" s="33">
        <f>SUM(W69:W75)</f>
        <v>8322</v>
      </c>
      <c r="AH75" s="33">
        <f t="shared" si="35"/>
        <v>617</v>
      </c>
      <c r="AI75" s="213">
        <f>+(AG75-AG68)/AG68</f>
        <v>-0.1833971151015602</v>
      </c>
      <c r="AJ75" s="50"/>
      <c r="AK75" s="348"/>
      <c r="AL75" s="23">
        <f t="shared" si="39"/>
        <v>4788</v>
      </c>
      <c r="AM75" s="24"/>
      <c r="AN75" s="24"/>
      <c r="AO75" s="24">
        <v>178263</v>
      </c>
      <c r="AP75" s="24">
        <v>451702</v>
      </c>
      <c r="AQ75" s="24"/>
      <c r="AR75" s="25">
        <f t="shared" si="40"/>
        <v>1.0713470600607723E-2</v>
      </c>
      <c r="AS75" s="25"/>
      <c r="AT75" s="25"/>
      <c r="AU75" s="24"/>
      <c r="AV75" s="298">
        <f t="shared" si="46"/>
        <v>0.19882798968053408</v>
      </c>
      <c r="AW75" s="298"/>
      <c r="AX75" s="24">
        <f t="shared" si="47"/>
        <v>6843.969696969697</v>
      </c>
      <c r="AY75" s="308"/>
      <c r="AZ75" s="348"/>
      <c r="BA75" s="65">
        <f t="shared" si="41"/>
        <v>391787</v>
      </c>
      <c r="BB75" s="66"/>
      <c r="BC75" s="66">
        <v>14749756</v>
      </c>
      <c r="BD75" s="66"/>
      <c r="BE75" s="66">
        <f t="shared" si="48"/>
        <v>19608</v>
      </c>
      <c r="BF75" s="66"/>
      <c r="BG75" s="144">
        <f t="shared" si="42"/>
        <v>5.0047602396199979E-2</v>
      </c>
      <c r="BH75" s="66"/>
      <c r="BI75" s="170"/>
      <c r="BJ75" s="66"/>
      <c r="BK75" s="66">
        <f>SUM(BA69:BA75)</f>
        <v>2874176</v>
      </c>
      <c r="BL75" s="66"/>
      <c r="BM75" s="144">
        <f>+Q75/BK75</f>
        <v>5.5240875993676102E-2</v>
      </c>
      <c r="BN75" s="65">
        <f t="shared" si="49"/>
        <v>223481.15151515152</v>
      </c>
      <c r="BO75" s="66"/>
      <c r="BP75" s="66">
        <f t="shared" si="50"/>
        <v>1434114</v>
      </c>
      <c r="BQ75" s="66"/>
      <c r="BR75" s="73">
        <f t="shared" si="51"/>
        <v>9.7229676206169111E-2</v>
      </c>
      <c r="BS75" s="66"/>
      <c r="BT75" s="75"/>
      <c r="BU75" s="170"/>
      <c r="BV75" s="1"/>
      <c r="BW75">
        <f t="shared" si="11"/>
        <v>66</v>
      </c>
    </row>
    <row r="76" spans="2:75" x14ac:dyDescent="0.3">
      <c r="B76" s="158">
        <f t="shared" si="6"/>
        <v>43976</v>
      </c>
      <c r="C76" s="61"/>
      <c r="D76" s="17">
        <v>19790</v>
      </c>
      <c r="E76" s="16"/>
      <c r="F76" s="16"/>
      <c r="G76" s="16"/>
      <c r="H76" s="16">
        <f t="shared" si="36"/>
        <v>2291613</v>
      </c>
      <c r="I76" s="16"/>
      <c r="J76" s="38">
        <f t="shared" si="37"/>
        <v>8.711065958923736E-3</v>
      </c>
      <c r="K76" s="16"/>
      <c r="L76" s="16"/>
      <c r="M76" s="16"/>
      <c r="N76" s="16"/>
      <c r="O76" s="16">
        <f t="shared" si="43"/>
        <v>34203.179104477611</v>
      </c>
      <c r="P76" s="41"/>
      <c r="Q76" s="17"/>
      <c r="R76" s="16"/>
      <c r="S76" s="60"/>
      <c r="T76" s="16"/>
      <c r="U76" s="41"/>
      <c r="V76" s="10"/>
      <c r="W76" s="34">
        <v>505</v>
      </c>
      <c r="X76" s="33"/>
      <c r="Y76" s="33"/>
      <c r="Z76" s="33"/>
      <c r="AA76" s="33">
        <f t="shared" si="38"/>
        <v>105263</v>
      </c>
      <c r="AB76" s="33"/>
      <c r="AC76" s="46">
        <f t="shared" si="44"/>
        <v>4.5934021145804284E-2</v>
      </c>
      <c r="AD76" s="33"/>
      <c r="AE76" s="33">
        <f t="shared" si="45"/>
        <v>1571.0895522388059</v>
      </c>
      <c r="AF76" s="50"/>
      <c r="AG76" s="33"/>
      <c r="AH76" s="33">
        <f t="shared" si="35"/>
        <v>505</v>
      </c>
      <c r="AI76" s="213"/>
      <c r="AJ76" s="50"/>
      <c r="AK76" s="10"/>
      <c r="AL76" s="23">
        <f t="shared" si="39"/>
        <v>12968</v>
      </c>
      <c r="AM76" s="24"/>
      <c r="AN76" s="24"/>
      <c r="AO76" s="24">
        <v>178263</v>
      </c>
      <c r="AP76" s="24">
        <v>464670</v>
      </c>
      <c r="AQ76" s="24"/>
      <c r="AR76" s="25">
        <f t="shared" si="40"/>
        <v>2.8709193229164362E-2</v>
      </c>
      <c r="AS76" s="25"/>
      <c r="AT76" s="25"/>
      <c r="AU76" s="24"/>
      <c r="AV76" s="298">
        <f t="shared" si="46"/>
        <v>0.20276983941005747</v>
      </c>
      <c r="AW76" s="298"/>
      <c r="AX76" s="24">
        <f t="shared" si="47"/>
        <v>6935.373134328358</v>
      </c>
      <c r="AY76" s="308"/>
      <c r="AZ76" s="10"/>
      <c r="BA76" s="65">
        <f t="shared" si="41"/>
        <v>437891</v>
      </c>
      <c r="BB76" s="66"/>
      <c r="BC76" s="66">
        <v>15187647</v>
      </c>
      <c r="BD76" s="66"/>
      <c r="BE76" s="66">
        <f t="shared" si="48"/>
        <v>19790</v>
      </c>
      <c r="BF76" s="66"/>
      <c r="BG76" s="144">
        <f t="shared" si="42"/>
        <v>4.5193895284442932E-2</v>
      </c>
      <c r="BH76" s="66"/>
      <c r="BI76" s="170"/>
      <c r="BJ76" s="66"/>
      <c r="BK76" s="66"/>
      <c r="BL76" s="66"/>
      <c r="BM76" s="144"/>
      <c r="BN76" s="65">
        <f t="shared" si="49"/>
        <v>226681.29850746269</v>
      </c>
      <c r="BO76" s="66"/>
      <c r="BP76" s="66">
        <f t="shared" si="50"/>
        <v>1453904</v>
      </c>
      <c r="BQ76" s="66"/>
      <c r="BR76" s="73">
        <f t="shared" si="51"/>
        <v>9.572937796091785E-2</v>
      </c>
      <c r="BS76" s="66"/>
      <c r="BT76" s="75"/>
      <c r="BU76" s="170"/>
      <c r="BV76" s="1"/>
      <c r="BW76">
        <f t="shared" si="11"/>
        <v>67</v>
      </c>
    </row>
    <row r="77" spans="2:75" x14ac:dyDescent="0.3">
      <c r="B77" s="158">
        <f t="shared" ref="B77:B187" si="52">1+B76</f>
        <v>43977</v>
      </c>
      <c r="C77" s="61"/>
      <c r="D77" s="17">
        <v>19031</v>
      </c>
      <c r="E77" s="16"/>
      <c r="F77" s="16"/>
      <c r="G77" s="16"/>
      <c r="H77" s="16">
        <f t="shared" si="36"/>
        <v>2310644</v>
      </c>
      <c r="I77" s="16"/>
      <c r="J77" s="38">
        <f t="shared" si="37"/>
        <v>8.3046308429913784E-3</v>
      </c>
      <c r="K77" s="16"/>
      <c r="L77" s="16"/>
      <c r="M77" s="16"/>
      <c r="N77" s="16"/>
      <c r="O77" s="16">
        <f t="shared" si="43"/>
        <v>33980.058823529413</v>
      </c>
      <c r="P77" s="41"/>
      <c r="Q77" s="17"/>
      <c r="R77" s="16"/>
      <c r="S77" s="60"/>
      <c r="T77" s="16"/>
      <c r="U77" s="41"/>
      <c r="V77" s="10"/>
      <c r="W77" s="34">
        <v>774</v>
      </c>
      <c r="X77" s="33"/>
      <c r="Y77" s="33"/>
      <c r="Z77" s="33"/>
      <c r="AA77" s="33">
        <f t="shared" si="38"/>
        <v>106037</v>
      </c>
      <c r="AB77" s="33"/>
      <c r="AC77" s="46">
        <f t="shared" si="44"/>
        <v>4.5890669441073569E-2</v>
      </c>
      <c r="AD77" s="33"/>
      <c r="AE77" s="33">
        <f t="shared" si="45"/>
        <v>1559.3676470588234</v>
      </c>
      <c r="AF77" s="50"/>
      <c r="AG77" s="33"/>
      <c r="AH77" s="33">
        <f t="shared" si="35"/>
        <v>774</v>
      </c>
      <c r="AI77" s="213"/>
      <c r="AJ77" s="50"/>
      <c r="AK77" s="10"/>
      <c r="AL77" s="23">
        <f t="shared" si="39"/>
        <v>15299</v>
      </c>
      <c r="AM77" s="24"/>
      <c r="AN77" s="24"/>
      <c r="AO77" s="24">
        <v>178263</v>
      </c>
      <c r="AP77" s="24">
        <v>479969</v>
      </c>
      <c r="AQ77" s="24"/>
      <c r="AR77" s="25">
        <f t="shared" si="40"/>
        <v>3.2924441001140593E-2</v>
      </c>
      <c r="AS77" s="25"/>
      <c r="AT77" s="25"/>
      <c r="AU77" s="24"/>
      <c r="AV77" s="298">
        <f t="shared" si="46"/>
        <v>0.20772087781588164</v>
      </c>
      <c r="AW77" s="298"/>
      <c r="AX77" s="24">
        <f t="shared" si="47"/>
        <v>7058.3676470588234</v>
      </c>
      <c r="AY77" s="308"/>
      <c r="AZ77" s="10"/>
      <c r="BA77" s="65">
        <f t="shared" si="41"/>
        <v>344512</v>
      </c>
      <c r="BB77" s="66"/>
      <c r="BC77" s="66">
        <v>15532159</v>
      </c>
      <c r="BD77" s="66"/>
      <c r="BE77" s="66">
        <f t="shared" si="48"/>
        <v>19031</v>
      </c>
      <c r="BF77" s="66"/>
      <c r="BG77" s="144">
        <f t="shared" si="42"/>
        <v>5.5240456065391047E-2</v>
      </c>
      <c r="BH77" s="66"/>
      <c r="BI77" s="170"/>
      <c r="BJ77" s="66"/>
      <c r="BK77" s="66"/>
      <c r="BL77" s="66"/>
      <c r="BM77" s="144"/>
      <c r="BN77" s="65">
        <f t="shared" si="49"/>
        <v>228414.10294117648</v>
      </c>
      <c r="BO77" s="66"/>
      <c r="BP77" s="66">
        <f t="shared" si="50"/>
        <v>1472935</v>
      </c>
      <c r="BQ77" s="66"/>
      <c r="BR77" s="73">
        <f t="shared" si="51"/>
        <v>9.4831310959410081E-2</v>
      </c>
      <c r="BS77" s="66"/>
      <c r="BT77" s="75"/>
      <c r="BU77" s="170"/>
      <c r="BV77" s="1"/>
      <c r="BW77">
        <f t="shared" ref="BW77:BW189" si="53">+BW76+1</f>
        <v>68</v>
      </c>
    </row>
    <row r="78" spans="2:75" x14ac:dyDescent="0.3">
      <c r="B78" s="158">
        <f t="shared" si="52"/>
        <v>43978</v>
      </c>
      <c r="C78" s="61"/>
      <c r="D78" s="17">
        <v>20546</v>
      </c>
      <c r="E78" s="16"/>
      <c r="F78" s="16"/>
      <c r="G78" s="16"/>
      <c r="H78" s="16">
        <f t="shared" si="36"/>
        <v>2331190</v>
      </c>
      <c r="I78" s="16"/>
      <c r="J78" s="38">
        <f t="shared" si="37"/>
        <v>8.8918933422889902E-3</v>
      </c>
      <c r="K78" s="16"/>
      <c r="L78" s="16"/>
      <c r="M78" s="16"/>
      <c r="N78" s="16"/>
      <c r="O78" s="16">
        <f t="shared" si="43"/>
        <v>33785.362318840576</v>
      </c>
      <c r="P78" s="41"/>
      <c r="Q78" s="17"/>
      <c r="R78" s="16"/>
      <c r="S78" s="60"/>
      <c r="T78" s="16"/>
      <c r="U78" s="41"/>
      <c r="V78" s="10"/>
      <c r="W78" s="34">
        <f>1535-7</f>
        <v>1528</v>
      </c>
      <c r="X78" s="33"/>
      <c r="Y78" s="33"/>
      <c r="Z78" s="33"/>
      <c r="AA78" s="33">
        <f t="shared" si="38"/>
        <v>107565</v>
      </c>
      <c r="AB78" s="33"/>
      <c r="AC78" s="46">
        <f t="shared" si="44"/>
        <v>4.6141670134137502E-2</v>
      </c>
      <c r="AD78" s="33"/>
      <c r="AE78" s="33">
        <f t="shared" si="45"/>
        <v>1558.9130434782608</v>
      </c>
      <c r="AF78" s="50"/>
      <c r="AG78" s="33"/>
      <c r="AH78" s="33">
        <f t="shared" si="35"/>
        <v>1528</v>
      </c>
      <c r="AI78" s="213"/>
      <c r="AJ78" s="50"/>
      <c r="AK78" s="10"/>
      <c r="AL78" s="23">
        <f t="shared" si="39"/>
        <v>10161</v>
      </c>
      <c r="AM78" s="24"/>
      <c r="AN78" s="24"/>
      <c r="AO78" s="24">
        <v>178263</v>
      </c>
      <c r="AP78" s="24">
        <v>490130</v>
      </c>
      <c r="AQ78" s="24"/>
      <c r="AR78" s="25">
        <f t="shared" si="40"/>
        <v>2.1170117236738208E-2</v>
      </c>
      <c r="AS78" s="25"/>
      <c r="AT78" s="25"/>
      <c r="AU78" s="24"/>
      <c r="AV78" s="298">
        <f t="shared" si="46"/>
        <v>0.2102488428656609</v>
      </c>
      <c r="AW78" s="298"/>
      <c r="AX78" s="24">
        <f t="shared" si="47"/>
        <v>7103.333333333333</v>
      </c>
      <c r="AY78" s="308"/>
      <c r="AZ78" s="10"/>
      <c r="BA78" s="65">
        <f t="shared" si="41"/>
        <v>343314</v>
      </c>
      <c r="BB78" s="66"/>
      <c r="BC78" s="66">
        <v>15875473</v>
      </c>
      <c r="BD78" s="66"/>
      <c r="BE78" s="66">
        <f t="shared" si="48"/>
        <v>20546</v>
      </c>
      <c r="BF78" s="66"/>
      <c r="BG78" s="144">
        <f t="shared" si="42"/>
        <v>5.9846088420512998E-2</v>
      </c>
      <c r="BH78" s="66"/>
      <c r="BI78" s="170"/>
      <c r="BJ78" s="66"/>
      <c r="BK78" s="66"/>
      <c r="BL78" s="66"/>
      <c r="BM78" s="144"/>
      <c r="BN78" s="65">
        <f t="shared" si="49"/>
        <v>230079.31884057971</v>
      </c>
      <c r="BO78" s="66"/>
      <c r="BP78" s="66">
        <f t="shared" si="50"/>
        <v>1493481</v>
      </c>
      <c r="BQ78" s="66"/>
      <c r="BR78" s="73">
        <f t="shared" si="51"/>
        <v>9.4074740324272543E-2</v>
      </c>
      <c r="BS78" s="66"/>
      <c r="BT78" s="75"/>
      <c r="BU78" s="170"/>
      <c r="BV78" s="1"/>
      <c r="BW78">
        <f t="shared" si="53"/>
        <v>69</v>
      </c>
    </row>
    <row r="79" spans="2:75" x14ac:dyDescent="0.3">
      <c r="B79" s="158">
        <f t="shared" si="52"/>
        <v>43979</v>
      </c>
      <c r="C79" s="61"/>
      <c r="D79" s="17">
        <v>22658</v>
      </c>
      <c r="E79" s="16"/>
      <c r="F79" s="16"/>
      <c r="G79" s="16"/>
      <c r="H79" s="16">
        <f t="shared" si="36"/>
        <v>2353848</v>
      </c>
      <c r="I79" s="16"/>
      <c r="J79" s="38">
        <f t="shared" si="37"/>
        <v>9.719499483096616E-3</v>
      </c>
      <c r="K79" s="16"/>
      <c r="L79" s="16"/>
      <c r="M79" s="16"/>
      <c r="N79" s="16"/>
      <c r="O79" s="16">
        <f t="shared" si="43"/>
        <v>33626.400000000001</v>
      </c>
      <c r="P79" s="41"/>
      <c r="Q79" s="17"/>
      <c r="R79" s="16"/>
      <c r="S79" s="60"/>
      <c r="T79" s="16"/>
      <c r="U79" s="41"/>
      <c r="V79" s="10"/>
      <c r="W79" s="34">
        <v>1223</v>
      </c>
      <c r="X79" s="33"/>
      <c r="Y79" s="33"/>
      <c r="Z79" s="33"/>
      <c r="AA79" s="33">
        <f t="shared" si="38"/>
        <v>108788</v>
      </c>
      <c r="AB79" s="33"/>
      <c r="AC79" s="46">
        <f t="shared" si="44"/>
        <v>4.6217087934310119E-2</v>
      </c>
      <c r="AD79" s="33"/>
      <c r="AE79" s="33">
        <f t="shared" si="45"/>
        <v>1554.1142857142856</v>
      </c>
      <c r="AF79" s="50"/>
      <c r="AG79" s="33"/>
      <c r="AH79" s="33">
        <f t="shared" si="35"/>
        <v>1223</v>
      </c>
      <c r="AI79" s="213"/>
      <c r="AJ79" s="50"/>
      <c r="AK79" s="10"/>
      <c r="AL79" s="23">
        <f t="shared" si="39"/>
        <v>8595</v>
      </c>
      <c r="AM79" s="24"/>
      <c r="AN79" s="24"/>
      <c r="AO79" s="24">
        <v>178263</v>
      </c>
      <c r="AP79" s="24">
        <v>498725</v>
      </c>
      <c r="AQ79" s="24"/>
      <c r="AR79" s="25">
        <f t="shared" si="40"/>
        <v>1.7536163874890334E-2</v>
      </c>
      <c r="AS79" s="25"/>
      <c r="AT79" s="25"/>
      <c r="AU79" s="24"/>
      <c r="AV79" s="298">
        <f t="shared" si="46"/>
        <v>0.2118764678093063</v>
      </c>
      <c r="AW79" s="298"/>
      <c r="AX79" s="24">
        <f t="shared" si="47"/>
        <v>7124.6428571428569</v>
      </c>
      <c r="AY79" s="308"/>
      <c r="AZ79" s="10"/>
      <c r="BA79" s="65">
        <f t="shared" si="41"/>
        <v>455839</v>
      </c>
      <c r="BB79" s="66"/>
      <c r="BC79" s="66">
        <v>16331312</v>
      </c>
      <c r="BD79" s="66"/>
      <c r="BE79" s="66">
        <f t="shared" si="48"/>
        <v>22658</v>
      </c>
      <c r="BF79" s="66"/>
      <c r="BG79" s="144">
        <f t="shared" si="42"/>
        <v>4.9706146249004581E-2</v>
      </c>
      <c r="BH79" s="66"/>
      <c r="BI79" s="170"/>
      <c r="BJ79" s="66"/>
      <c r="BK79" s="66"/>
      <c r="BL79" s="66"/>
      <c r="BM79" s="144"/>
      <c r="BN79" s="65">
        <f t="shared" si="49"/>
        <v>233304.45714285714</v>
      </c>
      <c r="BO79" s="66"/>
      <c r="BP79" s="66">
        <f t="shared" si="50"/>
        <v>1516139</v>
      </c>
      <c r="BQ79" s="66"/>
      <c r="BR79" s="73">
        <f t="shared" si="51"/>
        <v>9.2836325703654424E-2</v>
      </c>
      <c r="BS79" s="66"/>
      <c r="BT79" s="75"/>
      <c r="BU79" s="170"/>
      <c r="BV79" s="1"/>
      <c r="BW79">
        <f t="shared" si="53"/>
        <v>70</v>
      </c>
    </row>
    <row r="80" spans="2:75" x14ac:dyDescent="0.3">
      <c r="B80" s="158">
        <f t="shared" si="52"/>
        <v>43980</v>
      </c>
      <c r="C80" s="61"/>
      <c r="D80" s="17">
        <v>25069</v>
      </c>
      <c r="E80" s="16"/>
      <c r="F80" s="16"/>
      <c r="G80" s="16"/>
      <c r="H80" s="16">
        <f t="shared" si="36"/>
        <v>2378917</v>
      </c>
      <c r="I80" s="16"/>
      <c r="J80" s="38">
        <f t="shared" si="37"/>
        <v>1.0650220405055892E-2</v>
      </c>
      <c r="K80" s="16"/>
      <c r="L80" s="16"/>
      <c r="M80" s="16"/>
      <c r="N80" s="16"/>
      <c r="O80" s="16">
        <f t="shared" si="43"/>
        <v>33505.873239436616</v>
      </c>
      <c r="P80" s="41"/>
      <c r="Q80" s="17"/>
      <c r="R80" s="16"/>
      <c r="S80" s="60"/>
      <c r="T80" s="16"/>
      <c r="U80" s="41"/>
      <c r="V80" s="10"/>
      <c r="W80" s="34">
        <v>1212</v>
      </c>
      <c r="X80" s="33"/>
      <c r="Y80" s="33"/>
      <c r="Z80" s="33"/>
      <c r="AA80" s="33">
        <f t="shared" si="38"/>
        <v>110000</v>
      </c>
      <c r="AB80" s="33"/>
      <c r="AC80" s="46">
        <f t="shared" si="44"/>
        <v>4.6239528323182358E-2</v>
      </c>
      <c r="AD80" s="33"/>
      <c r="AE80" s="33">
        <f t="shared" si="45"/>
        <v>1549.2957746478874</v>
      </c>
      <c r="AF80" s="50"/>
      <c r="AG80" s="33"/>
      <c r="AH80" s="33">
        <f t="shared" si="35"/>
        <v>1212</v>
      </c>
      <c r="AI80" s="213"/>
      <c r="AJ80" s="50"/>
      <c r="AK80" s="10"/>
      <c r="AL80" s="23">
        <f t="shared" si="39"/>
        <v>20844</v>
      </c>
      <c r="AM80" s="24"/>
      <c r="AN80" s="24"/>
      <c r="AO80" s="24">
        <v>178263</v>
      </c>
      <c r="AP80" s="24">
        <v>519569</v>
      </c>
      <c r="AQ80" s="24"/>
      <c r="AR80" s="25">
        <f t="shared" si="40"/>
        <v>4.1794576169231538E-2</v>
      </c>
      <c r="AS80" s="25"/>
      <c r="AT80" s="25"/>
      <c r="AU80" s="24"/>
      <c r="AV80" s="298">
        <f t="shared" si="46"/>
        <v>0.21840568628497758</v>
      </c>
      <c r="AW80" s="298"/>
      <c r="AX80" s="24">
        <f t="shared" si="47"/>
        <v>7317.8732394366198</v>
      </c>
      <c r="AY80" s="308"/>
      <c r="AZ80" s="10"/>
      <c r="BA80" s="65">
        <f t="shared" si="41"/>
        <v>479466</v>
      </c>
      <c r="BB80" s="66"/>
      <c r="BC80" s="66">
        <v>16810778</v>
      </c>
      <c r="BD80" s="66"/>
      <c r="BE80" s="66">
        <f t="shared" si="48"/>
        <v>25069</v>
      </c>
      <c r="BF80" s="66"/>
      <c r="BG80" s="144">
        <f t="shared" si="42"/>
        <v>5.2285250674708947E-2</v>
      </c>
      <c r="BH80" s="66"/>
      <c r="BI80" s="170"/>
      <c r="BJ80" s="66"/>
      <c r="BK80" s="66"/>
      <c r="BL80" s="66"/>
      <c r="BM80" s="144"/>
      <c r="BN80" s="65">
        <f t="shared" si="49"/>
        <v>236771.52112676058</v>
      </c>
      <c r="BO80" s="66"/>
      <c r="BP80" s="66">
        <f t="shared" si="50"/>
        <v>1541208</v>
      </c>
      <c r="BQ80" s="66"/>
      <c r="BR80" s="73">
        <f t="shared" si="51"/>
        <v>9.1679754500356855E-2</v>
      </c>
      <c r="BS80" s="66"/>
      <c r="BT80" s="75"/>
      <c r="BU80" s="170"/>
      <c r="BV80" s="1"/>
      <c r="BW80">
        <f t="shared" si="53"/>
        <v>71</v>
      </c>
    </row>
    <row r="81" spans="2:75" x14ac:dyDescent="0.3">
      <c r="B81" s="432">
        <f t="shared" si="52"/>
        <v>43981</v>
      </c>
      <c r="C81" s="61"/>
      <c r="D81" s="17">
        <v>23290</v>
      </c>
      <c r="E81" s="16"/>
      <c r="F81" s="16"/>
      <c r="G81" s="16"/>
      <c r="H81" s="16">
        <f t="shared" si="36"/>
        <v>2402207</v>
      </c>
      <c r="I81" s="16"/>
      <c r="J81" s="38">
        <f t="shared" si="37"/>
        <v>9.7901692240628824E-3</v>
      </c>
      <c r="K81" s="16"/>
      <c r="L81" s="16"/>
      <c r="M81" s="16"/>
      <c r="N81" s="16"/>
      <c r="O81" s="16">
        <f t="shared" si="43"/>
        <v>33363.986111111109</v>
      </c>
      <c r="P81" s="41"/>
      <c r="Q81" s="17"/>
      <c r="R81" s="16"/>
      <c r="S81" s="60"/>
      <c r="T81" s="16"/>
      <c r="U81" s="41"/>
      <c r="V81" s="434"/>
      <c r="W81" s="34">
        <v>1015</v>
      </c>
      <c r="X81" s="33"/>
      <c r="Y81" s="33"/>
      <c r="Z81" s="33"/>
      <c r="AA81" s="33">
        <f t="shared" si="38"/>
        <v>111015</v>
      </c>
      <c r="AB81" s="33"/>
      <c r="AC81" s="46">
        <f t="shared" si="44"/>
        <v>4.6213752603335184E-2</v>
      </c>
      <c r="AD81" s="33"/>
      <c r="AE81" s="33">
        <f t="shared" si="45"/>
        <v>1541.875</v>
      </c>
      <c r="AF81" s="50"/>
      <c r="AG81" s="33"/>
      <c r="AH81" s="33">
        <f t="shared" si="35"/>
        <v>1015</v>
      </c>
      <c r="AI81" s="213"/>
      <c r="AJ81" s="50"/>
      <c r="AK81" s="10"/>
      <c r="AL81" s="23">
        <f t="shared" si="39"/>
        <v>15669</v>
      </c>
      <c r="AM81" s="24"/>
      <c r="AN81" s="24"/>
      <c r="AO81" s="24">
        <v>178263</v>
      </c>
      <c r="AP81" s="24">
        <v>535238</v>
      </c>
      <c r="AQ81" s="24"/>
      <c r="AR81" s="25">
        <f t="shared" si="40"/>
        <v>3.0157688391724679E-2</v>
      </c>
      <c r="AS81" s="25"/>
      <c r="AT81" s="25"/>
      <c r="AU81" s="24"/>
      <c r="AV81" s="298">
        <f t="shared" si="46"/>
        <v>0.22281094010632721</v>
      </c>
      <c r="AW81" s="298"/>
      <c r="AX81" s="24">
        <f t="shared" si="47"/>
        <v>7433.8611111111113</v>
      </c>
      <c r="AY81" s="308"/>
      <c r="AZ81" s="460"/>
      <c r="BA81" s="65">
        <f t="shared" si="41"/>
        <v>460063</v>
      </c>
      <c r="BB81" s="66"/>
      <c r="BC81" s="66">
        <v>17270841</v>
      </c>
      <c r="BD81" s="66"/>
      <c r="BE81" s="66">
        <f t="shared" si="48"/>
        <v>23290</v>
      </c>
      <c r="BF81" s="66"/>
      <c r="BG81" s="144">
        <f t="shared" si="42"/>
        <v>5.0623501563916248E-2</v>
      </c>
      <c r="BH81" s="66"/>
      <c r="BI81" s="170"/>
      <c r="BJ81" s="66"/>
      <c r="BK81" s="66"/>
      <c r="BL81" s="66"/>
      <c r="BM81" s="144"/>
      <c r="BN81" s="65">
        <f t="shared" si="49"/>
        <v>239872.79166666666</v>
      </c>
      <c r="BO81" s="66"/>
      <c r="BP81" s="66">
        <f t="shared" si="50"/>
        <v>1564498</v>
      </c>
      <c r="BQ81" s="66"/>
      <c r="BR81" s="73">
        <f t="shared" si="51"/>
        <v>9.0586092478067509E-2</v>
      </c>
      <c r="BS81" s="66"/>
      <c r="BT81" s="75"/>
      <c r="BU81" s="170"/>
      <c r="BV81" s="1"/>
      <c r="BW81">
        <f t="shared" si="53"/>
        <v>72</v>
      </c>
    </row>
    <row r="82" spans="2:75" x14ac:dyDescent="0.3">
      <c r="B82" s="347">
        <f t="shared" si="52"/>
        <v>43982</v>
      </c>
      <c r="C82" s="61"/>
      <c r="D82" s="17">
        <v>20350</v>
      </c>
      <c r="E82" s="16"/>
      <c r="F82" s="16"/>
      <c r="G82" s="16"/>
      <c r="H82" s="16">
        <f t="shared" si="36"/>
        <v>2422557</v>
      </c>
      <c r="I82" s="16"/>
      <c r="J82" s="38">
        <f t="shared" si="37"/>
        <v>8.4713765299992885E-3</v>
      </c>
      <c r="K82" s="16"/>
      <c r="L82" s="16"/>
      <c r="M82" s="16"/>
      <c r="N82" s="16"/>
      <c r="O82" s="16">
        <f t="shared" si="43"/>
        <v>33185.71232876712</v>
      </c>
      <c r="P82" s="41"/>
      <c r="Q82" s="17">
        <f>SUM(D76:D82)</f>
        <v>150734</v>
      </c>
      <c r="R82" s="16"/>
      <c r="S82" s="60">
        <f>+(Q82-Q75)/Q75</f>
        <v>-5.0626054971909404E-2</v>
      </c>
      <c r="T82" s="16"/>
      <c r="U82" s="41"/>
      <c r="V82" s="348"/>
      <c r="W82" s="34">
        <v>638</v>
      </c>
      <c r="X82" s="33"/>
      <c r="Y82" s="33"/>
      <c r="Z82" s="33"/>
      <c r="AA82" s="33">
        <f t="shared" si="38"/>
        <v>111653</v>
      </c>
      <c r="AB82" s="33"/>
      <c r="AC82" s="46">
        <f t="shared" si="44"/>
        <v>4.6088905235253497E-2</v>
      </c>
      <c r="AD82" s="33"/>
      <c r="AE82" s="33">
        <f t="shared" si="45"/>
        <v>1529.4931506849316</v>
      </c>
      <c r="AF82" s="50"/>
      <c r="AG82" s="33">
        <f>SUM(W76:W82)</f>
        <v>6895</v>
      </c>
      <c r="AH82" s="33">
        <f t="shared" si="35"/>
        <v>638</v>
      </c>
      <c r="AI82" s="213">
        <f>+(AG82-AG75)/AG75</f>
        <v>-0.17147320355683729</v>
      </c>
      <c r="AJ82" s="50"/>
      <c r="AK82" s="348"/>
      <c r="AL82" s="23">
        <f t="shared" si="39"/>
        <v>64629</v>
      </c>
      <c r="AM82" s="24"/>
      <c r="AN82" s="24"/>
      <c r="AO82" s="24">
        <v>178263</v>
      </c>
      <c r="AP82" s="24">
        <v>599867</v>
      </c>
      <c r="AQ82" s="24"/>
      <c r="AR82" s="25">
        <f t="shared" si="40"/>
        <v>0.12074815315803437</v>
      </c>
      <c r="AS82" s="25"/>
      <c r="AT82" s="25"/>
      <c r="AU82" s="24"/>
      <c r="AV82" s="298">
        <f t="shared" si="46"/>
        <v>0.24761729032588295</v>
      </c>
      <c r="AW82" s="298"/>
      <c r="AX82" s="24">
        <f t="shared" si="47"/>
        <v>8217.3561643835619</v>
      </c>
      <c r="AY82" s="308"/>
      <c r="AZ82" s="348"/>
      <c r="BA82" s="65">
        <f t="shared" si="41"/>
        <v>401726</v>
      </c>
      <c r="BB82" s="66"/>
      <c r="BC82" s="66">
        <v>17672567</v>
      </c>
      <c r="BD82" s="66"/>
      <c r="BE82" s="66">
        <f t="shared" si="48"/>
        <v>20350</v>
      </c>
      <c r="BF82" s="66"/>
      <c r="BG82" s="144">
        <f t="shared" si="42"/>
        <v>5.0656417558236209E-2</v>
      </c>
      <c r="BH82" s="66"/>
      <c r="BI82" s="170"/>
      <c r="BJ82" s="66"/>
      <c r="BK82" s="66">
        <f>SUM(BA76:BA82)</f>
        <v>2922811</v>
      </c>
      <c r="BL82" s="66"/>
      <c r="BM82" s="144">
        <f>+Q82/BK82</f>
        <v>5.1571586394056956E-2</v>
      </c>
      <c r="BN82" s="65">
        <f t="shared" si="49"/>
        <v>242089.95890410958</v>
      </c>
      <c r="BO82" s="66"/>
      <c r="BP82" s="66">
        <f t="shared" si="50"/>
        <v>1584848</v>
      </c>
      <c r="BQ82" s="66"/>
      <c r="BR82" s="73">
        <f t="shared" si="51"/>
        <v>8.9678426456100011E-2</v>
      </c>
      <c r="BS82" s="66"/>
      <c r="BT82" s="75"/>
      <c r="BU82" s="170"/>
      <c r="BV82" s="1"/>
      <c r="BW82">
        <f t="shared" si="53"/>
        <v>73</v>
      </c>
    </row>
    <row r="83" spans="2:75" x14ac:dyDescent="0.3">
      <c r="B83" s="158">
        <f t="shared" si="52"/>
        <v>43983</v>
      </c>
      <c r="C83" s="61"/>
      <c r="D83" s="17">
        <v>22153</v>
      </c>
      <c r="E83" s="16"/>
      <c r="F83" s="16"/>
      <c r="G83" s="16"/>
      <c r="H83" s="16">
        <f t="shared" si="36"/>
        <v>2444710</v>
      </c>
      <c r="I83" s="16"/>
      <c r="J83" s="38">
        <f t="shared" si="37"/>
        <v>9.1444700785162127E-3</v>
      </c>
      <c r="K83" s="16"/>
      <c r="L83" s="16"/>
      <c r="M83" s="16"/>
      <c r="N83" s="16"/>
      <c r="O83" s="16">
        <f t="shared" si="43"/>
        <v>33036.62162162162</v>
      </c>
      <c r="P83" s="41"/>
      <c r="Q83" s="17"/>
      <c r="R83" s="16"/>
      <c r="S83" s="60"/>
      <c r="T83" s="16"/>
      <c r="U83" s="41"/>
      <c r="V83" s="10"/>
      <c r="W83" s="34">
        <v>730</v>
      </c>
      <c r="X83" s="33"/>
      <c r="Y83" s="33"/>
      <c r="Z83" s="33"/>
      <c r="AA83" s="33">
        <f t="shared" si="38"/>
        <v>112383</v>
      </c>
      <c r="AB83" s="33"/>
      <c r="AC83" s="46">
        <f t="shared" si="44"/>
        <v>4.5969869636889447E-2</v>
      </c>
      <c r="AD83" s="33"/>
      <c r="AE83" s="33">
        <f t="shared" si="45"/>
        <v>1518.6891891891892</v>
      </c>
      <c r="AF83" s="50"/>
      <c r="AG83" s="33">
        <f>SUM(D52:D82)</f>
        <v>742147</v>
      </c>
      <c r="AH83" s="33"/>
      <c r="AI83" s="213"/>
      <c r="AJ83" s="50"/>
      <c r="AK83" s="10"/>
      <c r="AL83" s="23">
        <f t="shared" si="39"/>
        <v>15461</v>
      </c>
      <c r="AM83" s="24"/>
      <c r="AN83" s="24"/>
      <c r="AO83" s="24">
        <v>178263</v>
      </c>
      <c r="AP83" s="24">
        <v>615328</v>
      </c>
      <c r="AQ83" s="24"/>
      <c r="AR83" s="25">
        <f t="shared" si="40"/>
        <v>2.5774046580325307E-2</v>
      </c>
      <c r="AS83" s="25"/>
      <c r="AT83" s="25"/>
      <c r="AU83" s="24"/>
      <c r="AV83" s="298">
        <f t="shared" si="46"/>
        <v>0.25169774738107997</v>
      </c>
      <c r="AW83" s="298"/>
      <c r="AX83" s="24">
        <f t="shared" si="47"/>
        <v>8315.2432432432433</v>
      </c>
      <c r="AY83" s="308"/>
      <c r="AZ83" s="10"/>
      <c r="BA83" s="65">
        <f t="shared" si="41"/>
        <v>477486</v>
      </c>
      <c r="BB83" s="66"/>
      <c r="BC83" s="66">
        <v>18150053</v>
      </c>
      <c r="BD83" s="66"/>
      <c r="BE83" s="66">
        <f t="shared" si="48"/>
        <v>22153</v>
      </c>
      <c r="BF83" s="66"/>
      <c r="BG83" s="144">
        <f t="shared" si="42"/>
        <v>4.6395077552011998E-2</v>
      </c>
      <c r="BH83" s="66"/>
      <c r="BI83" s="170"/>
      <c r="BJ83" s="66"/>
      <c r="BK83" s="66">
        <f>SUM(BA76:BA83)</f>
        <v>3400297</v>
      </c>
      <c r="BL83" s="66"/>
      <c r="BM83" s="144"/>
      <c r="BN83" s="65">
        <f t="shared" si="49"/>
        <v>245270.98648648648</v>
      </c>
      <c r="BO83" s="66"/>
      <c r="BP83" s="66">
        <f t="shared" si="50"/>
        <v>1607001</v>
      </c>
      <c r="BQ83" s="66"/>
      <c r="BR83" s="73">
        <f t="shared" si="51"/>
        <v>8.8539741454198503E-2</v>
      </c>
      <c r="BS83" s="66"/>
      <c r="BT83" s="75"/>
      <c r="BU83" s="170"/>
      <c r="BV83" s="1"/>
      <c r="BW83">
        <f t="shared" si="53"/>
        <v>74</v>
      </c>
    </row>
    <row r="84" spans="2:75" x14ac:dyDescent="0.3">
      <c r="B84" s="158">
        <f t="shared" si="52"/>
        <v>43984</v>
      </c>
      <c r="C84" s="61"/>
      <c r="D84" s="17">
        <v>21882</v>
      </c>
      <c r="E84" s="16"/>
      <c r="F84" s="16"/>
      <c r="G84" s="16"/>
      <c r="H84" s="16">
        <f t="shared" si="36"/>
        <v>2466592</v>
      </c>
      <c r="I84" s="16"/>
      <c r="J84" s="38">
        <f t="shared" si="37"/>
        <v>8.9507548952636514E-3</v>
      </c>
      <c r="K84" s="16"/>
      <c r="L84" s="16"/>
      <c r="M84" s="16"/>
      <c r="N84" s="16"/>
      <c r="O84" s="16">
        <f t="shared" si="43"/>
        <v>32887.893333333333</v>
      </c>
      <c r="P84" s="41"/>
      <c r="Q84" s="17"/>
      <c r="R84" s="16"/>
      <c r="S84" s="60"/>
      <c r="T84" s="16"/>
      <c r="U84" s="41"/>
      <c r="V84" s="10"/>
      <c r="W84" s="34">
        <v>1134</v>
      </c>
      <c r="X84" s="33"/>
      <c r="Y84" s="33"/>
      <c r="Z84" s="33"/>
      <c r="AA84" s="33">
        <f t="shared" si="38"/>
        <v>113517</v>
      </c>
      <c r="AB84" s="33"/>
      <c r="AC84" s="46">
        <f t="shared" si="44"/>
        <v>4.6021798497684258E-2</v>
      </c>
      <c r="AD84" s="33"/>
      <c r="AE84" s="33">
        <f t="shared" si="45"/>
        <v>1513.56</v>
      </c>
      <c r="AF84" s="50"/>
      <c r="AG84" s="33">
        <f>SUM(AH52:AH82)</f>
        <v>42339</v>
      </c>
      <c r="AH84" s="33"/>
      <c r="AI84" s="213"/>
      <c r="AJ84" s="50"/>
      <c r="AK84" s="10"/>
      <c r="AL84" s="23">
        <f t="shared" si="39"/>
        <v>30348</v>
      </c>
      <c r="AM84" s="24"/>
      <c r="AN84" s="24"/>
      <c r="AO84" s="24">
        <v>178263</v>
      </c>
      <c r="AP84" s="24">
        <v>645676</v>
      </c>
      <c r="AQ84" s="24"/>
      <c r="AR84" s="25">
        <f t="shared" si="40"/>
        <v>4.9320037443444799E-2</v>
      </c>
      <c r="AS84" s="25"/>
      <c r="AT84" s="25"/>
      <c r="AU84" s="24"/>
      <c r="AV84" s="298">
        <f t="shared" si="46"/>
        <v>0.26176846434270445</v>
      </c>
      <c r="AW84" s="298"/>
      <c r="AX84" s="24">
        <f t="shared" si="47"/>
        <v>8609.0133333333342</v>
      </c>
      <c r="AY84" s="308"/>
      <c r="AZ84" s="10"/>
      <c r="BA84" s="65">
        <f t="shared" si="41"/>
        <v>453121</v>
      </c>
      <c r="BB84" s="66"/>
      <c r="BC84" s="66">
        <v>18603174</v>
      </c>
      <c r="BD84" s="66"/>
      <c r="BE84" s="66">
        <f t="shared" si="48"/>
        <v>21882</v>
      </c>
      <c r="BF84" s="66"/>
      <c r="BG84" s="144">
        <f t="shared" si="42"/>
        <v>4.8291736644295896E-2</v>
      </c>
      <c r="BH84" s="66"/>
      <c r="BI84" s="170"/>
      <c r="BJ84" s="66"/>
      <c r="BK84" s="66">
        <f>+BK82+BK75+BK68+BK61</f>
        <v>10475827</v>
      </c>
      <c r="BL84" s="66"/>
      <c r="BM84" s="144"/>
      <c r="BN84" s="65">
        <f t="shared" si="49"/>
        <v>248042.32</v>
      </c>
      <c r="BO84" s="66"/>
      <c r="BP84" s="66">
        <f t="shared" si="50"/>
        <v>1628883</v>
      </c>
      <c r="BQ84" s="66"/>
      <c r="BR84" s="73">
        <f t="shared" si="51"/>
        <v>8.7559413248513393E-2</v>
      </c>
      <c r="BS84" s="66"/>
      <c r="BT84" s="75"/>
      <c r="BU84" s="170"/>
      <c r="BV84" s="1"/>
      <c r="BW84">
        <f t="shared" si="53"/>
        <v>75</v>
      </c>
    </row>
    <row r="85" spans="2:75" x14ac:dyDescent="0.3">
      <c r="B85" s="158">
        <f t="shared" si="52"/>
        <v>43985</v>
      </c>
      <c r="C85" s="61"/>
      <c r="D85" s="17">
        <v>20578</v>
      </c>
      <c r="E85" s="16"/>
      <c r="F85" s="16"/>
      <c r="G85" s="16"/>
      <c r="H85" s="16">
        <f t="shared" si="36"/>
        <v>2487170</v>
      </c>
      <c r="I85" s="16"/>
      <c r="J85" s="38">
        <f t="shared" si="37"/>
        <v>8.3426849677611867E-3</v>
      </c>
      <c r="K85" s="16"/>
      <c r="L85" s="16"/>
      <c r="M85" s="16"/>
      <c r="N85" s="16"/>
      <c r="O85" s="16">
        <f t="shared" si="43"/>
        <v>32725.92105263158</v>
      </c>
      <c r="P85" s="41"/>
      <c r="Q85" s="17"/>
      <c r="R85" s="16"/>
      <c r="S85" s="60"/>
      <c r="T85" s="16"/>
      <c r="U85" s="41"/>
      <c r="V85" s="10"/>
      <c r="W85" s="34">
        <v>1083</v>
      </c>
      <c r="X85" s="33"/>
      <c r="Y85" s="33"/>
      <c r="Z85" s="33"/>
      <c r="AA85" s="33">
        <f t="shared" si="38"/>
        <v>114600</v>
      </c>
      <c r="AB85" s="33"/>
      <c r="AC85" s="46">
        <f t="shared" si="44"/>
        <v>4.6076464415379728E-2</v>
      </c>
      <c r="AD85" s="33"/>
      <c r="AE85" s="33">
        <f t="shared" si="45"/>
        <v>1507.8947368421052</v>
      </c>
      <c r="AF85" s="50"/>
      <c r="AG85" s="213">
        <f>+AG84/AG83</f>
        <v>5.7049344671608188E-2</v>
      </c>
      <c r="AH85" s="33"/>
      <c r="AI85" s="213"/>
      <c r="AJ85" s="50"/>
      <c r="AK85" s="10"/>
      <c r="AL85" s="23">
        <f t="shared" si="39"/>
        <v>42994</v>
      </c>
      <c r="AM85" s="24"/>
      <c r="AN85" s="24"/>
      <c r="AO85" s="24">
        <v>178263</v>
      </c>
      <c r="AP85" s="24">
        <v>688670</v>
      </c>
      <c r="AQ85" s="24"/>
      <c r="AR85" s="25">
        <f t="shared" si="40"/>
        <v>6.6587576431522938E-2</v>
      </c>
      <c r="AS85" s="25"/>
      <c r="AT85" s="25"/>
      <c r="AU85" s="24"/>
      <c r="AV85" s="298">
        <f t="shared" si="46"/>
        <v>0.27688899431884428</v>
      </c>
      <c r="AW85" s="298"/>
      <c r="AX85" s="24">
        <f t="shared" si="47"/>
        <v>9061.4473684210534</v>
      </c>
      <c r="AY85" s="308"/>
      <c r="AZ85" s="10"/>
      <c r="BA85" s="65">
        <f t="shared" si="41"/>
        <v>493497</v>
      </c>
      <c r="BB85" s="66"/>
      <c r="BC85" s="66">
        <v>19096671</v>
      </c>
      <c r="BD85" s="66"/>
      <c r="BE85" s="66">
        <f t="shared" si="48"/>
        <v>20578</v>
      </c>
      <c r="BF85" s="66"/>
      <c r="BG85" s="144">
        <f t="shared" si="42"/>
        <v>4.1698328459950113E-2</v>
      </c>
      <c r="BH85" s="66"/>
      <c r="BI85" s="170"/>
      <c r="BJ85" s="66"/>
      <c r="BK85" s="66">
        <f>+BK84/4</f>
        <v>2618956.75</v>
      </c>
      <c r="BL85" s="66"/>
      <c r="BM85" s="144"/>
      <c r="BN85" s="65">
        <f t="shared" si="49"/>
        <v>251271.98684210525</v>
      </c>
      <c r="BO85" s="66"/>
      <c r="BP85" s="66">
        <f t="shared" si="50"/>
        <v>1649461</v>
      </c>
      <c r="BQ85" s="66"/>
      <c r="BR85" s="73">
        <f t="shared" si="51"/>
        <v>8.6374269106903503E-2</v>
      </c>
      <c r="BS85" s="66"/>
      <c r="BT85" s="75"/>
      <c r="BU85" s="170"/>
      <c r="BV85" s="1"/>
      <c r="BW85">
        <f t="shared" si="53"/>
        <v>76</v>
      </c>
    </row>
    <row r="86" spans="2:75" x14ac:dyDescent="0.3">
      <c r="B86" s="158">
        <f t="shared" si="52"/>
        <v>43986</v>
      </c>
      <c r="C86" s="61"/>
      <c r="D86" s="17">
        <v>22268</v>
      </c>
      <c r="E86" s="16"/>
      <c r="F86" s="16"/>
      <c r="G86" s="16"/>
      <c r="H86" s="16">
        <f t="shared" si="36"/>
        <v>2509438</v>
      </c>
      <c r="I86" s="16"/>
      <c r="J86" s="38">
        <f t="shared" si="37"/>
        <v>8.9531475532432445E-3</v>
      </c>
      <c r="K86" s="16"/>
      <c r="L86" s="16"/>
      <c r="M86" s="16"/>
      <c r="N86" s="16"/>
      <c r="O86" s="16">
        <f t="shared" si="43"/>
        <v>32590.103896103898</v>
      </c>
      <c r="P86" s="41"/>
      <c r="Q86" s="17"/>
      <c r="R86" s="16"/>
      <c r="S86" s="60"/>
      <c r="T86" s="16"/>
      <c r="U86" s="41"/>
      <c r="V86" s="10"/>
      <c r="W86" s="34">
        <v>1031</v>
      </c>
      <c r="X86" s="33"/>
      <c r="Y86" s="33"/>
      <c r="Z86" s="33"/>
      <c r="AA86" s="33">
        <f t="shared" si="38"/>
        <v>115631</v>
      </c>
      <c r="AB86" s="33"/>
      <c r="AC86" s="46">
        <f t="shared" si="44"/>
        <v>4.6078444655735663E-2</v>
      </c>
      <c r="AD86" s="33"/>
      <c r="AE86" s="33">
        <f t="shared" si="45"/>
        <v>1501.7012987012988</v>
      </c>
      <c r="AF86" s="50"/>
      <c r="AG86" s="33"/>
      <c r="AH86" s="33"/>
      <c r="AI86" s="213"/>
      <c r="AJ86" s="50"/>
      <c r="AK86" s="10"/>
      <c r="AL86" s="23">
        <f t="shared" si="39"/>
        <v>23582</v>
      </c>
      <c r="AM86" s="24"/>
      <c r="AN86" s="24"/>
      <c r="AO86" s="24">
        <v>178263</v>
      </c>
      <c r="AP86" s="24">
        <v>712252</v>
      </c>
      <c r="AQ86" s="24"/>
      <c r="AR86" s="25">
        <f t="shared" si="40"/>
        <v>3.4242815862459523E-2</v>
      </c>
      <c r="AS86" s="25"/>
      <c r="AT86" s="25"/>
      <c r="AU86" s="24"/>
      <c r="AV86" s="298">
        <f t="shared" si="46"/>
        <v>0.28382928767317622</v>
      </c>
      <c r="AW86" s="298"/>
      <c r="AX86" s="24">
        <f t="shared" si="47"/>
        <v>9250.0259740259735</v>
      </c>
      <c r="AY86" s="308"/>
      <c r="AZ86" s="10"/>
      <c r="BA86" s="65">
        <f t="shared" si="41"/>
        <v>471398</v>
      </c>
      <c r="BB86" s="66"/>
      <c r="BC86" s="66">
        <v>19568069</v>
      </c>
      <c r="BD86" s="66"/>
      <c r="BE86" s="66">
        <f t="shared" si="48"/>
        <v>22268</v>
      </c>
      <c r="BF86" s="66"/>
      <c r="BG86" s="144">
        <f t="shared" si="42"/>
        <v>4.7238214841810955E-2</v>
      </c>
      <c r="BH86" s="66"/>
      <c r="BI86" s="170"/>
      <c r="BJ86" s="66"/>
      <c r="BK86" s="66"/>
      <c r="BL86" s="66"/>
      <c r="BM86" s="144"/>
      <c r="BN86" s="65">
        <f t="shared" si="49"/>
        <v>254130.76623376625</v>
      </c>
      <c r="BO86" s="66"/>
      <c r="BP86" s="66">
        <f t="shared" si="50"/>
        <v>1671729</v>
      </c>
      <c r="BQ86" s="66"/>
      <c r="BR86" s="73">
        <f t="shared" si="51"/>
        <v>8.5431475124091188E-2</v>
      </c>
      <c r="BS86" s="66"/>
      <c r="BT86" s="75"/>
      <c r="BU86" s="170"/>
      <c r="BV86" s="1"/>
      <c r="BW86">
        <f t="shared" si="53"/>
        <v>77</v>
      </c>
    </row>
    <row r="87" spans="2:75" x14ac:dyDescent="0.3">
      <c r="B87" s="158">
        <f t="shared" si="52"/>
        <v>43987</v>
      </c>
      <c r="C87" s="61"/>
      <c r="D87" s="17">
        <v>25393</v>
      </c>
      <c r="E87" s="16"/>
      <c r="F87" s="16"/>
      <c r="G87" s="16"/>
      <c r="H87" s="16">
        <f t="shared" si="36"/>
        <v>2534831</v>
      </c>
      <c r="I87" s="16"/>
      <c r="J87" s="38">
        <f t="shared" si="37"/>
        <v>1.0118998755896738E-2</v>
      </c>
      <c r="K87" s="16"/>
      <c r="L87" s="16"/>
      <c r="M87" s="16"/>
      <c r="N87" s="16"/>
      <c r="O87" s="16">
        <f t="shared" si="43"/>
        <v>32497.833333333332</v>
      </c>
      <c r="P87" s="41"/>
      <c r="Q87" s="17"/>
      <c r="R87" s="16"/>
      <c r="S87" s="60"/>
      <c r="T87" s="16"/>
      <c r="U87" s="41"/>
      <c r="V87" s="10"/>
      <c r="W87" s="34">
        <v>975</v>
      </c>
      <c r="X87" s="33"/>
      <c r="Y87" s="33"/>
      <c r="Z87" s="33"/>
      <c r="AA87" s="33">
        <f t="shared" si="38"/>
        <v>116606</v>
      </c>
      <c r="AB87" s="33"/>
      <c r="AC87" s="46">
        <f t="shared" si="44"/>
        <v>4.6001488856653561E-2</v>
      </c>
      <c r="AD87" s="33"/>
      <c r="AE87" s="33">
        <f t="shared" si="45"/>
        <v>1494.948717948718</v>
      </c>
      <c r="AF87" s="50"/>
      <c r="AG87" s="33"/>
      <c r="AH87" s="33"/>
      <c r="AI87" s="213"/>
      <c r="AJ87" s="50"/>
      <c r="AK87" s="10"/>
      <c r="AL87" s="23">
        <f t="shared" si="39"/>
        <v>26394</v>
      </c>
      <c r="AM87" s="24"/>
      <c r="AN87" s="24"/>
      <c r="AO87" s="24">
        <v>178263</v>
      </c>
      <c r="AP87" s="24">
        <v>738646</v>
      </c>
      <c r="AQ87" s="24"/>
      <c r="AR87" s="25">
        <f t="shared" si="40"/>
        <v>3.7057109000746928E-2</v>
      </c>
      <c r="AS87" s="25"/>
      <c r="AT87" s="25"/>
      <c r="AU87" s="24"/>
      <c r="AV87" s="298">
        <f t="shared" si="46"/>
        <v>0.29139851927012095</v>
      </c>
      <c r="AW87" s="298"/>
      <c r="AX87" s="24">
        <f t="shared" si="47"/>
        <v>9469.8205128205136</v>
      </c>
      <c r="AY87" s="308"/>
      <c r="AZ87" s="10"/>
      <c r="BA87" s="65">
        <f t="shared" si="41"/>
        <v>699286</v>
      </c>
      <c r="BB87" s="66"/>
      <c r="BC87" s="66">
        <v>20267355</v>
      </c>
      <c r="BD87" s="66"/>
      <c r="BE87" s="66">
        <f t="shared" si="48"/>
        <v>25393</v>
      </c>
      <c r="BF87" s="66"/>
      <c r="BG87" s="144">
        <f t="shared" si="42"/>
        <v>3.631275329407424E-2</v>
      </c>
      <c r="BH87" s="66"/>
      <c r="BI87" s="170"/>
      <c r="BJ87" s="66"/>
      <c r="BK87" s="66"/>
      <c r="BL87" s="66"/>
      <c r="BM87" s="144"/>
      <c r="BN87" s="65">
        <f t="shared" si="49"/>
        <v>259837.88461538462</v>
      </c>
      <c r="BO87" s="66"/>
      <c r="BP87" s="66">
        <f t="shared" si="50"/>
        <v>1697122</v>
      </c>
      <c r="BQ87" s="66"/>
      <c r="BR87" s="73">
        <f t="shared" si="51"/>
        <v>8.3736728349604578E-2</v>
      </c>
      <c r="BS87" s="66"/>
      <c r="BT87" s="75"/>
      <c r="BU87" s="170"/>
      <c r="BV87" s="1"/>
      <c r="BW87">
        <f t="shared" si="53"/>
        <v>78</v>
      </c>
    </row>
    <row r="88" spans="2:75" x14ac:dyDescent="0.3">
      <c r="B88" s="432">
        <f t="shared" si="52"/>
        <v>43988</v>
      </c>
      <c r="C88" s="61"/>
      <c r="D88" s="17">
        <v>22836</v>
      </c>
      <c r="E88" s="16"/>
      <c r="F88" s="16"/>
      <c r="G88" s="16"/>
      <c r="H88" s="16">
        <f t="shared" si="36"/>
        <v>2557667</v>
      </c>
      <c r="I88" s="16"/>
      <c r="J88" s="38">
        <f t="shared" si="37"/>
        <v>9.0088846159763706E-3</v>
      </c>
      <c r="K88" s="16"/>
      <c r="L88" s="16"/>
      <c r="M88" s="16"/>
      <c r="N88" s="16"/>
      <c r="O88" s="16">
        <f t="shared" si="43"/>
        <v>32375.531645569619</v>
      </c>
      <c r="P88" s="41"/>
      <c r="Q88" s="17"/>
      <c r="R88" s="16"/>
      <c r="S88" s="60"/>
      <c r="T88" s="16"/>
      <c r="U88" s="41"/>
      <c r="V88" s="434"/>
      <c r="W88" s="34">
        <v>706</v>
      </c>
      <c r="X88" s="33"/>
      <c r="Y88" s="33"/>
      <c r="Z88" s="33"/>
      <c r="AA88" s="33">
        <f t="shared" si="38"/>
        <v>117312</v>
      </c>
      <c r="AB88" s="33"/>
      <c r="AC88" s="46">
        <f t="shared" si="44"/>
        <v>4.5866799704574523E-2</v>
      </c>
      <c r="AD88" s="33"/>
      <c r="AE88" s="33">
        <f t="shared" si="45"/>
        <v>1484.9620253164558</v>
      </c>
      <c r="AF88" s="50"/>
      <c r="AG88" s="33"/>
      <c r="AH88" s="33"/>
      <c r="AI88" s="213"/>
      <c r="AJ88" s="50"/>
      <c r="AK88" s="10"/>
      <c r="AL88" s="23">
        <f t="shared" si="39"/>
        <v>13049</v>
      </c>
      <c r="AM88" s="24"/>
      <c r="AN88" s="24"/>
      <c r="AO88" s="24">
        <v>178263</v>
      </c>
      <c r="AP88" s="24">
        <v>751695</v>
      </c>
      <c r="AQ88" s="24"/>
      <c r="AR88" s="25">
        <f t="shared" si="40"/>
        <v>1.7666107986775804E-2</v>
      </c>
      <c r="AS88" s="25"/>
      <c r="AT88" s="25"/>
      <c r="AU88" s="24"/>
      <c r="AV88" s="298">
        <f t="shared" si="46"/>
        <v>0.29389869752395442</v>
      </c>
      <c r="AW88" s="298"/>
      <c r="AX88" s="24">
        <f t="shared" si="47"/>
        <v>9515.1265822784808</v>
      </c>
      <c r="AY88" s="308"/>
      <c r="AZ88" s="10"/>
      <c r="BA88" s="65">
        <f t="shared" si="41"/>
        <v>551073</v>
      </c>
      <c r="BB88" s="66"/>
      <c r="BC88" s="66">
        <v>20818428</v>
      </c>
      <c r="BD88" s="66"/>
      <c r="BE88" s="66">
        <f t="shared" si="48"/>
        <v>22836</v>
      </c>
      <c r="BF88" s="66"/>
      <c r="BG88" s="144">
        <f t="shared" si="42"/>
        <v>4.1439155973890938E-2</v>
      </c>
      <c r="BH88" s="66"/>
      <c r="BI88" s="170"/>
      <c r="BJ88" s="66"/>
      <c r="BK88" s="66"/>
      <c r="BL88" s="66"/>
      <c r="BM88" s="144"/>
      <c r="BN88" s="65">
        <f t="shared" si="49"/>
        <v>263524.40506329114</v>
      </c>
      <c r="BO88" s="66"/>
      <c r="BP88" s="66">
        <f t="shared" si="50"/>
        <v>1719958</v>
      </c>
      <c r="BQ88" s="66"/>
      <c r="BR88" s="73">
        <f t="shared" si="51"/>
        <v>8.2617092894814156E-2</v>
      </c>
      <c r="BS88" s="66"/>
      <c r="BT88" s="75"/>
      <c r="BU88" s="170"/>
      <c r="BV88" s="1"/>
      <c r="BW88">
        <f t="shared" si="53"/>
        <v>79</v>
      </c>
    </row>
    <row r="89" spans="2:75" x14ac:dyDescent="0.3">
      <c r="B89" s="347">
        <f t="shared" si="52"/>
        <v>43989</v>
      </c>
      <c r="C89" s="61"/>
      <c r="D89" s="17">
        <v>18375</v>
      </c>
      <c r="E89" s="16"/>
      <c r="F89" s="16"/>
      <c r="G89" s="16"/>
      <c r="H89" s="16">
        <f t="shared" si="36"/>
        <v>2576042</v>
      </c>
      <c r="I89" s="16"/>
      <c r="J89" s="38">
        <f t="shared" si="37"/>
        <v>7.1842816128917485E-3</v>
      </c>
      <c r="K89" s="16"/>
      <c r="L89" s="16"/>
      <c r="M89" s="16"/>
      <c r="N89" s="16"/>
      <c r="O89" s="16">
        <f t="shared" si="43"/>
        <v>32200.525000000001</v>
      </c>
      <c r="P89" s="41"/>
      <c r="Q89" s="17">
        <f>SUM(D83:D89)</f>
        <v>153485</v>
      </c>
      <c r="R89" s="16"/>
      <c r="S89" s="60">
        <f>+(Q89-Q82)/Q82</f>
        <v>1.8250693274244695E-2</v>
      </c>
      <c r="T89" s="16"/>
      <c r="U89" s="41"/>
      <c r="V89" s="348"/>
      <c r="W89" s="34">
        <v>542</v>
      </c>
      <c r="X89" s="33"/>
      <c r="Y89" s="33"/>
      <c r="Z89" s="33"/>
      <c r="AA89" s="33">
        <f t="shared" si="38"/>
        <v>117854</v>
      </c>
      <c r="AB89" s="33"/>
      <c r="AC89" s="46">
        <f t="shared" si="44"/>
        <v>4.5750030473105642E-2</v>
      </c>
      <c r="AD89" s="33"/>
      <c r="AE89" s="33">
        <f t="shared" si="45"/>
        <v>1473.175</v>
      </c>
      <c r="AF89" s="50"/>
      <c r="AG89" s="33">
        <f>SUM(W83:W89)</f>
        <v>6201</v>
      </c>
      <c r="AH89" s="33"/>
      <c r="AI89" s="213">
        <f>+(AG89-AG82)/AG82</f>
        <v>-0.10065264684554025</v>
      </c>
      <c r="AJ89" s="50"/>
      <c r="AK89" s="348"/>
      <c r="AL89" s="23">
        <f t="shared" si="39"/>
        <v>10013</v>
      </c>
      <c r="AM89" s="24"/>
      <c r="AN89" s="24"/>
      <c r="AO89" s="24">
        <v>178263</v>
      </c>
      <c r="AP89" s="24">
        <v>761708</v>
      </c>
      <c r="AQ89" s="24"/>
      <c r="AR89" s="25">
        <f t="shared" si="40"/>
        <v>1.3320562196103473E-2</v>
      </c>
      <c r="AS89" s="25"/>
      <c r="AT89" s="25"/>
      <c r="AU89" s="24"/>
      <c r="AV89" s="298">
        <f t="shared" si="46"/>
        <v>0.29568927835803921</v>
      </c>
      <c r="AW89" s="298"/>
      <c r="AX89" s="24">
        <f t="shared" si="47"/>
        <v>9521.35</v>
      </c>
      <c r="AY89" s="308"/>
      <c r="AZ89" s="348"/>
      <c r="BA89" s="65">
        <f t="shared" si="41"/>
        <v>473249</v>
      </c>
      <c r="BB89" s="66"/>
      <c r="BC89" s="66">
        <v>21291677</v>
      </c>
      <c r="BD89" s="66"/>
      <c r="BE89" s="66">
        <f t="shared" si="48"/>
        <v>18375</v>
      </c>
      <c r="BF89" s="66"/>
      <c r="BG89" s="144">
        <f t="shared" si="42"/>
        <v>3.8827340364163472E-2</v>
      </c>
      <c r="BH89" s="66"/>
      <c r="BI89" s="170"/>
      <c r="BJ89" s="66"/>
      <c r="BK89" s="66">
        <f>SUM(BA83:BA89)</f>
        <v>3619110</v>
      </c>
      <c r="BL89" s="66"/>
      <c r="BM89" s="144">
        <f>+Q89/BK89</f>
        <v>4.2409597939824982E-2</v>
      </c>
      <c r="BN89" s="65">
        <f t="shared" si="49"/>
        <v>266145.96250000002</v>
      </c>
      <c r="BO89" s="66"/>
      <c r="BP89" s="66">
        <f t="shared" si="50"/>
        <v>1738333</v>
      </c>
      <c r="BQ89" s="66"/>
      <c r="BR89" s="73">
        <f t="shared" si="51"/>
        <v>8.1643780337265118E-2</v>
      </c>
      <c r="BS89" s="66"/>
      <c r="BT89" s="75"/>
      <c r="BU89" s="170"/>
      <c r="BV89" s="1"/>
      <c r="BW89">
        <f t="shared" si="53"/>
        <v>80</v>
      </c>
    </row>
    <row r="90" spans="2:75" x14ac:dyDescent="0.3">
      <c r="B90" s="158">
        <f t="shared" si="52"/>
        <v>43990</v>
      </c>
      <c r="C90" s="61"/>
      <c r="D90" s="17">
        <v>19044</v>
      </c>
      <c r="E90" s="16"/>
      <c r="F90" s="16"/>
      <c r="G90" s="16"/>
      <c r="H90" s="16">
        <f t="shared" si="36"/>
        <v>2595086</v>
      </c>
      <c r="I90" s="16"/>
      <c r="J90" s="38">
        <f t="shared" si="37"/>
        <v>7.3927366091080813E-3</v>
      </c>
      <c r="K90" s="16"/>
      <c r="L90" s="16"/>
      <c r="M90" s="16"/>
      <c r="N90" s="16"/>
      <c r="O90" s="16">
        <f t="shared" si="43"/>
        <v>32038.0987654321</v>
      </c>
      <c r="P90" s="41"/>
      <c r="Q90" s="17"/>
      <c r="R90" s="16"/>
      <c r="S90" s="60"/>
      <c r="T90" s="16"/>
      <c r="U90" s="41"/>
      <c r="V90" s="10"/>
      <c r="W90" s="34">
        <v>586</v>
      </c>
      <c r="X90" s="33"/>
      <c r="Y90" s="33"/>
      <c r="Z90" s="33"/>
      <c r="AA90" s="33">
        <f t="shared" si="38"/>
        <v>118440</v>
      </c>
      <c r="AB90" s="33"/>
      <c r="AC90" s="46">
        <f t="shared" si="44"/>
        <v>4.5640105954099404E-2</v>
      </c>
      <c r="AD90" s="33"/>
      <c r="AE90" s="33">
        <f t="shared" si="45"/>
        <v>1462.2222222222222</v>
      </c>
      <c r="AF90" s="50"/>
      <c r="AG90" s="33"/>
      <c r="AH90" s="33"/>
      <c r="AI90" s="213"/>
      <c r="AJ90" s="50"/>
      <c r="AK90" s="10"/>
      <c r="AL90" s="23">
        <f t="shared" si="39"/>
        <v>11772</v>
      </c>
      <c r="AM90" s="24"/>
      <c r="AN90" s="24"/>
      <c r="AO90" s="24">
        <v>178263</v>
      </c>
      <c r="AP90" s="24">
        <v>773480</v>
      </c>
      <c r="AQ90" s="24"/>
      <c r="AR90" s="25">
        <f t="shared" si="40"/>
        <v>1.545474118691152E-2</v>
      </c>
      <c r="AS90" s="25"/>
      <c r="AT90" s="25"/>
      <c r="AU90" s="24"/>
      <c r="AV90" s="298">
        <f t="shared" si="46"/>
        <v>0.29805563283837222</v>
      </c>
      <c r="AW90" s="298"/>
      <c r="AX90" s="24">
        <f t="shared" si="47"/>
        <v>9549.1358024691363</v>
      </c>
      <c r="AY90" s="308"/>
      <c r="AZ90" s="10"/>
      <c r="BA90" s="65">
        <f t="shared" si="41"/>
        <v>433387</v>
      </c>
      <c r="BB90" s="66"/>
      <c r="BC90" s="66">
        <v>21725064</v>
      </c>
      <c r="BD90" s="66"/>
      <c r="BE90" s="66">
        <f t="shared" si="48"/>
        <v>19044</v>
      </c>
      <c r="BF90" s="66"/>
      <c r="BG90" s="144">
        <f t="shared" si="42"/>
        <v>4.3942250229010098E-2</v>
      </c>
      <c r="BH90" s="66"/>
      <c r="BI90" s="170"/>
      <c r="BJ90" s="66"/>
      <c r="BK90" s="66"/>
      <c r="BL90" s="66"/>
      <c r="BM90" s="144"/>
      <c r="BN90" s="65">
        <f t="shared" si="49"/>
        <v>268210.66666666669</v>
      </c>
      <c r="BO90" s="66"/>
      <c r="BP90" s="66">
        <f t="shared" si="50"/>
        <v>1757377</v>
      </c>
      <c r="BQ90" s="66"/>
      <c r="BR90" s="73">
        <f t="shared" si="51"/>
        <v>8.0891683449125854E-2</v>
      </c>
      <c r="BS90" s="66"/>
      <c r="BT90" s="75"/>
      <c r="BU90" s="170"/>
      <c r="BV90" s="1"/>
      <c r="BW90">
        <f t="shared" si="53"/>
        <v>81</v>
      </c>
    </row>
    <row r="91" spans="2:75" x14ac:dyDescent="0.3">
      <c r="B91" s="158">
        <f t="shared" si="52"/>
        <v>43991</v>
      </c>
      <c r="C91" s="61"/>
      <c r="D91" s="17">
        <v>19056</v>
      </c>
      <c r="E91" s="16"/>
      <c r="F91" s="16"/>
      <c r="G91" s="16"/>
      <c r="H91" s="16">
        <f t="shared" si="36"/>
        <v>2614142</v>
      </c>
      <c r="I91" s="16"/>
      <c r="J91" s="38">
        <f t="shared" si="37"/>
        <v>7.343109245705152E-3</v>
      </c>
      <c r="K91" s="16"/>
      <c r="L91" s="16"/>
      <c r="M91" s="16"/>
      <c r="N91" s="16"/>
      <c r="O91" s="16">
        <f t="shared" si="43"/>
        <v>31879.780487804877</v>
      </c>
      <c r="P91" s="41"/>
      <c r="Q91" s="17"/>
      <c r="R91" s="16"/>
      <c r="S91" s="60"/>
      <c r="T91" s="16"/>
      <c r="U91" s="41"/>
      <c r="V91" s="10"/>
      <c r="W91" s="34">
        <v>1093</v>
      </c>
      <c r="X91" s="33"/>
      <c r="Y91" s="33"/>
      <c r="Z91" s="33"/>
      <c r="AA91" s="33">
        <f t="shared" si="38"/>
        <v>119533</v>
      </c>
      <c r="AB91" s="33"/>
      <c r="AC91" s="46">
        <f t="shared" si="44"/>
        <v>4.5725519118701277E-2</v>
      </c>
      <c r="AD91" s="33"/>
      <c r="AE91" s="33">
        <f t="shared" si="45"/>
        <v>1457.719512195122</v>
      </c>
      <c r="AF91" s="50"/>
      <c r="AG91" s="33"/>
      <c r="AH91" s="33"/>
      <c r="AI91" s="213"/>
      <c r="AJ91" s="50"/>
      <c r="AK91" s="10"/>
      <c r="AL91" s="23">
        <f t="shared" si="39"/>
        <v>15382</v>
      </c>
      <c r="AM91" s="24"/>
      <c r="AN91" s="24"/>
      <c r="AO91" s="24">
        <v>178263</v>
      </c>
      <c r="AP91" s="24">
        <v>788862</v>
      </c>
      <c r="AQ91" s="24"/>
      <c r="AR91" s="25">
        <f t="shared" si="40"/>
        <v>1.988674561721053E-2</v>
      </c>
      <c r="AS91" s="25"/>
      <c r="AT91" s="25"/>
      <c r="AU91" s="24"/>
      <c r="AV91" s="298">
        <f t="shared" si="46"/>
        <v>0.30176708074771763</v>
      </c>
      <c r="AW91" s="298"/>
      <c r="AX91" s="24">
        <f t="shared" si="47"/>
        <v>9620.2682926829275</v>
      </c>
      <c r="AY91" s="308"/>
      <c r="AZ91" s="10"/>
      <c r="BA91" s="65">
        <f t="shared" si="41"/>
        <v>415612</v>
      </c>
      <c r="BB91" s="66"/>
      <c r="BC91" s="66">
        <v>22140676</v>
      </c>
      <c r="BD91" s="66"/>
      <c r="BE91" s="66">
        <f t="shared" si="48"/>
        <v>19056</v>
      </c>
      <c r="BF91" s="66"/>
      <c r="BG91" s="144">
        <f t="shared" si="42"/>
        <v>4.5850456675938137E-2</v>
      </c>
      <c r="BH91" s="66"/>
      <c r="BI91" s="170"/>
      <c r="BJ91" s="66"/>
      <c r="BK91" s="66"/>
      <c r="BL91" s="66"/>
      <c r="BM91" s="144"/>
      <c r="BN91" s="65">
        <f t="shared" si="49"/>
        <v>270008.24390243902</v>
      </c>
      <c r="BO91" s="66"/>
      <c r="BP91" s="66">
        <f t="shared" si="50"/>
        <v>1776433</v>
      </c>
      <c r="BQ91" s="66"/>
      <c r="BR91" s="73">
        <f t="shared" si="51"/>
        <v>8.0233909750542398E-2</v>
      </c>
      <c r="BS91" s="66"/>
      <c r="BT91" s="75"/>
      <c r="BU91" s="170"/>
      <c r="BV91" s="1"/>
      <c r="BW91">
        <f t="shared" si="53"/>
        <v>82</v>
      </c>
    </row>
    <row r="92" spans="2:75" x14ac:dyDescent="0.3">
      <c r="B92" s="158">
        <f t="shared" si="52"/>
        <v>43992</v>
      </c>
      <c r="C92" s="61"/>
      <c r="D92" s="17">
        <v>20852</v>
      </c>
      <c r="E92" s="16"/>
      <c r="F92" s="16"/>
      <c r="G92" s="16"/>
      <c r="H92" s="16">
        <f t="shared" si="36"/>
        <v>2634994</v>
      </c>
      <c r="I92" s="16"/>
      <c r="J92" s="38">
        <f t="shared" si="37"/>
        <v>7.9766133591824776E-3</v>
      </c>
      <c r="K92" s="16"/>
      <c r="L92" s="16"/>
      <c r="M92" s="16"/>
      <c r="N92" s="16"/>
      <c r="O92" s="16">
        <f t="shared" si="43"/>
        <v>31746.915662650601</v>
      </c>
      <c r="P92" s="41"/>
      <c r="Q92" s="17"/>
      <c r="R92" s="16"/>
      <c r="S92" s="60"/>
      <c r="T92" s="16"/>
      <c r="U92" s="41"/>
      <c r="V92" s="10"/>
      <c r="W92" s="34">
        <v>982</v>
      </c>
      <c r="X92" s="33"/>
      <c r="Y92" s="33"/>
      <c r="Z92" s="33"/>
      <c r="AA92" s="33">
        <f t="shared" si="38"/>
        <v>120515</v>
      </c>
      <c r="AB92" s="33"/>
      <c r="AC92" s="46">
        <f t="shared" si="44"/>
        <v>4.5736347027735165E-2</v>
      </c>
      <c r="AD92" s="33"/>
      <c r="AE92" s="33">
        <f t="shared" si="45"/>
        <v>1451.9879518072289</v>
      </c>
      <c r="AF92" s="50"/>
      <c r="AG92" s="33"/>
      <c r="AH92" s="33"/>
      <c r="AI92" s="213"/>
      <c r="AJ92" s="50"/>
      <c r="AK92" s="10"/>
      <c r="AL92" s="23">
        <f t="shared" si="39"/>
        <v>19632</v>
      </c>
      <c r="AM92" s="24"/>
      <c r="AN92" s="24"/>
      <c r="AO92" s="24">
        <v>178263</v>
      </c>
      <c r="AP92" s="24">
        <v>808494</v>
      </c>
      <c r="AQ92" s="24"/>
      <c r="AR92" s="25">
        <f t="shared" si="40"/>
        <v>2.4886482046289467E-2</v>
      </c>
      <c r="AS92" s="25"/>
      <c r="AT92" s="25"/>
      <c r="AU92" s="24"/>
      <c r="AV92" s="298">
        <f t="shared" si="46"/>
        <v>0.30682954116783567</v>
      </c>
      <c r="AW92" s="298"/>
      <c r="AX92" s="24">
        <f t="shared" si="47"/>
        <v>9740.8915662650597</v>
      </c>
      <c r="AY92" s="308"/>
      <c r="AZ92" s="10"/>
      <c r="BA92" s="65">
        <f t="shared" si="41"/>
        <v>485082</v>
      </c>
      <c r="BB92" s="66"/>
      <c r="BC92" s="66">
        <v>22625758</v>
      </c>
      <c r="BD92" s="66"/>
      <c r="BE92" s="66">
        <f t="shared" si="48"/>
        <v>20852</v>
      </c>
      <c r="BF92" s="66"/>
      <c r="BG92" s="144">
        <f t="shared" si="42"/>
        <v>4.298654660449161E-2</v>
      </c>
      <c r="BH92" s="66"/>
      <c r="BI92" s="170"/>
      <c r="BJ92" s="66"/>
      <c r="BK92" s="66"/>
      <c r="BL92" s="66"/>
      <c r="BM92" s="144"/>
      <c r="BN92" s="65">
        <f t="shared" si="49"/>
        <v>272599.49397590361</v>
      </c>
      <c r="BO92" s="66"/>
      <c r="BP92" s="66">
        <f t="shared" si="50"/>
        <v>1797285</v>
      </c>
      <c r="BQ92" s="66"/>
      <c r="BR92" s="73">
        <f t="shared" si="51"/>
        <v>7.9435349746072595E-2</v>
      </c>
      <c r="BS92" s="66"/>
      <c r="BT92" s="75"/>
      <c r="BU92" s="170"/>
      <c r="BV92" s="1"/>
      <c r="BW92">
        <f t="shared" si="53"/>
        <v>83</v>
      </c>
    </row>
    <row r="93" spans="2:75" x14ac:dyDescent="0.3">
      <c r="B93" s="158">
        <f t="shared" si="52"/>
        <v>43993</v>
      </c>
      <c r="C93" s="61"/>
      <c r="D93" s="17">
        <v>23300</v>
      </c>
      <c r="E93" s="16"/>
      <c r="F93" s="16"/>
      <c r="G93" s="16"/>
      <c r="H93" s="16">
        <f t="shared" si="36"/>
        <v>2658294</v>
      </c>
      <c r="I93" s="16"/>
      <c r="J93" s="38">
        <f t="shared" si="37"/>
        <v>8.8425248786145241E-3</v>
      </c>
      <c r="K93" s="16"/>
      <c r="L93" s="16"/>
      <c r="M93" s="16"/>
      <c r="N93" s="16"/>
      <c r="O93" s="16">
        <f t="shared" si="43"/>
        <v>31646.357142857141</v>
      </c>
      <c r="P93" s="41"/>
      <c r="Q93" s="17"/>
      <c r="R93" s="16"/>
      <c r="S93" s="60"/>
      <c r="T93" s="16"/>
      <c r="U93" s="41"/>
      <c r="V93" s="10"/>
      <c r="W93" s="34">
        <v>904</v>
      </c>
      <c r="X93" s="33"/>
      <c r="Y93" s="33"/>
      <c r="Z93" s="33"/>
      <c r="AA93" s="33">
        <f t="shared" si="38"/>
        <v>121419</v>
      </c>
      <c r="AB93" s="33"/>
      <c r="AC93" s="46">
        <f t="shared" si="44"/>
        <v>4.5675534760263536E-2</v>
      </c>
      <c r="AD93" s="33"/>
      <c r="AE93" s="33">
        <f t="shared" si="45"/>
        <v>1445.4642857142858</v>
      </c>
      <c r="AF93" s="50"/>
      <c r="AG93" s="33"/>
      <c r="AH93" s="33"/>
      <c r="AI93" s="213"/>
      <c r="AJ93" s="50"/>
      <c r="AK93" s="10"/>
      <c r="AL93" s="23">
        <f t="shared" si="39"/>
        <v>5331</v>
      </c>
      <c r="AM93" s="24"/>
      <c r="AN93" s="24"/>
      <c r="AO93" s="24">
        <v>178263</v>
      </c>
      <c r="AP93" s="24">
        <v>813825</v>
      </c>
      <c r="AQ93" s="24"/>
      <c r="AR93" s="25">
        <f t="shared" si="40"/>
        <v>6.5937409554059773E-3</v>
      </c>
      <c r="AS93" s="25"/>
      <c r="AT93" s="25"/>
      <c r="AU93" s="24"/>
      <c r="AV93" s="298">
        <f t="shared" si="46"/>
        <v>0.30614559563389149</v>
      </c>
      <c r="AW93" s="298"/>
      <c r="AX93" s="24">
        <f t="shared" si="47"/>
        <v>9688.3928571428569</v>
      </c>
      <c r="AY93" s="308"/>
      <c r="AZ93" s="10"/>
      <c r="BA93" s="65">
        <f t="shared" si="41"/>
        <v>447712</v>
      </c>
      <c r="BB93" s="66"/>
      <c r="BC93" s="66">
        <v>23073470</v>
      </c>
      <c r="BD93" s="66"/>
      <c r="BE93" s="66">
        <f t="shared" si="48"/>
        <v>23300</v>
      </c>
      <c r="BF93" s="66"/>
      <c r="BG93" s="144">
        <f t="shared" si="42"/>
        <v>5.2042384389964974E-2</v>
      </c>
      <c r="BH93" s="66"/>
      <c r="BI93" s="170"/>
      <c r="BJ93" s="66"/>
      <c r="BK93" s="66"/>
      <c r="BL93" s="66"/>
      <c r="BM93" s="144"/>
      <c r="BN93" s="65">
        <f t="shared" si="49"/>
        <v>274684.16666666669</v>
      </c>
      <c r="BO93" s="66"/>
      <c r="BP93" s="66">
        <f t="shared" si="50"/>
        <v>1820585</v>
      </c>
      <c r="BQ93" s="66"/>
      <c r="BR93" s="73">
        <f t="shared" si="51"/>
        <v>7.8903823308761098E-2</v>
      </c>
      <c r="BS93" s="66"/>
      <c r="BT93" s="75"/>
      <c r="BU93" s="170"/>
      <c r="BV93" s="1"/>
      <c r="BW93">
        <f t="shared" si="53"/>
        <v>84</v>
      </c>
    </row>
    <row r="94" spans="2:75" x14ac:dyDescent="0.3">
      <c r="B94" s="158">
        <f t="shared" si="52"/>
        <v>43994</v>
      </c>
      <c r="C94" s="61"/>
      <c r="D94" s="17">
        <v>27221</v>
      </c>
      <c r="E94" s="16"/>
      <c r="F94" s="16"/>
      <c r="G94" s="16"/>
      <c r="H94" s="16">
        <f t="shared" si="36"/>
        <v>2685515</v>
      </c>
      <c r="I94" s="16"/>
      <c r="J94" s="38">
        <f t="shared" si="37"/>
        <v>1.0240026122016601E-2</v>
      </c>
      <c r="K94" s="16"/>
      <c r="L94" s="16"/>
      <c r="M94" s="16"/>
      <c r="N94" s="16"/>
      <c r="O94" s="16">
        <f t="shared" si="43"/>
        <v>31594.294117647059</v>
      </c>
      <c r="P94" s="41"/>
      <c r="Q94" s="17"/>
      <c r="R94" s="16"/>
      <c r="S94" s="60"/>
      <c r="T94" s="16"/>
      <c r="U94" s="41"/>
      <c r="V94" s="10"/>
      <c r="W94" s="34">
        <v>791</v>
      </c>
      <c r="X94" s="33"/>
      <c r="Y94" s="33"/>
      <c r="Z94" s="33"/>
      <c r="AA94" s="33">
        <f t="shared" si="38"/>
        <v>122210</v>
      </c>
      <c r="AB94" s="33"/>
      <c r="AC94" s="46">
        <f t="shared" si="44"/>
        <v>4.5507100127908429E-2</v>
      </c>
      <c r="AD94" s="33"/>
      <c r="AE94" s="33">
        <f t="shared" si="45"/>
        <v>1437.7647058823529</v>
      </c>
      <c r="AF94" s="50"/>
      <c r="AG94" s="33"/>
      <c r="AH94" s="33"/>
      <c r="AI94" s="213"/>
      <c r="AJ94" s="50"/>
      <c r="AK94" s="10"/>
      <c r="AL94" s="23">
        <f t="shared" si="39"/>
        <v>28109</v>
      </c>
      <c r="AM94" s="24"/>
      <c r="AN94" s="24"/>
      <c r="AO94" s="24">
        <v>178263</v>
      </c>
      <c r="AP94" s="24">
        <v>841934</v>
      </c>
      <c r="AQ94" s="24"/>
      <c r="AR94" s="25">
        <f t="shared" si="40"/>
        <v>3.4539366571437351E-2</v>
      </c>
      <c r="AS94" s="25"/>
      <c r="AT94" s="25"/>
      <c r="AU94" s="24"/>
      <c r="AV94" s="298">
        <f t="shared" si="46"/>
        <v>0.3135093268888835</v>
      </c>
      <c r="AW94" s="298"/>
      <c r="AX94" s="24">
        <f t="shared" si="47"/>
        <v>9905.105882352942</v>
      </c>
      <c r="AY94" s="308"/>
      <c r="AZ94" s="10"/>
      <c r="BA94" s="65">
        <f t="shared" si="41"/>
        <v>718721</v>
      </c>
      <c r="BB94" s="66"/>
      <c r="BC94" s="66">
        <v>23792191</v>
      </c>
      <c r="BD94" s="66"/>
      <c r="BE94" s="66">
        <f t="shared" si="48"/>
        <v>27221</v>
      </c>
      <c r="BF94" s="66"/>
      <c r="BG94" s="144">
        <f t="shared" si="42"/>
        <v>3.7874223794768763E-2</v>
      </c>
      <c r="BH94" s="66"/>
      <c r="BI94" s="170"/>
      <c r="BJ94" s="66"/>
      <c r="BK94" s="66"/>
      <c r="BL94" s="66"/>
      <c r="BM94" s="144"/>
      <c r="BN94" s="65">
        <f t="shared" si="49"/>
        <v>279908.12941176473</v>
      </c>
      <c r="BO94" s="66"/>
      <c r="BP94" s="66">
        <f t="shared" si="50"/>
        <v>1847806</v>
      </c>
      <c r="BQ94" s="66"/>
      <c r="BR94" s="73">
        <f t="shared" si="51"/>
        <v>7.7664389967279604E-2</v>
      </c>
      <c r="BS94" s="66"/>
      <c r="BT94" s="75"/>
      <c r="BU94" s="170"/>
      <c r="BV94" s="1"/>
      <c r="BW94">
        <f t="shared" si="53"/>
        <v>85</v>
      </c>
    </row>
    <row r="95" spans="2:75" x14ac:dyDescent="0.3">
      <c r="B95" s="432">
        <f t="shared" si="52"/>
        <v>43995</v>
      </c>
      <c r="C95" s="61"/>
      <c r="D95" s="17">
        <v>25302</v>
      </c>
      <c r="E95" s="16"/>
      <c r="F95" s="16"/>
      <c r="G95" s="16"/>
      <c r="H95" s="16">
        <f t="shared" si="36"/>
        <v>2710817</v>
      </c>
      <c r="I95" s="16"/>
      <c r="J95" s="38">
        <f t="shared" si="37"/>
        <v>9.4216565537708786E-3</v>
      </c>
      <c r="K95" s="16"/>
      <c r="L95" s="16"/>
      <c r="M95" s="16"/>
      <c r="N95" s="16"/>
      <c r="O95" s="16">
        <f t="shared" si="43"/>
        <v>31521.127906976744</v>
      </c>
      <c r="P95" s="41"/>
      <c r="Q95" s="17"/>
      <c r="R95" s="16"/>
      <c r="S95" s="60"/>
      <c r="T95" s="16"/>
      <c r="U95" s="41"/>
      <c r="V95" s="10"/>
      <c r="W95" s="34">
        <v>702</v>
      </c>
      <c r="X95" s="33"/>
      <c r="Y95" s="33"/>
      <c r="Z95" s="33"/>
      <c r="AA95" s="33">
        <f t="shared" si="38"/>
        <v>122912</v>
      </c>
      <c r="AB95" s="33"/>
      <c r="AC95" s="46">
        <f t="shared" si="44"/>
        <v>4.534131223169989E-2</v>
      </c>
      <c r="AD95" s="33"/>
      <c r="AE95" s="33">
        <f t="shared" si="45"/>
        <v>1429.2093023255813</v>
      </c>
      <c r="AF95" s="50"/>
      <c r="AG95" s="33"/>
      <c r="AH95" s="33"/>
      <c r="AI95" s="213"/>
      <c r="AJ95" s="50"/>
      <c r="AK95" s="10"/>
      <c r="AL95" s="23">
        <f t="shared" si="39"/>
        <v>17978</v>
      </c>
      <c r="AM95" s="24"/>
      <c r="AN95" s="24"/>
      <c r="AO95" s="24">
        <v>178263</v>
      </c>
      <c r="AP95" s="24">
        <v>859912</v>
      </c>
      <c r="AQ95" s="24"/>
      <c r="AR95" s="25">
        <f t="shared" si="40"/>
        <v>2.1353217710651903E-2</v>
      </c>
      <c r="AS95" s="25"/>
      <c r="AT95" s="25"/>
      <c r="AU95" s="24"/>
      <c r="AV95" s="298">
        <f t="shared" si="46"/>
        <v>0.31721506837237629</v>
      </c>
      <c r="AW95" s="298"/>
      <c r="AX95" s="24">
        <f t="shared" si="47"/>
        <v>9998.9767441860458</v>
      </c>
      <c r="AY95" s="308"/>
      <c r="AZ95" s="10"/>
      <c r="BA95" s="65">
        <f t="shared" si="41"/>
        <v>500980</v>
      </c>
      <c r="BB95" s="66"/>
      <c r="BC95" s="66">
        <v>24293171</v>
      </c>
      <c r="BD95" s="66"/>
      <c r="BE95" s="66">
        <f t="shared" si="48"/>
        <v>25302</v>
      </c>
      <c r="BF95" s="66"/>
      <c r="BG95" s="144">
        <f t="shared" si="42"/>
        <v>5.0505010180047105E-2</v>
      </c>
      <c r="BH95" s="66"/>
      <c r="BI95" s="170"/>
      <c r="BJ95" s="66"/>
      <c r="BK95" s="66"/>
      <c r="BL95" s="66"/>
      <c r="BM95" s="144"/>
      <c r="BN95" s="65">
        <f t="shared" si="49"/>
        <v>282478.73255813954</v>
      </c>
      <c r="BO95" s="66"/>
      <c r="BP95" s="66">
        <f t="shared" si="50"/>
        <v>1873108</v>
      </c>
      <c r="BQ95" s="66"/>
      <c r="BR95" s="73">
        <f t="shared" si="51"/>
        <v>7.7104302274906805E-2</v>
      </c>
      <c r="BS95" s="66"/>
      <c r="BT95" s="75"/>
      <c r="BU95" s="170"/>
      <c r="BV95" s="1"/>
      <c r="BW95">
        <f t="shared" si="53"/>
        <v>86</v>
      </c>
    </row>
    <row r="96" spans="2:75" x14ac:dyDescent="0.3">
      <c r="B96" s="347">
        <f t="shared" si="52"/>
        <v>43996</v>
      </c>
      <c r="C96" s="61"/>
      <c r="D96" s="17">
        <v>20004</v>
      </c>
      <c r="E96" s="16"/>
      <c r="F96" s="16"/>
      <c r="G96" s="16"/>
      <c r="H96" s="16">
        <f t="shared" si="36"/>
        <v>2730821</v>
      </c>
      <c r="I96" s="16"/>
      <c r="J96" s="38">
        <f t="shared" si="37"/>
        <v>7.3793251259675592E-3</v>
      </c>
      <c r="K96" s="16"/>
      <c r="L96" s="16"/>
      <c r="M96" s="16"/>
      <c r="N96" s="16"/>
      <c r="O96" s="16">
        <f t="shared" si="43"/>
        <v>31388.747126436781</v>
      </c>
      <c r="P96" s="41"/>
      <c r="Q96" s="17">
        <f>SUM(D90:D96)</f>
        <v>154779</v>
      </c>
      <c r="R96" s="16"/>
      <c r="S96" s="60">
        <f>+(Q96-Q89)/Q89</f>
        <v>8.4307912825357535E-3</v>
      </c>
      <c r="T96" s="16"/>
      <c r="U96" s="41"/>
      <c r="V96" s="348"/>
      <c r="W96" s="34">
        <v>331</v>
      </c>
      <c r="X96" s="33"/>
      <c r="Y96" s="33"/>
      <c r="Z96" s="33"/>
      <c r="AA96" s="33">
        <f t="shared" si="38"/>
        <v>123243</v>
      </c>
      <c r="AB96" s="33"/>
      <c r="AC96" s="46">
        <f t="shared" si="44"/>
        <v>4.5130383866243885E-2</v>
      </c>
      <c r="AD96" s="33"/>
      <c r="AE96" s="33">
        <f t="shared" si="45"/>
        <v>1416.5862068965516</v>
      </c>
      <c r="AF96" s="50"/>
      <c r="AG96" s="33">
        <f>SUM(W90:W96)</f>
        <v>5389</v>
      </c>
      <c r="AH96" s="33"/>
      <c r="AI96" s="213">
        <f>+(AG96-AG89)/AG89</f>
        <v>-0.13094662151265926</v>
      </c>
      <c r="AJ96" s="50"/>
      <c r="AK96" s="348"/>
      <c r="AL96" s="23">
        <f t="shared" si="39"/>
        <v>7937</v>
      </c>
      <c r="AM96" s="24"/>
      <c r="AN96" s="24"/>
      <c r="AO96" s="24">
        <v>178263</v>
      </c>
      <c r="AP96" s="24">
        <v>867849</v>
      </c>
      <c r="AQ96" s="24"/>
      <c r="AR96" s="25">
        <f t="shared" si="40"/>
        <v>9.2300142340146427E-3</v>
      </c>
      <c r="AS96" s="25"/>
      <c r="AT96" s="25"/>
      <c r="AU96" s="24"/>
      <c r="AV96" s="298">
        <f t="shared" si="46"/>
        <v>0.31779783442415305</v>
      </c>
      <c r="AW96" s="298"/>
      <c r="AX96" s="24">
        <f t="shared" si="47"/>
        <v>9975.2758620689656</v>
      </c>
      <c r="AY96" s="308"/>
      <c r="AZ96" s="348"/>
      <c r="BA96" s="65">
        <f t="shared" si="41"/>
        <v>497760</v>
      </c>
      <c r="BB96" s="66"/>
      <c r="BC96" s="66">
        <v>24790931</v>
      </c>
      <c r="BD96" s="66"/>
      <c r="BE96" s="66">
        <f t="shared" si="48"/>
        <v>20004</v>
      </c>
      <c r="BF96" s="66"/>
      <c r="BG96" s="144">
        <f t="shared" si="42"/>
        <v>4.0188042430086786E-2</v>
      </c>
      <c r="BH96" s="66"/>
      <c r="BI96" s="170"/>
      <c r="BJ96" s="66"/>
      <c r="BK96" s="66">
        <f>SUM(BA90:BA96)</f>
        <v>3499254</v>
      </c>
      <c r="BL96" s="66"/>
      <c r="BM96" s="144">
        <f>+Q96/BK96</f>
        <v>4.4231999163250227E-2</v>
      </c>
      <c r="BN96" s="65">
        <f t="shared" si="49"/>
        <v>284953.22988505749</v>
      </c>
      <c r="BO96" s="66"/>
      <c r="BP96" s="66">
        <f t="shared" si="50"/>
        <v>1893112</v>
      </c>
      <c r="BQ96" s="66"/>
      <c r="BR96" s="73">
        <f t="shared" si="51"/>
        <v>7.636308616243577E-2</v>
      </c>
      <c r="BS96" s="66"/>
      <c r="BT96" s="75"/>
      <c r="BU96" s="170"/>
      <c r="BV96" s="1"/>
      <c r="BW96">
        <f t="shared" si="53"/>
        <v>87</v>
      </c>
    </row>
    <row r="97" spans="2:75" x14ac:dyDescent="0.3">
      <c r="B97" s="158">
        <f t="shared" si="52"/>
        <v>43997</v>
      </c>
      <c r="C97" s="61"/>
      <c r="D97" s="17">
        <v>20722</v>
      </c>
      <c r="E97" s="16"/>
      <c r="F97" s="16"/>
      <c r="G97" s="16"/>
      <c r="H97" s="16">
        <f t="shared" ref="H97:H108" si="54">+H96+D97</f>
        <v>2751543</v>
      </c>
      <c r="I97" s="16"/>
      <c r="J97" s="38">
        <f t="shared" ref="J97:J108" si="55">+D97/H96</f>
        <v>7.5881941731076475E-3</v>
      </c>
      <c r="K97" s="16"/>
      <c r="L97" s="16"/>
      <c r="M97" s="16"/>
      <c r="N97" s="16"/>
      <c r="O97" s="16">
        <f t="shared" ref="O97:O108" si="56">+H97/BW97</f>
        <v>31267.534090909092</v>
      </c>
      <c r="P97" s="41"/>
      <c r="Q97" s="17"/>
      <c r="R97" s="16"/>
      <c r="S97" s="60"/>
      <c r="T97" s="16"/>
      <c r="U97" s="41"/>
      <c r="V97" s="10"/>
      <c r="W97" s="34">
        <v>425</v>
      </c>
      <c r="X97" s="33"/>
      <c r="Y97" s="33"/>
      <c r="Z97" s="33"/>
      <c r="AA97" s="33">
        <f t="shared" ref="AA97:AA108" si="57">+AA96+W97</f>
        <v>123668</v>
      </c>
      <c r="AB97" s="33"/>
      <c r="AC97" s="46">
        <f t="shared" ref="AC97:AC108" si="58">+AA97/H97</f>
        <v>4.4944963607692123E-2</v>
      </c>
      <c r="AD97" s="33"/>
      <c r="AE97" s="33">
        <f t="shared" ref="AE97:AE108" si="59">+AA97/BW97</f>
        <v>1405.3181818181818</v>
      </c>
      <c r="AF97" s="50"/>
      <c r="AG97" s="33"/>
      <c r="AH97" s="33"/>
      <c r="AI97" s="213"/>
      <c r="AJ97" s="50"/>
      <c r="AK97" s="10"/>
      <c r="AL97" s="23">
        <f t="shared" ref="AL97:AL108" si="60">+AP97-AP96</f>
        <v>22017</v>
      </c>
      <c r="AM97" s="24"/>
      <c r="AN97" s="24"/>
      <c r="AO97" s="24">
        <v>178263</v>
      </c>
      <c r="AP97" s="24">
        <v>889866</v>
      </c>
      <c r="AQ97" s="24"/>
      <c r="AR97" s="25">
        <f t="shared" ref="AR97:AR108" si="61">+AL97/AP96</f>
        <v>2.5369620751997179E-2</v>
      </c>
      <c r="AS97" s="25"/>
      <c r="AT97" s="25"/>
      <c r="AU97" s="24"/>
      <c r="AV97" s="298">
        <f t="shared" ref="AV97:AV108" si="62">+AP97/H97</f>
        <v>0.32340617609828376</v>
      </c>
      <c r="AW97" s="298"/>
      <c r="AX97" s="24">
        <f t="shared" ref="AX97:AX108" si="63">+AP97/BW97</f>
        <v>10112.113636363636</v>
      </c>
      <c r="AY97" s="308"/>
      <c r="AZ97" s="10"/>
      <c r="BA97" s="65">
        <f t="shared" ref="BA97:BA108" si="64">+BC97-BC96</f>
        <v>468146</v>
      </c>
      <c r="BB97" s="66"/>
      <c r="BC97" s="66">
        <v>25259077</v>
      </c>
      <c r="BD97" s="66"/>
      <c r="BE97" s="66">
        <f t="shared" ref="BE97:BE108" si="65">+D97</f>
        <v>20722</v>
      </c>
      <c r="BF97" s="66"/>
      <c r="BG97" s="144">
        <f t="shared" ref="BG97:BG108" si="66">+BE97/BA97</f>
        <v>4.4263968932768835E-2</v>
      </c>
      <c r="BH97" s="66"/>
      <c r="BI97" s="170"/>
      <c r="BJ97" s="66"/>
      <c r="BK97" s="66"/>
      <c r="BL97" s="66"/>
      <c r="BM97" s="144"/>
      <c r="BN97" s="65">
        <f t="shared" ref="BN97:BN108" si="67">+BC97/BW97</f>
        <v>287034.96590909088</v>
      </c>
      <c r="BO97" s="66"/>
      <c r="BP97" s="66">
        <f t="shared" ref="BP97:BP108" si="68">+BP96+BE97</f>
        <v>1913834</v>
      </c>
      <c r="BQ97" s="66"/>
      <c r="BR97" s="73">
        <f t="shared" ref="BR97:BR108" si="69">+BP97/BC97</f>
        <v>7.5768168409320741E-2</v>
      </c>
      <c r="BS97" s="66"/>
      <c r="BT97" s="75"/>
      <c r="BU97" s="170"/>
      <c r="BV97" s="1"/>
      <c r="BW97">
        <f t="shared" si="53"/>
        <v>88</v>
      </c>
    </row>
    <row r="98" spans="2:75" x14ac:dyDescent="0.3">
      <c r="B98" s="158">
        <f t="shared" si="52"/>
        <v>43998</v>
      </c>
      <c r="C98" s="61"/>
      <c r="D98" s="17">
        <v>25294</v>
      </c>
      <c r="E98" s="16"/>
      <c r="F98" s="16"/>
      <c r="G98" s="16"/>
      <c r="H98" s="16">
        <f t="shared" si="54"/>
        <v>2776837</v>
      </c>
      <c r="I98" s="16"/>
      <c r="J98" s="38">
        <f t="shared" si="55"/>
        <v>9.1926602637138512E-3</v>
      </c>
      <c r="K98" s="16"/>
      <c r="L98" s="16"/>
      <c r="M98" s="16"/>
      <c r="N98" s="16"/>
      <c r="O98" s="16">
        <f t="shared" si="56"/>
        <v>31200.415730337078</v>
      </c>
      <c r="P98" s="41"/>
      <c r="Q98" s="17"/>
      <c r="R98" s="16"/>
      <c r="S98" s="60"/>
      <c r="T98" s="16"/>
      <c r="U98" s="41"/>
      <c r="V98" s="10"/>
      <c r="W98" s="34">
        <v>846</v>
      </c>
      <c r="X98" s="33"/>
      <c r="Y98" s="33"/>
      <c r="Z98" s="33"/>
      <c r="AA98" s="33">
        <f t="shared" si="57"/>
        <v>124514</v>
      </c>
      <c r="AB98" s="33"/>
      <c r="AC98" s="46">
        <f t="shared" si="58"/>
        <v>4.4840226487906927E-2</v>
      </c>
      <c r="AD98" s="33"/>
      <c r="AE98" s="33">
        <f t="shared" si="59"/>
        <v>1399.0337078651685</v>
      </c>
      <c r="AF98" s="50"/>
      <c r="AG98" s="33"/>
      <c r="AH98" s="33"/>
      <c r="AI98" s="213"/>
      <c r="AJ98" s="50"/>
      <c r="AK98" s="10"/>
      <c r="AL98" s="23">
        <f t="shared" si="60"/>
        <v>13175</v>
      </c>
      <c r="AM98" s="24"/>
      <c r="AN98" s="24"/>
      <c r="AO98" s="24">
        <v>178263</v>
      </c>
      <c r="AP98" s="24">
        <v>903041</v>
      </c>
      <c r="AQ98" s="24"/>
      <c r="AR98" s="25">
        <f t="shared" si="61"/>
        <v>1.4805599944261271E-2</v>
      </c>
      <c r="AS98" s="25"/>
      <c r="AT98" s="25"/>
      <c r="AU98" s="24"/>
      <c r="AV98" s="298">
        <f t="shared" si="62"/>
        <v>0.32520490039566602</v>
      </c>
      <c r="AW98" s="298"/>
      <c r="AX98" s="24">
        <f t="shared" si="63"/>
        <v>10146.528089887641</v>
      </c>
      <c r="AY98" s="308"/>
      <c r="AZ98" s="10"/>
      <c r="BA98" s="65">
        <f t="shared" si="64"/>
        <v>470291</v>
      </c>
      <c r="BB98" s="66"/>
      <c r="BC98" s="66">
        <v>25729368</v>
      </c>
      <c r="BD98" s="66"/>
      <c r="BE98" s="66">
        <f t="shared" si="65"/>
        <v>25294</v>
      </c>
      <c r="BF98" s="66"/>
      <c r="BG98" s="144">
        <f t="shared" si="66"/>
        <v>5.3783721142866864E-2</v>
      </c>
      <c r="BH98" s="66"/>
      <c r="BI98" s="170"/>
      <c r="BJ98" s="66"/>
      <c r="BK98" s="66"/>
      <c r="BL98" s="66"/>
      <c r="BM98" s="144"/>
      <c r="BN98" s="65">
        <f t="shared" si="67"/>
        <v>289094.02247191011</v>
      </c>
      <c r="BO98" s="66"/>
      <c r="BP98" s="66">
        <f t="shared" si="68"/>
        <v>1939128</v>
      </c>
      <c r="BQ98" s="66"/>
      <c r="BR98" s="73">
        <f t="shared" si="69"/>
        <v>7.5366328469475038E-2</v>
      </c>
      <c r="BS98" s="66"/>
      <c r="BT98" s="75"/>
      <c r="BU98" s="170"/>
      <c r="BV98" s="1"/>
      <c r="BW98">
        <f t="shared" si="53"/>
        <v>89</v>
      </c>
    </row>
    <row r="99" spans="2:75" x14ac:dyDescent="0.3">
      <c r="B99" s="158">
        <f t="shared" si="52"/>
        <v>43999</v>
      </c>
      <c r="C99" s="61"/>
      <c r="D99" s="17">
        <v>26071</v>
      </c>
      <c r="E99" s="16"/>
      <c r="F99" s="16"/>
      <c r="G99" s="16"/>
      <c r="H99" s="16">
        <f t="shared" si="54"/>
        <v>2802908</v>
      </c>
      <c r="I99" s="16"/>
      <c r="J99" s="38">
        <f t="shared" si="55"/>
        <v>9.388739778388144E-3</v>
      </c>
      <c r="K99" s="16"/>
      <c r="L99" s="16"/>
      <c r="M99" s="16"/>
      <c r="N99" s="16"/>
      <c r="O99" s="16">
        <f t="shared" si="56"/>
        <v>31143.422222222223</v>
      </c>
      <c r="P99" s="41"/>
      <c r="Q99" s="17"/>
      <c r="R99" s="16"/>
      <c r="S99" s="60"/>
      <c r="T99" s="16"/>
      <c r="U99" s="41"/>
      <c r="V99" s="10"/>
      <c r="W99" s="34">
        <v>809</v>
      </c>
      <c r="X99" s="33"/>
      <c r="Y99" s="33"/>
      <c r="Z99" s="33"/>
      <c r="AA99" s="33">
        <f t="shared" si="57"/>
        <v>125323</v>
      </c>
      <c r="AB99" s="33"/>
      <c r="AC99" s="46">
        <f t="shared" si="58"/>
        <v>4.4711777910655649E-2</v>
      </c>
      <c r="AD99" s="33"/>
      <c r="AE99" s="33">
        <f t="shared" si="59"/>
        <v>1392.4777777777779</v>
      </c>
      <c r="AF99" s="50"/>
      <c r="AG99" s="33"/>
      <c r="AH99" s="33"/>
      <c r="AI99" s="213"/>
      <c r="AJ99" s="50"/>
      <c r="AK99" s="10"/>
      <c r="AL99" s="23">
        <f t="shared" si="60"/>
        <v>15755</v>
      </c>
      <c r="AM99" s="24"/>
      <c r="AN99" s="24"/>
      <c r="AO99" s="24">
        <v>178263</v>
      </c>
      <c r="AP99" s="24">
        <v>918796</v>
      </c>
      <c r="AQ99" s="24"/>
      <c r="AR99" s="25">
        <f t="shared" si="61"/>
        <v>1.7446605414372107E-2</v>
      </c>
      <c r="AS99" s="25"/>
      <c r="AT99" s="25"/>
      <c r="AU99" s="24"/>
      <c r="AV99" s="298">
        <f t="shared" si="62"/>
        <v>0.32780098383535955</v>
      </c>
      <c r="AW99" s="298"/>
      <c r="AX99" s="24">
        <f t="shared" si="63"/>
        <v>10208.844444444445</v>
      </c>
      <c r="AY99" s="308"/>
      <c r="AZ99" s="10"/>
      <c r="BA99" s="65">
        <f t="shared" si="64"/>
        <v>514443</v>
      </c>
      <c r="BB99" s="66"/>
      <c r="BC99" s="66">
        <v>26243811</v>
      </c>
      <c r="BD99" s="66"/>
      <c r="BE99" s="66">
        <f t="shared" si="65"/>
        <v>26071</v>
      </c>
      <c r="BF99" s="66"/>
      <c r="BG99" s="144">
        <f t="shared" si="66"/>
        <v>5.0678112055174238E-2</v>
      </c>
      <c r="BH99" s="66"/>
      <c r="BI99" s="170"/>
      <c r="BJ99" s="66"/>
      <c r="BK99" s="66"/>
      <c r="BL99" s="66"/>
      <c r="BM99" s="144"/>
      <c r="BN99" s="65">
        <f t="shared" si="67"/>
        <v>291597.90000000002</v>
      </c>
      <c r="BO99" s="66"/>
      <c r="BP99" s="66">
        <f t="shared" si="68"/>
        <v>1965199</v>
      </c>
      <c r="BQ99" s="66"/>
      <c r="BR99" s="73">
        <f t="shared" si="69"/>
        <v>7.4882378934980134E-2</v>
      </c>
      <c r="BS99" s="66"/>
      <c r="BT99" s="75"/>
      <c r="BU99" s="170"/>
      <c r="BV99" s="1"/>
      <c r="BW99">
        <f t="shared" si="53"/>
        <v>90</v>
      </c>
    </row>
    <row r="100" spans="2:75" x14ac:dyDescent="0.3">
      <c r="B100" s="158">
        <f t="shared" si="52"/>
        <v>44000</v>
      </c>
      <c r="C100" s="61"/>
      <c r="D100" s="17">
        <v>27924</v>
      </c>
      <c r="E100" s="16"/>
      <c r="F100" s="16"/>
      <c r="G100" s="16"/>
      <c r="H100" s="16">
        <f t="shared" si="54"/>
        <v>2830832</v>
      </c>
      <c r="I100" s="16"/>
      <c r="J100" s="38">
        <f t="shared" si="55"/>
        <v>9.9625103642359998E-3</v>
      </c>
      <c r="K100" s="16"/>
      <c r="L100" s="16"/>
      <c r="M100" s="16"/>
      <c r="N100" s="16"/>
      <c r="O100" s="16">
        <f t="shared" si="56"/>
        <v>31108.043956043955</v>
      </c>
      <c r="P100" s="41"/>
      <c r="Q100" s="17"/>
      <c r="R100" s="16"/>
      <c r="S100" s="60"/>
      <c r="T100" s="16"/>
      <c r="U100" s="41"/>
      <c r="V100" s="10"/>
      <c r="W100" s="34">
        <v>747</v>
      </c>
      <c r="X100" s="33"/>
      <c r="Y100" s="33"/>
      <c r="Z100" s="33"/>
      <c r="AA100" s="33">
        <f t="shared" si="57"/>
        <v>126070</v>
      </c>
      <c r="AB100" s="33"/>
      <c r="AC100" s="46">
        <f t="shared" si="58"/>
        <v>4.4534610319510309E-2</v>
      </c>
      <c r="AD100" s="33"/>
      <c r="AE100" s="33">
        <f t="shared" si="59"/>
        <v>1385.3846153846155</v>
      </c>
      <c r="AF100" s="50"/>
      <c r="AG100" s="33"/>
      <c r="AH100" s="33"/>
      <c r="AI100" s="213"/>
      <c r="AJ100" s="50"/>
      <c r="AK100" s="10"/>
      <c r="AL100" s="23">
        <f t="shared" si="60"/>
        <v>12198</v>
      </c>
      <c r="AM100" s="24"/>
      <c r="AN100" s="24"/>
      <c r="AO100" s="24">
        <v>178263</v>
      </c>
      <c r="AP100" s="24">
        <v>930994</v>
      </c>
      <c r="AQ100" s="24"/>
      <c r="AR100" s="25">
        <f t="shared" si="61"/>
        <v>1.3276069987244177E-2</v>
      </c>
      <c r="AS100" s="25"/>
      <c r="AT100" s="25"/>
      <c r="AU100" s="24"/>
      <c r="AV100" s="298">
        <f t="shared" si="62"/>
        <v>0.32887645752202888</v>
      </c>
      <c r="AW100" s="298"/>
      <c r="AX100" s="24">
        <f t="shared" si="63"/>
        <v>10230.703296703297</v>
      </c>
      <c r="AY100" s="308"/>
      <c r="AZ100" s="10"/>
      <c r="BA100" s="65">
        <f t="shared" si="64"/>
        <v>479368</v>
      </c>
      <c r="BB100" s="66"/>
      <c r="BC100" s="66">
        <v>26723179</v>
      </c>
      <c r="BD100" s="66"/>
      <c r="BE100" s="66">
        <f t="shared" si="65"/>
        <v>27924</v>
      </c>
      <c r="BF100" s="66"/>
      <c r="BG100" s="144">
        <f t="shared" si="66"/>
        <v>5.825169806912435E-2</v>
      </c>
      <c r="BH100" s="66"/>
      <c r="BI100" s="170"/>
      <c r="BJ100" s="66"/>
      <c r="BK100" s="66"/>
      <c r="BL100" s="66"/>
      <c r="BM100" s="144"/>
      <c r="BN100" s="65">
        <f t="shared" si="67"/>
        <v>293661.30769230769</v>
      </c>
      <c r="BO100" s="66"/>
      <c r="BP100" s="66">
        <f t="shared" si="68"/>
        <v>1993123</v>
      </c>
      <c r="BQ100" s="66"/>
      <c r="BR100" s="73">
        <f t="shared" si="69"/>
        <v>7.4584053042491688E-2</v>
      </c>
      <c r="BS100" s="66"/>
      <c r="BT100" s="75"/>
      <c r="BU100" s="170"/>
      <c r="BV100" s="1"/>
      <c r="BW100">
        <f t="shared" si="53"/>
        <v>91</v>
      </c>
    </row>
    <row r="101" spans="2:75" x14ac:dyDescent="0.3">
      <c r="B101" s="158">
        <f t="shared" si="52"/>
        <v>44001</v>
      </c>
      <c r="C101" s="61"/>
      <c r="D101" s="17">
        <v>33539</v>
      </c>
      <c r="E101" s="16"/>
      <c r="F101" s="16"/>
      <c r="G101" s="16"/>
      <c r="H101" s="16">
        <f t="shared" si="54"/>
        <v>2864371</v>
      </c>
      <c r="I101" s="16"/>
      <c r="J101" s="38">
        <f t="shared" si="55"/>
        <v>1.1847753593289889E-2</v>
      </c>
      <c r="K101" s="16"/>
      <c r="L101" s="16"/>
      <c r="M101" s="16"/>
      <c r="N101" s="16"/>
      <c r="O101" s="16">
        <f t="shared" si="56"/>
        <v>31134.467391304348</v>
      </c>
      <c r="P101" s="41"/>
      <c r="Q101" s="17"/>
      <c r="R101" s="16"/>
      <c r="S101" s="60"/>
      <c r="T101" s="16"/>
      <c r="U101" s="41"/>
      <c r="V101" s="10"/>
      <c r="W101" s="34">
        <v>719</v>
      </c>
      <c r="X101" s="33"/>
      <c r="Y101" s="33"/>
      <c r="Z101" s="33"/>
      <c r="AA101" s="33">
        <f t="shared" si="57"/>
        <v>126789</v>
      </c>
      <c r="AB101" s="33"/>
      <c r="AC101" s="46">
        <f t="shared" si="58"/>
        <v>4.4264168293841825E-2</v>
      </c>
      <c r="AD101" s="33"/>
      <c r="AE101" s="33">
        <f t="shared" si="59"/>
        <v>1378.141304347826</v>
      </c>
      <c r="AF101" s="50"/>
      <c r="AG101" s="33"/>
      <c r="AH101" s="33"/>
      <c r="AI101" s="213"/>
      <c r="AJ101" s="50"/>
      <c r="AK101" s="10"/>
      <c r="AL101" s="23">
        <f t="shared" si="60"/>
        <v>25067</v>
      </c>
      <c r="AM101" s="24"/>
      <c r="AN101" s="24"/>
      <c r="AO101" s="24">
        <v>178263</v>
      </c>
      <c r="AP101" s="24">
        <v>956061</v>
      </c>
      <c r="AQ101" s="24"/>
      <c r="AR101" s="25">
        <f t="shared" si="61"/>
        <v>2.6924985553075528E-2</v>
      </c>
      <c r="AS101" s="25"/>
      <c r="AT101" s="25"/>
      <c r="AU101" s="24"/>
      <c r="AV101" s="298">
        <f t="shared" si="62"/>
        <v>0.33377694439721672</v>
      </c>
      <c r="AW101" s="298"/>
      <c r="AX101" s="24">
        <f t="shared" si="63"/>
        <v>10391.967391304348</v>
      </c>
      <c r="AY101" s="308"/>
      <c r="AZ101" s="10"/>
      <c r="BA101" s="65">
        <f t="shared" si="64"/>
        <v>614206</v>
      </c>
      <c r="BB101" s="66"/>
      <c r="BC101" s="66">
        <v>27337385</v>
      </c>
      <c r="BD101" s="66"/>
      <c r="BE101" s="66">
        <f t="shared" si="65"/>
        <v>33539</v>
      </c>
      <c r="BF101" s="66"/>
      <c r="BG101" s="144">
        <f t="shared" si="66"/>
        <v>5.460545810363298E-2</v>
      </c>
      <c r="BH101" s="66"/>
      <c r="BI101" s="170"/>
      <c r="BJ101" s="66"/>
      <c r="BK101" s="66"/>
      <c r="BL101" s="66"/>
      <c r="BM101" s="144"/>
      <c r="BN101" s="65">
        <f t="shared" si="67"/>
        <v>297145.48913043475</v>
      </c>
      <c r="BO101" s="66"/>
      <c r="BP101" s="66">
        <f t="shared" si="68"/>
        <v>2026662</v>
      </c>
      <c r="BQ101" s="66"/>
      <c r="BR101" s="73">
        <f t="shared" si="69"/>
        <v>7.4135181547174314E-2</v>
      </c>
      <c r="BS101" s="66"/>
      <c r="BT101" s="75"/>
      <c r="BU101" s="170"/>
      <c r="BV101" s="1"/>
      <c r="BW101">
        <f t="shared" si="53"/>
        <v>92</v>
      </c>
    </row>
    <row r="102" spans="2:75" x14ac:dyDescent="0.3">
      <c r="B102" s="433">
        <f t="shared" si="52"/>
        <v>44002</v>
      </c>
      <c r="C102" s="61"/>
      <c r="D102" s="17">
        <v>33338</v>
      </c>
      <c r="E102" s="16"/>
      <c r="F102" s="16"/>
      <c r="G102" s="16"/>
      <c r="H102" s="16">
        <f t="shared" si="54"/>
        <v>2897709</v>
      </c>
      <c r="I102" s="16"/>
      <c r="J102" s="38">
        <f t="shared" si="55"/>
        <v>1.1638855441561166E-2</v>
      </c>
      <c r="K102" s="16"/>
      <c r="L102" s="16"/>
      <c r="M102" s="16"/>
      <c r="N102" s="16"/>
      <c r="O102" s="16">
        <f t="shared" si="56"/>
        <v>31158.16129032258</v>
      </c>
      <c r="P102" s="41"/>
      <c r="Q102" s="17"/>
      <c r="R102" s="16"/>
      <c r="S102" s="60"/>
      <c r="T102" s="16"/>
      <c r="U102" s="41"/>
      <c r="V102" s="10"/>
      <c r="W102" s="34">
        <v>573</v>
      </c>
      <c r="X102" s="33"/>
      <c r="Y102" s="33"/>
      <c r="Z102" s="33"/>
      <c r="AA102" s="33">
        <f t="shared" si="57"/>
        <v>127362</v>
      </c>
      <c r="AB102" s="33"/>
      <c r="AC102" s="46">
        <f t="shared" si="58"/>
        <v>4.395265363085113E-2</v>
      </c>
      <c r="AD102" s="33"/>
      <c r="AE102" s="33">
        <f t="shared" si="59"/>
        <v>1369.483870967742</v>
      </c>
      <c r="AF102" s="50"/>
      <c r="AG102" s="33"/>
      <c r="AH102" s="33"/>
      <c r="AI102" s="213"/>
      <c r="AJ102" s="50"/>
      <c r="AK102" s="10"/>
      <c r="AL102" s="23">
        <f t="shared" si="60"/>
        <v>16880</v>
      </c>
      <c r="AM102" s="24"/>
      <c r="AN102" s="24"/>
      <c r="AO102" s="24">
        <v>178263</v>
      </c>
      <c r="AP102" s="24">
        <v>972941</v>
      </c>
      <c r="AQ102" s="24"/>
      <c r="AR102" s="25">
        <f t="shared" si="61"/>
        <v>1.7655777194133009E-2</v>
      </c>
      <c r="AS102" s="25"/>
      <c r="AT102" s="25"/>
      <c r="AU102" s="24"/>
      <c r="AV102" s="298">
        <f t="shared" si="62"/>
        <v>0.33576214864915699</v>
      </c>
      <c r="AW102" s="298"/>
      <c r="AX102" s="24">
        <f t="shared" si="63"/>
        <v>10461.731182795698</v>
      </c>
      <c r="AY102" s="308"/>
      <c r="AZ102" s="10"/>
      <c r="BA102" s="65">
        <f t="shared" si="64"/>
        <v>638478</v>
      </c>
      <c r="BB102" s="66"/>
      <c r="BC102" s="66">
        <v>27975863</v>
      </c>
      <c r="BD102" s="66"/>
      <c r="BE102" s="66">
        <f t="shared" si="65"/>
        <v>33338</v>
      </c>
      <c r="BF102" s="66"/>
      <c r="BG102" s="144">
        <f t="shared" si="66"/>
        <v>5.2214798317248207E-2</v>
      </c>
      <c r="BH102" s="66"/>
      <c r="BI102" s="170"/>
      <c r="BJ102" s="66"/>
      <c r="BK102" s="66"/>
      <c r="BL102" s="66"/>
      <c r="BM102" s="144"/>
      <c r="BN102" s="65">
        <f t="shared" si="67"/>
        <v>300815.73118279572</v>
      </c>
      <c r="BO102" s="66"/>
      <c r="BP102" s="66">
        <f t="shared" si="68"/>
        <v>2060000</v>
      </c>
      <c r="BQ102" s="66"/>
      <c r="BR102" s="73">
        <f t="shared" si="69"/>
        <v>7.3634904488916034E-2</v>
      </c>
      <c r="BS102" s="66"/>
      <c r="BT102" s="75"/>
      <c r="BU102" s="170"/>
      <c r="BV102" s="1"/>
      <c r="BW102">
        <f t="shared" si="53"/>
        <v>93</v>
      </c>
    </row>
    <row r="103" spans="2:75" x14ac:dyDescent="0.3">
      <c r="B103" s="347">
        <f t="shared" si="52"/>
        <v>44003</v>
      </c>
      <c r="C103" s="61"/>
      <c r="D103" s="17">
        <v>26079</v>
      </c>
      <c r="E103" s="16"/>
      <c r="F103" s="16"/>
      <c r="G103" s="16"/>
      <c r="H103" s="16">
        <f t="shared" si="54"/>
        <v>2923788</v>
      </c>
      <c r="I103" s="16"/>
      <c r="J103" s="38">
        <f t="shared" si="55"/>
        <v>8.999868516817942E-3</v>
      </c>
      <c r="K103" s="16"/>
      <c r="L103" s="16"/>
      <c r="M103" s="16"/>
      <c r="N103" s="16">
        <f>SUM(D97:D103)</f>
        <v>192967</v>
      </c>
      <c r="O103" s="16">
        <f t="shared" si="56"/>
        <v>31104.127659574468</v>
      </c>
      <c r="P103" s="41"/>
      <c r="Q103" s="17">
        <f>SUM(D97:D103)</f>
        <v>192967</v>
      </c>
      <c r="R103" s="16"/>
      <c r="S103" s="60">
        <f>+(Q103-Q96)/Q96</f>
        <v>0.24672597703822871</v>
      </c>
      <c r="T103" s="16"/>
      <c r="U103" s="41"/>
      <c r="V103" s="348"/>
      <c r="W103" s="34">
        <v>267</v>
      </c>
      <c r="X103" s="33"/>
      <c r="Y103" s="33"/>
      <c r="Z103" s="33"/>
      <c r="AA103" s="33">
        <f t="shared" si="57"/>
        <v>127629</v>
      </c>
      <c r="AB103" s="33"/>
      <c r="AC103" s="46">
        <f t="shared" si="58"/>
        <v>4.3651933724332952E-2</v>
      </c>
      <c r="AD103" s="33"/>
      <c r="AE103" s="33">
        <f t="shared" si="59"/>
        <v>1357.7553191489362</v>
      </c>
      <c r="AF103" s="50"/>
      <c r="AG103" s="33">
        <f>SUM(W97:W103)</f>
        <v>4386</v>
      </c>
      <c r="AH103" s="33"/>
      <c r="AI103" s="213">
        <f>+(AG103-AG96)/AG96</f>
        <v>-0.18611987381703471</v>
      </c>
      <c r="AJ103" s="50"/>
      <c r="AK103" s="348"/>
      <c r="AL103" s="23">
        <f t="shared" si="60"/>
        <v>7414</v>
      </c>
      <c r="AM103" s="24"/>
      <c r="AN103" s="24"/>
      <c r="AO103" s="24">
        <v>178263</v>
      </c>
      <c r="AP103" s="24">
        <v>980355</v>
      </c>
      <c r="AQ103" s="24"/>
      <c r="AR103" s="25">
        <f t="shared" si="61"/>
        <v>7.620194852514181E-3</v>
      </c>
      <c r="AS103" s="25"/>
      <c r="AT103" s="25"/>
      <c r="AU103" s="24"/>
      <c r="AV103" s="298">
        <f t="shared" si="62"/>
        <v>0.33530303838718811</v>
      </c>
      <c r="AW103" s="298"/>
      <c r="AX103" s="24">
        <f t="shared" si="63"/>
        <v>10429.308510638299</v>
      </c>
      <c r="AY103" s="308"/>
      <c r="AZ103" s="348"/>
      <c r="BA103" s="65">
        <f t="shared" si="64"/>
        <v>516127</v>
      </c>
      <c r="BB103" s="66"/>
      <c r="BC103" s="66">
        <v>28491990</v>
      </c>
      <c r="BD103" s="66"/>
      <c r="BE103" s="66">
        <f t="shared" si="65"/>
        <v>26079</v>
      </c>
      <c r="BF103" s="66"/>
      <c r="BG103" s="144">
        <f t="shared" si="66"/>
        <v>5.0528261455029477E-2</v>
      </c>
      <c r="BH103" s="66"/>
      <c r="BI103" s="170"/>
      <c r="BJ103" s="66"/>
      <c r="BK103" s="66">
        <f>SUM(BA97:BA103)</f>
        <v>3701059</v>
      </c>
      <c r="BL103" s="66"/>
      <c r="BM103" s="144">
        <f>+Q103/BK103</f>
        <v>5.2138320410455491E-2</v>
      </c>
      <c r="BN103" s="65">
        <f t="shared" si="67"/>
        <v>303106.27659574465</v>
      </c>
      <c r="BO103" s="66"/>
      <c r="BP103" s="66">
        <f t="shared" si="68"/>
        <v>2086079</v>
      </c>
      <c r="BQ103" s="66"/>
      <c r="BR103" s="435">
        <f t="shared" si="69"/>
        <v>7.3216332028756145E-2</v>
      </c>
      <c r="BS103" s="66"/>
      <c r="BT103" s="75"/>
      <c r="BU103" s="170"/>
      <c r="BV103" s="1"/>
      <c r="BW103">
        <f t="shared" si="53"/>
        <v>94</v>
      </c>
    </row>
    <row r="104" spans="2:75" x14ac:dyDescent="0.3">
      <c r="B104" s="158">
        <f t="shared" si="52"/>
        <v>44004</v>
      </c>
      <c r="C104" s="61"/>
      <c r="D104" s="17">
        <v>31496</v>
      </c>
      <c r="E104" s="16"/>
      <c r="F104" s="16"/>
      <c r="G104" s="16"/>
      <c r="H104" s="16">
        <f t="shared" si="54"/>
        <v>2955284</v>
      </c>
      <c r="I104" s="16"/>
      <c r="J104" s="38">
        <f t="shared" si="55"/>
        <v>1.0772326858171659E-2</v>
      </c>
      <c r="K104" s="16"/>
      <c r="L104" s="16"/>
      <c r="M104" s="16"/>
      <c r="N104" s="16"/>
      <c r="O104" s="16">
        <f t="shared" si="56"/>
        <v>31108.252631578947</v>
      </c>
      <c r="P104" s="41"/>
      <c r="Q104" s="17"/>
      <c r="R104" s="16"/>
      <c r="S104" s="60"/>
      <c r="T104" s="16"/>
      <c r="U104" s="41"/>
      <c r="V104" s="10"/>
      <c r="W104" s="34">
        <v>363</v>
      </c>
      <c r="X104" s="33"/>
      <c r="Y104" s="33"/>
      <c r="Z104" s="33"/>
      <c r="AA104" s="33">
        <f t="shared" si="57"/>
        <v>127992</v>
      </c>
      <c r="AB104" s="33"/>
      <c r="AC104" s="46">
        <f t="shared" si="58"/>
        <v>4.3309543177576168E-2</v>
      </c>
      <c r="AD104" s="33"/>
      <c r="AE104" s="33">
        <f t="shared" si="59"/>
        <v>1347.2842105263157</v>
      </c>
      <c r="AF104" s="50"/>
      <c r="AG104" s="33"/>
      <c r="AH104" s="33"/>
      <c r="AI104" s="213"/>
      <c r="AJ104" s="50"/>
      <c r="AK104" s="10"/>
      <c r="AL104" s="23">
        <f t="shared" si="60"/>
        <v>22574</v>
      </c>
      <c r="AM104" s="24"/>
      <c r="AN104" s="24"/>
      <c r="AO104" s="24">
        <v>178263</v>
      </c>
      <c r="AP104" s="24">
        <v>1002929</v>
      </c>
      <c r="AQ104" s="24"/>
      <c r="AR104" s="25">
        <f t="shared" si="61"/>
        <v>2.3026352698767284E-2</v>
      </c>
      <c r="AS104" s="25"/>
      <c r="AT104" s="25"/>
      <c r="AU104" s="24"/>
      <c r="AV104" s="298">
        <f t="shared" si="62"/>
        <v>0.33936806073460285</v>
      </c>
      <c r="AW104" s="298"/>
      <c r="AX104" s="24">
        <f t="shared" si="63"/>
        <v>10557.147368421052</v>
      </c>
      <c r="AY104" s="308"/>
      <c r="AZ104" s="10"/>
      <c r="BA104" s="65">
        <f t="shared" si="64"/>
        <v>521192</v>
      </c>
      <c r="BB104" s="66"/>
      <c r="BC104" s="66">
        <v>29013182</v>
      </c>
      <c r="BD104" s="66"/>
      <c r="BE104" s="66">
        <f t="shared" si="65"/>
        <v>31496</v>
      </c>
      <c r="BF104" s="66"/>
      <c r="BG104" s="144">
        <f t="shared" si="66"/>
        <v>6.0430704999309276E-2</v>
      </c>
      <c r="BH104" s="66"/>
      <c r="BI104" s="170"/>
      <c r="BJ104" s="66"/>
      <c r="BK104" s="66"/>
      <c r="BL104" s="66"/>
      <c r="BM104" s="144"/>
      <c r="BN104" s="65">
        <f t="shared" si="67"/>
        <v>305401.91578947369</v>
      </c>
      <c r="BO104" s="66"/>
      <c r="BP104" s="66">
        <f t="shared" si="68"/>
        <v>2117575</v>
      </c>
      <c r="BQ104" s="66"/>
      <c r="BR104" s="435">
        <f t="shared" si="69"/>
        <v>7.2986651377983977E-2</v>
      </c>
      <c r="BS104" s="66"/>
      <c r="BT104" s="75"/>
      <c r="BU104" s="170"/>
      <c r="BV104" s="1"/>
      <c r="BW104">
        <f t="shared" si="53"/>
        <v>95</v>
      </c>
    </row>
    <row r="105" spans="2:75" x14ac:dyDescent="0.3">
      <c r="B105" s="158">
        <f t="shared" si="52"/>
        <v>44005</v>
      </c>
      <c r="C105" s="61"/>
      <c r="D105" s="17">
        <v>36038</v>
      </c>
      <c r="E105" s="16"/>
      <c r="F105" s="16"/>
      <c r="G105" s="16"/>
      <c r="H105" s="16">
        <f t="shared" si="54"/>
        <v>2991322</v>
      </c>
      <c r="I105" s="16"/>
      <c r="J105" s="38">
        <f t="shared" si="55"/>
        <v>1.2194428691117334E-2</v>
      </c>
      <c r="K105" s="16"/>
      <c r="L105" s="16"/>
      <c r="M105" s="16"/>
      <c r="N105" s="16"/>
      <c r="O105" s="16">
        <f t="shared" si="56"/>
        <v>31159.604166666668</v>
      </c>
      <c r="P105" s="41"/>
      <c r="Q105" s="17"/>
      <c r="R105" s="16"/>
      <c r="S105" s="60"/>
      <c r="T105" s="16"/>
      <c r="U105" s="41"/>
      <c r="V105" s="10"/>
      <c r="W105" s="34">
        <v>871</v>
      </c>
      <c r="X105" s="33"/>
      <c r="Y105" s="33"/>
      <c r="Z105" s="33"/>
      <c r="AA105" s="33">
        <f t="shared" si="57"/>
        <v>128863</v>
      </c>
      <c r="AB105" s="33"/>
      <c r="AC105" s="46">
        <f t="shared" si="58"/>
        <v>4.3078946365519996E-2</v>
      </c>
      <c r="AD105" s="33"/>
      <c r="AE105" s="33">
        <f t="shared" si="59"/>
        <v>1342.3229166666667</v>
      </c>
      <c r="AF105" s="50"/>
      <c r="AG105" s="33"/>
      <c r="AH105" s="33"/>
      <c r="AI105" s="213"/>
      <c r="AJ105" s="50"/>
      <c r="AK105" s="10"/>
      <c r="AL105" s="23">
        <f t="shared" si="60"/>
        <v>17452</v>
      </c>
      <c r="AM105" s="24"/>
      <c r="AN105" s="24"/>
      <c r="AO105" s="24">
        <v>178263</v>
      </c>
      <c r="AP105" s="24">
        <v>1020381</v>
      </c>
      <c r="AQ105" s="24"/>
      <c r="AR105" s="25">
        <f t="shared" si="61"/>
        <v>1.7401032376170196E-2</v>
      </c>
      <c r="AS105" s="25"/>
      <c r="AT105" s="25"/>
      <c r="AU105" s="24"/>
      <c r="AV105" s="298">
        <f t="shared" si="62"/>
        <v>0.34111372831142889</v>
      </c>
      <c r="AW105" s="298"/>
      <c r="AX105" s="24">
        <f t="shared" si="63"/>
        <v>10628.96875</v>
      </c>
      <c r="AY105" s="308"/>
      <c r="AZ105" s="10"/>
      <c r="BA105" s="65">
        <f t="shared" si="64"/>
        <v>539508</v>
      </c>
      <c r="BB105" s="66"/>
      <c r="BC105" s="66">
        <v>29552690</v>
      </c>
      <c r="BD105" s="66"/>
      <c r="BE105" s="66">
        <f t="shared" si="65"/>
        <v>36038</v>
      </c>
      <c r="BF105" s="66"/>
      <c r="BG105" s="144">
        <f t="shared" si="66"/>
        <v>6.6797897343505566E-2</v>
      </c>
      <c r="BH105" s="66"/>
      <c r="BI105" s="170"/>
      <c r="BJ105" s="66"/>
      <c r="BK105" s="66"/>
      <c r="BL105" s="66"/>
      <c r="BM105" s="144"/>
      <c r="BN105" s="65">
        <f t="shared" si="67"/>
        <v>307840.52083333331</v>
      </c>
      <c r="BO105" s="66"/>
      <c r="BP105" s="66">
        <f t="shared" si="68"/>
        <v>2153613</v>
      </c>
      <c r="BQ105" s="66"/>
      <c r="BR105" s="435">
        <f t="shared" si="69"/>
        <v>7.2873670721683881E-2</v>
      </c>
      <c r="BS105" s="66"/>
      <c r="BT105" s="75"/>
      <c r="BU105" s="170"/>
      <c r="BV105" s="1"/>
      <c r="BW105">
        <f t="shared" si="53"/>
        <v>96</v>
      </c>
    </row>
    <row r="106" spans="2:75" x14ac:dyDescent="0.3">
      <c r="B106" s="158">
        <f t="shared" si="52"/>
        <v>44006</v>
      </c>
      <c r="C106" s="61"/>
      <c r="D106" s="17">
        <v>38412</v>
      </c>
      <c r="E106" s="16"/>
      <c r="F106" s="16"/>
      <c r="G106" s="16"/>
      <c r="H106" s="16">
        <f t="shared" si="54"/>
        <v>3029734</v>
      </c>
      <c r="I106" s="16"/>
      <c r="J106" s="38">
        <f t="shared" si="55"/>
        <v>1.2841145152544593E-2</v>
      </c>
      <c r="K106" s="16"/>
      <c r="L106" s="16"/>
      <c r="M106" s="16"/>
      <c r="N106" s="16"/>
      <c r="O106" s="16">
        <f t="shared" si="56"/>
        <v>31234.371134020617</v>
      </c>
      <c r="P106" s="41"/>
      <c r="Q106" s="17"/>
      <c r="R106" s="16"/>
      <c r="S106" s="60"/>
      <c r="T106" s="16"/>
      <c r="U106" s="41"/>
      <c r="V106" s="10"/>
      <c r="W106" s="34">
        <v>819</v>
      </c>
      <c r="X106" s="33"/>
      <c r="Y106" s="33"/>
      <c r="Z106" s="33"/>
      <c r="AA106" s="33">
        <f t="shared" si="57"/>
        <v>129682</v>
      </c>
      <c r="AB106" s="33"/>
      <c r="AC106" s="46">
        <f t="shared" si="58"/>
        <v>4.2803097565660878E-2</v>
      </c>
      <c r="AD106" s="33"/>
      <c r="AE106" s="33">
        <f t="shared" si="59"/>
        <v>1336.9278350515465</v>
      </c>
      <c r="AF106" s="50"/>
      <c r="AG106" s="33"/>
      <c r="AH106" s="33"/>
      <c r="AI106" s="213"/>
      <c r="AJ106" s="50"/>
      <c r="AK106" s="10"/>
      <c r="AL106" s="23">
        <f t="shared" si="60"/>
        <v>20224</v>
      </c>
      <c r="AM106" s="24"/>
      <c r="AN106" s="24"/>
      <c r="AO106" s="24">
        <v>178263</v>
      </c>
      <c r="AP106" s="24">
        <v>1040605</v>
      </c>
      <c r="AQ106" s="24"/>
      <c r="AR106" s="25">
        <f t="shared" si="61"/>
        <v>1.9820047609667369E-2</v>
      </c>
      <c r="AS106" s="25"/>
      <c r="AT106" s="25"/>
      <c r="AU106" s="24"/>
      <c r="AV106" s="298">
        <f t="shared" si="62"/>
        <v>0.34346414569727901</v>
      </c>
      <c r="AW106" s="298"/>
      <c r="AX106" s="24">
        <f t="shared" si="63"/>
        <v>10727.886597938144</v>
      </c>
      <c r="AY106" s="308"/>
      <c r="AZ106" s="10"/>
      <c r="BA106" s="65">
        <f t="shared" si="64"/>
        <v>507174</v>
      </c>
      <c r="BB106" s="66"/>
      <c r="BC106" s="66">
        <f>30059864</f>
        <v>30059864</v>
      </c>
      <c r="BD106" s="66"/>
      <c r="BE106" s="66">
        <f t="shared" si="65"/>
        <v>38412</v>
      </c>
      <c r="BF106" s="66"/>
      <c r="BG106" s="144">
        <f t="shared" si="66"/>
        <v>7.5737320919447765E-2</v>
      </c>
      <c r="BH106" s="66"/>
      <c r="BI106" s="170"/>
      <c r="BJ106" s="66"/>
      <c r="BK106" s="66"/>
      <c r="BL106" s="66"/>
      <c r="BM106" s="144"/>
      <c r="BN106" s="65">
        <f t="shared" si="67"/>
        <v>309895.50515463919</v>
      </c>
      <c r="BO106" s="66"/>
      <c r="BP106" s="66">
        <f t="shared" si="68"/>
        <v>2192025</v>
      </c>
      <c r="BQ106" s="66"/>
      <c r="BR106" s="435">
        <f t="shared" si="69"/>
        <v>7.2921986606459696E-2</v>
      </c>
      <c r="BS106" s="66"/>
      <c r="BT106" s="75"/>
      <c r="BU106" s="170"/>
      <c r="BV106" s="1"/>
      <c r="BW106">
        <f t="shared" si="53"/>
        <v>97</v>
      </c>
    </row>
    <row r="107" spans="2:75" x14ac:dyDescent="0.3">
      <c r="B107" s="158">
        <f t="shared" si="52"/>
        <v>44007</v>
      </c>
      <c r="C107" s="61"/>
      <c r="D107" s="17">
        <v>40212</v>
      </c>
      <c r="E107" s="16"/>
      <c r="F107" s="16"/>
      <c r="G107" s="16"/>
      <c r="H107" s="16">
        <f t="shared" si="54"/>
        <v>3069946</v>
      </c>
      <c r="I107" s="16"/>
      <c r="J107" s="38">
        <f t="shared" si="55"/>
        <v>1.3272452301093099E-2</v>
      </c>
      <c r="K107" s="16"/>
      <c r="L107" s="16"/>
      <c r="M107" s="16"/>
      <c r="N107" s="16"/>
      <c r="O107" s="16">
        <f t="shared" si="56"/>
        <v>31325.979591836734</v>
      </c>
      <c r="P107" s="41"/>
      <c r="Q107" s="17"/>
      <c r="R107" s="16"/>
      <c r="S107" s="60"/>
      <c r="T107" s="16"/>
      <c r="U107" s="41"/>
      <c r="V107" s="10"/>
      <c r="W107" s="34">
        <v>653</v>
      </c>
      <c r="X107" s="33"/>
      <c r="Y107" s="33"/>
      <c r="Z107" s="33"/>
      <c r="AA107" s="33">
        <f t="shared" si="57"/>
        <v>130335</v>
      </c>
      <c r="AB107" s="33"/>
      <c r="AC107" s="46">
        <f t="shared" si="58"/>
        <v>4.2455144162144874E-2</v>
      </c>
      <c r="AD107" s="33"/>
      <c r="AE107" s="33">
        <f t="shared" si="59"/>
        <v>1329.9489795918366</v>
      </c>
      <c r="AF107" s="50"/>
      <c r="AG107" s="33"/>
      <c r="AH107" s="33"/>
      <c r="AI107" s="213"/>
      <c r="AJ107" s="50"/>
      <c r="AK107" s="10"/>
      <c r="AL107" s="23">
        <f t="shared" si="60"/>
        <v>11688</v>
      </c>
      <c r="AM107" s="24"/>
      <c r="AN107" s="24"/>
      <c r="AO107" s="24">
        <v>178263</v>
      </c>
      <c r="AP107" s="24">
        <v>1052293</v>
      </c>
      <c r="AQ107" s="24"/>
      <c r="AR107" s="25">
        <f t="shared" si="61"/>
        <v>1.1231927580590138E-2</v>
      </c>
      <c r="AS107" s="25"/>
      <c r="AT107" s="25"/>
      <c r="AU107" s="24"/>
      <c r="AV107" s="298">
        <f t="shared" si="62"/>
        <v>0.34277247873415362</v>
      </c>
      <c r="AW107" s="298"/>
      <c r="AX107" s="24">
        <f t="shared" si="63"/>
        <v>10737.683673469388</v>
      </c>
      <c r="AY107" s="308"/>
      <c r="AZ107" s="10"/>
      <c r="BA107" s="65">
        <f t="shared" si="64"/>
        <v>672688</v>
      </c>
      <c r="BB107" s="66"/>
      <c r="BC107" s="66">
        <v>30732552</v>
      </c>
      <c r="BD107" s="66"/>
      <c r="BE107" s="66">
        <f t="shared" si="65"/>
        <v>40212</v>
      </c>
      <c r="BF107" s="66"/>
      <c r="BG107" s="144">
        <f t="shared" si="66"/>
        <v>5.9778084342221059E-2</v>
      </c>
      <c r="BH107" s="66"/>
      <c r="BI107" s="170"/>
      <c r="BJ107" s="66"/>
      <c r="BK107" s="66"/>
      <c r="BL107" s="66"/>
      <c r="BM107" s="144"/>
      <c r="BN107" s="65">
        <f t="shared" si="67"/>
        <v>313597.46938775509</v>
      </c>
      <c r="BO107" s="66"/>
      <c r="BP107" s="66">
        <f t="shared" si="68"/>
        <v>2232237</v>
      </c>
      <c r="BQ107" s="66"/>
      <c r="BR107" s="435">
        <f t="shared" si="69"/>
        <v>7.2634286928075484E-2</v>
      </c>
      <c r="BS107" s="66"/>
      <c r="BT107" s="75"/>
      <c r="BU107" s="170"/>
      <c r="BV107" s="1"/>
      <c r="BW107">
        <f t="shared" si="53"/>
        <v>98</v>
      </c>
    </row>
    <row r="108" spans="2:75" x14ac:dyDescent="0.3">
      <c r="B108" s="158">
        <f t="shared" si="52"/>
        <v>44008</v>
      </c>
      <c r="C108" s="61"/>
      <c r="D108" s="17">
        <v>47341</v>
      </c>
      <c r="E108" s="16"/>
      <c r="F108" s="16"/>
      <c r="G108" s="16"/>
      <c r="H108" s="16">
        <f t="shared" si="54"/>
        <v>3117287</v>
      </c>
      <c r="I108" s="16"/>
      <c r="J108" s="38">
        <f t="shared" si="55"/>
        <v>1.5420792417847089E-2</v>
      </c>
      <c r="K108" s="16"/>
      <c r="L108" s="16"/>
      <c r="M108" s="16"/>
      <c r="N108" s="16"/>
      <c r="O108" s="16">
        <f t="shared" si="56"/>
        <v>31487.747474747473</v>
      </c>
      <c r="P108" s="41"/>
      <c r="Q108" s="17"/>
      <c r="R108" s="16"/>
      <c r="S108" s="60"/>
      <c r="T108" s="16"/>
      <c r="U108" s="41"/>
      <c r="W108" s="34">
        <v>663</v>
      </c>
      <c r="X108" s="33"/>
      <c r="Y108" s="33"/>
      <c r="Z108" s="33"/>
      <c r="AA108" s="33">
        <f t="shared" si="57"/>
        <v>130998</v>
      </c>
      <c r="AB108" s="33"/>
      <c r="AC108" s="46">
        <f t="shared" si="58"/>
        <v>4.2023079684353731E-2</v>
      </c>
      <c r="AD108" s="33"/>
      <c r="AE108" s="33">
        <f t="shared" si="59"/>
        <v>1323.2121212121212</v>
      </c>
      <c r="AF108" s="50"/>
      <c r="AG108" s="33"/>
      <c r="AH108" s="33"/>
      <c r="AI108" s="213"/>
      <c r="AJ108" s="50"/>
      <c r="AK108" s="10"/>
      <c r="AL108" s="23">
        <f t="shared" si="60"/>
        <v>16410</v>
      </c>
      <c r="AM108" s="24"/>
      <c r="AN108" s="24"/>
      <c r="AO108" s="24">
        <v>178263</v>
      </c>
      <c r="AP108" s="24">
        <v>1068703</v>
      </c>
      <c r="AQ108" s="24"/>
      <c r="AR108" s="25">
        <f t="shared" si="61"/>
        <v>1.55945159760637E-2</v>
      </c>
      <c r="AS108" s="25"/>
      <c r="AT108" s="25"/>
      <c r="AU108" s="24"/>
      <c r="AV108" s="298">
        <f t="shared" si="62"/>
        <v>0.3428311220622291</v>
      </c>
      <c r="AW108" s="298"/>
      <c r="AX108" s="24">
        <f t="shared" si="63"/>
        <v>10794.979797979799</v>
      </c>
      <c r="AY108" s="308"/>
      <c r="AZ108" s="10"/>
      <c r="BA108" s="65">
        <f t="shared" si="64"/>
        <v>619948</v>
      </c>
      <c r="BB108" s="66"/>
      <c r="BC108" s="66">
        <v>31352500</v>
      </c>
      <c r="BD108" s="66"/>
      <c r="BE108" s="66">
        <f t="shared" si="65"/>
        <v>47341</v>
      </c>
      <c r="BF108" s="66"/>
      <c r="BG108" s="144">
        <f t="shared" si="66"/>
        <v>7.6362856239555577E-2</v>
      </c>
      <c r="BH108" s="66"/>
      <c r="BI108" s="170"/>
      <c r="BJ108" s="66"/>
      <c r="BK108" s="66"/>
      <c r="BL108" s="66"/>
      <c r="BM108" s="144"/>
      <c r="BN108" s="65">
        <f t="shared" si="67"/>
        <v>316691.91919191921</v>
      </c>
      <c r="BO108" s="66"/>
      <c r="BP108" s="66">
        <f t="shared" si="68"/>
        <v>2279578</v>
      </c>
      <c r="BQ108" s="66"/>
      <c r="BR108" s="435">
        <f t="shared" si="69"/>
        <v>7.2708013715014758E-2</v>
      </c>
      <c r="BS108" s="66"/>
      <c r="BT108" s="75"/>
      <c r="BU108" s="170"/>
      <c r="BV108" s="1"/>
      <c r="BW108">
        <f t="shared" si="53"/>
        <v>99</v>
      </c>
    </row>
    <row r="109" spans="2:75" x14ac:dyDescent="0.3">
      <c r="B109" s="158">
        <f t="shared" si="52"/>
        <v>44009</v>
      </c>
      <c r="C109" s="61"/>
      <c r="D109" s="17">
        <v>43581</v>
      </c>
      <c r="E109" s="16"/>
      <c r="F109" s="16"/>
      <c r="G109" s="16"/>
      <c r="H109" s="16">
        <f>+H108+D109</f>
        <v>3160868</v>
      </c>
      <c r="I109" s="16"/>
      <c r="J109" s="38">
        <f t="shared" ref="J109:J126" si="70">+D109/H108</f>
        <v>1.3980425928058596E-2</v>
      </c>
      <c r="K109" s="16"/>
      <c r="L109" s="16"/>
      <c r="M109" s="16"/>
      <c r="N109" s="16"/>
      <c r="O109" s="16">
        <f t="shared" ref="O109:O126" si="71">+H109/BW109</f>
        <v>31608.68</v>
      </c>
      <c r="P109" s="41"/>
      <c r="Q109" s="17"/>
      <c r="R109" s="16"/>
      <c r="S109" s="60"/>
      <c r="T109" s="16"/>
      <c r="U109" s="41"/>
      <c r="V109" s="10">
        <v>1</v>
      </c>
      <c r="W109" s="34">
        <v>512</v>
      </c>
      <c r="X109" s="33"/>
      <c r="Y109" s="33"/>
      <c r="Z109" s="33"/>
      <c r="AA109" s="33">
        <f t="shared" ref="AA109:AA126" si="72">+AA108+W109</f>
        <v>131510</v>
      </c>
      <c r="AB109" s="33"/>
      <c r="AC109" s="46">
        <f t="shared" ref="AC109:AC126" si="73">+AA109/H109</f>
        <v>4.1605660217383329E-2</v>
      </c>
      <c r="AD109" s="33"/>
      <c r="AE109" s="33">
        <f t="shared" ref="AE109:AE126" si="74">+AA109/BW109</f>
        <v>1315.1</v>
      </c>
      <c r="AF109" s="50"/>
      <c r="AG109" s="33"/>
      <c r="AH109" s="33"/>
      <c r="AI109" s="213"/>
      <c r="AJ109" s="50"/>
      <c r="AK109" s="10"/>
      <c r="AL109" s="23">
        <f t="shared" ref="AL109:AL126" si="75">+AP109-AP108</f>
        <v>12734</v>
      </c>
      <c r="AM109" s="24"/>
      <c r="AN109" s="24"/>
      <c r="AO109" s="24">
        <v>178263</v>
      </c>
      <c r="AP109" s="24">
        <v>1081437</v>
      </c>
      <c r="AQ109" s="24"/>
      <c r="AR109" s="461">
        <f t="shared" ref="AR109:AR126" si="76">+AL109/AP108</f>
        <v>1.1915377799070462E-2</v>
      </c>
      <c r="AS109" s="25"/>
      <c r="AT109" s="25"/>
      <c r="AU109" s="24"/>
      <c r="AV109" s="298">
        <f t="shared" ref="AV109:AV126" si="77">+AP109/H109</f>
        <v>0.34213292045096472</v>
      </c>
      <c r="AW109" s="298"/>
      <c r="AX109" s="24">
        <f t="shared" ref="AX109:AX126" si="78">+AP109/BW109</f>
        <v>10814.37</v>
      </c>
      <c r="AY109" s="308"/>
      <c r="AZ109" s="10"/>
      <c r="BA109" s="65">
        <f t="shared" ref="BA109:BA126" si="79">+BC109-BC108</f>
        <v>645524</v>
      </c>
      <c r="BB109" s="66"/>
      <c r="BC109" s="66">
        <v>31998024</v>
      </c>
      <c r="BD109" s="66"/>
      <c r="BE109" s="66">
        <f t="shared" ref="BE109:BE126" si="80">+D109</f>
        <v>43581</v>
      </c>
      <c r="BF109" s="66"/>
      <c r="BG109" s="144">
        <f t="shared" ref="BG109:BG126" si="81">+BE109/BA109</f>
        <v>6.7512594419417399E-2</v>
      </c>
      <c r="BH109" s="66"/>
      <c r="BI109" s="170"/>
      <c r="BJ109" s="66"/>
      <c r="BK109" s="66"/>
      <c r="BL109" s="66"/>
      <c r="BM109" s="144"/>
      <c r="BN109" s="65">
        <f t="shared" ref="BN109:BN126" si="82">+BC109/BW109</f>
        <v>319980.24</v>
      </c>
      <c r="BO109" s="66"/>
      <c r="BP109" s="66">
        <f t="shared" ref="BP109:BP126" si="83">+BP108+BE109</f>
        <v>2323159</v>
      </c>
      <c r="BQ109" s="66"/>
      <c r="BR109" s="435">
        <f t="shared" ref="BR109:BR126" si="84">+BP109/BC109</f>
        <v>7.2603201997723354E-2</v>
      </c>
      <c r="BS109" s="66"/>
      <c r="BT109" s="75"/>
      <c r="BU109" s="170"/>
      <c r="BV109" s="1"/>
      <c r="BW109">
        <f t="shared" si="53"/>
        <v>100</v>
      </c>
    </row>
    <row r="110" spans="2:75" x14ac:dyDescent="0.3">
      <c r="B110" s="347">
        <f t="shared" si="52"/>
        <v>44010</v>
      </c>
      <c r="C110" s="61"/>
      <c r="D110" s="17">
        <v>40540</v>
      </c>
      <c r="E110" s="16"/>
      <c r="F110" s="16"/>
      <c r="G110" s="16"/>
      <c r="H110" s="16">
        <f>+H109+D110</f>
        <v>3201408</v>
      </c>
      <c r="I110" s="16"/>
      <c r="J110" s="38">
        <f t="shared" si="70"/>
        <v>1.2825590945271996E-2</v>
      </c>
      <c r="K110" s="16"/>
      <c r="L110" s="16"/>
      <c r="M110" s="16"/>
      <c r="N110" s="16">
        <f>SUM(D104:D110)</f>
        <v>277620</v>
      </c>
      <c r="O110" s="16">
        <f t="shared" si="71"/>
        <v>31697.108910891089</v>
      </c>
      <c r="P110" s="41"/>
      <c r="Q110" s="17">
        <f>SUM(D104:D110)</f>
        <v>277620</v>
      </c>
      <c r="R110" s="16"/>
      <c r="S110" s="60">
        <f>+(Q110-Q103)/Q103</f>
        <v>0.43869158975368844</v>
      </c>
      <c r="T110" s="16"/>
      <c r="U110" s="41"/>
      <c r="V110" s="348">
        <f>+V109+1</f>
        <v>2</v>
      </c>
      <c r="W110" s="34">
        <v>285</v>
      </c>
      <c r="X110" s="33"/>
      <c r="Y110" s="33"/>
      <c r="Z110" s="33"/>
      <c r="AA110" s="33">
        <f t="shared" si="72"/>
        <v>131795</v>
      </c>
      <c r="AB110" s="33"/>
      <c r="AC110" s="46">
        <f t="shared" si="73"/>
        <v>4.1167823657590662E-2</v>
      </c>
      <c r="AD110" s="33"/>
      <c r="AE110" s="33">
        <f t="shared" si="74"/>
        <v>1304.90099009901</v>
      </c>
      <c r="AF110" s="50"/>
      <c r="AG110" s="33">
        <f>SUM(W104:W110)</f>
        <v>4166</v>
      </c>
      <c r="AH110" s="33"/>
      <c r="AI110" s="213">
        <f>+(AG110-AG103)/AG103</f>
        <v>-5.0159598723210214E-2</v>
      </c>
      <c r="AJ110" s="50"/>
      <c r="AK110" s="348"/>
      <c r="AL110" s="23">
        <f t="shared" si="75"/>
        <v>12019</v>
      </c>
      <c r="AM110" s="24"/>
      <c r="AN110" s="24"/>
      <c r="AO110" s="24">
        <v>178263</v>
      </c>
      <c r="AP110" s="24">
        <f>1093456</f>
        <v>1093456</v>
      </c>
      <c r="AQ110" s="24"/>
      <c r="AR110" s="461">
        <f t="shared" si="76"/>
        <v>1.1113916020997988E-2</v>
      </c>
      <c r="AS110" s="25"/>
      <c r="AT110" s="25"/>
      <c r="AU110" s="24"/>
      <c r="AV110" s="298">
        <f t="shared" si="77"/>
        <v>0.34155471592499298</v>
      </c>
      <c r="AW110" s="298"/>
      <c r="AX110" s="24">
        <f t="shared" si="78"/>
        <v>10826.29702970297</v>
      </c>
      <c r="AY110" s="308"/>
      <c r="AZ110" s="348"/>
      <c r="BA110" s="65">
        <f t="shared" si="79"/>
        <v>594344</v>
      </c>
      <c r="BB110" s="66"/>
      <c r="BC110" s="66">
        <f>32592368</f>
        <v>32592368</v>
      </c>
      <c r="BD110" s="66"/>
      <c r="BE110" s="66">
        <f t="shared" si="80"/>
        <v>40540</v>
      </c>
      <c r="BF110" s="66"/>
      <c r="BG110" s="144">
        <f t="shared" si="81"/>
        <v>6.8209656360626175E-2</v>
      </c>
      <c r="BH110" s="66"/>
      <c r="BI110" s="170"/>
      <c r="BJ110" s="66"/>
      <c r="BK110" s="66">
        <f>SUM(BA104:BA110)</f>
        <v>4100378</v>
      </c>
      <c r="BL110" s="66"/>
      <c r="BM110" s="144">
        <f>+Q110/BK110</f>
        <v>6.7705952963360932E-2</v>
      </c>
      <c r="BN110" s="65">
        <f t="shared" si="82"/>
        <v>322696.71287128713</v>
      </c>
      <c r="BO110" s="66"/>
      <c r="BP110" s="66">
        <f t="shared" si="83"/>
        <v>2363699</v>
      </c>
      <c r="BQ110" s="66"/>
      <c r="BR110" s="435">
        <f t="shared" si="84"/>
        <v>7.2523082704515365E-2</v>
      </c>
      <c r="BS110" s="66"/>
      <c r="BT110" s="75"/>
      <c r="BU110" s="170"/>
      <c r="BV110" s="1"/>
      <c r="BW110">
        <f t="shared" si="53"/>
        <v>101</v>
      </c>
    </row>
    <row r="111" spans="2:75" x14ac:dyDescent="0.3">
      <c r="B111" s="158">
        <f t="shared" si="52"/>
        <v>44011</v>
      </c>
      <c r="C111" s="61"/>
      <c r="D111" s="17">
        <v>44734</v>
      </c>
      <c r="E111" s="16"/>
      <c r="F111" s="16"/>
      <c r="G111" s="16"/>
      <c r="H111" s="16">
        <f>+H110+D111</f>
        <v>3246142</v>
      </c>
      <c r="I111" s="16"/>
      <c r="J111" s="38">
        <f t="shared" si="70"/>
        <v>1.3973226780216704E-2</v>
      </c>
      <c r="K111" s="16"/>
      <c r="L111" s="16"/>
      <c r="M111" s="16"/>
      <c r="N111" s="16"/>
      <c r="O111" s="16">
        <f t="shared" si="71"/>
        <v>31824.921568627451</v>
      </c>
      <c r="P111" s="41"/>
      <c r="Q111" s="17"/>
      <c r="R111" s="16"/>
      <c r="S111" s="60"/>
      <c r="T111" s="16"/>
      <c r="U111" s="41"/>
      <c r="V111" s="10">
        <f t="shared" ref="V111:V138" si="85">+V110+1</f>
        <v>3</v>
      </c>
      <c r="W111" s="34">
        <v>346</v>
      </c>
      <c r="X111" s="33"/>
      <c r="Y111" s="33"/>
      <c r="Z111" s="33"/>
      <c r="AA111" s="33">
        <f t="shared" si="72"/>
        <v>132141</v>
      </c>
      <c r="AB111" s="33"/>
      <c r="AC111" s="46">
        <f t="shared" si="73"/>
        <v>4.0707091679908027E-2</v>
      </c>
      <c r="AD111" s="33"/>
      <c r="AE111" s="33">
        <f t="shared" si="74"/>
        <v>1295.5</v>
      </c>
      <c r="AF111" s="50"/>
      <c r="AG111" s="33"/>
      <c r="AH111" s="33"/>
      <c r="AI111" s="213"/>
      <c r="AJ111" s="50"/>
      <c r="AK111" s="10"/>
      <c r="AL111" s="23">
        <f t="shared" si="75"/>
        <v>23721</v>
      </c>
      <c r="AM111" s="24"/>
      <c r="AN111" s="24"/>
      <c r="AO111" s="24">
        <v>178263</v>
      </c>
      <c r="AP111" s="24">
        <v>1117177</v>
      </c>
      <c r="AQ111" s="24"/>
      <c r="AR111" s="461">
        <f t="shared" si="76"/>
        <v>2.1693602668968848E-2</v>
      </c>
      <c r="AS111" s="25"/>
      <c r="AT111" s="25"/>
      <c r="AU111" s="24"/>
      <c r="AV111" s="298">
        <f t="shared" si="77"/>
        <v>0.34415530805491568</v>
      </c>
      <c r="AW111" s="298"/>
      <c r="AX111" s="24">
        <f t="shared" si="78"/>
        <v>10952.715686274511</v>
      </c>
      <c r="AY111" s="308"/>
      <c r="AZ111" s="10"/>
      <c r="BA111" s="65">
        <f t="shared" si="79"/>
        <v>597145</v>
      </c>
      <c r="BB111" s="66"/>
      <c r="BC111" s="66">
        <v>33189513</v>
      </c>
      <c r="BD111" s="66"/>
      <c r="BE111" s="66">
        <f t="shared" si="80"/>
        <v>44734</v>
      </c>
      <c r="BF111" s="66"/>
      <c r="BG111" s="144">
        <f t="shared" si="81"/>
        <v>7.4913128302171159E-2</v>
      </c>
      <c r="BH111" s="66"/>
      <c r="BI111" s="170"/>
      <c r="BJ111" s="66"/>
      <c r="BK111" s="66"/>
      <c r="BL111" s="66"/>
      <c r="BM111" s="144"/>
      <c r="BN111" s="65">
        <f t="shared" si="82"/>
        <v>325387.3823529412</v>
      </c>
      <c r="BO111" s="66"/>
      <c r="BP111" s="66">
        <f t="shared" si="83"/>
        <v>2408433</v>
      </c>
      <c r="BQ111" s="66"/>
      <c r="BR111" s="435">
        <f t="shared" si="84"/>
        <v>7.2566084353211213E-2</v>
      </c>
      <c r="BS111" s="66"/>
      <c r="BT111" s="75"/>
      <c r="BU111" s="170"/>
      <c r="BV111" s="1"/>
      <c r="BW111">
        <f t="shared" si="53"/>
        <v>102</v>
      </c>
    </row>
    <row r="112" spans="2:75" x14ac:dyDescent="0.3">
      <c r="B112" s="158">
        <f t="shared" si="52"/>
        <v>44012</v>
      </c>
      <c r="C112" s="61"/>
      <c r="D112" s="17">
        <v>46042</v>
      </c>
      <c r="E112" s="16"/>
      <c r="F112" s="16"/>
      <c r="G112" s="16"/>
      <c r="H112" s="16">
        <f>+H111+D112</f>
        <v>3292184</v>
      </c>
      <c r="I112" s="16"/>
      <c r="J112" s="38">
        <f t="shared" si="70"/>
        <v>1.4183606262449393E-2</v>
      </c>
      <c r="K112" s="16"/>
      <c r="L112" s="16"/>
      <c r="M112" s="16"/>
      <c r="N112" s="426">
        <f>SUM(D83:D112)</f>
        <v>869627</v>
      </c>
      <c r="O112" s="16">
        <f t="shared" si="71"/>
        <v>31962.951456310679</v>
      </c>
      <c r="P112" s="41"/>
      <c r="Q112" s="17"/>
      <c r="R112" s="16"/>
      <c r="S112" s="60"/>
      <c r="T112" s="16"/>
      <c r="U112" s="41"/>
      <c r="V112" s="10">
        <f t="shared" si="85"/>
        <v>4</v>
      </c>
      <c r="W112" s="34">
        <v>764</v>
      </c>
      <c r="X112" s="33"/>
      <c r="Y112" s="33"/>
      <c r="Z112" s="33"/>
      <c r="AA112" s="33">
        <f t="shared" si="72"/>
        <v>132905</v>
      </c>
      <c r="AB112" s="33"/>
      <c r="AC112" s="46">
        <f t="shared" si="73"/>
        <v>4.0369857820826541E-2</v>
      </c>
      <c r="AD112" s="33"/>
      <c r="AE112" s="33">
        <f t="shared" si="74"/>
        <v>1290.3398058252428</v>
      </c>
      <c r="AF112" s="50"/>
      <c r="AG112" s="33">
        <f>SUM(W82:W112)</f>
        <v>21890</v>
      </c>
      <c r="AH112" s="33"/>
      <c r="AI112" s="213"/>
      <c r="AJ112" s="50"/>
      <c r="AK112" s="10"/>
      <c r="AL112" s="23">
        <f t="shared" si="75"/>
        <v>26157</v>
      </c>
      <c r="AM112" s="24"/>
      <c r="AN112" s="24"/>
      <c r="AO112" s="24">
        <v>178263</v>
      </c>
      <c r="AP112" s="24">
        <v>1143334</v>
      </c>
      <c r="AQ112" s="24"/>
      <c r="AR112" s="461">
        <f t="shared" si="76"/>
        <v>2.3413478795213293E-2</v>
      </c>
      <c r="AS112" s="25"/>
      <c r="AT112" s="25"/>
      <c r="AU112" s="24"/>
      <c r="AV112" s="298">
        <f t="shared" si="77"/>
        <v>0.34728739341421988</v>
      </c>
      <c r="AW112" s="298"/>
      <c r="AX112" s="24">
        <f t="shared" si="78"/>
        <v>11100.330097087379</v>
      </c>
      <c r="AY112" s="308"/>
      <c r="AZ112" s="10"/>
      <c r="BA112" s="65">
        <f t="shared" si="79"/>
        <v>1008514</v>
      </c>
      <c r="BB112" s="66"/>
      <c r="BC112" s="66">
        <v>34198027</v>
      </c>
      <c r="BD112" s="66"/>
      <c r="BE112" s="66">
        <f t="shared" si="80"/>
        <v>46042</v>
      </c>
      <c r="BF112" s="66"/>
      <c r="BG112" s="144">
        <f t="shared" si="81"/>
        <v>4.5653307737919355E-2</v>
      </c>
      <c r="BH112" s="66"/>
      <c r="BI112" s="170"/>
      <c r="BJ112" s="66"/>
      <c r="BK112" s="66">
        <f>SUM(BA83:BA112)</f>
        <v>16525460</v>
      </c>
      <c r="BL112" s="66"/>
      <c r="BM112" s="144"/>
      <c r="BN112" s="65">
        <f t="shared" si="82"/>
        <v>332019.67961165047</v>
      </c>
      <c r="BO112" s="66"/>
      <c r="BP112" s="66">
        <f t="shared" si="83"/>
        <v>2454475</v>
      </c>
      <c r="BQ112" s="66"/>
      <c r="BR112" s="435">
        <f t="shared" si="84"/>
        <v>7.1772415408643306E-2</v>
      </c>
      <c r="BS112" s="66"/>
      <c r="BT112" s="75"/>
      <c r="BU112" s="170"/>
      <c r="BV112" s="1"/>
      <c r="BW112">
        <f t="shared" si="53"/>
        <v>103</v>
      </c>
    </row>
    <row r="113" spans="1:75" x14ac:dyDescent="0.3">
      <c r="B113" s="158">
        <f t="shared" si="52"/>
        <v>44013</v>
      </c>
      <c r="C113" s="61"/>
      <c r="D113" s="17">
        <v>51097</v>
      </c>
      <c r="E113" s="16"/>
      <c r="F113" s="16"/>
      <c r="G113" s="16"/>
      <c r="H113" s="16">
        <f>+H112+D113</f>
        <v>3343281</v>
      </c>
      <c r="I113" s="16"/>
      <c r="J113" s="38">
        <f t="shared" si="70"/>
        <v>1.5520699936577056E-2</v>
      </c>
      <c r="K113" s="16"/>
      <c r="L113" s="16"/>
      <c r="M113" s="16"/>
      <c r="N113" s="16"/>
      <c r="O113" s="16">
        <f t="shared" si="71"/>
        <v>32146.932692307691</v>
      </c>
      <c r="P113" s="41"/>
      <c r="Q113" s="17"/>
      <c r="R113" s="16"/>
      <c r="S113" s="60"/>
      <c r="T113" s="16"/>
      <c r="U113" s="41"/>
      <c r="V113" s="10">
        <f t="shared" si="85"/>
        <v>5</v>
      </c>
      <c r="W113" s="34">
        <v>676</v>
      </c>
      <c r="X113" s="33"/>
      <c r="Y113" s="33"/>
      <c r="Z113" s="33"/>
      <c r="AA113" s="33">
        <f t="shared" si="72"/>
        <v>133581</v>
      </c>
      <c r="AB113" s="33"/>
      <c r="AC113" s="46">
        <f t="shared" si="73"/>
        <v>3.9955062108150648E-2</v>
      </c>
      <c r="AD113" s="33"/>
      <c r="AE113" s="33">
        <f t="shared" si="74"/>
        <v>1284.4326923076924</v>
      </c>
      <c r="AF113" s="50"/>
      <c r="AG113" s="33"/>
      <c r="AH113" s="33">
        <f>SUM(D83:D112)</f>
        <v>869627</v>
      </c>
      <c r="AI113" s="213"/>
      <c r="AJ113" s="50"/>
      <c r="AK113" s="10"/>
      <c r="AL113" s="23">
        <f t="shared" si="75"/>
        <v>20966</v>
      </c>
      <c r="AM113" s="24"/>
      <c r="AN113" s="24"/>
      <c r="AO113" s="24">
        <v>178263</v>
      </c>
      <c r="AP113" s="24">
        <v>1164300</v>
      </c>
      <c r="AQ113" s="24"/>
      <c r="AR113" s="461">
        <f t="shared" si="76"/>
        <v>1.8337598636968724E-2</v>
      </c>
      <c r="AS113" s="25"/>
      <c r="AT113" s="25"/>
      <c r="AU113" s="24"/>
      <c r="AV113" s="298">
        <f t="shared" si="77"/>
        <v>0.34825071539006142</v>
      </c>
      <c r="AW113" s="298"/>
      <c r="AX113" s="24">
        <f t="shared" si="78"/>
        <v>11195.192307692309</v>
      </c>
      <c r="AY113" s="308"/>
      <c r="AZ113" s="10"/>
      <c r="BA113" s="65">
        <f t="shared" si="79"/>
        <v>657615</v>
      </c>
      <c r="BB113" s="66"/>
      <c r="BC113" s="66">
        <v>34855642</v>
      </c>
      <c r="BD113" s="66"/>
      <c r="BE113" s="66">
        <f t="shared" si="80"/>
        <v>51097</v>
      </c>
      <c r="BF113" s="66"/>
      <c r="BG113" s="144">
        <f t="shared" si="81"/>
        <v>7.7700478243349066E-2</v>
      </c>
      <c r="BH113" s="66"/>
      <c r="BI113" s="170"/>
      <c r="BJ113" s="66"/>
      <c r="BK113" s="66"/>
      <c r="BL113" s="66"/>
      <c r="BM113" s="144"/>
      <c r="BN113" s="65">
        <f t="shared" si="82"/>
        <v>335150.40384615387</v>
      </c>
      <c r="BO113" s="66"/>
      <c r="BP113" s="66">
        <f t="shared" si="83"/>
        <v>2505572</v>
      </c>
      <c r="BQ113" s="66"/>
      <c r="BR113" s="435">
        <f t="shared" si="84"/>
        <v>7.1884259082073423E-2</v>
      </c>
      <c r="BS113" s="66"/>
      <c r="BT113" s="75"/>
      <c r="BU113" s="170"/>
      <c r="BV113" s="1"/>
      <c r="BW113">
        <f t="shared" si="53"/>
        <v>104</v>
      </c>
    </row>
    <row r="114" spans="1:75" x14ac:dyDescent="0.3">
      <c r="B114" s="158">
        <f t="shared" si="52"/>
        <v>44014</v>
      </c>
      <c r="C114" s="61"/>
      <c r="D114" s="17">
        <f>57232+2643</f>
        <v>59875</v>
      </c>
      <c r="E114" s="16"/>
      <c r="F114" s="16"/>
      <c r="G114" s="16"/>
      <c r="H114" s="16">
        <f>+H113+D114+2141+4101+9611-5628+30786</f>
        <v>3444167</v>
      </c>
      <c r="I114" s="462" t="s">
        <v>136</v>
      </c>
      <c r="J114" s="38">
        <f t="shared" si="70"/>
        <v>1.7909054010117605E-2</v>
      </c>
      <c r="K114" s="16"/>
      <c r="L114" s="16"/>
      <c r="M114" s="16"/>
      <c r="N114" s="16"/>
      <c r="O114" s="16">
        <f t="shared" si="71"/>
        <v>32801.590476190475</v>
      </c>
      <c r="P114" s="41"/>
      <c r="Q114" s="17"/>
      <c r="R114" s="16"/>
      <c r="S114" s="60"/>
      <c r="T114" s="16"/>
      <c r="U114" s="41"/>
      <c r="V114" s="10">
        <f t="shared" si="85"/>
        <v>6</v>
      </c>
      <c r="W114" s="34">
        <f>604-30-21</f>
        <v>553</v>
      </c>
      <c r="X114" s="33"/>
      <c r="Y114" s="33"/>
      <c r="Z114" s="490" t="s">
        <v>136</v>
      </c>
      <c r="AA114" s="33">
        <f>+AA113+W114+670+642-57-19+91</f>
        <v>135461</v>
      </c>
      <c r="AB114" s="33"/>
      <c r="AC114" s="46">
        <f t="shared" si="73"/>
        <v>3.9330555109551892E-2</v>
      </c>
      <c r="AD114" s="33"/>
      <c r="AE114" s="33">
        <f t="shared" si="74"/>
        <v>1290.104761904762</v>
      </c>
      <c r="AF114" s="50"/>
      <c r="AG114" s="33"/>
      <c r="AH114" s="33">
        <f>SUM(W83:W112)</f>
        <v>21252</v>
      </c>
      <c r="AI114" s="213"/>
      <c r="AJ114" s="50"/>
      <c r="AK114" s="10"/>
      <c r="AL114" s="23">
        <f t="shared" si="75"/>
        <v>20879</v>
      </c>
      <c r="AM114" s="24"/>
      <c r="AN114" s="24"/>
      <c r="AO114" s="24">
        <v>178263</v>
      </c>
      <c r="AP114" s="24">
        <v>1185179</v>
      </c>
      <c r="AQ114" s="24"/>
      <c r="AR114" s="461">
        <f t="shared" si="76"/>
        <v>1.7932663402903032E-2</v>
      </c>
      <c r="AS114" s="25"/>
      <c r="AT114" s="25"/>
      <c r="AU114" s="24"/>
      <c r="AV114" s="298">
        <f t="shared" si="77"/>
        <v>0.34411194346847873</v>
      </c>
      <c r="AW114" s="298"/>
      <c r="AX114" s="24">
        <f t="shared" si="78"/>
        <v>11287.419047619047</v>
      </c>
      <c r="AY114" s="308"/>
      <c r="AZ114" s="10"/>
      <c r="BA114" s="65">
        <f t="shared" si="79"/>
        <v>682358</v>
      </c>
      <c r="BB114" s="66"/>
      <c r="BC114" s="66">
        <v>35538000</v>
      </c>
      <c r="BD114" s="66"/>
      <c r="BE114" s="66">
        <f t="shared" si="80"/>
        <v>59875</v>
      </c>
      <c r="BF114" s="66"/>
      <c r="BG114" s="144">
        <f t="shared" si="81"/>
        <v>8.7747194288042341E-2</v>
      </c>
      <c r="BH114" s="66"/>
      <c r="BI114" s="170"/>
      <c r="BJ114" s="66"/>
      <c r="BK114" s="66"/>
      <c r="BL114" s="66"/>
      <c r="BM114" s="144"/>
      <c r="BN114" s="65">
        <f t="shared" si="82"/>
        <v>338457.14285714284</v>
      </c>
      <c r="BO114" s="66"/>
      <c r="BP114" s="66">
        <f t="shared" si="83"/>
        <v>2565447</v>
      </c>
      <c r="BQ114" s="66"/>
      <c r="BR114" s="435">
        <f t="shared" si="84"/>
        <v>7.2188840114806682E-2</v>
      </c>
      <c r="BS114" s="66"/>
      <c r="BT114" s="75"/>
      <c r="BU114" s="170"/>
      <c r="BV114" s="1"/>
      <c r="BW114">
        <f t="shared" si="53"/>
        <v>105</v>
      </c>
    </row>
    <row r="115" spans="1:75" x14ac:dyDescent="0.3">
      <c r="B115" s="158">
        <f t="shared" si="52"/>
        <v>44015</v>
      </c>
      <c r="C115" s="61"/>
      <c r="D115" s="17">
        <f>54904+3187</f>
        <v>58091</v>
      </c>
      <c r="E115" s="16"/>
      <c r="F115" s="16"/>
      <c r="G115" s="16"/>
      <c r="H115" s="16">
        <f t="shared" ref="H115:H126" si="86">+H114+D115</f>
        <v>3502258</v>
      </c>
      <c r="I115" s="462" t="s">
        <v>136</v>
      </c>
      <c r="J115" s="38">
        <f t="shared" si="70"/>
        <v>1.6866487600630285E-2</v>
      </c>
      <c r="K115" s="16"/>
      <c r="L115" s="16"/>
      <c r="M115" s="16"/>
      <c r="N115" s="16"/>
      <c r="O115" s="16">
        <f t="shared" si="71"/>
        <v>33040.169811320753</v>
      </c>
      <c r="P115" s="41"/>
      <c r="Q115" s="17"/>
      <c r="R115" s="16"/>
      <c r="S115" s="60"/>
      <c r="T115" s="16"/>
      <c r="U115" s="41"/>
      <c r="V115" s="10">
        <f t="shared" si="85"/>
        <v>7</v>
      </c>
      <c r="W115" s="34">
        <v>616</v>
      </c>
      <c r="X115" s="33"/>
      <c r="Y115" s="33"/>
      <c r="Z115" s="33"/>
      <c r="AA115" s="33">
        <f t="shared" si="72"/>
        <v>136077</v>
      </c>
      <c r="AB115" s="33"/>
      <c r="AC115" s="46">
        <f t="shared" si="73"/>
        <v>3.8854076427264926E-2</v>
      </c>
      <c r="AD115" s="33"/>
      <c r="AE115" s="33">
        <f t="shared" si="74"/>
        <v>1283.7452830188679</v>
      </c>
      <c r="AF115" s="50"/>
      <c r="AG115" s="33"/>
      <c r="AH115" s="213">
        <f>+AH114/AH113</f>
        <v>2.4438063675575852E-2</v>
      </c>
      <c r="AI115" s="213"/>
      <c r="AJ115" s="50"/>
      <c r="AK115" s="10"/>
      <c r="AL115" s="23">
        <f t="shared" si="75"/>
        <v>50309</v>
      </c>
      <c r="AM115" s="24"/>
      <c r="AN115" s="24"/>
      <c r="AO115" s="24">
        <v>178263</v>
      </c>
      <c r="AP115" s="24">
        <v>1235488</v>
      </c>
      <c r="AQ115" s="24"/>
      <c r="AR115" s="461">
        <f t="shared" si="76"/>
        <v>4.2448440277797699E-2</v>
      </c>
      <c r="AS115" s="25"/>
      <c r="AT115" s="25"/>
      <c r="AU115" s="24"/>
      <c r="AV115" s="298">
        <f t="shared" si="77"/>
        <v>0.35276898503765286</v>
      </c>
      <c r="AW115" s="298"/>
      <c r="AX115" s="24">
        <f t="shared" si="78"/>
        <v>11655.547169811322</v>
      </c>
      <c r="AY115" s="308"/>
      <c r="AZ115" s="10"/>
      <c r="BA115" s="65">
        <f t="shared" si="79"/>
        <v>759195</v>
      </c>
      <c r="BB115" s="66"/>
      <c r="BC115" s="66">
        <v>36297195</v>
      </c>
      <c r="BD115" s="66"/>
      <c r="BE115" s="66">
        <f t="shared" si="80"/>
        <v>58091</v>
      </c>
      <c r="BF115" s="66"/>
      <c r="BG115" s="144">
        <f t="shared" si="81"/>
        <v>7.6516573475852709E-2</v>
      </c>
      <c r="BH115" s="66"/>
      <c r="BI115" s="170"/>
      <c r="BJ115" s="66"/>
      <c r="BK115" s="66"/>
      <c r="BL115" s="66"/>
      <c r="BM115" s="144"/>
      <c r="BN115" s="65">
        <f t="shared" si="82"/>
        <v>342426.36792452831</v>
      </c>
      <c r="BO115" s="66"/>
      <c r="BP115" s="66">
        <f t="shared" si="83"/>
        <v>2623538</v>
      </c>
      <c r="BQ115" s="66"/>
      <c r="BR115" s="435">
        <f t="shared" si="84"/>
        <v>7.2279359327903983E-2</v>
      </c>
      <c r="BS115" s="66"/>
      <c r="BT115" s="75"/>
      <c r="BU115" s="170"/>
      <c r="BV115" s="1"/>
      <c r="BW115">
        <f t="shared" si="53"/>
        <v>106</v>
      </c>
    </row>
    <row r="116" spans="1:75" x14ac:dyDescent="0.3">
      <c r="B116" s="158">
        <f t="shared" si="52"/>
        <v>44016</v>
      </c>
      <c r="C116" s="61"/>
      <c r="D116" s="17">
        <f>45182+1402</f>
        <v>46584</v>
      </c>
      <c r="E116" s="16"/>
      <c r="F116" s="16"/>
      <c r="G116" s="16"/>
      <c r="H116" s="16">
        <f>+H115+D116+2919+25339</f>
        <v>3577100</v>
      </c>
      <c r="I116" s="462" t="s">
        <v>136</v>
      </c>
      <c r="J116" s="38">
        <f t="shared" si="70"/>
        <v>1.3301133154667646E-2</v>
      </c>
      <c r="K116" s="16"/>
      <c r="L116" s="16"/>
      <c r="M116" s="16"/>
      <c r="N116" s="16"/>
      <c r="O116" s="16">
        <f t="shared" si="71"/>
        <v>33430.84112149533</v>
      </c>
      <c r="P116" s="41"/>
      <c r="Q116" s="17"/>
      <c r="R116" s="16"/>
      <c r="S116" s="60"/>
      <c r="T116" s="16"/>
      <c r="U116" s="41"/>
      <c r="V116" s="10">
        <f t="shared" si="85"/>
        <v>8</v>
      </c>
      <c r="W116" s="34">
        <v>254</v>
      </c>
      <c r="X116" s="33"/>
      <c r="Y116" s="33"/>
      <c r="Z116" s="33"/>
      <c r="AA116" s="33">
        <f t="shared" si="72"/>
        <v>136331</v>
      </c>
      <c r="AB116" s="33"/>
      <c r="AC116" s="46">
        <f t="shared" si="73"/>
        <v>3.8112157893265497E-2</v>
      </c>
      <c r="AD116" s="33"/>
      <c r="AE116" s="33">
        <f t="shared" si="74"/>
        <v>1274.1214953271028</v>
      </c>
      <c r="AF116" s="50"/>
      <c r="AG116" s="33"/>
      <c r="AH116" s="33"/>
      <c r="AI116" s="213"/>
      <c r="AJ116" s="50"/>
      <c r="AK116" s="10"/>
      <c r="AL116" s="23">
        <f t="shared" si="75"/>
        <v>24917</v>
      </c>
      <c r="AM116" s="24"/>
      <c r="AN116" s="24"/>
      <c r="AO116" s="24">
        <v>178263</v>
      </c>
      <c r="AP116" s="24">
        <v>1260405</v>
      </c>
      <c r="AQ116" s="24"/>
      <c r="AR116" s="461">
        <f t="shared" si="76"/>
        <v>2.0167739387189517E-2</v>
      </c>
      <c r="AS116" s="25"/>
      <c r="AT116" s="25"/>
      <c r="AU116" s="24"/>
      <c r="AV116" s="298">
        <f t="shared" si="77"/>
        <v>0.35235386206703756</v>
      </c>
      <c r="AW116" s="298"/>
      <c r="AX116" s="24">
        <f t="shared" si="78"/>
        <v>11779.485981308411</v>
      </c>
      <c r="AY116" s="308"/>
      <c r="AZ116" s="10"/>
      <c r="BA116" s="65">
        <f t="shared" si="79"/>
        <v>656438</v>
      </c>
      <c r="BB116" s="66"/>
      <c r="BC116" s="66">
        <v>36953633</v>
      </c>
      <c r="BD116" s="66"/>
      <c r="BE116" s="66">
        <f t="shared" si="80"/>
        <v>46584</v>
      </c>
      <c r="BF116" s="66"/>
      <c r="BG116" s="144">
        <f t="shared" si="81"/>
        <v>7.0964813127820145E-2</v>
      </c>
      <c r="BH116" s="66"/>
      <c r="BI116" s="170"/>
      <c r="BJ116" s="66"/>
      <c r="BK116" s="66"/>
      <c r="BL116" s="66"/>
      <c r="BM116" s="144"/>
      <c r="BN116" s="65">
        <f t="shared" si="82"/>
        <v>345361.05607476638</v>
      </c>
      <c r="BO116" s="66"/>
      <c r="BP116" s="66">
        <f t="shared" si="83"/>
        <v>2670122</v>
      </c>
      <c r="BQ116" s="66"/>
      <c r="BR116" s="435">
        <f t="shared" si="84"/>
        <v>7.2256007954617077E-2</v>
      </c>
      <c r="BS116" s="66"/>
      <c r="BT116" s="75"/>
      <c r="BU116" s="170"/>
      <c r="BV116" s="1"/>
      <c r="BW116">
        <f t="shared" si="53"/>
        <v>107</v>
      </c>
    </row>
    <row r="117" spans="1:75" x14ac:dyDescent="0.3">
      <c r="B117" s="347">
        <f t="shared" si="52"/>
        <v>44017</v>
      </c>
      <c r="C117" s="61"/>
      <c r="D117" s="17">
        <v>44530</v>
      </c>
      <c r="E117" s="16"/>
      <c r="F117" s="16"/>
      <c r="G117" s="16"/>
      <c r="H117" s="16">
        <f t="shared" si="86"/>
        <v>3621630</v>
      </c>
      <c r="I117" s="16"/>
      <c r="J117" s="38">
        <f t="shared" si="70"/>
        <v>1.2448631573061978E-2</v>
      </c>
      <c r="K117" s="16"/>
      <c r="L117" s="16"/>
      <c r="M117" s="16"/>
      <c r="N117" s="16">
        <f>SUM(D111:D117)</f>
        <v>350953</v>
      </c>
      <c r="O117" s="16">
        <f t="shared" si="71"/>
        <v>33533.611111111109</v>
      </c>
      <c r="P117" s="41"/>
      <c r="Q117" s="17">
        <f t="shared" ref="Q117:Q126" si="87">SUM(D111:D117)</f>
        <v>350953</v>
      </c>
      <c r="R117" s="16"/>
      <c r="S117" s="60">
        <f>+(Q117-Q110)/Q110</f>
        <v>0.26414883653915422</v>
      </c>
      <c r="T117" s="16"/>
      <c r="U117" s="41"/>
      <c r="V117" s="348">
        <f t="shared" si="85"/>
        <v>9</v>
      </c>
      <c r="W117" s="34">
        <v>251</v>
      </c>
      <c r="X117" s="33"/>
      <c r="Y117" s="33"/>
      <c r="Z117" s="33"/>
      <c r="AA117" s="33">
        <f t="shared" si="72"/>
        <v>136582</v>
      </c>
      <c r="AB117" s="33"/>
      <c r="AC117" s="46">
        <f t="shared" si="73"/>
        <v>3.7712853052354882E-2</v>
      </c>
      <c r="AD117" s="33"/>
      <c r="AE117" s="33">
        <f t="shared" si="74"/>
        <v>1264.648148148148</v>
      </c>
      <c r="AF117" s="50"/>
      <c r="AG117" s="33">
        <f>SUM(W111:W117)</f>
        <v>3460</v>
      </c>
      <c r="AH117" s="33"/>
      <c r="AI117" s="213">
        <f>+(AG117-AG110)/AG110</f>
        <v>-0.16946711473835813</v>
      </c>
      <c r="AJ117" s="50"/>
      <c r="AK117" s="348"/>
      <c r="AL117" s="23">
        <f t="shared" si="75"/>
        <v>25154</v>
      </c>
      <c r="AM117" s="24"/>
      <c r="AN117" s="24"/>
      <c r="AO117" s="24">
        <v>178263</v>
      </c>
      <c r="AP117" s="24">
        <v>1285559</v>
      </c>
      <c r="AQ117" s="24"/>
      <c r="AR117" s="461">
        <f t="shared" si="76"/>
        <v>1.9957077288649282E-2</v>
      </c>
      <c r="AS117" s="25"/>
      <c r="AT117" s="25"/>
      <c r="AU117" s="24"/>
      <c r="AV117" s="298">
        <f t="shared" si="77"/>
        <v>0.35496696238986314</v>
      </c>
      <c r="AW117" s="298"/>
      <c r="AX117" s="24">
        <f t="shared" si="78"/>
        <v>11903.324074074075</v>
      </c>
      <c r="AY117" s="308"/>
      <c r="AZ117" s="348"/>
      <c r="BA117" s="65">
        <f t="shared" si="79"/>
        <v>633176</v>
      </c>
      <c r="BB117" s="66"/>
      <c r="BC117" s="66">
        <v>37586809</v>
      </c>
      <c r="BD117" s="66"/>
      <c r="BE117" s="66">
        <f t="shared" si="80"/>
        <v>44530</v>
      </c>
      <c r="BF117" s="66"/>
      <c r="BG117" s="144">
        <f t="shared" si="81"/>
        <v>7.0327997270900985E-2</v>
      </c>
      <c r="BH117" s="66"/>
      <c r="BI117" s="170"/>
      <c r="BJ117" s="66"/>
      <c r="BK117" s="66">
        <f>SUM(BA111:BA117)</f>
        <v>4994441</v>
      </c>
      <c r="BL117" s="66"/>
      <c r="BM117" s="144">
        <f>+Q117/BK117</f>
        <v>7.0268724768197288E-2</v>
      </c>
      <c r="BN117" s="65">
        <f t="shared" si="82"/>
        <v>348026.00925925927</v>
      </c>
      <c r="BO117" s="66"/>
      <c r="BP117" s="66">
        <f t="shared" si="83"/>
        <v>2714652</v>
      </c>
      <c r="BQ117" s="66"/>
      <c r="BR117" s="435">
        <f t="shared" si="84"/>
        <v>7.2223529270601286E-2</v>
      </c>
      <c r="BS117" s="66"/>
      <c r="BT117" s="75"/>
      <c r="BU117" s="170"/>
      <c r="BV117" s="1"/>
      <c r="BW117" s="429">
        <f t="shared" si="53"/>
        <v>108</v>
      </c>
    </row>
    <row r="118" spans="1:75" x14ac:dyDescent="0.3">
      <c r="B118" s="158">
        <f t="shared" si="52"/>
        <v>44018</v>
      </c>
      <c r="C118" s="61"/>
      <c r="D118" s="17">
        <f>50586+3026</f>
        <v>53612</v>
      </c>
      <c r="E118" s="16"/>
      <c r="F118" s="16"/>
      <c r="G118" s="16"/>
      <c r="H118" s="16">
        <f t="shared" si="86"/>
        <v>3675242</v>
      </c>
      <c r="I118" s="16"/>
      <c r="J118" s="38">
        <f t="shared" si="70"/>
        <v>1.4803279186443674E-2</v>
      </c>
      <c r="K118" s="16"/>
      <c r="L118" s="16"/>
      <c r="M118" s="16"/>
      <c r="N118" s="16"/>
      <c r="O118" s="16">
        <f t="shared" si="71"/>
        <v>33717.816513761471</v>
      </c>
      <c r="P118" s="41"/>
      <c r="Q118" s="17">
        <f t="shared" si="87"/>
        <v>359831</v>
      </c>
      <c r="R118" s="16"/>
      <c r="S118" s="60"/>
      <c r="T118" s="16"/>
      <c r="U118" s="41"/>
      <c r="V118" s="10">
        <f t="shared" si="85"/>
        <v>10</v>
      </c>
      <c r="W118" s="34">
        <v>378</v>
      </c>
      <c r="X118" s="33"/>
      <c r="Y118" s="33"/>
      <c r="Z118" s="33"/>
      <c r="AA118" s="33">
        <f t="shared" si="72"/>
        <v>136960</v>
      </c>
      <c r="AB118" s="33"/>
      <c r="AC118" s="46">
        <f t="shared" si="73"/>
        <v>3.7265573260209801E-2</v>
      </c>
      <c r="AD118" s="33"/>
      <c r="AE118" s="33">
        <f t="shared" si="74"/>
        <v>1256.5137614678899</v>
      </c>
      <c r="AF118" s="50"/>
      <c r="AG118" s="33"/>
      <c r="AH118" s="33"/>
      <c r="AI118" s="213"/>
      <c r="AJ118" s="50"/>
      <c r="AK118" s="10"/>
      <c r="AL118" s="23">
        <f t="shared" si="75"/>
        <v>39388</v>
      </c>
      <c r="AM118" s="24"/>
      <c r="AN118" s="24"/>
      <c r="AO118" s="24">
        <v>178263</v>
      </c>
      <c r="AP118" s="24">
        <v>1324947</v>
      </c>
      <c r="AQ118" s="24"/>
      <c r="AR118" s="461">
        <f t="shared" si="76"/>
        <v>3.0638811598689752E-2</v>
      </c>
      <c r="AS118" s="25"/>
      <c r="AT118" s="25"/>
      <c r="AU118" s="24"/>
      <c r="AV118" s="298">
        <f t="shared" si="77"/>
        <v>0.36050605647192757</v>
      </c>
      <c r="AW118" s="298"/>
      <c r="AX118" s="24">
        <f t="shared" si="78"/>
        <v>12155.477064220184</v>
      </c>
      <c r="AY118" s="308"/>
      <c r="AZ118" s="10"/>
      <c r="BA118" s="65">
        <f t="shared" si="79"/>
        <v>630831</v>
      </c>
      <c r="BB118" s="66"/>
      <c r="BC118" s="66">
        <v>38217640</v>
      </c>
      <c r="BD118" s="66"/>
      <c r="BE118" s="66">
        <f t="shared" si="80"/>
        <v>53612</v>
      </c>
      <c r="BF118" s="66"/>
      <c r="BG118" s="144">
        <f t="shared" si="81"/>
        <v>8.4986311706304857E-2</v>
      </c>
      <c r="BH118" s="66"/>
      <c r="BI118" s="170"/>
      <c r="BJ118" s="66"/>
      <c r="BK118" s="66"/>
      <c r="BL118" s="66"/>
      <c r="BM118" s="144"/>
      <c r="BN118" s="65">
        <f t="shared" si="82"/>
        <v>350620.55045871559</v>
      </c>
      <c r="BO118" s="66"/>
      <c r="BP118" s="66">
        <f t="shared" si="83"/>
        <v>2768264</v>
      </c>
      <c r="BQ118" s="66"/>
      <c r="BR118" s="435">
        <f t="shared" si="84"/>
        <v>7.2434195308763175E-2</v>
      </c>
      <c r="BS118" s="66"/>
      <c r="BT118" s="75"/>
      <c r="BU118" s="170"/>
      <c r="BV118" s="1"/>
      <c r="BW118">
        <f t="shared" si="53"/>
        <v>109</v>
      </c>
    </row>
    <row r="119" spans="1:75" x14ac:dyDescent="0.3">
      <c r="B119" s="158">
        <f t="shared" si="52"/>
        <v>44019</v>
      </c>
      <c r="C119" s="61"/>
      <c r="D119" s="17">
        <v>55442</v>
      </c>
      <c r="E119" s="16"/>
      <c r="F119" s="16"/>
      <c r="G119" s="16"/>
      <c r="H119" s="16">
        <f t="shared" si="86"/>
        <v>3730684</v>
      </c>
      <c r="I119" s="16"/>
      <c r="J119" s="38">
        <f t="shared" si="70"/>
        <v>1.5085265133561274E-2</v>
      </c>
      <c r="K119" s="16"/>
      <c r="L119" s="16"/>
      <c r="M119" s="16"/>
      <c r="N119" s="16"/>
      <c r="O119" s="16">
        <f t="shared" si="71"/>
        <v>33915.30909090909</v>
      </c>
      <c r="P119" s="41"/>
      <c r="Q119" s="17">
        <f t="shared" si="87"/>
        <v>369231</v>
      </c>
      <c r="R119" s="16"/>
      <c r="S119" s="60"/>
      <c r="T119" s="16"/>
      <c r="U119" s="41"/>
      <c r="V119" s="10">
        <f t="shared" si="85"/>
        <v>11</v>
      </c>
      <c r="W119" s="34">
        <v>993</v>
      </c>
      <c r="X119" s="33"/>
      <c r="Y119" s="33"/>
      <c r="Z119" s="33"/>
      <c r="AA119" s="33">
        <f t="shared" si="72"/>
        <v>137953</v>
      </c>
      <c r="AB119" s="33"/>
      <c r="AC119" s="46">
        <f t="shared" si="73"/>
        <v>3.6977937557831221E-2</v>
      </c>
      <c r="AD119" s="33"/>
      <c r="AE119" s="33">
        <f t="shared" si="74"/>
        <v>1254.1181818181817</v>
      </c>
      <c r="AF119" s="50"/>
      <c r="AG119" s="33"/>
      <c r="AH119" s="33"/>
      <c r="AI119" s="213"/>
      <c r="AJ119" s="50"/>
      <c r="AK119" s="10"/>
      <c r="AL119" s="23">
        <f t="shared" si="75"/>
        <v>29916</v>
      </c>
      <c r="AM119" s="24"/>
      <c r="AN119" s="24"/>
      <c r="AO119" s="24">
        <v>178263</v>
      </c>
      <c r="AP119" s="24">
        <v>1354863</v>
      </c>
      <c r="AQ119" s="24"/>
      <c r="AR119" s="461">
        <f t="shared" si="76"/>
        <v>2.2579016368201896E-2</v>
      </c>
      <c r="AS119" s="25"/>
      <c r="AT119" s="25"/>
      <c r="AU119" s="24"/>
      <c r="AV119" s="298">
        <f t="shared" si="77"/>
        <v>0.36316745133064071</v>
      </c>
      <c r="AW119" s="298"/>
      <c r="AX119" s="24">
        <f t="shared" si="78"/>
        <v>12316.936363636363</v>
      </c>
      <c r="AY119" s="308"/>
      <c r="AZ119" s="10"/>
      <c r="BA119" s="65">
        <f t="shared" si="79"/>
        <v>583951</v>
      </c>
      <c r="BB119" s="66"/>
      <c r="BC119" s="66">
        <v>38801591</v>
      </c>
      <c r="BD119" s="66"/>
      <c r="BE119" s="66">
        <f t="shared" si="80"/>
        <v>55442</v>
      </c>
      <c r="BF119" s="66"/>
      <c r="BG119" s="144">
        <f t="shared" si="81"/>
        <v>9.4942897606134766E-2</v>
      </c>
      <c r="BH119" s="66"/>
      <c r="BI119" s="170"/>
      <c r="BJ119" s="66"/>
      <c r="BK119" s="66"/>
      <c r="BL119" s="66"/>
      <c r="BM119" s="144"/>
      <c r="BN119" s="65">
        <f t="shared" si="82"/>
        <v>352741.73636363639</v>
      </c>
      <c r="BO119" s="66"/>
      <c r="BP119" s="66">
        <f t="shared" si="83"/>
        <v>2823706</v>
      </c>
      <c r="BQ119" s="66"/>
      <c r="BR119" s="435">
        <f t="shared" si="84"/>
        <v>7.2772943769238735E-2</v>
      </c>
      <c r="BS119" s="66"/>
      <c r="BT119" s="75"/>
      <c r="BU119" s="170"/>
      <c r="BV119" s="1"/>
      <c r="BW119">
        <f t="shared" si="53"/>
        <v>110</v>
      </c>
    </row>
    <row r="120" spans="1:75" x14ac:dyDescent="0.3">
      <c r="B120" s="158">
        <f t="shared" si="52"/>
        <v>44020</v>
      </c>
      <c r="C120" s="61"/>
      <c r="D120" s="17">
        <v>61848</v>
      </c>
      <c r="E120" s="16"/>
      <c r="F120" s="16"/>
      <c r="G120" s="16"/>
      <c r="H120" s="16">
        <f t="shared" si="86"/>
        <v>3792532</v>
      </c>
      <c r="I120" s="16"/>
      <c r="J120" s="38">
        <f t="shared" si="70"/>
        <v>1.6578193167794433E-2</v>
      </c>
      <c r="K120" s="16"/>
      <c r="L120" s="16"/>
      <c r="M120" s="16"/>
      <c r="N120" s="16"/>
      <c r="O120" s="16">
        <f t="shared" si="71"/>
        <v>34166.954954954956</v>
      </c>
      <c r="P120" s="41"/>
      <c r="Q120" s="17">
        <f t="shared" si="87"/>
        <v>379982</v>
      </c>
      <c r="R120" s="16"/>
      <c r="S120" s="60"/>
      <c r="T120" s="16"/>
      <c r="U120" s="41"/>
      <c r="V120" s="10">
        <f t="shared" si="85"/>
        <v>12</v>
      </c>
      <c r="W120" s="34">
        <v>890</v>
      </c>
      <c r="X120" s="33"/>
      <c r="Y120" s="33"/>
      <c r="Z120" s="33"/>
      <c r="AA120" s="33">
        <f t="shared" si="72"/>
        <v>138843</v>
      </c>
      <c r="AB120" s="33"/>
      <c r="AC120" s="46">
        <f t="shared" si="73"/>
        <v>3.6609579035852567E-2</v>
      </c>
      <c r="AD120" s="33"/>
      <c r="AE120" s="33">
        <f t="shared" si="74"/>
        <v>1250.8378378378379</v>
      </c>
      <c r="AF120" s="50"/>
      <c r="AG120" s="33"/>
      <c r="AH120" s="33"/>
      <c r="AI120" s="213"/>
      <c r="AJ120" s="50"/>
      <c r="AK120" s="10"/>
      <c r="AL120" s="23">
        <f t="shared" si="75"/>
        <v>37816</v>
      </c>
      <c r="AM120" s="24"/>
      <c r="AN120" s="24"/>
      <c r="AO120" s="24">
        <v>178263</v>
      </c>
      <c r="AP120" s="24">
        <v>1392679</v>
      </c>
      <c r="AQ120" s="24"/>
      <c r="AR120" s="461">
        <f t="shared" si="76"/>
        <v>2.7911309113910411E-2</v>
      </c>
      <c r="AS120" s="25"/>
      <c r="AT120" s="25"/>
      <c r="AU120" s="24"/>
      <c r="AV120" s="298">
        <f t="shared" si="77"/>
        <v>0.36721615005489738</v>
      </c>
      <c r="AW120" s="298"/>
      <c r="AX120" s="24">
        <f t="shared" si="78"/>
        <v>12546.657657657657</v>
      </c>
      <c r="AY120" s="308"/>
      <c r="AZ120" s="10"/>
      <c r="BA120" s="65">
        <f t="shared" si="79"/>
        <v>677846</v>
      </c>
      <c r="BB120" s="66"/>
      <c r="BC120" s="66">
        <v>39479437</v>
      </c>
      <c r="BD120" s="66"/>
      <c r="BE120" s="66">
        <f t="shared" si="80"/>
        <v>61848</v>
      </c>
      <c r="BF120" s="66"/>
      <c r="BG120" s="144">
        <f t="shared" si="81"/>
        <v>9.1241963513836483E-2</v>
      </c>
      <c r="BH120" s="66"/>
      <c r="BI120" s="170"/>
      <c r="BJ120" s="66"/>
      <c r="BK120" s="66"/>
      <c r="BL120" s="66"/>
      <c r="BM120" s="144"/>
      <c r="BN120" s="65">
        <f t="shared" si="82"/>
        <v>355670.60360360361</v>
      </c>
      <c r="BO120" s="66"/>
      <c r="BP120" s="66">
        <f t="shared" si="83"/>
        <v>2885554</v>
      </c>
      <c r="BQ120" s="66"/>
      <c r="BR120" s="435">
        <f t="shared" si="84"/>
        <v>7.3090049384442843E-2</v>
      </c>
      <c r="BS120" s="66"/>
      <c r="BT120" s="75"/>
      <c r="BU120" s="170"/>
      <c r="BV120" s="1"/>
      <c r="BW120">
        <f t="shared" si="53"/>
        <v>111</v>
      </c>
    </row>
    <row r="121" spans="1:75" x14ac:dyDescent="0.3">
      <c r="B121" s="158">
        <f t="shared" si="52"/>
        <v>44021</v>
      </c>
      <c r="C121" s="61"/>
      <c r="D121" s="17">
        <v>61067</v>
      </c>
      <c r="E121" s="16"/>
      <c r="F121" s="16"/>
      <c r="G121" s="16"/>
      <c r="H121" s="16">
        <f t="shared" si="86"/>
        <v>3853599</v>
      </c>
      <c r="I121" s="16"/>
      <c r="J121" s="38">
        <f t="shared" si="70"/>
        <v>1.610190764375884E-2</v>
      </c>
      <c r="K121" s="16"/>
      <c r="L121" s="16"/>
      <c r="M121" s="16"/>
      <c r="N121" s="16"/>
      <c r="O121" s="16">
        <f t="shared" si="71"/>
        <v>34407.133928571428</v>
      </c>
      <c r="P121" s="41"/>
      <c r="Q121" s="17">
        <f t="shared" si="87"/>
        <v>381174</v>
      </c>
      <c r="R121" s="16"/>
      <c r="S121" s="60"/>
      <c r="T121" s="16"/>
      <c r="U121" s="41"/>
      <c r="V121" s="10">
        <f t="shared" si="85"/>
        <v>13</v>
      </c>
      <c r="W121" s="34">
        <v>960</v>
      </c>
      <c r="X121" s="33"/>
      <c r="Y121" s="33"/>
      <c r="Z121" s="33"/>
      <c r="AA121" s="33">
        <f t="shared" si="72"/>
        <v>139803</v>
      </c>
      <c r="AB121" s="33"/>
      <c r="AC121" s="46">
        <f t="shared" si="73"/>
        <v>3.6278554151586609E-2</v>
      </c>
      <c r="AD121" s="33"/>
      <c r="AE121" s="33">
        <f t="shared" si="74"/>
        <v>1248.2410714285713</v>
      </c>
      <c r="AF121" s="50"/>
      <c r="AG121" s="33"/>
      <c r="AH121" s="33"/>
      <c r="AI121" s="213"/>
      <c r="AJ121" s="50"/>
      <c r="AK121" s="10"/>
      <c r="AL121" s="23">
        <f t="shared" si="75"/>
        <v>33749</v>
      </c>
      <c r="AM121" s="24"/>
      <c r="AN121" s="24"/>
      <c r="AO121" s="24">
        <v>178263</v>
      </c>
      <c r="AP121" s="24">
        <v>1426428</v>
      </c>
      <c r="AQ121" s="24"/>
      <c r="AR121" s="461">
        <f t="shared" si="76"/>
        <v>2.423315063988184E-2</v>
      </c>
      <c r="AS121" s="25"/>
      <c r="AT121" s="25"/>
      <c r="AU121" s="24"/>
      <c r="AV121" s="298">
        <f t="shared" si="77"/>
        <v>0.37015475663139835</v>
      </c>
      <c r="AW121" s="298"/>
      <c r="AX121" s="24">
        <f t="shared" si="78"/>
        <v>12735.964285714286</v>
      </c>
      <c r="AY121" s="308"/>
      <c r="AZ121" s="10"/>
      <c r="BA121" s="65">
        <f t="shared" si="79"/>
        <v>681700</v>
      </c>
      <c r="BB121" s="66"/>
      <c r="BC121" s="66">
        <v>40161137</v>
      </c>
      <c r="BD121" s="66"/>
      <c r="BE121" s="66">
        <f t="shared" si="80"/>
        <v>61067</v>
      </c>
      <c r="BF121" s="66"/>
      <c r="BG121" s="144">
        <f t="shared" si="81"/>
        <v>8.9580460613172944E-2</v>
      </c>
      <c r="BH121" s="66"/>
      <c r="BI121" s="170"/>
      <c r="BJ121" s="66"/>
      <c r="BK121" s="66"/>
      <c r="BL121" s="66"/>
      <c r="BM121" s="144"/>
      <c r="BN121" s="65">
        <f t="shared" si="82"/>
        <v>358581.58035714284</v>
      </c>
      <c r="BO121" s="66"/>
      <c r="BP121" s="66">
        <f t="shared" si="83"/>
        <v>2946621</v>
      </c>
      <c r="BQ121" s="66"/>
      <c r="BR121" s="435">
        <f t="shared" si="84"/>
        <v>7.336995962041612E-2</v>
      </c>
      <c r="BS121" s="66"/>
      <c r="BT121" s="75"/>
      <c r="BU121" s="170"/>
      <c r="BV121" s="1"/>
      <c r="BW121">
        <f t="shared" si="53"/>
        <v>112</v>
      </c>
    </row>
    <row r="122" spans="1:75" x14ac:dyDescent="0.3">
      <c r="B122" s="158">
        <f t="shared" si="52"/>
        <v>44022</v>
      </c>
      <c r="C122" s="61"/>
      <c r="D122" s="17">
        <v>71787</v>
      </c>
      <c r="E122" s="16"/>
      <c r="F122" s="16"/>
      <c r="G122" s="16"/>
      <c r="H122" s="16">
        <f t="shared" si="86"/>
        <v>3925386</v>
      </c>
      <c r="I122" s="16"/>
      <c r="J122" s="38">
        <f t="shared" si="70"/>
        <v>1.8628559951359754E-2</v>
      </c>
      <c r="K122" s="16"/>
      <c r="L122" s="16"/>
      <c r="M122" s="16"/>
      <c r="N122" s="16"/>
      <c r="O122" s="16">
        <f t="shared" si="71"/>
        <v>34737.929203539825</v>
      </c>
      <c r="P122" s="41"/>
      <c r="Q122" s="17">
        <f t="shared" si="87"/>
        <v>394870</v>
      </c>
      <c r="R122" s="16"/>
      <c r="S122" s="60"/>
      <c r="T122" s="16"/>
      <c r="U122" s="41"/>
      <c r="V122" s="10">
        <f t="shared" si="85"/>
        <v>14</v>
      </c>
      <c r="W122" s="34">
        <v>849</v>
      </c>
      <c r="X122" s="33"/>
      <c r="Y122" s="33"/>
      <c r="Z122" s="33"/>
      <c r="AA122" s="33">
        <f t="shared" si="72"/>
        <v>140652</v>
      </c>
      <c r="AB122" s="33"/>
      <c r="AC122" s="46">
        <f t="shared" si="73"/>
        <v>3.5831380659124987E-2</v>
      </c>
      <c r="AD122" s="33"/>
      <c r="AE122" s="33">
        <f t="shared" si="74"/>
        <v>1244.7079646017698</v>
      </c>
      <c r="AF122" s="50"/>
      <c r="AG122" s="33"/>
      <c r="AH122" s="33"/>
      <c r="AI122" s="213"/>
      <c r="AJ122" s="50"/>
      <c r="AK122" s="10"/>
      <c r="AL122" s="23">
        <f t="shared" si="75"/>
        <v>34067</v>
      </c>
      <c r="AM122" s="24"/>
      <c r="AN122" s="24"/>
      <c r="AO122" s="24">
        <v>178263</v>
      </c>
      <c r="AP122" s="24">
        <v>1460495</v>
      </c>
      <c r="AQ122" s="24"/>
      <c r="AR122" s="461">
        <f t="shared" si="76"/>
        <v>2.3882733653573823E-2</v>
      </c>
      <c r="AS122" s="25"/>
      <c r="AT122" s="25"/>
      <c r="AU122" s="24"/>
      <c r="AV122" s="298">
        <f t="shared" si="77"/>
        <v>0.37206404669502569</v>
      </c>
      <c r="AW122" s="298"/>
      <c r="AX122" s="24">
        <f t="shared" si="78"/>
        <v>12924.734513274336</v>
      </c>
      <c r="AY122" s="308"/>
      <c r="AZ122" s="10"/>
      <c r="BA122" s="65">
        <f t="shared" si="79"/>
        <v>849076</v>
      </c>
      <c r="BB122" s="66"/>
      <c r="BC122" s="66">
        <v>41010213</v>
      </c>
      <c r="BD122" s="66"/>
      <c r="BE122" s="66">
        <f t="shared" si="80"/>
        <v>71787</v>
      </c>
      <c r="BF122" s="66"/>
      <c r="BG122" s="144">
        <f t="shared" si="81"/>
        <v>8.4547201899476607E-2</v>
      </c>
      <c r="BH122" s="66"/>
      <c r="BI122" s="170"/>
      <c r="BJ122" s="66"/>
      <c r="BK122" s="66"/>
      <c r="BL122" s="66"/>
      <c r="BM122" s="144"/>
      <c r="BN122" s="65">
        <f t="shared" si="82"/>
        <v>362922.23893805308</v>
      </c>
      <c r="BO122" s="66"/>
      <c r="BP122" s="66">
        <f t="shared" si="83"/>
        <v>3018408</v>
      </c>
      <c r="BQ122" s="66"/>
      <c r="BR122" s="435">
        <f t="shared" si="84"/>
        <v>7.3601373394476158E-2</v>
      </c>
      <c r="BS122" s="66"/>
      <c r="BT122" s="75"/>
      <c r="BU122" s="170"/>
      <c r="BV122" s="1"/>
      <c r="BW122">
        <f t="shared" si="53"/>
        <v>113</v>
      </c>
    </row>
    <row r="123" spans="1:75" x14ac:dyDescent="0.3">
      <c r="B123" s="158">
        <f t="shared" si="52"/>
        <v>44023</v>
      </c>
      <c r="C123" s="61"/>
      <c r="D123" s="17">
        <v>61719</v>
      </c>
      <c r="E123" s="16"/>
      <c r="F123" s="16"/>
      <c r="G123" s="16"/>
      <c r="H123" s="16">
        <f t="shared" si="86"/>
        <v>3987105</v>
      </c>
      <c r="I123" s="16"/>
      <c r="J123" s="38">
        <f t="shared" si="70"/>
        <v>1.5723039721443954E-2</v>
      </c>
      <c r="K123" s="16"/>
      <c r="L123" s="16"/>
      <c r="M123" s="16"/>
      <c r="N123" s="16"/>
      <c r="O123" s="16">
        <f t="shared" si="71"/>
        <v>34974.605263157893</v>
      </c>
      <c r="P123" s="41"/>
      <c r="Q123" s="17">
        <f t="shared" si="87"/>
        <v>410005</v>
      </c>
      <c r="R123" s="16"/>
      <c r="S123" s="60"/>
      <c r="T123" s="16"/>
      <c r="U123" s="41"/>
      <c r="V123" s="10">
        <f t="shared" si="85"/>
        <v>15</v>
      </c>
      <c r="W123" s="34">
        <v>731</v>
      </c>
      <c r="X123" s="33"/>
      <c r="Y123" s="33"/>
      <c r="Z123" s="33"/>
      <c r="AA123" s="33">
        <f t="shared" si="72"/>
        <v>141383</v>
      </c>
      <c r="AB123" s="33"/>
      <c r="AC123" s="46">
        <f t="shared" si="73"/>
        <v>3.5460064382553259E-2</v>
      </c>
      <c r="AD123" s="33"/>
      <c r="AE123" s="33">
        <f t="shared" si="74"/>
        <v>1240.2017543859649</v>
      </c>
      <c r="AF123" s="50"/>
      <c r="AG123" s="33"/>
      <c r="AH123" s="33"/>
      <c r="AI123" s="213"/>
      <c r="AJ123" s="50"/>
      <c r="AK123" s="10"/>
      <c r="AL123" s="23">
        <f t="shared" si="75"/>
        <v>29951</v>
      </c>
      <c r="AM123" s="24"/>
      <c r="AN123" s="24"/>
      <c r="AO123" s="24">
        <v>178263</v>
      </c>
      <c r="AP123" s="24">
        <v>1490446</v>
      </c>
      <c r="AQ123" s="24"/>
      <c r="AR123" s="461">
        <f t="shared" si="76"/>
        <v>2.0507430699865457E-2</v>
      </c>
      <c r="AS123" s="25"/>
      <c r="AT123" s="25"/>
      <c r="AU123" s="24"/>
      <c r="AV123" s="298">
        <f t="shared" si="77"/>
        <v>0.37381659123599703</v>
      </c>
      <c r="AW123" s="298"/>
      <c r="AX123" s="24">
        <f t="shared" si="78"/>
        <v>13074.087719298246</v>
      </c>
      <c r="AY123" s="308"/>
      <c r="AZ123" s="10"/>
      <c r="BA123" s="65">
        <f t="shared" si="79"/>
        <v>760123</v>
      </c>
      <c r="BB123" s="66"/>
      <c r="BC123" s="66">
        <v>41770336</v>
      </c>
      <c r="BD123" s="66"/>
      <c r="BE123" s="66">
        <f t="shared" si="80"/>
        <v>61719</v>
      </c>
      <c r="BF123" s="66"/>
      <c r="BG123" s="144">
        <f t="shared" si="81"/>
        <v>8.1196069583475305E-2</v>
      </c>
      <c r="BH123" s="66"/>
      <c r="BI123" s="170"/>
      <c r="BJ123" s="66"/>
      <c r="BK123" s="66"/>
      <c r="BL123" s="66"/>
      <c r="BM123" s="144"/>
      <c r="BN123" s="65">
        <f t="shared" si="82"/>
        <v>366406.4561403509</v>
      </c>
      <c r="BO123" s="66"/>
      <c r="BP123" s="66">
        <f t="shared" si="83"/>
        <v>3080127</v>
      </c>
      <c r="BQ123" s="66"/>
      <c r="BR123" s="435">
        <f t="shared" si="84"/>
        <v>7.3739579207598424E-2</v>
      </c>
      <c r="BS123" s="66"/>
      <c r="BT123" s="75"/>
      <c r="BU123" s="170"/>
      <c r="BV123" s="1"/>
      <c r="BW123">
        <f t="shared" si="53"/>
        <v>114</v>
      </c>
    </row>
    <row r="124" spans="1:75" x14ac:dyDescent="0.3">
      <c r="A124" s="504"/>
      <c r="B124" s="347">
        <f t="shared" si="52"/>
        <v>44024</v>
      </c>
      <c r="C124" s="61"/>
      <c r="D124" s="17">
        <v>58349</v>
      </c>
      <c r="E124" s="16"/>
      <c r="F124" s="16"/>
      <c r="G124" s="16"/>
      <c r="H124" s="16">
        <f t="shared" si="86"/>
        <v>4045454</v>
      </c>
      <c r="I124" s="16"/>
      <c r="J124" s="38">
        <f t="shared" si="70"/>
        <v>1.4634427736415269E-2</v>
      </c>
      <c r="K124" s="16"/>
      <c r="L124" s="16"/>
      <c r="M124" s="16"/>
      <c r="N124" s="16">
        <f>SUM(D118:D124)</f>
        <v>423824</v>
      </c>
      <c r="O124" s="16">
        <f t="shared" si="71"/>
        <v>35177.860869565215</v>
      </c>
      <c r="P124" s="41"/>
      <c r="Q124" s="17">
        <f t="shared" si="87"/>
        <v>423824</v>
      </c>
      <c r="R124" s="16"/>
      <c r="S124" s="60">
        <f t="shared" ref="S124:S129" si="88">+(Q124-Q117)/Q117</f>
        <v>0.20763748992030273</v>
      </c>
      <c r="T124" s="16"/>
      <c r="U124" s="41"/>
      <c r="V124" s="10">
        <f t="shared" si="85"/>
        <v>16</v>
      </c>
      <c r="W124" s="34">
        <v>380</v>
      </c>
      <c r="X124" s="33"/>
      <c r="Y124" s="33"/>
      <c r="Z124" s="33"/>
      <c r="AA124" s="33">
        <f t="shared" si="72"/>
        <v>141763</v>
      </c>
      <c r="AB124" s="33"/>
      <c r="AC124" s="46">
        <f t="shared" si="73"/>
        <v>3.5042544050680094E-2</v>
      </c>
      <c r="AD124" s="33"/>
      <c r="AE124" s="33">
        <f t="shared" si="74"/>
        <v>1232.7217391304348</v>
      </c>
      <c r="AF124" s="50"/>
      <c r="AG124" s="33">
        <f>SUM(W118:W124)</f>
        <v>5181</v>
      </c>
      <c r="AH124" s="33">
        <f>SUM(D95:D125)</f>
        <v>1356158</v>
      </c>
      <c r="AI124" s="213">
        <f>+(AG124-AG117)/AG117</f>
        <v>0.49739884393063583</v>
      </c>
      <c r="AJ124" s="50"/>
      <c r="AK124" s="348"/>
      <c r="AL124" s="23">
        <f t="shared" si="75"/>
        <v>26638</v>
      </c>
      <c r="AM124" s="24"/>
      <c r="AN124" s="24"/>
      <c r="AO124" s="24">
        <v>178263</v>
      </c>
      <c r="AP124" s="24">
        <v>1517084</v>
      </c>
      <c r="AQ124" s="24"/>
      <c r="AR124" s="461">
        <f t="shared" si="76"/>
        <v>1.7872502593183518E-2</v>
      </c>
      <c r="AS124" s="25"/>
      <c r="AT124" s="25"/>
      <c r="AU124" s="24"/>
      <c r="AV124" s="298">
        <f t="shared" si="77"/>
        <v>0.3750095786529769</v>
      </c>
      <c r="AW124" s="298"/>
      <c r="AX124" s="24">
        <f t="shared" si="78"/>
        <v>13192.034782608696</v>
      </c>
      <c r="AY124" s="308"/>
      <c r="AZ124" s="348"/>
      <c r="BA124" s="65">
        <f t="shared" si="79"/>
        <v>699271</v>
      </c>
      <c r="BB124" s="66"/>
      <c r="BC124" s="66">
        <v>42469607</v>
      </c>
      <c r="BD124" s="66"/>
      <c r="BE124" s="66">
        <f t="shared" si="80"/>
        <v>58349</v>
      </c>
      <c r="BF124" s="66"/>
      <c r="BG124" s="144">
        <f t="shared" si="81"/>
        <v>8.3442613807808416E-2</v>
      </c>
      <c r="BH124" s="66"/>
      <c r="BI124" s="170"/>
      <c r="BJ124" s="66"/>
      <c r="BK124" s="66">
        <f>SUM(BA118:BA124)</f>
        <v>4882798</v>
      </c>
      <c r="BL124" s="66"/>
      <c r="BM124" s="144">
        <f>+Q124/BK124</f>
        <v>8.679941295953672E-2</v>
      </c>
      <c r="BN124" s="65">
        <f t="shared" si="82"/>
        <v>369300.93043478258</v>
      </c>
      <c r="BO124" s="66"/>
      <c r="BP124" s="66">
        <f t="shared" si="83"/>
        <v>3138476</v>
      </c>
      <c r="BQ124" s="66"/>
      <c r="BR124" s="435">
        <f t="shared" si="84"/>
        <v>7.3899341710414221E-2</v>
      </c>
      <c r="BS124" s="66"/>
      <c r="BT124" s="75"/>
      <c r="BU124" s="170"/>
      <c r="BV124" s="1"/>
      <c r="BW124" s="429">
        <f t="shared" si="53"/>
        <v>115</v>
      </c>
    </row>
    <row r="125" spans="1:75" x14ac:dyDescent="0.3">
      <c r="B125" s="158">
        <f t="shared" si="52"/>
        <v>44025</v>
      </c>
      <c r="C125" s="61"/>
      <c r="D125" s="17">
        <v>65488</v>
      </c>
      <c r="E125" s="16"/>
      <c r="F125" s="16"/>
      <c r="G125" s="16"/>
      <c r="H125" s="16">
        <f t="shared" si="86"/>
        <v>4110942</v>
      </c>
      <c r="I125" s="16"/>
      <c r="J125" s="38">
        <f t="shared" si="70"/>
        <v>1.6188047126478266E-2</v>
      </c>
      <c r="K125" s="16"/>
      <c r="L125" s="16"/>
      <c r="M125" s="16"/>
      <c r="N125" s="16"/>
      <c r="O125" s="16">
        <f t="shared" si="71"/>
        <v>35439.15517241379</v>
      </c>
      <c r="P125" s="41"/>
      <c r="Q125" s="17">
        <f t="shared" si="87"/>
        <v>435700</v>
      </c>
      <c r="R125" s="16"/>
      <c r="S125" s="60">
        <f t="shared" si="88"/>
        <v>0.21084620280075925</v>
      </c>
      <c r="T125" s="16"/>
      <c r="U125" s="41"/>
      <c r="V125" s="492">
        <f t="shared" si="85"/>
        <v>17</v>
      </c>
      <c r="W125" s="34">
        <v>465</v>
      </c>
      <c r="X125" s="33"/>
      <c r="Y125" s="33"/>
      <c r="Z125" s="33"/>
      <c r="AA125" s="33">
        <f t="shared" si="72"/>
        <v>142228</v>
      </c>
      <c r="AB125" s="33"/>
      <c r="AC125" s="46">
        <f t="shared" si="73"/>
        <v>3.4597423169677413E-2</v>
      </c>
      <c r="AD125" s="33"/>
      <c r="AE125" s="33">
        <f t="shared" si="74"/>
        <v>1226.1034482758621</v>
      </c>
      <c r="AF125" s="50"/>
      <c r="AG125" s="33"/>
      <c r="AH125" s="33"/>
      <c r="AI125" s="213"/>
      <c r="AJ125" s="50"/>
      <c r="AK125" s="10"/>
      <c r="AL125" s="23">
        <f t="shared" si="75"/>
        <v>32385</v>
      </c>
      <c r="AM125" s="24"/>
      <c r="AN125" s="24"/>
      <c r="AO125" s="24">
        <v>178263</v>
      </c>
      <c r="AP125" s="24">
        <v>1549469</v>
      </c>
      <c r="AQ125" s="24"/>
      <c r="AR125" s="461">
        <f t="shared" si="76"/>
        <v>2.1346873343862306E-2</v>
      </c>
      <c r="AS125" s="25"/>
      <c r="AT125" s="25"/>
      <c r="AU125" s="24"/>
      <c r="AV125" s="298">
        <f t="shared" si="77"/>
        <v>0.37691336924724311</v>
      </c>
      <c r="AW125" s="298"/>
      <c r="AX125" s="24">
        <f t="shared" si="78"/>
        <v>13357.491379310344</v>
      </c>
      <c r="AY125" s="308"/>
      <c r="AZ125" s="10"/>
      <c r="BA125" s="65">
        <f t="shared" si="79"/>
        <v>783226</v>
      </c>
      <c r="BB125" s="66"/>
      <c r="BC125" s="66">
        <v>43252833</v>
      </c>
      <c r="BD125" s="66"/>
      <c r="BE125" s="66">
        <f t="shared" si="80"/>
        <v>65488</v>
      </c>
      <c r="BF125" s="66"/>
      <c r="BG125" s="144">
        <f t="shared" si="81"/>
        <v>8.3613158909433549E-2</v>
      </c>
      <c r="BH125" s="66"/>
      <c r="BI125" s="170"/>
      <c r="BJ125" s="66"/>
      <c r="BK125" s="66"/>
      <c r="BL125" s="66"/>
      <c r="BM125" s="144"/>
      <c r="BN125" s="65">
        <f t="shared" si="82"/>
        <v>372869.25</v>
      </c>
      <c r="BO125" s="66"/>
      <c r="BP125" s="66">
        <f t="shared" si="83"/>
        <v>3203964</v>
      </c>
      <c r="BQ125" s="66"/>
      <c r="BR125" s="435">
        <f t="shared" si="84"/>
        <v>7.4075240343216359E-2</v>
      </c>
      <c r="BS125" s="66"/>
      <c r="BT125" s="75"/>
      <c r="BU125" s="170"/>
      <c r="BV125" s="1"/>
      <c r="BW125">
        <f t="shared" si="53"/>
        <v>116</v>
      </c>
    </row>
    <row r="126" spans="1:75" x14ac:dyDescent="0.3">
      <c r="B126" s="158">
        <f t="shared" si="52"/>
        <v>44026</v>
      </c>
      <c r="C126" s="61"/>
      <c r="D126" s="17">
        <v>66048</v>
      </c>
      <c r="E126" s="16"/>
      <c r="F126" s="16"/>
      <c r="G126" s="16"/>
      <c r="H126" s="16">
        <f t="shared" si="86"/>
        <v>4176990</v>
      </c>
      <c r="I126" s="16"/>
      <c r="J126" s="38">
        <f t="shared" si="70"/>
        <v>1.6066390622879137E-2</v>
      </c>
      <c r="K126" s="16"/>
      <c r="L126" s="16"/>
      <c r="M126" s="16"/>
      <c r="N126" s="16"/>
      <c r="O126" s="16">
        <f t="shared" si="71"/>
        <v>35700.769230769234</v>
      </c>
      <c r="P126" s="41"/>
      <c r="Q126" s="17">
        <f t="shared" si="87"/>
        <v>446306</v>
      </c>
      <c r="R126" s="16"/>
      <c r="S126" s="60">
        <f t="shared" si="88"/>
        <v>0.20874466120125343</v>
      </c>
      <c r="T126" s="16"/>
      <c r="U126" s="41"/>
      <c r="V126" s="10">
        <f t="shared" si="85"/>
        <v>18</v>
      </c>
      <c r="W126" s="34">
        <v>936</v>
      </c>
      <c r="X126" s="33"/>
      <c r="Y126" s="33"/>
      <c r="Z126" s="33"/>
      <c r="AA126" s="33">
        <f t="shared" si="72"/>
        <v>143164</v>
      </c>
      <c r="AB126" s="33"/>
      <c r="AC126" s="46">
        <f t="shared" si="73"/>
        <v>3.4274441643384349E-2</v>
      </c>
      <c r="AD126" s="33"/>
      <c r="AE126" s="33">
        <f t="shared" si="74"/>
        <v>1223.6239316239316</v>
      </c>
      <c r="AF126" s="50"/>
      <c r="AG126" s="33"/>
      <c r="AH126" s="33"/>
      <c r="AI126" s="213"/>
      <c r="AJ126" s="50"/>
      <c r="AK126" s="10"/>
      <c r="AL126" s="23">
        <f t="shared" si="75"/>
        <v>50726</v>
      </c>
      <c r="AM126" s="24"/>
      <c r="AN126" s="24"/>
      <c r="AO126" s="24">
        <v>178263</v>
      </c>
      <c r="AP126" s="24">
        <v>1600195</v>
      </c>
      <c r="AQ126" s="24"/>
      <c r="AR126" s="461">
        <f t="shared" si="76"/>
        <v>3.2737666903952259E-2</v>
      </c>
      <c r="AS126" s="25"/>
      <c r="AT126" s="25"/>
      <c r="AU126" s="24"/>
      <c r="AV126" s="298">
        <f t="shared" si="77"/>
        <v>0.38309763729384078</v>
      </c>
      <c r="AW126" s="298"/>
      <c r="AX126" s="24">
        <f t="shared" si="78"/>
        <v>13676.880341880342</v>
      </c>
      <c r="AY126" s="308"/>
      <c r="AZ126" s="10"/>
      <c r="BA126" s="65">
        <f t="shared" si="79"/>
        <v>778044</v>
      </c>
      <c r="BB126" s="66"/>
      <c r="BC126" s="66">
        <v>44030877</v>
      </c>
      <c r="BD126" s="66"/>
      <c r="BE126" s="66">
        <f t="shared" si="80"/>
        <v>66048</v>
      </c>
      <c r="BF126" s="66"/>
      <c r="BG126" s="144">
        <f t="shared" si="81"/>
        <v>8.4889800576831126E-2</v>
      </c>
      <c r="BH126" s="66"/>
      <c r="BI126" s="170"/>
      <c r="BJ126" s="66"/>
      <c r="BK126" s="66"/>
      <c r="BL126" s="66"/>
      <c r="BM126" s="144"/>
      <c r="BN126" s="65">
        <f t="shared" si="82"/>
        <v>376332.28205128206</v>
      </c>
      <c r="BO126" s="66"/>
      <c r="BP126" s="66">
        <f t="shared" si="83"/>
        <v>3270012</v>
      </c>
      <c r="BQ126" s="66"/>
      <c r="BR126" s="435">
        <f t="shared" si="84"/>
        <v>7.4266338142662938E-2</v>
      </c>
      <c r="BS126" s="66"/>
      <c r="BT126" s="75"/>
      <c r="BU126" s="170"/>
      <c r="BV126" s="1"/>
      <c r="BW126">
        <f t="shared" si="53"/>
        <v>117</v>
      </c>
    </row>
    <row r="127" spans="1:75" x14ac:dyDescent="0.3">
      <c r="B127" s="158">
        <f t="shared" si="52"/>
        <v>44027</v>
      </c>
      <c r="C127" s="61"/>
      <c r="D127" s="17">
        <v>72005</v>
      </c>
      <c r="E127" s="16"/>
      <c r="F127" s="16"/>
      <c r="G127" s="16"/>
      <c r="H127" s="16">
        <f t="shared" ref="H127:H164" si="89">+H126+D127</f>
        <v>4248995</v>
      </c>
      <c r="I127" s="16"/>
      <c r="J127" s="38">
        <f t="shared" ref="J127:J164" si="90">+D127/H126</f>
        <v>1.7238489917380698E-2</v>
      </c>
      <c r="K127" s="16"/>
      <c r="L127" s="16"/>
      <c r="M127" s="16"/>
      <c r="N127" s="16"/>
      <c r="O127" s="16">
        <f t="shared" ref="O127:O150" si="91">+H127/BW127</f>
        <v>36008.432203389828</v>
      </c>
      <c r="P127" s="41"/>
      <c r="Q127" s="17">
        <f t="shared" ref="Q127:Q164" si="92">SUM(D121:D127)</f>
        <v>456463</v>
      </c>
      <c r="R127" s="16"/>
      <c r="S127" s="60">
        <f t="shared" si="88"/>
        <v>0.20127532356795849</v>
      </c>
      <c r="T127" s="16"/>
      <c r="U127" s="41"/>
      <c r="V127" s="10">
        <f t="shared" si="85"/>
        <v>19</v>
      </c>
      <c r="W127" s="34">
        <v>1002</v>
      </c>
      <c r="X127" s="33"/>
      <c r="Y127" s="33"/>
      <c r="Z127" s="33"/>
      <c r="AA127" s="33">
        <f t="shared" ref="AA127:AA164" si="93">+AA126+W127</f>
        <v>144166</v>
      </c>
      <c r="AB127" s="33"/>
      <c r="AC127" s="46">
        <f t="shared" ref="AC127:AC164" si="94">+AA127/H127</f>
        <v>3.3929435078177313E-2</v>
      </c>
      <c r="AD127" s="33"/>
      <c r="AE127" s="33">
        <f t="shared" ref="AE127:AE164" si="95">+AA127/BW127</f>
        <v>1221.7457627118645</v>
      </c>
      <c r="AF127" s="50"/>
      <c r="AG127" s="33"/>
      <c r="AH127" s="33"/>
      <c r="AI127" s="213"/>
      <c r="AJ127" s="50"/>
      <c r="AK127" s="10"/>
      <c r="AL127" s="23">
        <f t="shared" ref="AL127:AL164" si="96">+AP127-AP126</f>
        <v>45767</v>
      </c>
      <c r="AM127" s="24"/>
      <c r="AN127" s="24"/>
      <c r="AO127" s="24">
        <v>178263</v>
      </c>
      <c r="AP127" s="24">
        <v>1645962</v>
      </c>
      <c r="AQ127" s="24"/>
      <c r="AR127" s="461">
        <f t="shared" ref="AR127:AR164" si="97">+AL127/AP126</f>
        <v>2.8600889266620629E-2</v>
      </c>
      <c r="AS127" s="25"/>
      <c r="AT127" s="25"/>
      <c r="AU127" s="24"/>
      <c r="AV127" s="298">
        <f t="shared" ref="AV127:AV164" si="98">+AP127/H127</f>
        <v>0.38737677968554918</v>
      </c>
      <c r="AW127" s="298"/>
      <c r="AX127" s="24">
        <f t="shared" ref="AX127:AX164" si="99">+AP127/BW127</f>
        <v>13948.830508474577</v>
      </c>
      <c r="AY127" s="308"/>
      <c r="AZ127" s="10"/>
      <c r="BA127" s="65">
        <f t="shared" ref="BA127:BA164" si="100">+BC127-BC126</f>
        <v>815289</v>
      </c>
      <c r="BB127" s="66"/>
      <c r="BC127" s="66">
        <v>44846166</v>
      </c>
      <c r="BD127" s="66"/>
      <c r="BE127" s="66">
        <f t="shared" ref="BE127:BE164" si="101">+D127</f>
        <v>72005</v>
      </c>
      <c r="BF127" s="66"/>
      <c r="BG127" s="144">
        <f t="shared" ref="BG127:BG164" si="102">+BE127/BA127</f>
        <v>8.8318375447234046E-2</v>
      </c>
      <c r="BH127" s="66"/>
      <c r="BI127" s="170"/>
      <c r="BJ127" s="66"/>
      <c r="BK127" s="66"/>
      <c r="BL127" s="66"/>
      <c r="BM127" s="144"/>
      <c r="BN127" s="65">
        <f t="shared" ref="BN127:BN164" si="103">+BC127/BW127</f>
        <v>380052.25423728814</v>
      </c>
      <c r="BO127" s="66"/>
      <c r="BP127" s="66">
        <f t="shared" ref="BP127:BP164" si="104">+BP126+BE127</f>
        <v>3342017</v>
      </c>
      <c r="BQ127" s="66"/>
      <c r="BR127" s="435">
        <f t="shared" ref="BR127:BR164" si="105">+BP127/BC127</f>
        <v>7.4521799700781557E-2</v>
      </c>
      <c r="BS127" s="66"/>
      <c r="BT127" s="75"/>
      <c r="BU127" s="170"/>
      <c r="BV127" s="1"/>
      <c r="BW127">
        <f t="shared" si="53"/>
        <v>118</v>
      </c>
    </row>
    <row r="128" spans="1:75" x14ac:dyDescent="0.3">
      <c r="B128" s="158">
        <f t="shared" si="52"/>
        <v>44028</v>
      </c>
      <c r="C128" s="61"/>
      <c r="D128" s="17">
        <v>73388</v>
      </c>
      <c r="E128" s="16"/>
      <c r="F128" s="16"/>
      <c r="G128" s="16"/>
      <c r="H128" s="16">
        <f t="shared" si="89"/>
        <v>4322383</v>
      </c>
      <c r="I128" s="16"/>
      <c r="J128" s="38">
        <f t="shared" si="90"/>
        <v>1.7271848990172971E-2</v>
      </c>
      <c r="K128" s="16"/>
      <c r="L128" s="16"/>
      <c r="M128" s="16"/>
      <c r="N128" s="16"/>
      <c r="O128" s="16">
        <f t="shared" si="91"/>
        <v>36322.546218487398</v>
      </c>
      <c r="P128" s="41"/>
      <c r="Q128" s="17">
        <f t="shared" si="92"/>
        <v>468784</v>
      </c>
      <c r="R128" s="16"/>
      <c r="S128" s="60">
        <f t="shared" si="88"/>
        <v>0.22984253910287691</v>
      </c>
      <c r="T128" s="16"/>
      <c r="U128" s="41"/>
      <c r="V128" s="10">
        <f t="shared" si="85"/>
        <v>20</v>
      </c>
      <c r="W128" s="34">
        <v>963</v>
      </c>
      <c r="X128" s="33"/>
      <c r="Y128" s="33"/>
      <c r="Z128" s="33"/>
      <c r="AA128" s="33">
        <f t="shared" si="93"/>
        <v>145129</v>
      </c>
      <c r="AB128" s="33"/>
      <c r="AC128" s="46">
        <f t="shared" si="94"/>
        <v>3.3576154635070514E-2</v>
      </c>
      <c r="AD128" s="33"/>
      <c r="AE128" s="33">
        <f t="shared" si="95"/>
        <v>1219.5714285714287</v>
      </c>
      <c r="AF128" s="50"/>
      <c r="AG128" s="33"/>
      <c r="AH128" s="33"/>
      <c r="AI128" s="213"/>
      <c r="AJ128" s="50"/>
      <c r="AK128" s="10"/>
      <c r="AL128" s="23">
        <f t="shared" si="96"/>
        <v>33671</v>
      </c>
      <c r="AM128" s="24"/>
      <c r="AN128" s="24"/>
      <c r="AO128" s="24">
        <v>178263</v>
      </c>
      <c r="AP128" s="24">
        <v>1679633</v>
      </c>
      <c r="AQ128" s="24"/>
      <c r="AR128" s="461">
        <f t="shared" si="97"/>
        <v>2.0456729863751411E-2</v>
      </c>
      <c r="AS128" s="25"/>
      <c r="AT128" s="25"/>
      <c r="AU128" s="24"/>
      <c r="AV128" s="298">
        <f t="shared" si="98"/>
        <v>0.38858958125645043</v>
      </c>
      <c r="AW128" s="298"/>
      <c r="AX128" s="24">
        <f t="shared" si="99"/>
        <v>14114.563025210084</v>
      </c>
      <c r="AY128" s="308"/>
      <c r="AZ128" s="10"/>
      <c r="BA128" s="65">
        <f t="shared" si="100"/>
        <v>850863</v>
      </c>
      <c r="BB128" s="66"/>
      <c r="BC128" s="66">
        <v>45697029</v>
      </c>
      <c r="BD128" s="66"/>
      <c r="BE128" s="66">
        <f t="shared" si="101"/>
        <v>73388</v>
      </c>
      <c r="BF128" s="66"/>
      <c r="BG128" s="144">
        <f t="shared" si="102"/>
        <v>8.6251253139459583E-2</v>
      </c>
      <c r="BH128" s="66"/>
      <c r="BI128" s="170"/>
      <c r="BJ128" s="66"/>
      <c r="BK128" s="66"/>
      <c r="BL128" s="66"/>
      <c r="BM128" s="144"/>
      <c r="BN128" s="65">
        <f t="shared" si="103"/>
        <v>384008.64705882355</v>
      </c>
      <c r="BO128" s="66"/>
      <c r="BP128" s="66">
        <f t="shared" si="104"/>
        <v>3415405</v>
      </c>
      <c r="BQ128" s="66"/>
      <c r="BR128" s="435">
        <f t="shared" si="105"/>
        <v>7.4740198099093047E-2</v>
      </c>
      <c r="BS128" s="66"/>
      <c r="BT128" s="75"/>
      <c r="BU128" s="170"/>
      <c r="BV128" s="1"/>
      <c r="BW128">
        <f t="shared" si="53"/>
        <v>119</v>
      </c>
    </row>
    <row r="129" spans="1:75" x14ac:dyDescent="0.3">
      <c r="B129" s="158">
        <f t="shared" si="52"/>
        <v>44029</v>
      </c>
      <c r="C129" s="61"/>
      <c r="D129" s="17">
        <v>74987</v>
      </c>
      <c r="E129" s="16"/>
      <c r="F129" s="16"/>
      <c r="G129" s="16"/>
      <c r="H129" s="16">
        <f t="shared" si="89"/>
        <v>4397370</v>
      </c>
      <c r="I129" s="16"/>
      <c r="J129" s="38">
        <f t="shared" si="90"/>
        <v>1.7348532048178055E-2</v>
      </c>
      <c r="K129" s="16"/>
      <c r="L129" s="16"/>
      <c r="M129" s="16"/>
      <c r="N129" s="16"/>
      <c r="O129" s="16">
        <f t="shared" si="91"/>
        <v>36644.75</v>
      </c>
      <c r="P129" s="41"/>
      <c r="Q129" s="17">
        <f t="shared" si="92"/>
        <v>471984</v>
      </c>
      <c r="R129" s="16"/>
      <c r="S129" s="60">
        <f t="shared" si="88"/>
        <v>0.1952895889786512</v>
      </c>
      <c r="T129" s="16"/>
      <c r="U129" s="41"/>
      <c r="V129" s="10">
        <f t="shared" si="85"/>
        <v>21</v>
      </c>
      <c r="W129" s="34">
        <v>946</v>
      </c>
      <c r="X129" s="33"/>
      <c r="Y129" s="33"/>
      <c r="Z129" s="33"/>
      <c r="AA129" s="33">
        <f t="shared" si="93"/>
        <v>146075</v>
      </c>
      <c r="AB129" s="33"/>
      <c r="AC129" s="46">
        <f t="shared" si="94"/>
        <v>3.3218719370896696E-2</v>
      </c>
      <c r="AD129" s="33"/>
      <c r="AE129" s="33">
        <f t="shared" si="95"/>
        <v>1217.2916666666667</v>
      </c>
      <c r="AF129" s="50"/>
      <c r="AG129" s="33"/>
      <c r="AH129" s="33"/>
      <c r="AI129" s="213"/>
      <c r="AJ129" s="50"/>
      <c r="AK129" s="10"/>
      <c r="AL129" s="23">
        <f t="shared" si="96"/>
        <v>61600</v>
      </c>
      <c r="AM129" s="24"/>
      <c r="AN129" s="24"/>
      <c r="AO129" s="24">
        <v>178263</v>
      </c>
      <c r="AP129" s="24">
        <v>1741233</v>
      </c>
      <c r="AQ129" s="24"/>
      <c r="AR129" s="461">
        <f t="shared" si="97"/>
        <v>3.6674678337470151E-2</v>
      </c>
      <c r="AS129" s="25"/>
      <c r="AT129" s="25"/>
      <c r="AU129" s="24"/>
      <c r="AV129" s="298">
        <f t="shared" si="98"/>
        <v>0.39597145566554554</v>
      </c>
      <c r="AW129" s="298"/>
      <c r="AX129" s="24">
        <f t="shared" si="99"/>
        <v>14510.275</v>
      </c>
      <c r="AY129" s="308"/>
      <c r="AZ129" s="10"/>
      <c r="BA129" s="65">
        <f t="shared" si="100"/>
        <v>911678</v>
      </c>
      <c r="BB129" s="66"/>
      <c r="BC129" s="66">
        <v>46608707</v>
      </c>
      <c r="BD129" s="66"/>
      <c r="BE129" s="66">
        <f t="shared" si="101"/>
        <v>74987</v>
      </c>
      <c r="BF129" s="66"/>
      <c r="BG129" s="144">
        <f t="shared" si="102"/>
        <v>8.2251628316137929E-2</v>
      </c>
      <c r="BH129" s="66"/>
      <c r="BI129" s="170"/>
      <c r="BJ129" s="66"/>
      <c r="BK129" s="66"/>
      <c r="BL129" s="66"/>
      <c r="BM129" s="144"/>
      <c r="BN129" s="65">
        <f t="shared" si="103"/>
        <v>388405.89166666666</v>
      </c>
      <c r="BO129" s="66"/>
      <c r="BP129" s="66">
        <f t="shared" si="104"/>
        <v>3490392</v>
      </c>
      <c r="BQ129" s="66"/>
      <c r="BR129" s="435">
        <f t="shared" si="105"/>
        <v>7.4887123558265628E-2</v>
      </c>
      <c r="BS129" s="66"/>
      <c r="BT129" s="75"/>
      <c r="BU129" s="170"/>
      <c r="BV129" s="1"/>
      <c r="BW129">
        <f t="shared" si="53"/>
        <v>120</v>
      </c>
    </row>
    <row r="130" spans="1:75" x14ac:dyDescent="0.3">
      <c r="B130" s="158">
        <f t="shared" si="52"/>
        <v>44030</v>
      </c>
      <c r="C130" s="61"/>
      <c r="D130" s="17">
        <v>63259</v>
      </c>
      <c r="E130" s="16"/>
      <c r="F130" s="16"/>
      <c r="G130" s="16"/>
      <c r="H130" s="16">
        <f t="shared" si="89"/>
        <v>4460629</v>
      </c>
      <c r="I130" s="16"/>
      <c r="J130" s="436">
        <f t="shared" si="90"/>
        <v>1.4385644146387501E-2</v>
      </c>
      <c r="K130" s="16"/>
      <c r="L130" s="16"/>
      <c r="M130" s="16"/>
      <c r="N130" s="16"/>
      <c r="O130" s="16">
        <f t="shared" si="91"/>
        <v>36864.702479338841</v>
      </c>
      <c r="P130" s="41"/>
      <c r="Q130" s="17">
        <f t="shared" si="92"/>
        <v>473524</v>
      </c>
      <c r="R130" s="16"/>
      <c r="S130" s="60">
        <f t="shared" ref="S130:S164" si="106">+(Q130-Q123)/Q123</f>
        <v>0.15492250094511043</v>
      </c>
      <c r="T130" s="16"/>
      <c r="U130" s="41"/>
      <c r="V130" s="10">
        <f t="shared" si="85"/>
        <v>22</v>
      </c>
      <c r="W130" s="34">
        <v>813</v>
      </c>
      <c r="X130" s="33"/>
      <c r="Y130" s="33"/>
      <c r="Z130" s="33"/>
      <c r="AA130" s="33">
        <f t="shared" si="93"/>
        <v>146888</v>
      </c>
      <c r="AB130" s="33"/>
      <c r="AC130" s="46">
        <f t="shared" si="94"/>
        <v>3.2929885000523469E-2</v>
      </c>
      <c r="AD130" s="33"/>
      <c r="AE130" s="33">
        <f t="shared" si="95"/>
        <v>1213.9504132231405</v>
      </c>
      <c r="AF130" s="50"/>
      <c r="AG130" s="33"/>
      <c r="AH130" s="33"/>
      <c r="AI130" s="213"/>
      <c r="AJ130" s="50"/>
      <c r="AK130" s="10"/>
      <c r="AL130" s="23">
        <f t="shared" si="96"/>
        <v>33861</v>
      </c>
      <c r="AM130" s="24"/>
      <c r="AN130" s="24"/>
      <c r="AO130" s="24">
        <v>178263</v>
      </c>
      <c r="AP130" s="24">
        <v>1775094</v>
      </c>
      <c r="AQ130" s="24"/>
      <c r="AR130" s="461">
        <f t="shared" si="97"/>
        <v>1.9446564589575319E-2</v>
      </c>
      <c r="AS130" s="25"/>
      <c r="AT130" s="25"/>
      <c r="AU130" s="24"/>
      <c r="AV130" s="298">
        <f t="shared" si="98"/>
        <v>0.39794701599258758</v>
      </c>
      <c r="AW130" s="298"/>
      <c r="AX130" s="24">
        <f t="shared" si="99"/>
        <v>14670.198347107438</v>
      </c>
      <c r="AY130" s="308"/>
      <c r="AZ130" s="10"/>
      <c r="BA130" s="65">
        <f t="shared" si="100"/>
        <v>989570</v>
      </c>
      <c r="BB130" s="66"/>
      <c r="BC130" s="66">
        <v>47598277</v>
      </c>
      <c r="BD130" s="66"/>
      <c r="BE130" s="66">
        <f t="shared" si="101"/>
        <v>63259</v>
      </c>
      <c r="BF130" s="66"/>
      <c r="BG130" s="144">
        <f t="shared" si="102"/>
        <v>6.3925745525834451E-2</v>
      </c>
      <c r="BH130" s="66"/>
      <c r="BI130" s="170"/>
      <c r="BJ130" s="66"/>
      <c r="BK130" s="66"/>
      <c r="BL130" s="66"/>
      <c r="BM130" s="144"/>
      <c r="BN130" s="65">
        <f t="shared" si="103"/>
        <v>393374.19008264464</v>
      </c>
      <c r="BO130" s="66"/>
      <c r="BP130" s="66">
        <f t="shared" si="104"/>
        <v>3553651</v>
      </c>
      <c r="BQ130" s="66"/>
      <c r="BR130" s="435">
        <f t="shared" si="105"/>
        <v>7.4659236089575254E-2</v>
      </c>
      <c r="BS130" s="66"/>
      <c r="BT130" s="75"/>
      <c r="BU130" s="170"/>
      <c r="BV130" s="1"/>
      <c r="BW130">
        <f t="shared" si="53"/>
        <v>121</v>
      </c>
    </row>
    <row r="131" spans="1:75" x14ac:dyDescent="0.3">
      <c r="B131" s="347">
        <f t="shared" si="52"/>
        <v>44031</v>
      </c>
      <c r="C131" s="61"/>
      <c r="D131" s="17">
        <v>65279</v>
      </c>
      <c r="E131" s="16"/>
      <c r="F131" s="16"/>
      <c r="G131" s="16"/>
      <c r="H131" s="16">
        <f t="shared" si="89"/>
        <v>4525908</v>
      </c>
      <c r="I131" s="16"/>
      <c r="J131" s="436">
        <f t="shared" si="90"/>
        <v>1.4634483163697316E-2</v>
      </c>
      <c r="K131" s="16"/>
      <c r="L131" s="16"/>
      <c r="M131" s="16"/>
      <c r="N131" s="16">
        <f>SUM(D125:D131)</f>
        <v>480454</v>
      </c>
      <c r="O131" s="16">
        <f t="shared" si="91"/>
        <v>37097.606557377047</v>
      </c>
      <c r="P131" s="41"/>
      <c r="Q131" s="17">
        <f t="shared" si="92"/>
        <v>480454</v>
      </c>
      <c r="R131" s="16"/>
      <c r="S131" s="60">
        <f t="shared" si="106"/>
        <v>0.13361678432556912</v>
      </c>
      <c r="T131" s="16"/>
      <c r="U131" s="41"/>
      <c r="V131" s="348">
        <f t="shared" si="85"/>
        <v>23</v>
      </c>
      <c r="W131" s="34">
        <v>412</v>
      </c>
      <c r="X131" s="33"/>
      <c r="Y131" s="33"/>
      <c r="Z131" s="33"/>
      <c r="AA131" s="33">
        <f t="shared" si="93"/>
        <v>147300</v>
      </c>
      <c r="AB131" s="33"/>
      <c r="AC131" s="46">
        <f t="shared" si="94"/>
        <v>3.2545955419332431E-2</v>
      </c>
      <c r="AD131" s="33"/>
      <c r="AE131" s="33">
        <f t="shared" si="95"/>
        <v>1207.377049180328</v>
      </c>
      <c r="AF131" s="50"/>
      <c r="AG131" s="33">
        <f>SUM(W125:W131)</f>
        <v>5537</v>
      </c>
      <c r="AH131" s="33">
        <f>SUM(D102:D766)</f>
        <v>69057091</v>
      </c>
      <c r="AI131" s="213">
        <f>+(AG131-AG124)/AG124</f>
        <v>6.8712603744450873E-2</v>
      </c>
      <c r="AJ131" s="50"/>
      <c r="AK131" s="348"/>
      <c r="AL131" s="23">
        <f t="shared" si="96"/>
        <v>27244</v>
      </c>
      <c r="AM131" s="24"/>
      <c r="AN131" s="24"/>
      <c r="AO131" s="24">
        <v>178263</v>
      </c>
      <c r="AP131" s="24">
        <v>1802338</v>
      </c>
      <c r="AQ131" s="24"/>
      <c r="AR131" s="461">
        <f t="shared" si="97"/>
        <v>1.5347919603130877E-2</v>
      </c>
      <c r="AS131" s="25"/>
      <c r="AT131" s="25"/>
      <c r="AU131" s="24"/>
      <c r="AV131" s="298">
        <f t="shared" si="98"/>
        <v>0.39822683094751371</v>
      </c>
      <c r="AW131" s="298"/>
      <c r="AX131" s="24">
        <f t="shared" si="99"/>
        <v>14773.262295081968</v>
      </c>
      <c r="AY131" s="308"/>
      <c r="AZ131" s="348"/>
      <c r="BA131" s="65">
        <f t="shared" si="100"/>
        <v>743458</v>
      </c>
      <c r="BB131" s="66"/>
      <c r="BC131" s="66">
        <v>48341735</v>
      </c>
      <c r="BD131" s="66"/>
      <c r="BE131" s="66">
        <f t="shared" si="101"/>
        <v>65279</v>
      </c>
      <c r="BF131" s="66"/>
      <c r="BG131" s="144">
        <f t="shared" si="102"/>
        <v>8.7804556545225149E-2</v>
      </c>
      <c r="BH131" s="66"/>
      <c r="BI131" s="170"/>
      <c r="BJ131" s="66"/>
      <c r="BK131" s="66">
        <f>SUM(BA125:BA131)</f>
        <v>5872128</v>
      </c>
      <c r="BL131" s="66"/>
      <c r="BM131" s="144">
        <f>+Q131/BK131</f>
        <v>8.1819401756909937E-2</v>
      </c>
      <c r="BN131" s="65">
        <f t="shared" si="103"/>
        <v>396243.7295081967</v>
      </c>
      <c r="BO131" s="66"/>
      <c r="BP131" s="66">
        <f t="shared" si="104"/>
        <v>3618930</v>
      </c>
      <c r="BQ131" s="66"/>
      <c r="BR131" s="435">
        <f t="shared" si="105"/>
        <v>7.4861400816499446E-2</v>
      </c>
      <c r="BS131" s="66"/>
      <c r="BT131" s="75"/>
      <c r="BU131" s="170"/>
      <c r="BV131" s="1"/>
      <c r="BW131" s="429">
        <f t="shared" si="53"/>
        <v>122</v>
      </c>
    </row>
    <row r="132" spans="1:75" x14ac:dyDescent="0.3">
      <c r="B132" s="158">
        <f t="shared" si="52"/>
        <v>44032</v>
      </c>
      <c r="C132" s="61"/>
      <c r="D132" s="17">
        <v>62879</v>
      </c>
      <c r="E132" s="16"/>
      <c r="F132" s="16"/>
      <c r="G132" s="16"/>
      <c r="H132" s="16">
        <f t="shared" si="89"/>
        <v>4588787</v>
      </c>
      <c r="I132" s="16"/>
      <c r="J132" s="436">
        <f t="shared" si="90"/>
        <v>1.3893123766545851E-2</v>
      </c>
      <c r="K132" s="16"/>
      <c r="L132" s="16"/>
      <c r="M132" s="16"/>
      <c r="N132" s="16"/>
      <c r="O132" s="16">
        <f t="shared" si="91"/>
        <v>37307.211382113819</v>
      </c>
      <c r="P132" s="41"/>
      <c r="Q132" s="17">
        <f t="shared" si="92"/>
        <v>477845</v>
      </c>
      <c r="R132" s="16"/>
      <c r="S132" s="60">
        <f t="shared" si="106"/>
        <v>9.6729400963966025E-2</v>
      </c>
      <c r="T132" s="16"/>
      <c r="U132" s="41"/>
      <c r="V132" s="10">
        <f t="shared" si="85"/>
        <v>24</v>
      </c>
      <c r="W132" s="34">
        <v>545</v>
      </c>
      <c r="X132" s="33"/>
      <c r="Y132" s="33"/>
      <c r="Z132" s="33"/>
      <c r="AA132" s="33">
        <f t="shared" si="93"/>
        <v>147845</v>
      </c>
      <c r="AB132" s="33"/>
      <c r="AC132" s="46">
        <f t="shared" si="94"/>
        <v>3.2218754106477378E-2</v>
      </c>
      <c r="AD132" s="33"/>
      <c r="AE132" s="33">
        <f t="shared" si="95"/>
        <v>1201.9918699186992</v>
      </c>
      <c r="AF132" s="50"/>
      <c r="AG132" s="33"/>
      <c r="AH132" s="33"/>
      <c r="AI132" s="213"/>
      <c r="AJ132" s="50"/>
      <c r="AK132" s="10"/>
      <c r="AL132" s="23">
        <f t="shared" si="96"/>
        <v>47651</v>
      </c>
      <c r="AM132" s="24"/>
      <c r="AN132" s="24"/>
      <c r="AO132" s="24">
        <v>178263</v>
      </c>
      <c r="AP132" s="24">
        <v>1849989</v>
      </c>
      <c r="AQ132" s="24"/>
      <c r="AR132" s="461">
        <f t="shared" si="97"/>
        <v>2.6438437185477972E-2</v>
      </c>
      <c r="AS132" s="25"/>
      <c r="AT132" s="25"/>
      <c r="AU132" s="24"/>
      <c r="AV132" s="298">
        <f t="shared" si="98"/>
        <v>0.40315425405450284</v>
      </c>
      <c r="AW132" s="298"/>
      <c r="AX132" s="24">
        <f t="shared" si="99"/>
        <v>15040.560975609756</v>
      </c>
      <c r="AY132" s="308"/>
      <c r="AZ132" s="10"/>
      <c r="BA132" s="65">
        <f t="shared" si="100"/>
        <v>820172</v>
      </c>
      <c r="BB132" s="66"/>
      <c r="BC132" s="66">
        <v>49161907</v>
      </c>
      <c r="BD132" s="66"/>
      <c r="BE132" s="66">
        <f t="shared" si="101"/>
        <v>62879</v>
      </c>
      <c r="BF132" s="66"/>
      <c r="BG132" s="144">
        <f t="shared" si="102"/>
        <v>7.6665626234497158E-2</v>
      </c>
      <c r="BH132" s="66"/>
      <c r="BI132" s="170"/>
      <c r="BJ132" s="66"/>
      <c r="BK132" s="66"/>
      <c r="BL132" s="66"/>
      <c r="BM132" s="144"/>
      <c r="BN132" s="65">
        <f t="shared" si="103"/>
        <v>399690.30081300816</v>
      </c>
      <c r="BO132" s="66"/>
      <c r="BP132" s="66">
        <f t="shared" si="104"/>
        <v>3681809</v>
      </c>
      <c r="BQ132" s="66"/>
      <c r="BR132" s="435">
        <f t="shared" si="105"/>
        <v>7.4891500852479143E-2</v>
      </c>
      <c r="BS132" s="66"/>
      <c r="BT132" s="75"/>
      <c r="BU132" s="170"/>
      <c r="BV132" s="1"/>
      <c r="BW132">
        <f t="shared" si="53"/>
        <v>123</v>
      </c>
    </row>
    <row r="133" spans="1:75" x14ac:dyDescent="0.3">
      <c r="B133" s="158">
        <f t="shared" si="52"/>
        <v>44033</v>
      </c>
      <c r="C133" s="61"/>
      <c r="D133" s="17">
        <v>67479</v>
      </c>
      <c r="E133" s="16"/>
      <c r="F133" s="16"/>
      <c r="G133" s="16"/>
      <c r="H133" s="16">
        <f t="shared" si="89"/>
        <v>4656266</v>
      </c>
      <c r="I133" s="16"/>
      <c r="J133" s="436">
        <f t="shared" si="90"/>
        <v>1.4705193333227277E-2</v>
      </c>
      <c r="K133" s="16"/>
      <c r="L133" s="16"/>
      <c r="M133" s="16"/>
      <c r="N133" s="16"/>
      <c r="O133" s="16">
        <f t="shared" si="91"/>
        <v>37550.532258064515</v>
      </c>
      <c r="P133" s="41"/>
      <c r="Q133" s="17">
        <f t="shared" si="92"/>
        <v>479276</v>
      </c>
      <c r="R133" s="16"/>
      <c r="S133" s="60">
        <f t="shared" si="106"/>
        <v>7.3873082593556891E-2</v>
      </c>
      <c r="T133" s="16"/>
      <c r="U133" s="41"/>
      <c r="V133" s="10">
        <f t="shared" si="85"/>
        <v>25</v>
      </c>
      <c r="W133" s="34">
        <v>1165</v>
      </c>
      <c r="X133" s="33"/>
      <c r="Y133" s="33"/>
      <c r="Z133" s="33"/>
      <c r="AA133" s="33">
        <f t="shared" si="93"/>
        <v>149010</v>
      </c>
      <c r="AB133" s="33"/>
      <c r="AC133" s="46">
        <f t="shared" si="94"/>
        <v>3.2002037684273191E-2</v>
      </c>
      <c r="AD133" s="33"/>
      <c r="AE133" s="33">
        <f t="shared" si="95"/>
        <v>1201.6935483870968</v>
      </c>
      <c r="AF133" s="50"/>
      <c r="AG133" s="33"/>
      <c r="AH133" s="33"/>
      <c r="AI133" s="213"/>
      <c r="AJ133" s="50"/>
      <c r="AK133" s="10"/>
      <c r="AL133" s="23">
        <f t="shared" si="96"/>
        <v>36594</v>
      </c>
      <c r="AM133" s="24"/>
      <c r="AN133" s="24"/>
      <c r="AO133" s="24">
        <v>178263</v>
      </c>
      <c r="AP133" s="24">
        <v>1886583</v>
      </c>
      <c r="AQ133" s="24"/>
      <c r="AR133" s="461">
        <f t="shared" si="97"/>
        <v>1.9780658155264707E-2</v>
      </c>
      <c r="AS133" s="25"/>
      <c r="AT133" s="25"/>
      <c r="AU133" s="24"/>
      <c r="AV133" s="298">
        <f t="shared" si="98"/>
        <v>0.40517079565471559</v>
      </c>
      <c r="AW133" s="298"/>
      <c r="AX133" s="24">
        <f t="shared" si="99"/>
        <v>15214.379032258064</v>
      </c>
      <c r="AY133" s="308"/>
      <c r="AZ133" s="10"/>
      <c r="BA133" s="65">
        <f t="shared" si="100"/>
        <v>751646</v>
      </c>
      <c r="BB133" s="66"/>
      <c r="BC133" s="66">
        <v>49913553</v>
      </c>
      <c r="BD133" s="66"/>
      <c r="BE133" s="66">
        <f t="shared" si="101"/>
        <v>67479</v>
      </c>
      <c r="BF133" s="66"/>
      <c r="BG133" s="144">
        <f t="shared" si="102"/>
        <v>8.9774973857374346E-2</v>
      </c>
      <c r="BH133" s="66"/>
      <c r="BI133" s="170"/>
      <c r="BJ133" s="66"/>
      <c r="BK133" s="66"/>
      <c r="BL133" s="66"/>
      <c r="BM133" s="144"/>
      <c r="BN133" s="65">
        <f t="shared" si="103"/>
        <v>402528.65322580643</v>
      </c>
      <c r="BO133" s="66"/>
      <c r="BP133" s="66">
        <f t="shared" si="104"/>
        <v>3749288</v>
      </c>
      <c r="BQ133" s="66"/>
      <c r="BR133" s="435">
        <f t="shared" si="105"/>
        <v>7.5115630418054996E-2</v>
      </c>
      <c r="BS133" s="66"/>
      <c r="BT133" s="75"/>
      <c r="BU133" s="170"/>
      <c r="BV133" s="1"/>
      <c r="BW133">
        <f t="shared" si="53"/>
        <v>124</v>
      </c>
    </row>
    <row r="134" spans="1:75" x14ac:dyDescent="0.3">
      <c r="A134" s="61"/>
      <c r="B134" s="158">
        <f t="shared" si="52"/>
        <v>44034</v>
      </c>
      <c r="C134" s="61"/>
      <c r="D134" s="17">
        <v>71967</v>
      </c>
      <c r="E134" s="16"/>
      <c r="F134" s="16"/>
      <c r="G134" s="16"/>
      <c r="H134" s="16">
        <f t="shared" si="89"/>
        <v>4728233</v>
      </c>
      <c r="I134" s="16"/>
      <c r="J134" s="436">
        <f t="shared" si="90"/>
        <v>1.5455946889632165E-2</v>
      </c>
      <c r="K134" s="16"/>
      <c r="L134" s="16"/>
      <c r="M134" s="16"/>
      <c r="N134" s="16"/>
      <c r="O134" s="16">
        <f t="shared" si="91"/>
        <v>37825.864000000001</v>
      </c>
      <c r="P134" s="41"/>
      <c r="Q134" s="17">
        <f t="shared" si="92"/>
        <v>479238</v>
      </c>
      <c r="R134" s="16"/>
      <c r="S134" s="60">
        <f t="shared" si="106"/>
        <v>4.9894514999025114E-2</v>
      </c>
      <c r="T134" s="16"/>
      <c r="U134" s="41"/>
      <c r="V134" s="10">
        <f t="shared" si="85"/>
        <v>26</v>
      </c>
      <c r="W134" s="34">
        <v>1205</v>
      </c>
      <c r="X134" s="33"/>
      <c r="Y134" s="33"/>
      <c r="Z134" s="33"/>
      <c r="AA134" s="33">
        <f t="shared" si="93"/>
        <v>150215</v>
      </c>
      <c r="AB134" s="33"/>
      <c r="AC134" s="46">
        <f t="shared" si="94"/>
        <v>3.1769796454616341E-2</v>
      </c>
      <c r="AD134" s="33"/>
      <c r="AE134" s="33">
        <f t="shared" si="95"/>
        <v>1201.72</v>
      </c>
      <c r="AF134" s="50"/>
      <c r="AG134" s="33"/>
      <c r="AH134" s="33"/>
      <c r="AI134" s="213"/>
      <c r="AJ134" s="50"/>
      <c r="AK134" s="10"/>
      <c r="AL134" s="23">
        <f t="shared" si="96"/>
        <v>56054</v>
      </c>
      <c r="AM134" s="24"/>
      <c r="AN134" s="24"/>
      <c r="AO134" s="24">
        <v>178263</v>
      </c>
      <c r="AP134" s="24">
        <v>1942637</v>
      </c>
      <c r="AQ134" s="24"/>
      <c r="AR134" s="461">
        <f t="shared" si="97"/>
        <v>2.971191832005271E-2</v>
      </c>
      <c r="AS134" s="25"/>
      <c r="AT134" s="25"/>
      <c r="AU134" s="24"/>
      <c r="AV134" s="298">
        <f t="shared" si="98"/>
        <v>0.41085898262627918</v>
      </c>
      <c r="AW134" s="298"/>
      <c r="AX134" s="24">
        <f t="shared" si="99"/>
        <v>15541.096</v>
      </c>
      <c r="AY134" s="308"/>
      <c r="AZ134" s="10"/>
      <c r="BA134" s="65">
        <f t="shared" si="100"/>
        <v>819317</v>
      </c>
      <c r="BB134" s="66"/>
      <c r="BC134" s="66">
        <v>50732870</v>
      </c>
      <c r="BD134" s="66"/>
      <c r="BE134" s="66">
        <f t="shared" si="101"/>
        <v>71967</v>
      </c>
      <c r="BF134" s="66"/>
      <c r="BG134" s="144">
        <f t="shared" si="102"/>
        <v>8.7837796603756541E-2</v>
      </c>
      <c r="BH134" s="66"/>
      <c r="BI134" s="170"/>
      <c r="BJ134" s="66"/>
      <c r="BK134" s="66"/>
      <c r="BL134" s="66"/>
      <c r="BM134" s="144"/>
      <c r="BN134" s="65">
        <f t="shared" si="103"/>
        <v>405862.96</v>
      </c>
      <c r="BO134" s="66"/>
      <c r="BP134" s="66">
        <f t="shared" si="104"/>
        <v>3821255</v>
      </c>
      <c r="BQ134" s="66"/>
      <c r="BR134" s="435">
        <f t="shared" si="105"/>
        <v>7.5321088674857151E-2</v>
      </c>
      <c r="BS134" s="66"/>
      <c r="BT134" s="75"/>
      <c r="BU134" s="170"/>
      <c r="BV134" s="1"/>
      <c r="BW134">
        <f t="shared" si="53"/>
        <v>125</v>
      </c>
    </row>
    <row r="135" spans="1:75" x14ac:dyDescent="0.3">
      <c r="A135" s="61"/>
      <c r="B135" s="158">
        <f t="shared" si="52"/>
        <v>44035</v>
      </c>
      <c r="C135" s="61"/>
      <c r="D135" s="17">
        <v>69443</v>
      </c>
      <c r="E135" s="16"/>
      <c r="F135" s="16"/>
      <c r="G135" s="16"/>
      <c r="H135" s="16">
        <f t="shared" si="89"/>
        <v>4797676</v>
      </c>
      <c r="I135" s="16"/>
      <c r="J135" s="436">
        <f t="shared" si="90"/>
        <v>1.4686881970495108E-2</v>
      </c>
      <c r="K135" s="16"/>
      <c r="L135" s="16"/>
      <c r="M135" s="16"/>
      <c r="N135" s="16"/>
      <c r="O135" s="16">
        <f t="shared" si="91"/>
        <v>38076.793650793654</v>
      </c>
      <c r="P135" s="41"/>
      <c r="Q135" s="17">
        <f t="shared" si="92"/>
        <v>475293</v>
      </c>
      <c r="R135" s="16"/>
      <c r="S135" s="60">
        <f t="shared" si="106"/>
        <v>1.388485955152053E-2</v>
      </c>
      <c r="T135" s="16"/>
      <c r="U135" s="41"/>
      <c r="V135" s="10">
        <f t="shared" si="85"/>
        <v>27</v>
      </c>
      <c r="W135" s="34">
        <v>1166</v>
      </c>
      <c r="X135" s="33"/>
      <c r="Y135" s="33"/>
      <c r="Z135" s="33"/>
      <c r="AA135" s="33">
        <f t="shared" si="93"/>
        <v>151381</v>
      </c>
      <c r="AB135" s="33"/>
      <c r="AC135" s="46">
        <f t="shared" si="94"/>
        <v>3.1552985237018924E-2</v>
      </c>
      <c r="AD135" s="33"/>
      <c r="AE135" s="33">
        <f t="shared" si="95"/>
        <v>1201.436507936508</v>
      </c>
      <c r="AF135" s="50"/>
      <c r="AG135" s="33"/>
      <c r="AH135" s="33"/>
      <c r="AI135" s="213"/>
      <c r="AJ135" s="50"/>
      <c r="AK135" s="10"/>
      <c r="AL135" s="23">
        <f t="shared" si="96"/>
        <v>36980</v>
      </c>
      <c r="AM135" s="24"/>
      <c r="AN135" s="24"/>
      <c r="AO135" s="24">
        <v>178263</v>
      </c>
      <c r="AP135" s="24">
        <v>1979617</v>
      </c>
      <c r="AQ135" s="24"/>
      <c r="AR135" s="461">
        <f t="shared" si="97"/>
        <v>1.9035980473963997E-2</v>
      </c>
      <c r="AS135" s="25"/>
      <c r="AT135" s="25"/>
      <c r="AU135" s="24"/>
      <c r="AV135" s="298">
        <f t="shared" si="98"/>
        <v>0.41261998517615611</v>
      </c>
      <c r="AW135" s="298"/>
      <c r="AX135" s="24">
        <f t="shared" si="99"/>
        <v>15711.246031746032</v>
      </c>
      <c r="AY135" s="308"/>
      <c r="AZ135" s="10"/>
      <c r="BA135" s="65">
        <f t="shared" si="100"/>
        <v>819305</v>
      </c>
      <c r="BB135" s="66"/>
      <c r="BC135" s="66">
        <v>51552175</v>
      </c>
      <c r="BD135" s="66"/>
      <c r="BE135" s="66">
        <f t="shared" si="101"/>
        <v>69443</v>
      </c>
      <c r="BF135" s="66"/>
      <c r="BG135" s="144">
        <f t="shared" si="102"/>
        <v>8.475842329779508E-2</v>
      </c>
      <c r="BH135" s="66"/>
      <c r="BI135" s="170"/>
      <c r="BJ135" s="66"/>
      <c r="BK135" s="66"/>
      <c r="BL135" s="66"/>
      <c r="BM135" s="144"/>
      <c r="BN135" s="65">
        <f t="shared" si="103"/>
        <v>409144.24603174604</v>
      </c>
      <c r="BO135" s="66"/>
      <c r="BP135" s="66">
        <f t="shared" si="104"/>
        <v>3890698</v>
      </c>
      <c r="BQ135" s="66"/>
      <c r="BR135" s="435">
        <f t="shared" si="105"/>
        <v>7.5471073722883655E-2</v>
      </c>
      <c r="BS135" s="66"/>
      <c r="BT135" s="75"/>
      <c r="BU135" s="170"/>
      <c r="BV135" s="1"/>
      <c r="BW135">
        <f t="shared" si="53"/>
        <v>126</v>
      </c>
    </row>
    <row r="136" spans="1:75" x14ac:dyDescent="0.3">
      <c r="A136" s="61"/>
      <c r="B136" s="158">
        <f t="shared" si="52"/>
        <v>44036</v>
      </c>
      <c r="C136" s="61"/>
      <c r="D136" s="17">
        <v>77978</v>
      </c>
      <c r="E136" s="16"/>
      <c r="F136" s="16"/>
      <c r="G136" s="16"/>
      <c r="H136" s="16">
        <f t="shared" si="89"/>
        <v>4875654</v>
      </c>
      <c r="I136" s="16"/>
      <c r="J136" s="436">
        <f t="shared" si="90"/>
        <v>1.6253285965955183E-2</v>
      </c>
      <c r="K136" s="16"/>
      <c r="L136" s="16"/>
      <c r="M136" s="16"/>
      <c r="N136" s="16"/>
      <c r="O136" s="16">
        <f t="shared" si="91"/>
        <v>38390.976377952757</v>
      </c>
      <c r="P136" s="41"/>
      <c r="Q136" s="17">
        <f t="shared" si="92"/>
        <v>478284</v>
      </c>
      <c r="R136" s="16"/>
      <c r="S136" s="60">
        <f t="shared" si="106"/>
        <v>1.3347910098647412E-2</v>
      </c>
      <c r="T136" s="16"/>
      <c r="U136" s="41"/>
      <c r="V136" s="10">
        <f t="shared" si="85"/>
        <v>28</v>
      </c>
      <c r="W136" s="34">
        <v>1141</v>
      </c>
      <c r="X136" s="33"/>
      <c r="Y136" s="33"/>
      <c r="Z136" s="33"/>
      <c r="AA136" s="33">
        <f t="shared" si="93"/>
        <v>152522</v>
      </c>
      <c r="AB136" s="33"/>
      <c r="AC136" s="46">
        <f t="shared" si="94"/>
        <v>3.1282367452653531E-2</v>
      </c>
      <c r="AD136" s="33"/>
      <c r="AE136" s="33">
        <f t="shared" si="95"/>
        <v>1200.9606299212599</v>
      </c>
      <c r="AF136" s="50"/>
      <c r="AG136" s="33"/>
      <c r="AH136" s="33"/>
      <c r="AI136" s="213"/>
      <c r="AJ136" s="50"/>
      <c r="AK136" s="10"/>
      <c r="AL136" s="23">
        <f t="shared" si="96"/>
        <v>48275</v>
      </c>
      <c r="AM136" s="24"/>
      <c r="AN136" s="24"/>
      <c r="AO136" s="24">
        <v>178263</v>
      </c>
      <c r="AP136" s="24">
        <v>2027892</v>
      </c>
      <c r="AQ136" s="24"/>
      <c r="AR136" s="461">
        <f t="shared" si="97"/>
        <v>2.4386030227059072E-2</v>
      </c>
      <c r="AS136" s="25"/>
      <c r="AT136" s="25"/>
      <c r="AU136" s="24"/>
      <c r="AV136" s="298">
        <f t="shared" si="98"/>
        <v>0.41592204861132476</v>
      </c>
      <c r="AW136" s="298"/>
      <c r="AX136" s="24">
        <f t="shared" si="99"/>
        <v>15967.653543307086</v>
      </c>
      <c r="AY136" s="308"/>
      <c r="AZ136" s="10"/>
      <c r="BA136" s="65">
        <f t="shared" si="100"/>
        <v>968251</v>
      </c>
      <c r="BB136" s="66"/>
      <c r="BC136" s="66">
        <v>52520426</v>
      </c>
      <c r="BD136" s="66"/>
      <c r="BE136" s="66">
        <f t="shared" si="101"/>
        <v>77978</v>
      </c>
      <c r="BF136" s="66"/>
      <c r="BG136" s="144">
        <f t="shared" si="102"/>
        <v>8.0534902623390012E-2</v>
      </c>
      <c r="BH136" s="66"/>
      <c r="BI136" s="170"/>
      <c r="BJ136" s="66"/>
      <c r="BK136" s="66"/>
      <c r="BL136" s="66"/>
      <c r="BM136" s="144"/>
      <c r="BN136" s="65">
        <f t="shared" si="103"/>
        <v>413546.66141732282</v>
      </c>
      <c r="BO136" s="66"/>
      <c r="BP136" s="66">
        <f t="shared" si="104"/>
        <v>3968676</v>
      </c>
      <c r="BQ136" s="66"/>
      <c r="BR136" s="435">
        <f t="shared" si="105"/>
        <v>7.5564428970930284E-2</v>
      </c>
      <c r="BS136" s="66"/>
      <c r="BT136" s="75"/>
      <c r="BU136" s="170"/>
      <c r="BV136" s="1"/>
      <c r="BW136">
        <f t="shared" si="53"/>
        <v>127</v>
      </c>
    </row>
    <row r="137" spans="1:75" x14ac:dyDescent="0.3">
      <c r="A137" s="61"/>
      <c r="B137" s="158">
        <f t="shared" si="52"/>
        <v>44037</v>
      </c>
      <c r="C137" s="61"/>
      <c r="D137" s="17">
        <v>67413</v>
      </c>
      <c r="E137" s="16"/>
      <c r="F137" s="16"/>
      <c r="G137" s="16"/>
      <c r="H137" s="16">
        <f t="shared" si="89"/>
        <v>4943067</v>
      </c>
      <c r="I137" s="16"/>
      <c r="J137" s="436">
        <f t="shared" si="90"/>
        <v>1.382645282048316E-2</v>
      </c>
      <c r="K137" s="16"/>
      <c r="L137" s="16"/>
      <c r="M137" s="16"/>
      <c r="N137" s="16"/>
      <c r="O137" s="16">
        <f t="shared" si="91"/>
        <v>38617.7109375</v>
      </c>
      <c r="P137" s="41"/>
      <c r="Q137" s="17">
        <f t="shared" si="92"/>
        <v>482438</v>
      </c>
      <c r="R137" s="16"/>
      <c r="S137" s="60">
        <f t="shared" si="106"/>
        <v>1.8824811413993801E-2</v>
      </c>
      <c r="T137" s="16"/>
      <c r="U137" s="41"/>
      <c r="V137" s="10">
        <f t="shared" si="85"/>
        <v>29</v>
      </c>
      <c r="W137" s="34">
        <v>908</v>
      </c>
      <c r="X137" s="33"/>
      <c r="Y137" s="33"/>
      <c r="Z137" s="33"/>
      <c r="AA137" s="33">
        <f t="shared" si="93"/>
        <v>153430</v>
      </c>
      <c r="AB137" s="33"/>
      <c r="AC137" s="46">
        <f t="shared" si="94"/>
        <v>3.1039433614798263E-2</v>
      </c>
      <c r="AD137" s="33"/>
      <c r="AE137" s="33">
        <f t="shared" si="95"/>
        <v>1198.671875</v>
      </c>
      <c r="AF137" s="50"/>
      <c r="AG137" s="33"/>
      <c r="AH137" s="33"/>
      <c r="AI137" s="213"/>
      <c r="AJ137" s="50"/>
      <c r="AK137" s="10"/>
      <c r="AL137" s="23">
        <f t="shared" si="96"/>
        <v>33800</v>
      </c>
      <c r="AM137" s="24"/>
      <c r="AN137" s="24"/>
      <c r="AO137" s="24">
        <v>178263</v>
      </c>
      <c r="AP137" s="24">
        <v>2061692</v>
      </c>
      <c r="AQ137" s="24"/>
      <c r="AR137" s="461">
        <f t="shared" si="97"/>
        <v>1.6667554287900933E-2</v>
      </c>
      <c r="AS137" s="25"/>
      <c r="AT137" s="25"/>
      <c r="AU137" s="24"/>
      <c r="AV137" s="298">
        <f t="shared" si="98"/>
        <v>0.41708760977749237</v>
      </c>
      <c r="AW137" s="298"/>
      <c r="AX137" s="24">
        <f t="shared" si="99"/>
        <v>16106.96875</v>
      </c>
      <c r="AY137" s="308"/>
      <c r="AZ137" s="10"/>
      <c r="BA137" s="65">
        <f t="shared" si="100"/>
        <v>831824</v>
      </c>
      <c r="BB137" s="66"/>
      <c r="BC137" s="66">
        <v>53352250</v>
      </c>
      <c r="BD137" s="66"/>
      <c r="BE137" s="66">
        <f t="shared" si="101"/>
        <v>67413</v>
      </c>
      <c r="BF137" s="66"/>
      <c r="BG137" s="144">
        <f t="shared" si="102"/>
        <v>8.1042383965838932E-2</v>
      </c>
      <c r="BH137" s="66"/>
      <c r="BI137" s="170"/>
      <c r="BJ137" s="66"/>
      <c r="BK137" s="66"/>
      <c r="BL137" s="66"/>
      <c r="BM137" s="144"/>
      <c r="BN137" s="65">
        <f t="shared" si="103"/>
        <v>416814.453125</v>
      </c>
      <c r="BO137" s="66"/>
      <c r="BP137" s="66">
        <f t="shared" si="104"/>
        <v>4036089</v>
      </c>
      <c r="BQ137" s="66"/>
      <c r="BR137" s="435">
        <f t="shared" si="105"/>
        <v>7.5649836698545983E-2</v>
      </c>
      <c r="BS137" s="66"/>
      <c r="BT137" s="75"/>
      <c r="BU137" s="170"/>
      <c r="BV137" s="1"/>
      <c r="BW137">
        <f t="shared" si="53"/>
        <v>128</v>
      </c>
    </row>
    <row r="138" spans="1:75" x14ac:dyDescent="0.3">
      <c r="A138" s="61"/>
      <c r="B138" s="347">
        <f t="shared" si="52"/>
        <v>44038</v>
      </c>
      <c r="C138" s="61"/>
      <c r="D138" s="17">
        <v>56130</v>
      </c>
      <c r="E138" s="16"/>
      <c r="F138" s="16"/>
      <c r="G138" s="16"/>
      <c r="H138" s="16">
        <f t="shared" si="89"/>
        <v>4999197</v>
      </c>
      <c r="I138" s="16"/>
      <c r="J138" s="436">
        <f t="shared" si="90"/>
        <v>1.1355298238927371E-2</v>
      </c>
      <c r="K138" s="16"/>
      <c r="L138" s="16"/>
      <c r="M138" s="16"/>
      <c r="N138" s="16">
        <f>SUM(D132:D138)</f>
        <v>473289</v>
      </c>
      <c r="O138" s="16">
        <f t="shared" si="91"/>
        <v>38753.465116279069</v>
      </c>
      <c r="P138" s="41"/>
      <c r="Q138" s="17">
        <f t="shared" si="92"/>
        <v>473289</v>
      </c>
      <c r="R138" s="16"/>
      <c r="S138" s="60">
        <f t="shared" si="106"/>
        <v>-1.4912978141507823E-2</v>
      </c>
      <c r="T138" s="16"/>
      <c r="U138" s="41"/>
      <c r="V138" s="348">
        <f t="shared" si="85"/>
        <v>30</v>
      </c>
      <c r="W138" s="34">
        <v>450</v>
      </c>
      <c r="X138" s="33"/>
      <c r="Y138" s="33"/>
      <c r="Z138" s="33"/>
      <c r="AA138" s="33">
        <f t="shared" si="93"/>
        <v>153880</v>
      </c>
      <c r="AB138" s="33"/>
      <c r="AC138" s="46">
        <f t="shared" si="94"/>
        <v>3.0780943419513172E-2</v>
      </c>
      <c r="AD138" s="33"/>
      <c r="AE138" s="33">
        <f t="shared" si="95"/>
        <v>1192.8682170542636</v>
      </c>
      <c r="AF138" s="50"/>
      <c r="AG138" s="33">
        <f>SUM(W132:W138)</f>
        <v>6580</v>
      </c>
      <c r="AH138" s="33">
        <f>SUM(D109:D773)</f>
        <v>109008588</v>
      </c>
      <c r="AI138" s="213">
        <f>+(AG138-AG131)/AG131</f>
        <v>0.18836915297092288</v>
      </c>
      <c r="AJ138" s="50"/>
      <c r="AK138" s="348"/>
      <c r="AL138" s="23">
        <f t="shared" si="96"/>
        <v>28437</v>
      </c>
      <c r="AM138" s="24"/>
      <c r="AN138" s="24"/>
      <c r="AO138" s="24">
        <v>178263</v>
      </c>
      <c r="AP138" s="24">
        <v>2090129</v>
      </c>
      <c r="AQ138" s="24"/>
      <c r="AR138" s="461">
        <f t="shared" si="97"/>
        <v>1.3793039891506587E-2</v>
      </c>
      <c r="AS138" s="25"/>
      <c r="AT138" s="25"/>
      <c r="AU138" s="24"/>
      <c r="AV138" s="298">
        <f t="shared" si="98"/>
        <v>0.41809294572708378</v>
      </c>
      <c r="AW138" s="298"/>
      <c r="AX138" s="24">
        <f t="shared" si="99"/>
        <v>16202.550387596899</v>
      </c>
      <c r="AY138" s="308"/>
      <c r="AZ138" s="348"/>
      <c r="BA138" s="65">
        <f t="shared" si="100"/>
        <v>867325</v>
      </c>
      <c r="BB138" s="66"/>
      <c r="BC138" s="66">
        <v>54219575</v>
      </c>
      <c r="BD138" s="66"/>
      <c r="BE138" s="66">
        <f t="shared" si="101"/>
        <v>56130</v>
      </c>
      <c r="BF138" s="66"/>
      <c r="BG138" s="144">
        <f t="shared" si="102"/>
        <v>6.4716225175107375E-2</v>
      </c>
      <c r="BH138" s="66"/>
      <c r="BI138" s="170"/>
      <c r="BJ138" s="66"/>
      <c r="BK138" s="66">
        <f t="shared" ref="BK138:BK164" si="107">SUM(BA132:BA138)</f>
        <v>5877840</v>
      </c>
      <c r="BL138" s="66"/>
      <c r="BM138" s="144">
        <f t="shared" ref="BM138:BM164" si="108">+Q138/BK138</f>
        <v>8.0520905638806095E-2</v>
      </c>
      <c r="BN138" s="65">
        <f t="shared" si="103"/>
        <v>420306.78294573643</v>
      </c>
      <c r="BO138" s="66"/>
      <c r="BP138" s="66">
        <f t="shared" si="104"/>
        <v>4092219</v>
      </c>
      <c r="BQ138" s="66"/>
      <c r="BR138" s="435">
        <f t="shared" si="105"/>
        <v>7.5474936865513972E-2</v>
      </c>
      <c r="BS138" s="66"/>
      <c r="BT138" s="75"/>
      <c r="BU138" s="170"/>
      <c r="BV138" s="1"/>
      <c r="BW138" s="429">
        <f t="shared" si="53"/>
        <v>129</v>
      </c>
    </row>
    <row r="139" spans="1:75" x14ac:dyDescent="0.3">
      <c r="A139" s="505"/>
      <c r="B139" s="158">
        <f t="shared" si="52"/>
        <v>44039</v>
      </c>
      <c r="C139" s="61"/>
      <c r="D139" s="17">
        <v>61571</v>
      </c>
      <c r="E139" s="16"/>
      <c r="F139" s="16"/>
      <c r="G139" s="16"/>
      <c r="H139" s="16">
        <f t="shared" si="89"/>
        <v>5060768</v>
      </c>
      <c r="I139" s="16"/>
      <c r="J139" s="436">
        <f t="shared" si="90"/>
        <v>1.2316177978183296E-2</v>
      </c>
      <c r="K139" s="16"/>
      <c r="L139" s="16"/>
      <c r="M139" s="16"/>
      <c r="N139" s="16"/>
      <c r="O139" s="16">
        <f t="shared" si="91"/>
        <v>38928.984615384616</v>
      </c>
      <c r="P139" s="41"/>
      <c r="Q139" s="17">
        <f t="shared" si="92"/>
        <v>471981</v>
      </c>
      <c r="R139" s="16"/>
      <c r="S139" s="60">
        <f t="shared" si="106"/>
        <v>-1.2271761763751844E-2</v>
      </c>
      <c r="T139" s="16"/>
      <c r="U139" s="41"/>
      <c r="V139" s="10">
        <f>+V138+1</f>
        <v>31</v>
      </c>
      <c r="W139" s="34">
        <v>596</v>
      </c>
      <c r="X139" s="33"/>
      <c r="Y139" s="33"/>
      <c r="Z139" s="33"/>
      <c r="AA139" s="33">
        <f t="shared" si="93"/>
        <v>154476</v>
      </c>
      <c r="AB139" s="33"/>
      <c r="AC139" s="46">
        <f t="shared" si="94"/>
        <v>3.0524220829723867E-2</v>
      </c>
      <c r="AD139" s="33"/>
      <c r="AE139" s="33">
        <f t="shared" si="95"/>
        <v>1188.2769230769231</v>
      </c>
      <c r="AF139" s="50"/>
      <c r="AG139" s="33"/>
      <c r="AH139" s="33"/>
      <c r="AI139" s="213"/>
      <c r="AJ139" s="50"/>
      <c r="AK139" s="10"/>
      <c r="AL139" s="23">
        <f t="shared" si="96"/>
        <v>46474</v>
      </c>
      <c r="AM139" s="24"/>
      <c r="AN139" s="24"/>
      <c r="AO139" s="24">
        <v>178263</v>
      </c>
      <c r="AP139" s="24">
        <v>2136603</v>
      </c>
      <c r="AQ139" s="24"/>
      <c r="AR139" s="461">
        <f t="shared" si="97"/>
        <v>2.2234991237382956E-2</v>
      </c>
      <c r="AS139" s="25"/>
      <c r="AT139" s="25"/>
      <c r="AU139" s="24"/>
      <c r="AV139" s="298">
        <f t="shared" si="98"/>
        <v>0.42218947796065737</v>
      </c>
      <c r="AW139" s="298"/>
      <c r="AX139" s="24">
        <f t="shared" si="99"/>
        <v>16435.407692307694</v>
      </c>
      <c r="AY139" s="308"/>
      <c r="AZ139" s="10"/>
      <c r="BA139" s="65">
        <f t="shared" si="100"/>
        <v>798661</v>
      </c>
      <c r="BB139" s="66"/>
      <c r="BC139" s="66">
        <v>55018236</v>
      </c>
      <c r="BD139" s="66"/>
      <c r="BE139" s="66">
        <f t="shared" si="101"/>
        <v>61571</v>
      </c>
      <c r="BF139" s="66"/>
      <c r="BG139" s="144">
        <f t="shared" si="102"/>
        <v>7.7092784047299162E-2</v>
      </c>
      <c r="BH139" s="66"/>
      <c r="BI139" s="170"/>
      <c r="BJ139" s="66"/>
      <c r="BK139" s="66">
        <f t="shared" si="107"/>
        <v>5856329</v>
      </c>
      <c r="BL139" s="66"/>
      <c r="BM139" s="144">
        <f t="shared" si="108"/>
        <v>8.059332049138633E-2</v>
      </c>
      <c r="BN139" s="65">
        <f t="shared" si="103"/>
        <v>423217.2</v>
      </c>
      <c r="BO139" s="66"/>
      <c r="BP139" s="66">
        <f t="shared" si="104"/>
        <v>4153790</v>
      </c>
      <c r="BQ139" s="66"/>
      <c r="BR139" s="435">
        <f t="shared" si="105"/>
        <v>7.5498422014111832E-2</v>
      </c>
      <c r="BS139" s="66"/>
      <c r="BT139" s="75"/>
      <c r="BU139" s="170"/>
      <c r="BV139" s="1"/>
      <c r="BW139" s="61">
        <f t="shared" si="53"/>
        <v>130</v>
      </c>
    </row>
    <row r="140" spans="1:75" x14ac:dyDescent="0.3">
      <c r="A140" s="61"/>
      <c r="B140" s="158">
        <f t="shared" si="52"/>
        <v>44040</v>
      </c>
      <c r="C140" s="61"/>
      <c r="D140" s="17">
        <v>64729</v>
      </c>
      <c r="E140" s="16"/>
      <c r="F140" s="16"/>
      <c r="G140" s="16"/>
      <c r="H140" s="16">
        <f t="shared" si="89"/>
        <v>5125497</v>
      </c>
      <c r="I140" s="16"/>
      <c r="J140" s="436">
        <f t="shared" si="90"/>
        <v>1.2790351187803906E-2</v>
      </c>
      <c r="K140" s="16"/>
      <c r="L140" s="16"/>
      <c r="M140" s="16"/>
      <c r="N140" s="16"/>
      <c r="O140" s="16">
        <f t="shared" si="91"/>
        <v>39125.931297709925</v>
      </c>
      <c r="P140" s="41"/>
      <c r="Q140" s="17">
        <f t="shared" si="92"/>
        <v>469231</v>
      </c>
      <c r="R140" s="16"/>
      <c r="S140" s="60">
        <f t="shared" si="106"/>
        <v>-2.0958696033183385E-2</v>
      </c>
      <c r="T140" s="16"/>
      <c r="U140" s="41"/>
      <c r="V140" s="10">
        <f t="shared" ref="V140:V394" si="109">+V139+1</f>
        <v>32</v>
      </c>
      <c r="W140" s="34">
        <v>1245</v>
      </c>
      <c r="X140" s="33"/>
      <c r="Y140" s="33"/>
      <c r="Z140" s="33"/>
      <c r="AA140" s="33">
        <f t="shared" si="93"/>
        <v>155721</v>
      </c>
      <c r="AB140" s="33"/>
      <c r="AC140" s="46">
        <f t="shared" si="94"/>
        <v>3.0381639087877721E-2</v>
      </c>
      <c r="AD140" s="33"/>
      <c r="AE140" s="33">
        <f t="shared" si="95"/>
        <v>1188.7099236641222</v>
      </c>
      <c r="AF140" s="50"/>
      <c r="AG140" s="33"/>
      <c r="AH140" s="33"/>
      <c r="AI140" s="213"/>
      <c r="AJ140" s="50"/>
      <c r="AK140" s="10"/>
      <c r="AL140" s="23">
        <f t="shared" si="96"/>
        <v>49291</v>
      </c>
      <c r="AM140" s="24"/>
      <c r="AN140" s="24"/>
      <c r="AO140" s="24">
        <v>178263</v>
      </c>
      <c r="AP140" s="24">
        <v>2185894</v>
      </c>
      <c r="AQ140" s="24"/>
      <c r="AR140" s="461">
        <f t="shared" si="97"/>
        <v>2.3069798179633744E-2</v>
      </c>
      <c r="AS140" s="25"/>
      <c r="AT140" s="25"/>
      <c r="AU140" s="24"/>
      <c r="AV140" s="298">
        <f t="shared" si="98"/>
        <v>0.42647454480999597</v>
      </c>
      <c r="AW140" s="298"/>
      <c r="AX140" s="24">
        <f t="shared" si="99"/>
        <v>16686.213740458013</v>
      </c>
      <c r="AY140" s="308"/>
      <c r="AZ140" s="10"/>
      <c r="BA140" s="65">
        <f t="shared" si="100"/>
        <v>787180</v>
      </c>
      <c r="BB140" s="66"/>
      <c r="BC140" s="66">
        <v>55805416</v>
      </c>
      <c r="BD140" s="66"/>
      <c r="BE140" s="66">
        <f t="shared" si="101"/>
        <v>64729</v>
      </c>
      <c r="BF140" s="66"/>
      <c r="BG140" s="144">
        <f t="shared" si="102"/>
        <v>8.2228969231941867E-2</v>
      </c>
      <c r="BH140" s="66"/>
      <c r="BI140" s="170"/>
      <c r="BJ140" s="66"/>
      <c r="BK140" s="66">
        <f t="shared" si="107"/>
        <v>5891863</v>
      </c>
      <c r="BL140" s="66"/>
      <c r="BM140" s="144">
        <f t="shared" si="108"/>
        <v>7.9640514383990266E-2</v>
      </c>
      <c r="BN140" s="65">
        <f t="shared" si="103"/>
        <v>425995.54198473284</v>
      </c>
      <c r="BO140" s="66"/>
      <c r="BP140" s="66">
        <f t="shared" si="104"/>
        <v>4218519</v>
      </c>
      <c r="BQ140" s="66"/>
      <c r="BR140" s="435">
        <f t="shared" si="105"/>
        <v>7.5593361762593084E-2</v>
      </c>
      <c r="BS140" s="66"/>
      <c r="BT140" s="75"/>
      <c r="BU140" s="170"/>
      <c r="BV140" s="1"/>
      <c r="BW140" s="61">
        <f t="shared" si="53"/>
        <v>131</v>
      </c>
    </row>
    <row r="141" spans="1:75" x14ac:dyDescent="0.3">
      <c r="A141" s="61"/>
      <c r="B141" s="158">
        <f t="shared" si="52"/>
        <v>44041</v>
      </c>
      <c r="C141" s="61"/>
      <c r="D141" s="17">
        <v>66921</v>
      </c>
      <c r="E141" s="16"/>
      <c r="F141" s="16"/>
      <c r="G141" s="16"/>
      <c r="H141" s="16">
        <f t="shared" si="89"/>
        <v>5192418</v>
      </c>
      <c r="I141" s="16"/>
      <c r="J141" s="436">
        <f t="shared" si="90"/>
        <v>1.305648993648811E-2</v>
      </c>
      <c r="K141" s="16"/>
      <c r="L141" s="16"/>
      <c r="M141" s="16"/>
      <c r="N141" s="16"/>
      <c r="O141" s="16">
        <f t="shared" si="91"/>
        <v>39336.5</v>
      </c>
      <c r="P141" s="41"/>
      <c r="Q141" s="17">
        <f t="shared" si="92"/>
        <v>464185</v>
      </c>
      <c r="R141" s="16"/>
      <c r="S141" s="60">
        <f t="shared" si="106"/>
        <v>-3.1410280486939682E-2</v>
      </c>
      <c r="T141" s="16"/>
      <c r="U141" s="41"/>
      <c r="V141" s="10">
        <f t="shared" si="109"/>
        <v>33</v>
      </c>
      <c r="W141" s="34">
        <v>1485</v>
      </c>
      <c r="X141" s="33"/>
      <c r="Y141" s="33"/>
      <c r="Z141" s="33"/>
      <c r="AA141" s="33">
        <f t="shared" si="93"/>
        <v>157206</v>
      </c>
      <c r="AB141" s="33"/>
      <c r="AC141" s="46">
        <f t="shared" si="94"/>
        <v>3.027606791286834E-2</v>
      </c>
      <c r="AD141" s="33"/>
      <c r="AE141" s="33">
        <f t="shared" si="95"/>
        <v>1190.9545454545455</v>
      </c>
      <c r="AF141" s="50"/>
      <c r="AG141" s="33"/>
      <c r="AH141" s="33"/>
      <c r="AI141" s="213"/>
      <c r="AJ141" s="50"/>
      <c r="AK141" s="10"/>
      <c r="AL141" s="23">
        <f t="shared" si="96"/>
        <v>59150</v>
      </c>
      <c r="AM141" s="24"/>
      <c r="AN141" s="24"/>
      <c r="AO141" s="24">
        <v>178263</v>
      </c>
      <c r="AP141" s="24">
        <v>2245044</v>
      </c>
      <c r="AQ141" s="24"/>
      <c r="AR141" s="461">
        <f t="shared" si="97"/>
        <v>2.7059866580904656E-2</v>
      </c>
      <c r="AS141" s="25"/>
      <c r="AT141" s="25"/>
      <c r="AU141" s="24"/>
      <c r="AV141" s="298">
        <f t="shared" si="98"/>
        <v>0.43236965899124452</v>
      </c>
      <c r="AW141" s="298"/>
      <c r="AX141" s="24">
        <f t="shared" si="99"/>
        <v>17007.909090909092</v>
      </c>
      <c r="AY141" s="308"/>
      <c r="AZ141" s="10"/>
      <c r="BA141" s="65">
        <f t="shared" si="100"/>
        <v>878963</v>
      </c>
      <c r="BB141" s="66"/>
      <c r="BC141" s="66">
        <v>56684379</v>
      </c>
      <c r="BD141" s="66"/>
      <c r="BE141" s="66">
        <f t="shared" si="101"/>
        <v>66921</v>
      </c>
      <c r="BF141" s="66"/>
      <c r="BG141" s="144">
        <f t="shared" si="102"/>
        <v>7.6136310629685205E-2</v>
      </c>
      <c r="BH141" s="66"/>
      <c r="BI141" s="170"/>
      <c r="BJ141" s="66"/>
      <c r="BK141" s="66">
        <f t="shared" si="107"/>
        <v>5951509</v>
      </c>
      <c r="BL141" s="66"/>
      <c r="BM141" s="144">
        <f t="shared" si="108"/>
        <v>7.7994505259086397E-2</v>
      </c>
      <c r="BN141" s="65">
        <f t="shared" si="103"/>
        <v>429427.11363636365</v>
      </c>
      <c r="BO141" s="66"/>
      <c r="BP141" s="66">
        <f t="shared" si="104"/>
        <v>4285440</v>
      </c>
      <c r="BQ141" s="66"/>
      <c r="BR141" s="435">
        <f t="shared" si="105"/>
        <v>7.5601780871587212E-2</v>
      </c>
      <c r="BS141" s="66"/>
      <c r="BT141" s="75"/>
      <c r="BU141" s="170"/>
      <c r="BV141" s="1"/>
      <c r="BW141" s="61">
        <f t="shared" si="53"/>
        <v>132</v>
      </c>
    </row>
    <row r="142" spans="1:75" x14ac:dyDescent="0.3">
      <c r="A142" s="61"/>
      <c r="B142" s="158">
        <f t="shared" si="52"/>
        <v>44042</v>
      </c>
      <c r="C142" s="61"/>
      <c r="D142" s="17">
        <v>68569</v>
      </c>
      <c r="E142" s="16"/>
      <c r="F142" s="16"/>
      <c r="G142" s="16"/>
      <c r="H142" s="16">
        <f t="shared" si="89"/>
        <v>5260987</v>
      </c>
      <c r="I142" s="16"/>
      <c r="J142" s="436">
        <f t="shared" si="90"/>
        <v>1.3205600935826045E-2</v>
      </c>
      <c r="K142" s="16"/>
      <c r="L142" s="16"/>
      <c r="M142" s="16"/>
      <c r="N142" s="16"/>
      <c r="O142" s="16">
        <f t="shared" si="91"/>
        <v>39556.29323308271</v>
      </c>
      <c r="P142" s="41"/>
      <c r="Q142" s="17">
        <f t="shared" si="92"/>
        <v>463311</v>
      </c>
      <c r="R142" s="16"/>
      <c r="S142" s="60">
        <f t="shared" si="106"/>
        <v>-2.5209712745611654E-2</v>
      </c>
      <c r="T142" s="16"/>
      <c r="U142" s="41"/>
      <c r="V142" s="10">
        <f t="shared" si="109"/>
        <v>34</v>
      </c>
      <c r="W142" s="34">
        <v>1465</v>
      </c>
      <c r="X142" s="33"/>
      <c r="Y142" s="33"/>
      <c r="Z142" s="33"/>
      <c r="AA142" s="33">
        <f t="shared" si="93"/>
        <v>158671</v>
      </c>
      <c r="AB142" s="33"/>
      <c r="AC142" s="46">
        <f t="shared" si="94"/>
        <v>3.0159930066354469E-2</v>
      </c>
      <c r="AD142" s="33"/>
      <c r="AE142" s="33">
        <f t="shared" si="95"/>
        <v>1193.015037593985</v>
      </c>
      <c r="AF142" s="50"/>
      <c r="AG142" s="33"/>
      <c r="AH142" s="33"/>
      <c r="AI142" s="213"/>
      <c r="AJ142" s="50"/>
      <c r="AK142" s="10"/>
      <c r="AL142" s="23">
        <f t="shared" si="96"/>
        <v>39921</v>
      </c>
      <c r="AM142" s="24"/>
      <c r="AN142" s="24"/>
      <c r="AO142" s="24">
        <v>178263</v>
      </c>
      <c r="AP142" s="24">
        <v>2284965</v>
      </c>
      <c r="AQ142" s="24"/>
      <c r="AR142" s="461">
        <f t="shared" si="97"/>
        <v>1.7781834119954886E-2</v>
      </c>
      <c r="AS142" s="25"/>
      <c r="AT142" s="25"/>
      <c r="AU142" s="24"/>
      <c r="AV142" s="298">
        <f t="shared" si="98"/>
        <v>0.43432249499951248</v>
      </c>
      <c r="AW142" s="298"/>
      <c r="AX142" s="24">
        <f t="shared" si="99"/>
        <v>17180.187969924813</v>
      </c>
      <c r="AY142" s="308"/>
      <c r="AZ142" s="10"/>
      <c r="BA142" s="65">
        <f t="shared" si="100"/>
        <v>836765</v>
      </c>
      <c r="BB142" s="66"/>
      <c r="BC142" s="66">
        <v>57521144</v>
      </c>
      <c r="BD142" s="66"/>
      <c r="BE142" s="66">
        <f t="shared" si="101"/>
        <v>68569</v>
      </c>
      <c r="BF142" s="66"/>
      <c r="BG142" s="144">
        <f t="shared" si="102"/>
        <v>8.1945349052601382E-2</v>
      </c>
      <c r="BH142" s="66"/>
      <c r="BI142" s="170"/>
      <c r="BJ142" s="66"/>
      <c r="BK142" s="66">
        <f t="shared" si="107"/>
        <v>5968969</v>
      </c>
      <c r="BL142" s="66"/>
      <c r="BM142" s="144">
        <f t="shared" si="108"/>
        <v>7.7619937379470386E-2</v>
      </c>
      <c r="BN142" s="65">
        <f t="shared" si="103"/>
        <v>432489.80451127817</v>
      </c>
      <c r="BO142" s="66"/>
      <c r="BP142" s="66">
        <f t="shared" si="104"/>
        <v>4354009</v>
      </c>
      <c r="BQ142" s="66"/>
      <c r="BR142" s="435">
        <f t="shared" si="105"/>
        <v>7.5694061300310714E-2</v>
      </c>
      <c r="BS142" s="66"/>
      <c r="BT142" s="75"/>
      <c r="BU142" s="170"/>
      <c r="BV142" s="1"/>
      <c r="BW142" s="61">
        <f t="shared" si="53"/>
        <v>133</v>
      </c>
    </row>
    <row r="143" spans="1:75" x14ac:dyDescent="0.3">
      <c r="A143" s="61"/>
      <c r="B143" s="158">
        <f t="shared" si="52"/>
        <v>44043</v>
      </c>
      <c r="C143" s="61"/>
      <c r="D143" s="17">
        <v>71083</v>
      </c>
      <c r="E143" s="16"/>
      <c r="F143" s="16"/>
      <c r="G143" s="16"/>
      <c r="H143" s="16">
        <f t="shared" si="89"/>
        <v>5332070</v>
      </c>
      <c r="I143" s="16"/>
      <c r="J143" s="436">
        <f t="shared" si="90"/>
        <v>1.3511343023656967E-2</v>
      </c>
      <c r="K143" s="16"/>
      <c r="L143" s="16"/>
      <c r="M143" s="16"/>
      <c r="N143" s="426">
        <f>SUM(D113:D143)</f>
        <v>1970617</v>
      </c>
      <c r="O143" s="16">
        <f t="shared" si="91"/>
        <v>39791.567164179105</v>
      </c>
      <c r="P143" s="41"/>
      <c r="Q143" s="17">
        <f t="shared" si="92"/>
        <v>456416</v>
      </c>
      <c r="R143" s="16"/>
      <c r="S143" s="60">
        <f t="shared" si="106"/>
        <v>-4.5721788728036061E-2</v>
      </c>
      <c r="T143" s="16"/>
      <c r="U143" s="41"/>
      <c r="V143" s="10">
        <f t="shared" si="109"/>
        <v>35</v>
      </c>
      <c r="W143" s="34">
        <v>1462</v>
      </c>
      <c r="X143" s="33"/>
      <c r="Y143" s="33"/>
      <c r="Z143" s="33"/>
      <c r="AA143" s="33">
        <f t="shared" si="93"/>
        <v>160133</v>
      </c>
      <c r="AB143" s="33"/>
      <c r="AC143" s="46">
        <f t="shared" si="94"/>
        <v>3.0032051342161675E-2</v>
      </c>
      <c r="AD143" s="33"/>
      <c r="AE143" s="33">
        <f t="shared" si="95"/>
        <v>1195.0223880597016</v>
      </c>
      <c r="AF143" s="50"/>
      <c r="AG143" s="33">
        <f>SUM(W113:W143)</f>
        <v>25901</v>
      </c>
      <c r="AH143" s="33"/>
      <c r="AI143" s="213"/>
      <c r="AJ143" s="50"/>
      <c r="AK143" s="10"/>
      <c r="AL143" s="23">
        <f t="shared" si="96"/>
        <v>42607</v>
      </c>
      <c r="AM143" s="24"/>
      <c r="AN143" s="24"/>
      <c r="AO143" s="24">
        <v>178263</v>
      </c>
      <c r="AP143" s="24">
        <v>2327572</v>
      </c>
      <c r="AQ143" s="24"/>
      <c r="AR143" s="461">
        <f t="shared" si="97"/>
        <v>1.8646675113185542E-2</v>
      </c>
      <c r="AS143" s="25"/>
      <c r="AT143" s="25"/>
      <c r="AU143" s="24"/>
      <c r="AV143" s="298">
        <f t="shared" si="98"/>
        <v>0.43652315142149295</v>
      </c>
      <c r="AW143" s="298"/>
      <c r="AX143" s="24">
        <f t="shared" si="99"/>
        <v>17369.940298507463</v>
      </c>
      <c r="AY143" s="308"/>
      <c r="AZ143" s="10"/>
      <c r="BA143" s="65">
        <f t="shared" si="100"/>
        <v>972569</v>
      </c>
      <c r="BB143" s="66"/>
      <c r="BC143" s="66">
        <v>58493713</v>
      </c>
      <c r="BD143" s="66"/>
      <c r="BE143" s="66">
        <f t="shared" si="101"/>
        <v>71083</v>
      </c>
      <c r="BF143" s="66"/>
      <c r="BG143" s="144">
        <f t="shared" si="102"/>
        <v>7.3087873456793295E-2</v>
      </c>
      <c r="BH143" s="66"/>
      <c r="BI143" s="170"/>
      <c r="BJ143" s="66"/>
      <c r="BK143" s="66">
        <f t="shared" si="107"/>
        <v>5973287</v>
      </c>
      <c r="BL143" s="66"/>
      <c r="BM143" s="144">
        <f t="shared" si="108"/>
        <v>7.6409521256889212E-2</v>
      </c>
      <c r="BN143" s="65">
        <f t="shared" si="103"/>
        <v>436520.24626865675</v>
      </c>
      <c r="BO143" s="66"/>
      <c r="BP143" s="66">
        <f t="shared" si="104"/>
        <v>4425092</v>
      </c>
      <c r="BQ143" s="66"/>
      <c r="BR143" s="435">
        <f t="shared" si="105"/>
        <v>7.5650728480853996E-2</v>
      </c>
      <c r="BS143" s="66"/>
      <c r="BT143" s="75"/>
      <c r="BU143" s="170"/>
      <c r="BV143" s="1"/>
      <c r="BW143" s="61">
        <f t="shared" si="53"/>
        <v>134</v>
      </c>
    </row>
    <row r="144" spans="1:75" x14ac:dyDescent="0.3">
      <c r="A144" s="61"/>
      <c r="B144" s="158">
        <f t="shared" si="52"/>
        <v>44044</v>
      </c>
      <c r="C144" s="61"/>
      <c r="D144" s="17">
        <v>58541</v>
      </c>
      <c r="E144" s="16"/>
      <c r="F144" s="16"/>
      <c r="G144" s="16"/>
      <c r="H144" s="16">
        <f t="shared" si="89"/>
        <v>5390611</v>
      </c>
      <c r="I144" s="16"/>
      <c r="J144" s="436">
        <f t="shared" si="90"/>
        <v>1.097903815966407E-2</v>
      </c>
      <c r="K144" s="16"/>
      <c r="L144" s="16"/>
      <c r="M144" s="16"/>
      <c r="N144" s="16"/>
      <c r="O144" s="16">
        <f t="shared" si="91"/>
        <v>39930.451851851853</v>
      </c>
      <c r="P144" s="41"/>
      <c r="Q144" s="17">
        <f t="shared" si="92"/>
        <v>447544</v>
      </c>
      <c r="R144" s="16"/>
      <c r="S144" s="60">
        <f t="shared" si="106"/>
        <v>-7.2328465004829631E-2</v>
      </c>
      <c r="T144" s="16"/>
      <c r="U144" s="41"/>
      <c r="V144" s="10">
        <f t="shared" si="109"/>
        <v>36</v>
      </c>
      <c r="W144" s="34">
        <v>1123</v>
      </c>
      <c r="X144" s="33"/>
      <c r="Y144" s="33"/>
      <c r="Z144" s="33"/>
      <c r="AA144" s="33">
        <f t="shared" si="93"/>
        <v>161256</v>
      </c>
      <c r="AB144" s="33"/>
      <c r="AC144" s="46">
        <f t="shared" si="94"/>
        <v>2.9914234212040158E-2</v>
      </c>
      <c r="AD144" s="33"/>
      <c r="AE144" s="33">
        <f t="shared" si="95"/>
        <v>1194.4888888888888</v>
      </c>
      <c r="AF144" s="50"/>
      <c r="AG144" s="33"/>
      <c r="AH144" s="33"/>
      <c r="AI144" s="213"/>
      <c r="AJ144" s="50"/>
      <c r="AK144" s="10"/>
      <c r="AL144" s="23">
        <f t="shared" si="96"/>
        <v>35331</v>
      </c>
      <c r="AM144" s="24"/>
      <c r="AN144" s="24"/>
      <c r="AO144" s="24">
        <v>178263</v>
      </c>
      <c r="AP144" s="24">
        <v>2362903</v>
      </c>
      <c r="AQ144" s="24"/>
      <c r="AR144" s="461">
        <f t="shared" si="97"/>
        <v>1.5179337094620488E-2</v>
      </c>
      <c r="AS144" s="25"/>
      <c r="AT144" s="25"/>
      <c r="AU144" s="24"/>
      <c r="AV144" s="298">
        <f t="shared" si="98"/>
        <v>0.4383367673905611</v>
      </c>
      <c r="AW144" s="298"/>
      <c r="AX144" s="24">
        <f t="shared" si="99"/>
        <v>17502.985185185185</v>
      </c>
      <c r="AY144" s="308"/>
      <c r="AZ144" s="10"/>
      <c r="BA144" s="65">
        <f t="shared" si="100"/>
        <v>733196</v>
      </c>
      <c r="BB144" s="66"/>
      <c r="BC144" s="66">
        <v>59226909</v>
      </c>
      <c r="BD144" s="66"/>
      <c r="BE144" s="66">
        <f t="shared" si="101"/>
        <v>58541</v>
      </c>
      <c r="BF144" s="66"/>
      <c r="BG144" s="144">
        <f t="shared" si="102"/>
        <v>7.984358889028309E-2</v>
      </c>
      <c r="BH144" s="66"/>
      <c r="BI144" s="170"/>
      <c r="BJ144" s="66"/>
      <c r="BK144" s="66">
        <f t="shared" si="107"/>
        <v>5874659</v>
      </c>
      <c r="BL144" s="66"/>
      <c r="BM144" s="144">
        <f t="shared" si="108"/>
        <v>7.6182123932640178E-2</v>
      </c>
      <c r="BN144" s="65">
        <f t="shared" si="103"/>
        <v>438717.84444444446</v>
      </c>
      <c r="BO144" s="66"/>
      <c r="BP144" s="66">
        <f t="shared" si="104"/>
        <v>4483633</v>
      </c>
      <c r="BQ144" s="66"/>
      <c r="BR144" s="435">
        <f t="shared" si="105"/>
        <v>7.5702633747103024E-2</v>
      </c>
      <c r="BS144" s="66"/>
      <c r="BT144" s="75"/>
      <c r="BU144" s="170"/>
      <c r="BV144" s="1"/>
      <c r="BW144" s="61">
        <f t="shared" si="53"/>
        <v>135</v>
      </c>
    </row>
    <row r="145" spans="1:75" x14ac:dyDescent="0.3">
      <c r="B145" s="347">
        <f t="shared" si="52"/>
        <v>44045</v>
      </c>
      <c r="C145" s="61"/>
      <c r="D145" s="17">
        <v>49038</v>
      </c>
      <c r="E145" s="16"/>
      <c r="F145" s="16"/>
      <c r="G145" s="16"/>
      <c r="H145" s="16">
        <f t="shared" si="89"/>
        <v>5439649</v>
      </c>
      <c r="I145" s="16"/>
      <c r="J145" s="436">
        <f t="shared" si="90"/>
        <v>9.096927973470911E-3</v>
      </c>
      <c r="K145" s="16"/>
      <c r="L145" s="16"/>
      <c r="M145" s="16"/>
      <c r="N145" s="16">
        <f>SUM(D139:D145)</f>
        <v>440452</v>
      </c>
      <c r="O145" s="16">
        <f t="shared" si="91"/>
        <v>39997.419117647056</v>
      </c>
      <c r="P145" s="41"/>
      <c r="Q145" s="17">
        <f t="shared" si="92"/>
        <v>440452</v>
      </c>
      <c r="R145" s="16"/>
      <c r="S145" s="60">
        <f t="shared" si="106"/>
        <v>-6.9380441970973344E-2</v>
      </c>
      <c r="T145" s="16"/>
      <c r="U145" s="41"/>
      <c r="V145" s="348">
        <f t="shared" si="109"/>
        <v>37</v>
      </c>
      <c r="W145" s="34">
        <v>467</v>
      </c>
      <c r="X145" s="33"/>
      <c r="Y145" s="33"/>
      <c r="Z145" s="33"/>
      <c r="AA145" s="33">
        <f t="shared" si="93"/>
        <v>161723</v>
      </c>
      <c r="AB145" s="33"/>
      <c r="AC145" s="46">
        <f t="shared" si="94"/>
        <v>2.9730410914380688E-2</v>
      </c>
      <c r="AD145" s="33"/>
      <c r="AE145" s="33">
        <f t="shared" si="95"/>
        <v>1189.1397058823529</v>
      </c>
      <c r="AF145" s="50"/>
      <c r="AG145" s="33">
        <f>SUM(W139:W145)</f>
        <v>7843</v>
      </c>
      <c r="AH145" s="33">
        <f>SUM(D116:D780)</f>
        <v>109460263</v>
      </c>
      <c r="AI145" s="213">
        <f>+(AG145-AG138)/AG138</f>
        <v>0.1919452887537994</v>
      </c>
      <c r="AJ145" s="50"/>
      <c r="AK145" s="10"/>
      <c r="AL145" s="23">
        <f t="shared" si="96"/>
        <v>17314</v>
      </c>
      <c r="AM145" s="24"/>
      <c r="AN145" s="24"/>
      <c r="AO145" s="24">
        <v>178263</v>
      </c>
      <c r="AP145" s="24">
        <v>2380217</v>
      </c>
      <c r="AQ145" s="24"/>
      <c r="AR145" s="461">
        <f t="shared" si="97"/>
        <v>7.327427321392372E-3</v>
      </c>
      <c r="AS145" s="25"/>
      <c r="AT145" s="25"/>
      <c r="AU145" s="24"/>
      <c r="AV145" s="298">
        <f t="shared" si="98"/>
        <v>0.43756812250202171</v>
      </c>
      <c r="AW145" s="298"/>
      <c r="AX145" s="24">
        <f t="shared" si="99"/>
        <v>17501.595588235294</v>
      </c>
      <c r="AY145" s="308"/>
      <c r="AZ145" s="10"/>
      <c r="BA145" s="65">
        <f t="shared" si="100"/>
        <v>698375</v>
      </c>
      <c r="BB145" s="66"/>
      <c r="BC145" s="66">
        <v>59925284</v>
      </c>
      <c r="BD145" s="66"/>
      <c r="BE145" s="66">
        <f t="shared" si="101"/>
        <v>49038</v>
      </c>
      <c r="BF145" s="66"/>
      <c r="BG145" s="144">
        <f t="shared" si="102"/>
        <v>7.0217290137819938E-2</v>
      </c>
      <c r="BH145" s="66"/>
      <c r="BI145" s="170"/>
      <c r="BJ145" s="66"/>
      <c r="BK145" s="66">
        <f t="shared" si="107"/>
        <v>5705709</v>
      </c>
      <c r="BL145" s="66"/>
      <c r="BM145" s="144">
        <f t="shared" si="108"/>
        <v>7.7194963851118237E-2</v>
      </c>
      <c r="BN145" s="65">
        <f t="shared" si="103"/>
        <v>440627.0882352941</v>
      </c>
      <c r="BO145" s="66"/>
      <c r="BP145" s="66">
        <f t="shared" si="104"/>
        <v>4532671</v>
      </c>
      <c r="BQ145" s="66"/>
      <c r="BR145" s="435">
        <f t="shared" si="105"/>
        <v>7.5638707027237448E-2</v>
      </c>
      <c r="BS145" s="66"/>
      <c r="BT145" s="75"/>
      <c r="BU145" s="170"/>
      <c r="BV145" s="1"/>
      <c r="BW145" s="61">
        <f t="shared" si="53"/>
        <v>136</v>
      </c>
    </row>
    <row r="146" spans="1:75" x14ac:dyDescent="0.3">
      <c r="A146" s="505"/>
      <c r="B146" s="158">
        <f t="shared" si="52"/>
        <v>44046</v>
      </c>
      <c r="C146" s="61"/>
      <c r="D146" s="17">
        <v>48646</v>
      </c>
      <c r="E146" s="16"/>
      <c r="F146" s="16"/>
      <c r="G146" s="16"/>
      <c r="H146" s="16">
        <f t="shared" si="89"/>
        <v>5488295</v>
      </c>
      <c r="I146" s="16"/>
      <c r="J146" s="436">
        <f t="shared" si="90"/>
        <v>8.9428564232728984E-3</v>
      </c>
      <c r="K146" s="16"/>
      <c r="L146" s="16"/>
      <c r="M146" s="16"/>
      <c r="N146" s="16"/>
      <c r="O146" s="16">
        <f t="shared" si="91"/>
        <v>40060.547445255477</v>
      </c>
      <c r="P146" s="41"/>
      <c r="Q146" s="17">
        <f t="shared" si="92"/>
        <v>427527</v>
      </c>
      <c r="R146" s="16"/>
      <c r="S146" s="60">
        <f t="shared" si="106"/>
        <v>-9.4185994775213402E-2</v>
      </c>
      <c r="T146" s="16"/>
      <c r="U146" s="41"/>
      <c r="V146" s="10">
        <f t="shared" si="109"/>
        <v>38</v>
      </c>
      <c r="W146" s="34">
        <v>562</v>
      </c>
      <c r="X146" s="33"/>
      <c r="Y146" s="33"/>
      <c r="Z146" s="33"/>
      <c r="AA146" s="33">
        <f t="shared" si="93"/>
        <v>162285</v>
      </c>
      <c r="AB146" s="33"/>
      <c r="AC146" s="46">
        <f t="shared" si="94"/>
        <v>2.9569292466968339E-2</v>
      </c>
      <c r="AD146" s="33"/>
      <c r="AE146" s="33">
        <f t="shared" si="95"/>
        <v>1184.5620437956204</v>
      </c>
      <c r="AF146" s="50"/>
      <c r="AG146" s="33"/>
      <c r="AH146" s="33"/>
      <c r="AI146" s="213"/>
      <c r="AJ146" s="50"/>
      <c r="AK146" s="10"/>
      <c r="AL146" s="23">
        <f t="shared" si="96"/>
        <v>66581</v>
      </c>
      <c r="AM146" s="24"/>
      <c r="AN146" s="24"/>
      <c r="AO146" s="24">
        <v>178263</v>
      </c>
      <c r="AP146" s="24">
        <v>2446798</v>
      </c>
      <c r="AQ146" s="24"/>
      <c r="AR146" s="461">
        <f t="shared" si="97"/>
        <v>2.7972659635655067E-2</v>
      </c>
      <c r="AS146" s="25"/>
      <c r="AT146" s="25"/>
      <c r="AU146" s="24"/>
      <c r="AV146" s="298">
        <f t="shared" si="98"/>
        <v>0.44582115210643741</v>
      </c>
      <c r="AW146" s="298"/>
      <c r="AX146" s="24">
        <f t="shared" si="99"/>
        <v>17859.839416058396</v>
      </c>
      <c r="AY146" s="308"/>
      <c r="AZ146" s="10"/>
      <c r="BA146" s="65">
        <f t="shared" si="100"/>
        <v>1012257</v>
      </c>
      <c r="BB146" s="66"/>
      <c r="BC146" s="66">
        <v>60937541</v>
      </c>
      <c r="BD146" s="66"/>
      <c r="BE146" s="66">
        <f t="shared" si="101"/>
        <v>48646</v>
      </c>
      <c r="BF146" s="66"/>
      <c r="BG146" s="144">
        <f t="shared" si="102"/>
        <v>4.8056965770550367E-2</v>
      </c>
      <c r="BH146" s="66"/>
      <c r="BI146" s="170"/>
      <c r="BJ146" s="66"/>
      <c r="BK146" s="66">
        <f t="shared" si="107"/>
        <v>5919305</v>
      </c>
      <c r="BL146" s="66"/>
      <c r="BM146" s="144">
        <f t="shared" si="108"/>
        <v>7.2225877869107946E-2</v>
      </c>
      <c r="BN146" s="65">
        <f t="shared" si="103"/>
        <v>444799.56934306567</v>
      </c>
      <c r="BO146" s="66"/>
      <c r="BP146" s="66">
        <f t="shared" si="104"/>
        <v>4581317</v>
      </c>
      <c r="BQ146" s="66"/>
      <c r="BR146" s="435">
        <f t="shared" si="105"/>
        <v>7.5180536083659821E-2</v>
      </c>
      <c r="BS146" s="66"/>
      <c r="BT146" s="75"/>
      <c r="BU146" s="170"/>
      <c r="BV146" s="1"/>
      <c r="BW146" s="61">
        <f t="shared" si="53"/>
        <v>137</v>
      </c>
    </row>
    <row r="147" spans="1:75" x14ac:dyDescent="0.3">
      <c r="B147" s="158">
        <f t="shared" si="52"/>
        <v>44047</v>
      </c>
      <c r="C147" s="61"/>
      <c r="D147" s="17">
        <v>54564</v>
      </c>
      <c r="E147" s="16"/>
      <c r="F147" s="16"/>
      <c r="G147" s="16"/>
      <c r="H147" s="16">
        <f t="shared" si="89"/>
        <v>5542859</v>
      </c>
      <c r="I147" s="16"/>
      <c r="J147" s="436">
        <f t="shared" si="90"/>
        <v>9.9418854125006041E-3</v>
      </c>
      <c r="K147" s="16"/>
      <c r="L147" s="16"/>
      <c r="M147" s="16"/>
      <c r="N147" s="16"/>
      <c r="O147" s="16">
        <f t="shared" si="91"/>
        <v>40165.644927536232</v>
      </c>
      <c r="P147" s="41"/>
      <c r="Q147" s="17">
        <f t="shared" si="92"/>
        <v>417362</v>
      </c>
      <c r="R147" s="16"/>
      <c r="S147" s="60">
        <f t="shared" si="106"/>
        <v>-0.11054043743912913</v>
      </c>
      <c r="T147" s="16"/>
      <c r="U147" s="41"/>
      <c r="V147" s="10">
        <f t="shared" si="109"/>
        <v>39</v>
      </c>
      <c r="W147" s="34">
        <v>1359</v>
      </c>
      <c r="X147" s="33"/>
      <c r="Y147" s="33"/>
      <c r="Z147" s="33"/>
      <c r="AA147" s="33">
        <f t="shared" si="93"/>
        <v>163644</v>
      </c>
      <c r="AB147" s="33"/>
      <c r="AC147" s="46">
        <f t="shared" si="94"/>
        <v>2.952339216999747E-2</v>
      </c>
      <c r="AD147" s="33"/>
      <c r="AE147" s="33">
        <f t="shared" si="95"/>
        <v>1185.8260869565217</v>
      </c>
      <c r="AF147" s="50"/>
      <c r="AG147" s="33"/>
      <c r="AH147" s="33"/>
      <c r="AI147" s="213"/>
      <c r="AJ147" s="50"/>
      <c r="AK147" s="10"/>
      <c r="AL147" s="23">
        <f t="shared" si="96"/>
        <v>34882</v>
      </c>
      <c r="AM147" s="24"/>
      <c r="AN147" s="24"/>
      <c r="AO147" s="24">
        <v>178263</v>
      </c>
      <c r="AP147" s="24">
        <v>2481680</v>
      </c>
      <c r="AQ147" s="24"/>
      <c r="AR147" s="461">
        <f t="shared" si="97"/>
        <v>1.425618297873384E-2</v>
      </c>
      <c r="AS147" s="25"/>
      <c r="AT147" s="25"/>
      <c r="AU147" s="24"/>
      <c r="AV147" s="298">
        <f t="shared" si="98"/>
        <v>0.44772562318471387</v>
      </c>
      <c r="AW147" s="298"/>
      <c r="AX147" s="24">
        <f t="shared" si="99"/>
        <v>17983.1884057971</v>
      </c>
      <c r="AY147" s="308"/>
      <c r="AZ147" s="10"/>
      <c r="BA147" s="65">
        <f t="shared" si="100"/>
        <v>681496</v>
      </c>
      <c r="BB147" s="66"/>
      <c r="BC147" s="66">
        <v>61619037</v>
      </c>
      <c r="BD147" s="66"/>
      <c r="BE147" s="66">
        <f t="shared" si="101"/>
        <v>54564</v>
      </c>
      <c r="BF147" s="66"/>
      <c r="BG147" s="144">
        <f t="shared" si="102"/>
        <v>8.0065033397114585E-2</v>
      </c>
      <c r="BH147" s="66"/>
      <c r="BI147" s="170"/>
      <c r="BJ147" s="66"/>
      <c r="BK147" s="66">
        <f t="shared" si="107"/>
        <v>5813621</v>
      </c>
      <c r="BL147" s="66"/>
      <c r="BM147" s="144">
        <f t="shared" si="108"/>
        <v>7.1790369547653693E-2</v>
      </c>
      <c r="BN147" s="65">
        <f t="shared" si="103"/>
        <v>446514.76086956525</v>
      </c>
      <c r="BO147" s="66"/>
      <c r="BP147" s="66">
        <f t="shared" si="104"/>
        <v>4635881</v>
      </c>
      <c r="BQ147" s="66"/>
      <c r="BR147" s="435">
        <f t="shared" si="105"/>
        <v>7.5234557787717454E-2</v>
      </c>
      <c r="BS147" s="66"/>
      <c r="BT147" s="75"/>
      <c r="BU147" s="170"/>
      <c r="BV147" s="1"/>
      <c r="BW147" s="61">
        <f t="shared" si="53"/>
        <v>138</v>
      </c>
    </row>
    <row r="148" spans="1:75" x14ac:dyDescent="0.3">
      <c r="B148" s="158">
        <f t="shared" si="52"/>
        <v>44048</v>
      </c>
      <c r="C148" s="61"/>
      <c r="D148" s="17">
        <v>55148</v>
      </c>
      <c r="E148" s="16"/>
      <c r="F148" s="16"/>
      <c r="G148" s="16"/>
      <c r="H148" s="16">
        <f t="shared" si="89"/>
        <v>5598007</v>
      </c>
      <c r="I148" s="16"/>
      <c r="J148" s="436">
        <f t="shared" si="90"/>
        <v>9.9493781097444479E-3</v>
      </c>
      <c r="K148" s="16"/>
      <c r="L148" s="16"/>
      <c r="M148" s="16"/>
      <c r="N148" s="16"/>
      <c r="O148" s="16">
        <f t="shared" si="91"/>
        <v>40273.431654676257</v>
      </c>
      <c r="P148" s="41"/>
      <c r="Q148" s="17">
        <f t="shared" si="92"/>
        <v>405589</v>
      </c>
      <c r="R148" s="16"/>
      <c r="S148" s="60">
        <f t="shared" si="106"/>
        <v>-0.12623415233150576</v>
      </c>
      <c r="T148" s="16"/>
      <c r="U148" s="41"/>
      <c r="V148" s="10">
        <f t="shared" si="109"/>
        <v>40</v>
      </c>
      <c r="W148" s="34">
        <v>1319</v>
      </c>
      <c r="X148" s="33"/>
      <c r="Y148" s="33"/>
      <c r="Z148" s="33"/>
      <c r="AA148" s="33">
        <f t="shared" si="93"/>
        <v>164963</v>
      </c>
      <c r="AB148" s="33"/>
      <c r="AC148" s="46">
        <f t="shared" si="94"/>
        <v>2.9468166081249986E-2</v>
      </c>
      <c r="AD148" s="33"/>
      <c r="AE148" s="33">
        <f t="shared" si="95"/>
        <v>1186.7841726618706</v>
      </c>
      <c r="AF148" s="50"/>
      <c r="AG148" s="33"/>
      <c r="AH148" s="33"/>
      <c r="AI148" s="213"/>
      <c r="AJ148" s="50"/>
      <c r="AK148" s="10"/>
      <c r="AL148" s="23">
        <f t="shared" si="96"/>
        <v>58457</v>
      </c>
      <c r="AM148" s="24"/>
      <c r="AN148" s="24"/>
      <c r="AO148" s="24">
        <v>178263</v>
      </c>
      <c r="AP148" s="24">
        <v>2540137</v>
      </c>
      <c r="AQ148" s="24"/>
      <c r="AR148" s="461">
        <f t="shared" si="97"/>
        <v>2.3555414074336738E-2</v>
      </c>
      <c r="AS148" s="25"/>
      <c r="AT148" s="25"/>
      <c r="AU148" s="24"/>
      <c r="AV148" s="298">
        <f t="shared" si="98"/>
        <v>0.45375738186822562</v>
      </c>
      <c r="AW148" s="298"/>
      <c r="AX148" s="24">
        <f t="shared" si="99"/>
        <v>18274.366906474821</v>
      </c>
      <c r="AY148" s="308"/>
      <c r="AZ148" s="10"/>
      <c r="BA148" s="65">
        <f t="shared" si="100"/>
        <v>762258</v>
      </c>
      <c r="BB148" s="66"/>
      <c r="BC148" s="66">
        <v>62381295</v>
      </c>
      <c r="BD148" s="66"/>
      <c r="BE148" s="66">
        <f t="shared" si="101"/>
        <v>55148</v>
      </c>
      <c r="BF148" s="66"/>
      <c r="BG148" s="144">
        <f t="shared" si="102"/>
        <v>7.2348207562268937E-2</v>
      </c>
      <c r="BH148" s="66"/>
      <c r="BI148" s="170"/>
      <c r="BJ148" s="66"/>
      <c r="BK148" s="66">
        <f t="shared" si="107"/>
        <v>5696916</v>
      </c>
      <c r="BL148" s="66"/>
      <c r="BM148" s="144">
        <f t="shared" si="108"/>
        <v>7.1194484875676589E-2</v>
      </c>
      <c r="BN148" s="65">
        <f t="shared" si="103"/>
        <v>448786.29496402876</v>
      </c>
      <c r="BO148" s="66"/>
      <c r="BP148" s="66">
        <f t="shared" si="104"/>
        <v>4691029</v>
      </c>
      <c r="BQ148" s="66"/>
      <c r="BR148" s="435">
        <f t="shared" si="105"/>
        <v>7.5199288504671155E-2</v>
      </c>
      <c r="BS148" s="66"/>
      <c r="BT148" s="75"/>
      <c r="BU148" s="170"/>
      <c r="BV148" s="1"/>
      <c r="BW148" s="61">
        <f t="shared" si="53"/>
        <v>139</v>
      </c>
    </row>
    <row r="149" spans="1:75" x14ac:dyDescent="0.3">
      <c r="B149" s="158">
        <f t="shared" si="52"/>
        <v>44049</v>
      </c>
      <c r="C149" s="61"/>
      <c r="D149" s="17">
        <v>58710</v>
      </c>
      <c r="E149" s="16"/>
      <c r="F149" s="16"/>
      <c r="G149" s="16"/>
      <c r="H149" s="16">
        <f t="shared" si="89"/>
        <v>5656717</v>
      </c>
      <c r="I149" s="16"/>
      <c r="J149" s="436">
        <f t="shared" si="90"/>
        <v>1.0487661055086212E-2</v>
      </c>
      <c r="K149" s="16"/>
      <c r="L149" s="16"/>
      <c r="M149" s="16"/>
      <c r="N149" s="16"/>
      <c r="O149" s="16">
        <f t="shared" si="91"/>
        <v>40405.12142857143</v>
      </c>
      <c r="P149" s="41"/>
      <c r="Q149" s="17">
        <f t="shared" si="92"/>
        <v>395730</v>
      </c>
      <c r="R149" s="16"/>
      <c r="S149" s="60">
        <f t="shared" si="106"/>
        <v>-0.14586530429884031</v>
      </c>
      <c r="T149" s="16"/>
      <c r="U149" s="41"/>
      <c r="V149" s="10">
        <f t="shared" si="109"/>
        <v>41</v>
      </c>
      <c r="W149" s="34">
        <v>1203</v>
      </c>
      <c r="X149" s="33"/>
      <c r="Y149" s="33"/>
      <c r="Z149" s="33"/>
      <c r="AA149" s="33">
        <f t="shared" si="93"/>
        <v>166166</v>
      </c>
      <c r="AB149" s="33"/>
      <c r="AC149" s="46">
        <f t="shared" si="94"/>
        <v>2.9374989061676588E-2</v>
      </c>
      <c r="AD149" s="33"/>
      <c r="AE149" s="33">
        <f t="shared" si="95"/>
        <v>1186.9000000000001</v>
      </c>
      <c r="AF149" s="50"/>
      <c r="AG149" s="33"/>
      <c r="AH149" s="33"/>
      <c r="AI149" s="213"/>
      <c r="AJ149" s="50"/>
      <c r="AK149" s="10"/>
      <c r="AL149" s="23">
        <f t="shared" si="96"/>
        <v>25795</v>
      </c>
      <c r="AM149" s="24"/>
      <c r="AN149" s="24"/>
      <c r="AO149" s="24">
        <v>178263</v>
      </c>
      <c r="AP149" s="24">
        <f>2616967-51035</f>
        <v>2565932</v>
      </c>
      <c r="AQ149" s="24"/>
      <c r="AR149" s="461">
        <f t="shared" si="97"/>
        <v>1.0154964082645936E-2</v>
      </c>
      <c r="AS149" s="25"/>
      <c r="AT149" s="25"/>
      <c r="AU149" s="24"/>
      <c r="AV149" s="298">
        <f t="shared" si="98"/>
        <v>0.45360798498493032</v>
      </c>
      <c r="AW149" s="298"/>
      <c r="AX149" s="24">
        <f t="shared" si="99"/>
        <v>18328.085714285713</v>
      </c>
      <c r="AY149" s="308"/>
      <c r="AZ149" s="10"/>
      <c r="BA149" s="65">
        <f t="shared" si="100"/>
        <v>764126</v>
      </c>
      <c r="BB149" s="66"/>
      <c r="BC149" s="66">
        <f>63896457-751036</f>
        <v>63145421</v>
      </c>
      <c r="BD149" s="66"/>
      <c r="BE149" s="66">
        <f t="shared" si="101"/>
        <v>58710</v>
      </c>
      <c r="BF149" s="66"/>
      <c r="BG149" s="144">
        <f t="shared" si="102"/>
        <v>7.6832878347288275E-2</v>
      </c>
      <c r="BH149" s="66"/>
      <c r="BI149" s="170"/>
      <c r="BJ149" s="66"/>
      <c r="BK149" s="66">
        <f t="shared" si="107"/>
        <v>5624277</v>
      </c>
      <c r="BL149" s="66"/>
      <c r="BM149" s="144">
        <f t="shared" si="108"/>
        <v>7.0361043739488649E-2</v>
      </c>
      <c r="BN149" s="65">
        <f t="shared" si="103"/>
        <v>451038.72142857144</v>
      </c>
      <c r="BO149" s="66"/>
      <c r="BP149" s="66">
        <f t="shared" si="104"/>
        <v>4749739</v>
      </c>
      <c r="BQ149" s="66"/>
      <c r="BR149" s="435">
        <f t="shared" si="105"/>
        <v>7.5219056659706171E-2</v>
      </c>
      <c r="BS149" s="66"/>
      <c r="BT149" s="75"/>
      <c r="BU149" s="170"/>
      <c r="BV149" s="1"/>
      <c r="BW149" s="61">
        <f t="shared" si="53"/>
        <v>140</v>
      </c>
    </row>
    <row r="150" spans="1:75" x14ac:dyDescent="0.3">
      <c r="B150" s="158">
        <f t="shared" si="52"/>
        <v>44050</v>
      </c>
      <c r="C150" s="61"/>
      <c r="D150" s="17">
        <v>63246</v>
      </c>
      <c r="E150" s="16"/>
      <c r="F150" s="16"/>
      <c r="G150" s="16"/>
      <c r="H150" s="16">
        <f t="shared" si="89"/>
        <v>5719963</v>
      </c>
      <c r="I150" s="16"/>
      <c r="J150" s="436">
        <f t="shared" si="90"/>
        <v>1.1180690142356424E-2</v>
      </c>
      <c r="K150" s="16"/>
      <c r="L150" s="16"/>
      <c r="M150" s="16"/>
      <c r="N150" s="16"/>
      <c r="O150" s="16">
        <f t="shared" si="91"/>
        <v>40567.113475177306</v>
      </c>
      <c r="P150" s="41"/>
      <c r="Q150" s="17">
        <f t="shared" si="92"/>
        <v>387893</v>
      </c>
      <c r="R150" s="16"/>
      <c r="S150" s="60">
        <f t="shared" si="106"/>
        <v>-0.15013277361003996</v>
      </c>
      <c r="T150" s="16"/>
      <c r="U150" s="41"/>
      <c r="V150" s="10">
        <f t="shared" si="109"/>
        <v>42</v>
      </c>
      <c r="W150" s="34">
        <v>1290</v>
      </c>
      <c r="X150" s="33"/>
      <c r="Y150" s="33"/>
      <c r="Z150" s="33"/>
      <c r="AA150" s="33">
        <f t="shared" si="93"/>
        <v>167456</v>
      </c>
      <c r="AB150" s="33"/>
      <c r="AC150" s="46">
        <f t="shared" si="94"/>
        <v>2.9275713846400753E-2</v>
      </c>
      <c r="AD150" s="33"/>
      <c r="AE150" s="33">
        <f t="shared" si="95"/>
        <v>1187.6312056737588</v>
      </c>
      <c r="AF150" s="50"/>
      <c r="AG150" s="33"/>
      <c r="AH150" s="33"/>
      <c r="AI150" s="213"/>
      <c r="AJ150" s="50"/>
      <c r="AK150" s="10"/>
      <c r="AL150" s="23">
        <f t="shared" si="96"/>
        <v>51035</v>
      </c>
      <c r="AM150" s="24"/>
      <c r="AN150" s="24"/>
      <c r="AO150" s="24">
        <v>178263</v>
      </c>
      <c r="AP150" s="24">
        <v>2616967</v>
      </c>
      <c r="AQ150" s="24"/>
      <c r="AR150" s="461">
        <f t="shared" si="97"/>
        <v>1.9889459268601039E-2</v>
      </c>
      <c r="AS150" s="25"/>
      <c r="AT150" s="25"/>
      <c r="AU150" s="24"/>
      <c r="AV150" s="298">
        <f t="shared" si="98"/>
        <v>0.4575146727347712</v>
      </c>
      <c r="AW150" s="298"/>
      <c r="AX150" s="24">
        <f t="shared" si="99"/>
        <v>18560.049645390071</v>
      </c>
      <c r="AY150" s="308"/>
      <c r="AZ150" s="10"/>
      <c r="BA150" s="65">
        <f t="shared" si="100"/>
        <v>751036</v>
      </c>
      <c r="BB150" s="66"/>
      <c r="BC150" s="66">
        <v>63896457</v>
      </c>
      <c r="BD150" s="66"/>
      <c r="BE150" s="66">
        <f t="shared" si="101"/>
        <v>63246</v>
      </c>
      <c r="BF150" s="66"/>
      <c r="BG150" s="144">
        <f t="shared" si="102"/>
        <v>8.4211675605430372E-2</v>
      </c>
      <c r="BH150" s="66"/>
      <c r="BI150" s="170"/>
      <c r="BJ150" s="66"/>
      <c r="BK150" s="66">
        <f t="shared" si="107"/>
        <v>5402744</v>
      </c>
      <c r="BL150" s="66"/>
      <c r="BM150" s="144">
        <f t="shared" si="108"/>
        <v>7.1795554259095007E-2</v>
      </c>
      <c r="BN150" s="65">
        <f t="shared" si="103"/>
        <v>453166.36170212767</v>
      </c>
      <c r="BO150" s="66"/>
      <c r="BP150" s="66">
        <f t="shared" si="104"/>
        <v>4812985</v>
      </c>
      <c r="BQ150" s="66"/>
      <c r="BR150" s="435">
        <f t="shared" si="105"/>
        <v>7.5324755486833955E-2</v>
      </c>
      <c r="BS150" s="66"/>
      <c r="BT150" s="75"/>
      <c r="BU150" s="170"/>
      <c r="BV150" s="1"/>
      <c r="BW150" s="61">
        <f t="shared" si="53"/>
        <v>141</v>
      </c>
    </row>
    <row r="151" spans="1:75" x14ac:dyDescent="0.3">
      <c r="B151" s="158">
        <f t="shared" si="52"/>
        <v>44051</v>
      </c>
      <c r="C151" s="61"/>
      <c r="D151" s="17">
        <v>54199</v>
      </c>
      <c r="E151" s="16"/>
      <c r="F151" s="16"/>
      <c r="G151" s="16"/>
      <c r="H151" s="16">
        <f t="shared" si="89"/>
        <v>5774162</v>
      </c>
      <c r="I151" s="16"/>
      <c r="J151" s="436">
        <f t="shared" si="90"/>
        <v>9.4754109423435089E-3</v>
      </c>
      <c r="K151" s="16"/>
      <c r="L151" s="16"/>
      <c r="M151" s="16"/>
      <c r="N151" s="16"/>
      <c r="O151" s="16">
        <f t="shared" ref="O151:O160" si="110">+H151/BW151</f>
        <v>40663.112676056335</v>
      </c>
      <c r="P151" s="41"/>
      <c r="Q151" s="17">
        <f t="shared" si="92"/>
        <v>383551</v>
      </c>
      <c r="R151" s="16"/>
      <c r="S151" s="60">
        <f t="shared" si="106"/>
        <v>-0.14298705825572458</v>
      </c>
      <c r="T151" s="16"/>
      <c r="U151" s="41"/>
      <c r="V151" s="10">
        <f t="shared" si="109"/>
        <v>43</v>
      </c>
      <c r="W151" s="34">
        <v>976</v>
      </c>
      <c r="X151" s="33"/>
      <c r="Y151" s="33"/>
      <c r="Z151" s="33"/>
      <c r="AA151" s="33">
        <f t="shared" si="93"/>
        <v>168432</v>
      </c>
      <c r="AB151" s="33"/>
      <c r="AC151" s="46">
        <f t="shared" si="94"/>
        <v>2.9169947084962285E-2</v>
      </c>
      <c r="AD151" s="33"/>
      <c r="AE151" s="33">
        <f t="shared" si="95"/>
        <v>1186.1408450704225</v>
      </c>
      <c r="AF151" s="50"/>
      <c r="AG151" s="33"/>
      <c r="AH151" s="33"/>
      <c r="AI151" s="213"/>
      <c r="AJ151" s="50"/>
      <c r="AK151" s="10"/>
      <c r="AL151" s="23">
        <f t="shared" si="96"/>
        <v>21503</v>
      </c>
      <c r="AM151" s="24"/>
      <c r="AN151" s="24"/>
      <c r="AO151" s="24">
        <v>178263</v>
      </c>
      <c r="AP151" s="24">
        <v>2638470</v>
      </c>
      <c r="AQ151" s="24"/>
      <c r="AR151" s="461">
        <f t="shared" si="97"/>
        <v>8.2167639102824E-3</v>
      </c>
      <c r="AS151" s="25"/>
      <c r="AT151" s="25"/>
      <c r="AU151" s="24"/>
      <c r="AV151" s="298">
        <f t="shared" si="98"/>
        <v>0.45694422844388499</v>
      </c>
      <c r="AW151" s="298"/>
      <c r="AX151" s="24">
        <f t="shared" si="99"/>
        <v>18580.774647887323</v>
      </c>
      <c r="AY151" s="308"/>
      <c r="AZ151" s="10"/>
      <c r="BA151" s="65">
        <f t="shared" si="100"/>
        <v>714090</v>
      </c>
      <c r="BB151" s="66"/>
      <c r="BC151" s="66">
        <v>64610547</v>
      </c>
      <c r="BD151" s="66"/>
      <c r="BE151" s="66">
        <f t="shared" si="101"/>
        <v>54199</v>
      </c>
      <c r="BF151" s="66"/>
      <c r="BG151" s="144">
        <f t="shared" si="102"/>
        <v>7.5899396434623081E-2</v>
      </c>
      <c r="BH151" s="66"/>
      <c r="BI151" s="170"/>
      <c r="BJ151" s="66"/>
      <c r="BK151" s="66">
        <f t="shared" si="107"/>
        <v>5383638</v>
      </c>
      <c r="BL151" s="66"/>
      <c r="BM151" s="144">
        <f t="shared" si="108"/>
        <v>7.1243831773235872E-2</v>
      </c>
      <c r="BN151" s="65">
        <f t="shared" si="103"/>
        <v>455003.85211267608</v>
      </c>
      <c r="BO151" s="66"/>
      <c r="BP151" s="66">
        <f t="shared" si="104"/>
        <v>4867184</v>
      </c>
      <c r="BQ151" s="66"/>
      <c r="BR151" s="435">
        <f t="shared" si="105"/>
        <v>7.5331106545189902E-2</v>
      </c>
      <c r="BS151" s="66"/>
      <c r="BT151" s="75"/>
      <c r="BU151" s="170"/>
      <c r="BV151" s="1"/>
      <c r="BW151" s="61">
        <f t="shared" si="53"/>
        <v>142</v>
      </c>
    </row>
    <row r="152" spans="1:75" x14ac:dyDescent="0.3">
      <c r="B152" s="347">
        <f t="shared" si="52"/>
        <v>44052</v>
      </c>
      <c r="C152" s="61"/>
      <c r="D152" s="17">
        <v>47849</v>
      </c>
      <c r="E152" s="16"/>
      <c r="F152" s="16"/>
      <c r="G152" s="16"/>
      <c r="H152" s="16">
        <f t="shared" si="89"/>
        <v>5822011</v>
      </c>
      <c r="I152" s="16"/>
      <c r="J152" s="436">
        <f t="shared" si="90"/>
        <v>8.2867436001968775E-3</v>
      </c>
      <c r="K152" s="16"/>
      <c r="L152" s="16"/>
      <c r="M152" s="16"/>
      <c r="N152" s="16">
        <f>SUM(D146:D152)</f>
        <v>382362</v>
      </c>
      <c r="O152" s="16">
        <f t="shared" si="110"/>
        <v>40713.36363636364</v>
      </c>
      <c r="P152" s="41"/>
      <c r="Q152" s="17">
        <f t="shared" si="92"/>
        <v>382362</v>
      </c>
      <c r="R152" s="16"/>
      <c r="S152" s="60">
        <f t="shared" si="106"/>
        <v>-0.13188724310481051</v>
      </c>
      <c r="T152" s="16"/>
      <c r="U152" s="41"/>
      <c r="V152" s="348">
        <f t="shared" si="109"/>
        <v>44</v>
      </c>
      <c r="W152" s="34">
        <v>534</v>
      </c>
      <c r="X152" s="33"/>
      <c r="Y152" s="33"/>
      <c r="Z152" s="33"/>
      <c r="AA152" s="33">
        <f t="shared" si="93"/>
        <v>168966</v>
      </c>
      <c r="AB152" s="33"/>
      <c r="AC152" s="46">
        <f t="shared" si="94"/>
        <v>2.9021930738365145E-2</v>
      </c>
      <c r="AD152" s="33"/>
      <c r="AE152" s="33">
        <f t="shared" si="95"/>
        <v>1181.5804195804196</v>
      </c>
      <c r="AF152" s="50"/>
      <c r="AG152" s="33">
        <f t="shared" ref="AG152:AG164" si="111">SUM(W146:W152)</f>
        <v>7243</v>
      </c>
      <c r="AH152" s="33">
        <f>SUM(D123:D790)</f>
        <v>440065393</v>
      </c>
      <c r="AI152" s="213">
        <f t="shared" ref="AI152:AI164" si="112">+(AG152-AG145)/AG145</f>
        <v>-7.6501338773428532E-2</v>
      </c>
      <c r="AJ152" s="50"/>
      <c r="AK152" s="10"/>
      <c r="AL152" s="23">
        <f t="shared" si="96"/>
        <v>26231</v>
      </c>
      <c r="AM152" s="24"/>
      <c r="AN152" s="24"/>
      <c r="AO152" s="24">
        <v>178263</v>
      </c>
      <c r="AP152" s="24">
        <v>2664701</v>
      </c>
      <c r="AQ152" s="24"/>
      <c r="AR152" s="461">
        <f t="shared" si="97"/>
        <v>9.9417465425038001E-3</v>
      </c>
      <c r="AS152" s="25"/>
      <c r="AT152" s="25"/>
      <c r="AU152" s="24"/>
      <c r="AV152" s="298">
        <f t="shared" si="98"/>
        <v>0.45769425719051371</v>
      </c>
      <c r="AW152" s="298"/>
      <c r="AX152" s="24">
        <f t="shared" si="99"/>
        <v>18634.272727272728</v>
      </c>
      <c r="AY152" s="308"/>
      <c r="AZ152" s="10"/>
      <c r="BA152" s="65">
        <f t="shared" si="100"/>
        <v>822704</v>
      </c>
      <c r="BB152" s="66"/>
      <c r="BC152" s="66">
        <v>65433251</v>
      </c>
      <c r="BD152" s="66"/>
      <c r="BE152" s="66">
        <f t="shared" si="101"/>
        <v>47849</v>
      </c>
      <c r="BF152" s="66"/>
      <c r="BG152" s="144">
        <f t="shared" si="102"/>
        <v>5.8160650732219606E-2</v>
      </c>
      <c r="BH152" s="66"/>
      <c r="BI152" s="170"/>
      <c r="BJ152" s="66"/>
      <c r="BK152" s="66">
        <f t="shared" si="107"/>
        <v>5507967</v>
      </c>
      <c r="BL152" s="66"/>
      <c r="BM152" s="144">
        <f t="shared" si="108"/>
        <v>6.9419805892083228E-2</v>
      </c>
      <c r="BN152" s="65">
        <f t="shared" si="103"/>
        <v>457575.18181818182</v>
      </c>
      <c r="BO152" s="66"/>
      <c r="BP152" s="66">
        <f t="shared" si="104"/>
        <v>4915033</v>
      </c>
      <c r="BQ152" s="66"/>
      <c r="BR152" s="435">
        <f t="shared" si="105"/>
        <v>7.511521932480475E-2</v>
      </c>
      <c r="BS152" s="66"/>
      <c r="BT152" s="75"/>
      <c r="BU152" s="170"/>
      <c r="BV152" s="1"/>
      <c r="BW152" s="61">
        <f t="shared" si="53"/>
        <v>143</v>
      </c>
    </row>
    <row r="153" spans="1:75" x14ac:dyDescent="0.3">
      <c r="A153" s="504"/>
      <c r="B153" s="158">
        <f t="shared" si="52"/>
        <v>44053</v>
      </c>
      <c r="C153" s="61"/>
      <c r="D153" s="17">
        <v>49800</v>
      </c>
      <c r="E153" s="16"/>
      <c r="F153" s="16"/>
      <c r="G153" s="16"/>
      <c r="H153" s="16">
        <f t="shared" si="89"/>
        <v>5871811</v>
      </c>
      <c r="I153" s="16"/>
      <c r="J153" s="436">
        <f t="shared" si="90"/>
        <v>8.5537454326348756E-3</v>
      </c>
      <c r="K153" s="16"/>
      <c r="L153" s="16"/>
      <c r="M153" s="16"/>
      <c r="N153" s="16"/>
      <c r="O153" s="16">
        <f t="shared" si="110"/>
        <v>40776.465277777781</v>
      </c>
      <c r="P153" s="41"/>
      <c r="Q153" s="17">
        <f t="shared" si="92"/>
        <v>383516</v>
      </c>
      <c r="R153" s="16"/>
      <c r="S153" s="60">
        <f t="shared" si="106"/>
        <v>-0.10294320592617542</v>
      </c>
      <c r="T153" s="16"/>
      <c r="U153" s="41"/>
      <c r="V153" s="10">
        <f t="shared" si="109"/>
        <v>45</v>
      </c>
      <c r="W153" s="34">
        <v>569</v>
      </c>
      <c r="X153" s="33"/>
      <c r="Y153" s="33"/>
      <c r="Z153" s="33"/>
      <c r="AA153" s="33">
        <f t="shared" si="93"/>
        <v>169535</v>
      </c>
      <c r="AB153" s="33"/>
      <c r="AC153" s="46">
        <f t="shared" si="94"/>
        <v>2.8872693620417958E-2</v>
      </c>
      <c r="AD153" s="33"/>
      <c r="AE153" s="33">
        <f t="shared" si="95"/>
        <v>1177.3263888888889</v>
      </c>
      <c r="AF153" s="50"/>
      <c r="AG153" s="33">
        <f t="shared" si="111"/>
        <v>7250</v>
      </c>
      <c r="AH153" s="33">
        <f>SUM(D124:D791)</f>
        <v>440003674</v>
      </c>
      <c r="AI153" s="213" t="e">
        <f t="shared" si="112"/>
        <v>#DIV/0!</v>
      </c>
      <c r="AJ153" s="50"/>
      <c r="AK153" s="10"/>
      <c r="AL153" s="23">
        <f t="shared" si="96"/>
        <v>51233</v>
      </c>
      <c r="AM153" s="24"/>
      <c r="AN153" s="24"/>
      <c r="AO153" s="24">
        <v>178263</v>
      </c>
      <c r="AP153" s="24">
        <v>2715934</v>
      </c>
      <c r="AQ153" s="24"/>
      <c r="AR153" s="461">
        <f t="shared" si="97"/>
        <v>1.9226547368729176E-2</v>
      </c>
      <c r="AS153" s="25"/>
      <c r="AT153" s="25"/>
      <c r="AU153" s="24"/>
      <c r="AV153" s="298">
        <f t="shared" si="98"/>
        <v>0.46253770770210417</v>
      </c>
      <c r="AW153" s="298"/>
      <c r="AX153" s="24">
        <f t="shared" si="99"/>
        <v>18860.652777777777</v>
      </c>
      <c r="AY153" s="308"/>
      <c r="AZ153" s="10"/>
      <c r="BA153" s="65">
        <f t="shared" si="100"/>
        <v>745364</v>
      </c>
      <c r="BB153" s="66"/>
      <c r="BC153" s="66">
        <v>66178615</v>
      </c>
      <c r="BD153" s="66"/>
      <c r="BE153" s="66">
        <f t="shared" si="101"/>
        <v>49800</v>
      </c>
      <c r="BF153" s="66"/>
      <c r="BG153" s="144">
        <f t="shared" si="102"/>
        <v>6.6812993383098734E-2</v>
      </c>
      <c r="BH153" s="66"/>
      <c r="BI153" s="170"/>
      <c r="BJ153" s="66"/>
      <c r="BK153" s="66">
        <f t="shared" si="107"/>
        <v>5241074</v>
      </c>
      <c r="BL153" s="66"/>
      <c r="BM153" s="144">
        <f t="shared" si="108"/>
        <v>7.3175078237781035E-2</v>
      </c>
      <c r="BN153" s="65">
        <f t="shared" si="103"/>
        <v>459573.71527777775</v>
      </c>
      <c r="BO153" s="66"/>
      <c r="BP153" s="66">
        <f t="shared" si="104"/>
        <v>4964833</v>
      </c>
      <c r="BQ153" s="66"/>
      <c r="BR153" s="435">
        <f t="shared" si="105"/>
        <v>7.5021712074210073E-2</v>
      </c>
      <c r="BS153" s="66"/>
      <c r="BT153" s="75"/>
      <c r="BU153" s="170"/>
      <c r="BV153" s="1"/>
      <c r="BW153" s="61">
        <f t="shared" si="53"/>
        <v>144</v>
      </c>
    </row>
    <row r="154" spans="1:75" x14ac:dyDescent="0.3">
      <c r="B154" s="158">
        <f t="shared" si="52"/>
        <v>44054</v>
      </c>
      <c r="C154" s="61"/>
      <c r="D154" s="17">
        <v>54519</v>
      </c>
      <c r="E154" s="16"/>
      <c r="F154" s="16"/>
      <c r="G154" s="16"/>
      <c r="H154" s="16">
        <f t="shared" si="89"/>
        <v>5926330</v>
      </c>
      <c r="I154" s="16"/>
      <c r="J154" s="436">
        <f t="shared" si="90"/>
        <v>9.2848696935238541E-3</v>
      </c>
      <c r="K154" s="16"/>
      <c r="L154" s="16"/>
      <c r="M154" s="16"/>
      <c r="N154" s="16"/>
      <c r="O154" s="16">
        <f t="shared" si="110"/>
        <v>40871.241379310348</v>
      </c>
      <c r="P154" s="41"/>
      <c r="Q154" s="17">
        <f t="shared" si="92"/>
        <v>383471</v>
      </c>
      <c r="R154" s="16"/>
      <c r="S154" s="60">
        <f t="shared" si="106"/>
        <v>-8.1202888619471822E-2</v>
      </c>
      <c r="T154" s="16"/>
      <c r="U154" s="41"/>
      <c r="V154" s="10">
        <f t="shared" si="109"/>
        <v>46</v>
      </c>
      <c r="W154" s="34">
        <v>1504</v>
      </c>
      <c r="X154" s="33"/>
      <c r="Y154" s="33"/>
      <c r="Z154" s="33"/>
      <c r="AA154" s="33">
        <f t="shared" si="93"/>
        <v>171039</v>
      </c>
      <c r="AB154" s="33"/>
      <c r="AC154" s="46">
        <f t="shared" si="94"/>
        <v>2.886086329988374E-2</v>
      </c>
      <c r="AD154" s="33"/>
      <c r="AE154" s="33">
        <f t="shared" si="95"/>
        <v>1179.5793103448275</v>
      </c>
      <c r="AF154" s="50"/>
      <c r="AG154" s="33">
        <f t="shared" si="111"/>
        <v>7395</v>
      </c>
      <c r="AH154" s="33">
        <f>SUM(D125:D792)</f>
        <v>439945325</v>
      </c>
      <c r="AI154" s="213" t="e">
        <f t="shared" si="112"/>
        <v>#DIV/0!</v>
      </c>
      <c r="AJ154" s="50"/>
      <c r="AK154" s="10"/>
      <c r="AL154" s="23">
        <f t="shared" si="96"/>
        <v>39414</v>
      </c>
      <c r="AM154" s="24"/>
      <c r="AN154" s="24"/>
      <c r="AO154" s="24">
        <v>178263</v>
      </c>
      <c r="AP154" s="24">
        <v>2755348</v>
      </c>
      <c r="AQ154" s="24"/>
      <c r="AR154" s="461">
        <f t="shared" si="97"/>
        <v>1.4512134683685245E-2</v>
      </c>
      <c r="AS154" s="25"/>
      <c r="AT154" s="25"/>
      <c r="AU154" s="24"/>
      <c r="AV154" s="298">
        <f t="shared" si="98"/>
        <v>0.46493327236249077</v>
      </c>
      <c r="AW154" s="298"/>
      <c r="AX154" s="24">
        <f t="shared" si="99"/>
        <v>19002.400000000001</v>
      </c>
      <c r="AY154" s="308"/>
      <c r="AZ154" s="10"/>
      <c r="BA154" s="65">
        <f t="shared" si="100"/>
        <v>763742</v>
      </c>
      <c r="BB154" s="66"/>
      <c r="BC154" s="66">
        <v>66942357</v>
      </c>
      <c r="BD154" s="66"/>
      <c r="BE154" s="66">
        <f t="shared" si="101"/>
        <v>54519</v>
      </c>
      <c r="BF154" s="66"/>
      <c r="BG154" s="144">
        <f t="shared" si="102"/>
        <v>7.1384053777322709E-2</v>
      </c>
      <c r="BH154" s="66"/>
      <c r="BI154" s="170"/>
      <c r="BJ154" s="66"/>
      <c r="BK154" s="66">
        <f t="shared" si="107"/>
        <v>5323320</v>
      </c>
      <c r="BL154" s="66"/>
      <c r="BM154" s="144">
        <f t="shared" si="108"/>
        <v>7.2036060203031188E-2</v>
      </c>
      <c r="BN154" s="65">
        <f t="shared" si="103"/>
        <v>461671.42758620688</v>
      </c>
      <c r="BO154" s="66"/>
      <c r="BP154" s="66">
        <f t="shared" si="104"/>
        <v>5019352</v>
      </c>
      <c r="BQ154" s="66"/>
      <c r="BR154" s="435">
        <f t="shared" si="105"/>
        <v>7.4980210212795467E-2</v>
      </c>
      <c r="BS154" s="66"/>
      <c r="BT154" s="75"/>
      <c r="BU154" s="170"/>
      <c r="BV154" s="1"/>
      <c r="BW154" s="61">
        <f t="shared" si="53"/>
        <v>145</v>
      </c>
    </row>
    <row r="155" spans="1:75" x14ac:dyDescent="0.3">
      <c r="B155" s="158">
        <f t="shared" si="52"/>
        <v>44055</v>
      </c>
      <c r="C155" s="61"/>
      <c r="D155" s="17">
        <v>54345</v>
      </c>
      <c r="E155" s="16"/>
      <c r="F155" s="16"/>
      <c r="G155" s="16"/>
      <c r="H155" s="16">
        <f t="shared" si="89"/>
        <v>5980675</v>
      </c>
      <c r="I155" s="16"/>
      <c r="J155" s="436">
        <f t="shared" si="90"/>
        <v>9.1700934642519067E-3</v>
      </c>
      <c r="K155" s="16"/>
      <c r="L155" s="16"/>
      <c r="M155" s="16"/>
      <c r="N155" s="16"/>
      <c r="O155" s="16">
        <f t="shared" si="110"/>
        <v>40963.527397260274</v>
      </c>
      <c r="P155" s="41"/>
      <c r="Q155" s="17">
        <f t="shared" si="92"/>
        <v>382668</v>
      </c>
      <c r="R155" s="16"/>
      <c r="S155" s="60">
        <f t="shared" si="106"/>
        <v>-5.6512873869853472E-2</v>
      </c>
      <c r="T155" s="16"/>
      <c r="U155" s="41"/>
      <c r="V155" s="10">
        <f t="shared" si="109"/>
        <v>47</v>
      </c>
      <c r="W155" s="34">
        <v>1386</v>
      </c>
      <c r="X155" s="33"/>
      <c r="Y155" s="33"/>
      <c r="Z155" s="33"/>
      <c r="AA155" s="33">
        <f t="shared" si="93"/>
        <v>172425</v>
      </c>
      <c r="AB155" s="33"/>
      <c r="AC155" s="46">
        <f t="shared" si="94"/>
        <v>2.8830357777341185E-2</v>
      </c>
      <c r="AD155" s="33"/>
      <c r="AE155" s="33">
        <f t="shared" si="95"/>
        <v>1180.9931506849316</v>
      </c>
      <c r="AF155" s="50"/>
      <c r="AG155" s="33">
        <f t="shared" si="111"/>
        <v>7462</v>
      </c>
      <c r="AH155" s="33">
        <f>SUM(D126:D793)</f>
        <v>439879837</v>
      </c>
      <c r="AI155" s="213" t="e">
        <f t="shared" si="112"/>
        <v>#DIV/0!</v>
      </c>
      <c r="AJ155" s="50"/>
      <c r="AK155" s="10"/>
      <c r="AL155" s="23">
        <f t="shared" si="96"/>
        <v>57255</v>
      </c>
      <c r="AM155" s="24"/>
      <c r="AN155" s="24"/>
      <c r="AO155" s="24">
        <v>178263</v>
      </c>
      <c r="AP155" s="24">
        <v>2812603</v>
      </c>
      <c r="AQ155" s="24"/>
      <c r="AR155" s="461">
        <f t="shared" si="97"/>
        <v>2.0779589365844169E-2</v>
      </c>
      <c r="AS155" s="25"/>
      <c r="AT155" s="25"/>
      <c r="AU155" s="24"/>
      <c r="AV155" s="298">
        <f t="shared" si="98"/>
        <v>0.47028186617731277</v>
      </c>
      <c r="AW155" s="298"/>
      <c r="AX155" s="24">
        <f t="shared" si="99"/>
        <v>19264.404109589042</v>
      </c>
      <c r="AY155" s="308"/>
      <c r="AZ155" s="10"/>
      <c r="BA155" s="65">
        <f t="shared" si="100"/>
        <v>608804</v>
      </c>
      <c r="BB155" s="66"/>
      <c r="BC155" s="66">
        <v>67551161</v>
      </c>
      <c r="BD155" s="66"/>
      <c r="BE155" s="66">
        <f t="shared" si="101"/>
        <v>54345</v>
      </c>
      <c r="BF155" s="66"/>
      <c r="BG155" s="144">
        <f t="shared" si="102"/>
        <v>8.9265182226135179E-2</v>
      </c>
      <c r="BH155" s="66"/>
      <c r="BI155" s="170"/>
      <c r="BJ155" s="66"/>
      <c r="BK155" s="66">
        <f t="shared" si="107"/>
        <v>5169866</v>
      </c>
      <c r="BL155" s="66"/>
      <c r="BM155" s="144">
        <f t="shared" si="108"/>
        <v>7.401893975588536E-2</v>
      </c>
      <c r="BN155" s="65">
        <f t="shared" si="103"/>
        <v>462679.18493150687</v>
      </c>
      <c r="BO155" s="66"/>
      <c r="BP155" s="66">
        <f t="shared" si="104"/>
        <v>5073697</v>
      </c>
      <c r="BQ155" s="66"/>
      <c r="BR155" s="435">
        <f t="shared" si="105"/>
        <v>7.510895334574634E-2</v>
      </c>
      <c r="BS155" s="66"/>
      <c r="BT155" s="75"/>
      <c r="BU155" s="170"/>
      <c r="BV155" s="1"/>
      <c r="BW155" s="61">
        <f t="shared" si="53"/>
        <v>146</v>
      </c>
    </row>
    <row r="156" spans="1:75" x14ac:dyDescent="0.3">
      <c r="B156" s="158">
        <f t="shared" si="52"/>
        <v>44056</v>
      </c>
      <c r="C156" s="61"/>
      <c r="D156" s="17">
        <v>55364</v>
      </c>
      <c r="E156" s="16"/>
      <c r="F156" s="16"/>
      <c r="G156" s="16"/>
      <c r="H156" s="16">
        <f t="shared" si="89"/>
        <v>6036039</v>
      </c>
      <c r="I156" s="16"/>
      <c r="J156" s="436">
        <f t="shared" si="90"/>
        <v>9.2571490676219663E-3</v>
      </c>
      <c r="K156" s="16"/>
      <c r="L156" s="16"/>
      <c r="M156" s="16"/>
      <c r="N156" s="16"/>
      <c r="O156" s="16">
        <f t="shared" si="110"/>
        <v>41061.489795918365</v>
      </c>
      <c r="P156" s="41"/>
      <c r="Q156" s="17">
        <f t="shared" si="92"/>
        <v>379322</v>
      </c>
      <c r="R156" s="16"/>
      <c r="S156" s="60">
        <f t="shared" si="106"/>
        <v>-4.1462613398023908E-2</v>
      </c>
      <c r="T156" s="16"/>
      <c r="U156" s="41"/>
      <c r="V156" s="10">
        <f t="shared" si="109"/>
        <v>48</v>
      </c>
      <c r="W156" s="34">
        <v>1284</v>
      </c>
      <c r="X156" s="33"/>
      <c r="Y156" s="33"/>
      <c r="Z156" s="33"/>
      <c r="AA156" s="33">
        <f t="shared" si="93"/>
        <v>173709</v>
      </c>
      <c r="AB156" s="33"/>
      <c r="AC156" s="46">
        <f t="shared" si="94"/>
        <v>2.8778641092279227E-2</v>
      </c>
      <c r="AD156" s="33"/>
      <c r="AE156" s="33">
        <f t="shared" si="95"/>
        <v>1181.6938775510205</v>
      </c>
      <c r="AF156" s="50"/>
      <c r="AG156" s="33">
        <f t="shared" si="111"/>
        <v>7543</v>
      </c>
      <c r="AH156" s="33">
        <f>SUM(D127:D794)</f>
        <v>439813789</v>
      </c>
      <c r="AI156" s="213" t="e">
        <f t="shared" si="112"/>
        <v>#DIV/0!</v>
      </c>
      <c r="AJ156" s="50"/>
      <c r="AK156" s="10"/>
      <c r="AL156" s="23">
        <f t="shared" si="96"/>
        <v>30601</v>
      </c>
      <c r="AM156" s="24"/>
      <c r="AN156" s="24"/>
      <c r="AO156" s="24">
        <v>178263</v>
      </c>
      <c r="AP156" s="24">
        <v>2843204</v>
      </c>
      <c r="AQ156" s="24"/>
      <c r="AR156" s="461">
        <f t="shared" si="97"/>
        <v>1.0879957107348601E-2</v>
      </c>
      <c r="AS156" s="25"/>
      <c r="AT156" s="25"/>
      <c r="AU156" s="24"/>
      <c r="AV156" s="298">
        <f t="shared" si="98"/>
        <v>0.47103804332609517</v>
      </c>
      <c r="AW156" s="298"/>
      <c r="AX156" s="24">
        <f t="shared" si="99"/>
        <v>19341.523809523809</v>
      </c>
      <c r="AY156" s="308"/>
      <c r="AZ156" s="10"/>
      <c r="BA156" s="65">
        <f t="shared" si="100"/>
        <v>973441</v>
      </c>
      <c r="BB156" s="66"/>
      <c r="BC156" s="66">
        <v>68524602</v>
      </c>
      <c r="BD156" s="66"/>
      <c r="BE156" s="66">
        <f t="shared" si="101"/>
        <v>55364</v>
      </c>
      <c r="BF156" s="66"/>
      <c r="BG156" s="144">
        <f t="shared" si="102"/>
        <v>5.6874530659793456E-2</v>
      </c>
      <c r="BH156" s="66"/>
      <c r="BI156" s="170"/>
      <c r="BJ156" s="66"/>
      <c r="BK156" s="66">
        <f t="shared" si="107"/>
        <v>5379181</v>
      </c>
      <c r="BL156" s="66"/>
      <c r="BM156" s="144">
        <f t="shared" si="108"/>
        <v>7.0516682744083167E-2</v>
      </c>
      <c r="BN156" s="65">
        <f t="shared" si="103"/>
        <v>466153.75510204083</v>
      </c>
      <c r="BO156" s="66"/>
      <c r="BP156" s="66">
        <f t="shared" si="104"/>
        <v>5129061</v>
      </c>
      <c r="BQ156" s="66"/>
      <c r="BR156" s="435">
        <f t="shared" si="105"/>
        <v>7.4849920324965916E-2</v>
      </c>
      <c r="BS156" s="66"/>
      <c r="BT156" s="75"/>
      <c r="BU156" s="170"/>
      <c r="BV156" s="1"/>
      <c r="BW156" s="61">
        <f t="shared" si="53"/>
        <v>147</v>
      </c>
    </row>
    <row r="157" spans="1:75" x14ac:dyDescent="0.3">
      <c r="B157" s="158">
        <f t="shared" si="52"/>
        <v>44057</v>
      </c>
      <c r="C157" s="61"/>
      <c r="D157" s="17">
        <v>60600</v>
      </c>
      <c r="E157" s="16"/>
      <c r="F157" s="16"/>
      <c r="G157" s="16"/>
      <c r="H157" s="16">
        <f t="shared" si="89"/>
        <v>6096639</v>
      </c>
      <c r="I157" s="16"/>
      <c r="J157" s="436">
        <f t="shared" si="90"/>
        <v>1.0039696562596763E-2</v>
      </c>
      <c r="K157" s="16"/>
      <c r="L157" s="16"/>
      <c r="M157" s="16"/>
      <c r="N157" s="16"/>
      <c r="O157" s="16">
        <f t="shared" si="110"/>
        <v>41193.50675675676</v>
      </c>
      <c r="P157" s="41"/>
      <c r="Q157" s="17">
        <f t="shared" si="92"/>
        <v>376676</v>
      </c>
      <c r="R157" s="16"/>
      <c r="S157" s="60">
        <f t="shared" si="106"/>
        <v>-2.8917768559886359E-2</v>
      </c>
      <c r="T157" s="16"/>
      <c r="U157" s="41"/>
      <c r="V157" s="10">
        <f t="shared" si="109"/>
        <v>49</v>
      </c>
      <c r="W157" s="34">
        <v>1120</v>
      </c>
      <c r="X157" s="33"/>
      <c r="Y157" s="33"/>
      <c r="Z157" s="33"/>
      <c r="AA157" s="33">
        <f t="shared" si="93"/>
        <v>174829</v>
      </c>
      <c r="AB157" s="33"/>
      <c r="AC157" s="46">
        <f t="shared" si="94"/>
        <v>2.8676291970051039E-2</v>
      </c>
      <c r="AD157" s="33"/>
      <c r="AE157" s="33">
        <f t="shared" si="95"/>
        <v>1181.2770270270271</v>
      </c>
      <c r="AF157" s="50"/>
      <c r="AG157" s="33">
        <f t="shared" si="111"/>
        <v>7373</v>
      </c>
      <c r="AH157" s="33">
        <f>SUM(D128:D795)</f>
        <v>439741794</v>
      </c>
      <c r="AI157" s="213" t="e">
        <f t="shared" si="112"/>
        <v>#DIV/0!</v>
      </c>
      <c r="AJ157" s="50"/>
      <c r="AK157" s="10"/>
      <c r="AL157" s="23">
        <f t="shared" si="96"/>
        <v>31943</v>
      </c>
      <c r="AM157" s="24"/>
      <c r="AN157" s="24"/>
      <c r="AO157" s="24">
        <v>178263</v>
      </c>
      <c r="AP157" s="24">
        <v>2875147</v>
      </c>
      <c r="AQ157" s="24"/>
      <c r="AR157" s="461">
        <f t="shared" si="97"/>
        <v>1.1234860389898156E-2</v>
      </c>
      <c r="AS157" s="25"/>
      <c r="AT157" s="25"/>
      <c r="AU157" s="24"/>
      <c r="AV157" s="298">
        <f t="shared" si="98"/>
        <v>0.47159541511314679</v>
      </c>
      <c r="AW157" s="298"/>
      <c r="AX157" s="24">
        <f t="shared" si="99"/>
        <v>19426.66891891892</v>
      </c>
      <c r="AY157" s="308"/>
      <c r="AZ157" s="10"/>
      <c r="BA157" s="65">
        <f t="shared" si="100"/>
        <v>837407</v>
      </c>
      <c r="BB157" s="66"/>
      <c r="BC157" s="66">
        <v>69362009</v>
      </c>
      <c r="BD157" s="66"/>
      <c r="BE157" s="66">
        <f t="shared" si="101"/>
        <v>60600</v>
      </c>
      <c r="BF157" s="66"/>
      <c r="BG157" s="144">
        <f t="shared" si="102"/>
        <v>7.2366244848681704E-2</v>
      </c>
      <c r="BH157" s="66"/>
      <c r="BI157" s="170"/>
      <c r="BJ157" s="66"/>
      <c r="BK157" s="66">
        <f t="shared" si="107"/>
        <v>5465552</v>
      </c>
      <c r="BL157" s="66"/>
      <c r="BM157" s="144">
        <f t="shared" si="108"/>
        <v>6.8918198930318475E-2</v>
      </c>
      <c r="BN157" s="65">
        <f t="shared" si="103"/>
        <v>468662.22297297296</v>
      </c>
      <c r="BO157" s="66"/>
      <c r="BP157" s="66">
        <f t="shared" si="104"/>
        <v>5189661</v>
      </c>
      <c r="BQ157" s="66"/>
      <c r="BR157" s="435">
        <f t="shared" si="105"/>
        <v>7.481993493008543E-2</v>
      </c>
      <c r="BS157" s="66"/>
      <c r="BT157" s="75"/>
      <c r="BU157" s="170"/>
      <c r="BV157" s="1"/>
      <c r="BW157" s="61">
        <f t="shared" si="53"/>
        <v>148</v>
      </c>
    </row>
    <row r="158" spans="1:75" x14ac:dyDescent="0.3">
      <c r="B158" s="158">
        <f t="shared" si="52"/>
        <v>44058</v>
      </c>
      <c r="C158" s="61"/>
      <c r="D158" s="17">
        <v>53523</v>
      </c>
      <c r="E158" s="16"/>
      <c r="F158" s="16"/>
      <c r="G158" s="16"/>
      <c r="H158" s="16">
        <f t="shared" si="89"/>
        <v>6150162</v>
      </c>
      <c r="I158" s="16"/>
      <c r="J158" s="436">
        <f t="shared" si="90"/>
        <v>8.7790994349509627E-3</v>
      </c>
      <c r="K158" s="16"/>
      <c r="L158" s="16"/>
      <c r="M158" s="16"/>
      <c r="N158" s="16"/>
      <c r="O158" s="16">
        <f t="shared" si="110"/>
        <v>41276.255033557049</v>
      </c>
      <c r="P158" s="41"/>
      <c r="Q158" s="17">
        <f t="shared" si="92"/>
        <v>376000</v>
      </c>
      <c r="R158" s="16"/>
      <c r="S158" s="60">
        <f t="shared" si="106"/>
        <v>-1.968708203081207E-2</v>
      </c>
      <c r="T158" s="16"/>
      <c r="U158" s="41"/>
      <c r="V158" s="10">
        <f t="shared" si="109"/>
        <v>50</v>
      </c>
      <c r="W158" s="34">
        <v>1071</v>
      </c>
      <c r="X158" s="33"/>
      <c r="Y158" s="33"/>
      <c r="Z158" s="33"/>
      <c r="AA158" s="33">
        <f t="shared" si="93"/>
        <v>175900</v>
      </c>
      <c r="AB158" s="33"/>
      <c r="AC158" s="46">
        <f t="shared" si="94"/>
        <v>2.8600872627420219E-2</v>
      </c>
      <c r="AD158" s="33"/>
      <c r="AE158" s="33">
        <f t="shared" si="95"/>
        <v>1180.5369127516778</v>
      </c>
      <c r="AF158" s="50"/>
      <c r="AG158" s="33">
        <f t="shared" si="111"/>
        <v>7468</v>
      </c>
      <c r="AH158" s="33">
        <f>SUM(D129:D796)</f>
        <v>516668406</v>
      </c>
      <c r="AI158" s="213" t="e">
        <f t="shared" si="112"/>
        <v>#DIV/0!</v>
      </c>
      <c r="AJ158" s="50"/>
      <c r="AK158" s="10"/>
      <c r="AL158" s="23">
        <f t="shared" si="96"/>
        <v>29242</v>
      </c>
      <c r="AM158" s="24"/>
      <c r="AN158" s="24"/>
      <c r="AO158" s="24">
        <v>178263</v>
      </c>
      <c r="AP158" s="24">
        <v>2904389</v>
      </c>
      <c r="AQ158" s="24"/>
      <c r="AR158" s="461">
        <f t="shared" si="97"/>
        <v>1.0170610407050492E-2</v>
      </c>
      <c r="AS158" s="25"/>
      <c r="AT158" s="25"/>
      <c r="AU158" s="24"/>
      <c r="AV158" s="298">
        <f t="shared" si="98"/>
        <v>0.47224593433473783</v>
      </c>
      <c r="AW158" s="298"/>
      <c r="AX158" s="24">
        <f t="shared" si="99"/>
        <v>19492.543624161073</v>
      </c>
      <c r="AY158" s="308"/>
      <c r="AZ158" s="10"/>
      <c r="BA158" s="65">
        <f t="shared" si="100"/>
        <v>862664</v>
      </c>
      <c r="BB158" s="66"/>
      <c r="BC158" s="66">
        <v>70224673</v>
      </c>
      <c r="BD158" s="66"/>
      <c r="BE158" s="66">
        <f t="shared" si="101"/>
        <v>53523</v>
      </c>
      <c r="BF158" s="66"/>
      <c r="BG158" s="144">
        <f t="shared" si="102"/>
        <v>6.2043854849628592E-2</v>
      </c>
      <c r="BH158" s="66"/>
      <c r="BI158" s="170"/>
      <c r="BJ158" s="66"/>
      <c r="BK158" s="66">
        <f t="shared" si="107"/>
        <v>5614126</v>
      </c>
      <c r="BL158" s="66"/>
      <c r="BM158" s="144">
        <f t="shared" si="108"/>
        <v>6.6973915441156828E-2</v>
      </c>
      <c r="BN158" s="65">
        <f t="shared" si="103"/>
        <v>471306.53020134231</v>
      </c>
      <c r="BO158" s="66"/>
      <c r="BP158" s="66">
        <f t="shared" si="104"/>
        <v>5243184</v>
      </c>
      <c r="BQ158" s="66"/>
      <c r="BR158" s="435">
        <f t="shared" si="105"/>
        <v>7.4662989174759137E-2</v>
      </c>
      <c r="BS158" s="66"/>
      <c r="BT158" s="75"/>
      <c r="BU158" s="170"/>
      <c r="BV158" s="1"/>
      <c r="BW158" s="61">
        <f t="shared" si="53"/>
        <v>149</v>
      </c>
    </row>
    <row r="159" spans="1:75" x14ac:dyDescent="0.3">
      <c r="B159" s="347">
        <f t="shared" si="52"/>
        <v>44059</v>
      </c>
      <c r="C159" s="61"/>
      <c r="D159" s="17">
        <v>36843</v>
      </c>
      <c r="E159" s="16"/>
      <c r="F159" s="16"/>
      <c r="G159" s="16"/>
      <c r="H159" s="16">
        <f t="shared" si="89"/>
        <v>6187005</v>
      </c>
      <c r="I159" s="16"/>
      <c r="J159" s="436">
        <f t="shared" si="90"/>
        <v>5.990573906833674E-3</v>
      </c>
      <c r="K159" s="16"/>
      <c r="L159" s="16"/>
      <c r="M159" s="16"/>
      <c r="N159" s="16">
        <f t="shared" ref="N159:N164" si="113">SUM(D153:D159)</f>
        <v>364994</v>
      </c>
      <c r="O159" s="16">
        <f t="shared" si="110"/>
        <v>41246.699999999997</v>
      </c>
      <c r="P159" s="41"/>
      <c r="Q159" s="17">
        <f t="shared" si="92"/>
        <v>364994</v>
      </c>
      <c r="R159" s="16"/>
      <c r="S159" s="60">
        <f t="shared" si="106"/>
        <v>-4.5422923826112425E-2</v>
      </c>
      <c r="T159" s="16"/>
      <c r="U159" s="41"/>
      <c r="V159" s="10">
        <f t="shared" si="109"/>
        <v>51</v>
      </c>
      <c r="W159" s="34">
        <v>522</v>
      </c>
      <c r="X159" s="33"/>
      <c r="Y159" s="33"/>
      <c r="Z159" s="33"/>
      <c r="AA159" s="33">
        <f t="shared" si="93"/>
        <v>176422</v>
      </c>
      <c r="AB159" s="33"/>
      <c r="AC159" s="46">
        <f t="shared" si="94"/>
        <v>2.8514927658859174E-2</v>
      </c>
      <c r="AD159" s="33"/>
      <c r="AE159" s="33">
        <f t="shared" si="95"/>
        <v>1176.1466666666668</v>
      </c>
      <c r="AF159" s="50"/>
      <c r="AG159" s="33">
        <f t="shared" si="111"/>
        <v>7456</v>
      </c>
      <c r="AH159" s="33">
        <f>SUM(D130:D797)</f>
        <v>516593419.23262841</v>
      </c>
      <c r="AI159" s="213">
        <f t="shared" si="112"/>
        <v>2.9407703990059368E-2</v>
      </c>
      <c r="AJ159" s="50"/>
      <c r="AK159" s="10"/>
      <c r="AL159" s="23">
        <f t="shared" si="96"/>
        <v>18335</v>
      </c>
      <c r="AM159" s="24"/>
      <c r="AN159" s="24"/>
      <c r="AO159" s="24">
        <v>178263</v>
      </c>
      <c r="AP159" s="24">
        <v>2922724</v>
      </c>
      <c r="AQ159" s="24"/>
      <c r="AR159" s="461">
        <f t="shared" si="97"/>
        <v>6.3128596066160557E-3</v>
      </c>
      <c r="AS159" s="25"/>
      <c r="AT159" s="25"/>
      <c r="AU159" s="24"/>
      <c r="AV159" s="298">
        <f t="shared" si="98"/>
        <v>0.47239722612152407</v>
      </c>
      <c r="AW159" s="298"/>
      <c r="AX159" s="24">
        <f t="shared" si="99"/>
        <v>19484.826666666668</v>
      </c>
      <c r="AY159" s="308"/>
      <c r="AZ159" s="10"/>
      <c r="BA159" s="65">
        <f t="shared" si="100"/>
        <v>735957</v>
      </c>
      <c r="BB159" s="66"/>
      <c r="BC159" s="66">
        <v>70960630</v>
      </c>
      <c r="BD159" s="66"/>
      <c r="BE159" s="66">
        <f t="shared" si="101"/>
        <v>36843</v>
      </c>
      <c r="BF159" s="66"/>
      <c r="BG159" s="144">
        <f t="shared" si="102"/>
        <v>5.0061348692926354E-2</v>
      </c>
      <c r="BH159" s="66"/>
      <c r="BI159" s="170"/>
      <c r="BJ159" s="66"/>
      <c r="BK159" s="66">
        <f t="shared" si="107"/>
        <v>5527379</v>
      </c>
      <c r="BL159" s="66"/>
      <c r="BM159" s="144">
        <f t="shared" si="108"/>
        <v>6.603382905351704E-2</v>
      </c>
      <c r="BN159" s="65">
        <f t="shared" si="103"/>
        <v>473070.86666666664</v>
      </c>
      <c r="BO159" s="66"/>
      <c r="BP159" s="66">
        <f t="shared" si="104"/>
        <v>5280027</v>
      </c>
      <c r="BQ159" s="66"/>
      <c r="BR159" s="435">
        <f t="shared" si="105"/>
        <v>7.4407837134478655E-2</v>
      </c>
      <c r="BS159" s="66"/>
      <c r="BT159" s="75"/>
      <c r="BU159" s="170"/>
      <c r="BV159" s="1"/>
      <c r="BW159" s="61">
        <f t="shared" si="53"/>
        <v>150</v>
      </c>
    </row>
    <row r="160" spans="1:75" x14ac:dyDescent="0.3">
      <c r="B160" s="158">
        <f t="shared" si="52"/>
        <v>44060</v>
      </c>
      <c r="C160" s="61"/>
      <c r="D160" s="17">
        <v>40612</v>
      </c>
      <c r="E160" s="16"/>
      <c r="F160" s="16"/>
      <c r="G160" s="16"/>
      <c r="H160" s="16">
        <f t="shared" si="89"/>
        <v>6227617</v>
      </c>
      <c r="I160" s="16"/>
      <c r="J160" s="436">
        <f t="shared" si="90"/>
        <v>6.5640806820101167E-3</v>
      </c>
      <c r="K160" s="16"/>
      <c r="L160" s="16"/>
      <c r="M160" s="16"/>
      <c r="N160" s="16">
        <f t="shared" si="113"/>
        <v>355806</v>
      </c>
      <c r="O160" s="16">
        <f t="shared" si="110"/>
        <v>41242.496688741725</v>
      </c>
      <c r="P160" s="41"/>
      <c r="Q160" s="17">
        <f t="shared" si="92"/>
        <v>355806</v>
      </c>
      <c r="R160" s="16"/>
      <c r="S160" s="60">
        <f t="shared" si="106"/>
        <v>-7.2252526622096608E-2</v>
      </c>
      <c r="T160" s="16"/>
      <c r="U160" s="41"/>
      <c r="V160" s="10">
        <f t="shared" si="109"/>
        <v>52</v>
      </c>
      <c r="W160" s="34">
        <v>589</v>
      </c>
      <c r="X160" s="33"/>
      <c r="Y160" s="33"/>
      <c r="Z160" s="33"/>
      <c r="AA160" s="33">
        <f t="shared" si="93"/>
        <v>177011</v>
      </c>
      <c r="AB160" s="33"/>
      <c r="AC160" s="46">
        <f t="shared" si="94"/>
        <v>2.8423552700816378E-2</v>
      </c>
      <c r="AD160" s="33"/>
      <c r="AE160" s="33">
        <f t="shared" si="95"/>
        <v>1172.2582781456954</v>
      </c>
      <c r="AF160" s="50"/>
      <c r="AG160" s="33">
        <f t="shared" si="111"/>
        <v>7476</v>
      </c>
      <c r="AH160" s="33">
        <f>SUM(D131:D798)</f>
        <v>516530160.23262841</v>
      </c>
      <c r="AI160" s="213">
        <f t="shared" si="112"/>
        <v>3.1172413793103447E-2</v>
      </c>
      <c r="AJ160" s="50"/>
      <c r="AK160" s="10"/>
      <c r="AL160" s="23">
        <f t="shared" si="96"/>
        <v>50863</v>
      </c>
      <c r="AM160" s="24"/>
      <c r="AN160" s="24"/>
      <c r="AO160" s="24">
        <v>178263</v>
      </c>
      <c r="AP160" s="24">
        <v>2973587</v>
      </c>
      <c r="AQ160" s="24"/>
      <c r="AR160" s="461">
        <f t="shared" si="97"/>
        <v>1.7402601135105469E-2</v>
      </c>
      <c r="AS160" s="25"/>
      <c r="AT160" s="25"/>
      <c r="AU160" s="24"/>
      <c r="AV160" s="298">
        <f t="shared" si="98"/>
        <v>0.47748392362600334</v>
      </c>
      <c r="AW160" s="298"/>
      <c r="AX160" s="24">
        <f t="shared" si="99"/>
        <v>19692.629139072847</v>
      </c>
      <c r="AY160" s="308"/>
      <c r="AZ160" s="10"/>
      <c r="BA160" s="65">
        <f t="shared" si="100"/>
        <v>727151</v>
      </c>
      <c r="BB160" s="66"/>
      <c r="BC160" s="66">
        <v>71687781</v>
      </c>
      <c r="BD160" s="66"/>
      <c r="BE160" s="66">
        <f t="shared" si="101"/>
        <v>40612</v>
      </c>
      <c r="BF160" s="66"/>
      <c r="BG160" s="144">
        <f t="shared" si="102"/>
        <v>5.5850848035689973E-2</v>
      </c>
      <c r="BH160" s="66"/>
      <c r="BI160" s="170"/>
      <c r="BJ160" s="66"/>
      <c r="BK160" s="66">
        <f t="shared" si="107"/>
        <v>5509166</v>
      </c>
      <c r="BL160" s="66"/>
      <c r="BM160" s="144">
        <f t="shared" si="108"/>
        <v>6.4584367216380847E-2</v>
      </c>
      <c r="BN160" s="65">
        <f t="shared" si="103"/>
        <v>474753.51655629138</v>
      </c>
      <c r="BO160" s="66"/>
      <c r="BP160" s="66">
        <f t="shared" si="104"/>
        <v>5320639</v>
      </c>
      <c r="BQ160" s="66"/>
      <c r="BR160" s="435">
        <f t="shared" si="105"/>
        <v>7.4219607941275231E-2</v>
      </c>
      <c r="BS160" s="66"/>
      <c r="BT160" s="75"/>
      <c r="BU160" s="170"/>
      <c r="BV160" s="1"/>
      <c r="BW160" s="61">
        <f t="shared" si="53"/>
        <v>151</v>
      </c>
    </row>
    <row r="161" spans="2:75" x14ac:dyDescent="0.3">
      <c r="B161" s="158">
        <f t="shared" si="52"/>
        <v>44061</v>
      </c>
      <c r="C161" s="61"/>
      <c r="D161" s="17">
        <v>43999</v>
      </c>
      <c r="E161" s="16"/>
      <c r="F161" s="16"/>
      <c r="G161" s="16"/>
      <c r="H161" s="16">
        <f t="shared" si="89"/>
        <v>6271616</v>
      </c>
      <c r="I161" s="16"/>
      <c r="J161" s="436">
        <f t="shared" si="90"/>
        <v>7.0651422526465581E-3</v>
      </c>
      <c r="K161" s="16"/>
      <c r="L161" s="16"/>
      <c r="M161" s="16"/>
      <c r="N161" s="16">
        <f t="shared" si="113"/>
        <v>345286</v>
      </c>
      <c r="O161" s="16">
        <f t="shared" ref="O161:O169" si="114">+H161/BW161</f>
        <v>41260.631578947367</v>
      </c>
      <c r="P161" s="41"/>
      <c r="Q161" s="17">
        <f t="shared" si="92"/>
        <v>345286</v>
      </c>
      <c r="R161" s="16"/>
      <c r="S161" s="60">
        <f t="shared" si="106"/>
        <v>-9.9577282245593535E-2</v>
      </c>
      <c r="T161" s="16"/>
      <c r="U161" s="41"/>
      <c r="V161" s="10">
        <f t="shared" si="109"/>
        <v>53</v>
      </c>
      <c r="W161" s="34">
        <v>1358</v>
      </c>
      <c r="X161" s="33"/>
      <c r="Y161" s="33"/>
      <c r="Z161" s="33"/>
      <c r="AA161" s="33">
        <f t="shared" si="93"/>
        <v>178369</v>
      </c>
      <c r="AB161" s="33"/>
      <c r="AC161" s="46">
        <f t="shared" si="94"/>
        <v>2.8440676214870297E-2</v>
      </c>
      <c r="AD161" s="33"/>
      <c r="AE161" s="33">
        <f t="shared" si="95"/>
        <v>1173.4802631578948</v>
      </c>
      <c r="AF161" s="50"/>
      <c r="AG161" s="33">
        <f t="shared" si="111"/>
        <v>7330</v>
      </c>
      <c r="AH161" s="33">
        <f>SUM(D132:D799)</f>
        <v>847464881.23262835</v>
      </c>
      <c r="AI161" s="213">
        <f t="shared" si="112"/>
        <v>-8.7897227856659904E-3</v>
      </c>
      <c r="AJ161" s="50"/>
      <c r="AK161" s="10"/>
      <c r="AL161" s="23">
        <f t="shared" si="96"/>
        <v>37511</v>
      </c>
      <c r="AM161" s="24"/>
      <c r="AN161" s="24"/>
      <c r="AO161" s="24">
        <v>178263</v>
      </c>
      <c r="AP161" s="24">
        <v>3011098</v>
      </c>
      <c r="AQ161" s="24"/>
      <c r="AR161" s="461">
        <f t="shared" si="97"/>
        <v>1.261473096297502E-2</v>
      </c>
      <c r="AS161" s="25"/>
      <c r="AT161" s="25"/>
      <c r="AU161" s="24"/>
      <c r="AV161" s="298">
        <f t="shared" si="98"/>
        <v>0.48011517286772659</v>
      </c>
      <c r="AW161" s="298"/>
      <c r="AX161" s="24">
        <f t="shared" si="99"/>
        <v>19809.855263157893</v>
      </c>
      <c r="AY161" s="308"/>
      <c r="AZ161" s="10"/>
      <c r="BA161" s="65">
        <f t="shared" si="100"/>
        <v>679870</v>
      </c>
      <c r="BB161" s="66"/>
      <c r="BC161" s="66">
        <v>72367651</v>
      </c>
      <c r="BD161" s="66"/>
      <c r="BE161" s="66">
        <f t="shared" si="101"/>
        <v>43999</v>
      </c>
      <c r="BF161" s="66"/>
      <c r="BG161" s="144">
        <f t="shared" si="102"/>
        <v>6.4716784091076229E-2</v>
      </c>
      <c r="BH161" s="66"/>
      <c r="BI161" s="170"/>
      <c r="BJ161" s="66"/>
      <c r="BK161" s="66">
        <f t="shared" si="107"/>
        <v>5425294</v>
      </c>
      <c r="BL161" s="66"/>
      <c r="BM161" s="144">
        <f t="shared" si="108"/>
        <v>6.3643739859996523E-2</v>
      </c>
      <c r="BN161" s="65">
        <f t="shared" si="103"/>
        <v>476102.96710526315</v>
      </c>
      <c r="BO161" s="66"/>
      <c r="BP161" s="66">
        <f t="shared" si="104"/>
        <v>5364638</v>
      </c>
      <c r="BQ161" s="66"/>
      <c r="BR161" s="435">
        <f t="shared" si="105"/>
        <v>7.4130332073373509E-2</v>
      </c>
      <c r="BS161" s="66"/>
      <c r="BT161" s="75"/>
      <c r="BU161" s="170"/>
      <c r="BV161" s="1"/>
      <c r="BW161" s="61">
        <f t="shared" si="53"/>
        <v>152</v>
      </c>
    </row>
    <row r="162" spans="2:75" x14ac:dyDescent="0.3">
      <c r="B162" s="158">
        <f t="shared" si="52"/>
        <v>44062</v>
      </c>
      <c r="C162" s="61"/>
      <c r="D162" s="17">
        <v>44973</v>
      </c>
      <c r="E162" s="16"/>
      <c r="F162" s="16"/>
      <c r="G162" s="16"/>
      <c r="H162" s="16">
        <f t="shared" si="89"/>
        <v>6316589</v>
      </c>
      <c r="I162" s="16"/>
      <c r="J162" s="436">
        <f t="shared" si="90"/>
        <v>7.170879084433741E-3</v>
      </c>
      <c r="K162" s="16"/>
      <c r="L162" s="16"/>
      <c r="M162" s="16"/>
      <c r="N162" s="16">
        <f t="shared" si="113"/>
        <v>335914</v>
      </c>
      <c r="O162" s="16">
        <f t="shared" si="114"/>
        <v>41284.895424836599</v>
      </c>
      <c r="P162" s="41"/>
      <c r="Q162" s="17">
        <f t="shared" si="92"/>
        <v>335914</v>
      </c>
      <c r="R162" s="16"/>
      <c r="S162" s="60">
        <f t="shared" si="106"/>
        <v>-0.12217901679785088</v>
      </c>
      <c r="T162" s="16"/>
      <c r="U162" s="41"/>
      <c r="V162" s="10">
        <f t="shared" si="109"/>
        <v>54</v>
      </c>
      <c r="W162" s="34">
        <v>1284</v>
      </c>
      <c r="X162" s="33"/>
      <c r="Y162" s="33"/>
      <c r="Z162" s="33"/>
      <c r="AA162" s="33">
        <f t="shared" si="93"/>
        <v>179653</v>
      </c>
      <c r="AB162" s="33"/>
      <c r="AC162" s="46">
        <f t="shared" si="94"/>
        <v>2.8441457881777651E-2</v>
      </c>
      <c r="AD162" s="33"/>
      <c r="AE162" s="33">
        <f t="shared" si="95"/>
        <v>1174.2026143790849</v>
      </c>
      <c r="AF162" s="50"/>
      <c r="AG162" s="33">
        <f t="shared" si="111"/>
        <v>7228</v>
      </c>
      <c r="AH162" s="33">
        <f>SUM(D133:D800)</f>
        <v>891756002.23262835</v>
      </c>
      <c r="AI162" s="213">
        <f t="shared" si="112"/>
        <v>-3.1358885017421602E-2</v>
      </c>
      <c r="AJ162" s="50"/>
      <c r="AK162" s="10"/>
      <c r="AL162" s="23">
        <f t="shared" si="96"/>
        <v>51233</v>
      </c>
      <c r="AM162" s="24"/>
      <c r="AN162" s="24"/>
      <c r="AO162" s="24">
        <v>178263</v>
      </c>
      <c r="AP162" s="24">
        <v>3062331</v>
      </c>
      <c r="AQ162" s="24"/>
      <c r="AR162" s="461">
        <f t="shared" si="97"/>
        <v>1.7014723532744535E-2</v>
      </c>
      <c r="AS162" s="25"/>
      <c r="AT162" s="25"/>
      <c r="AU162" s="24"/>
      <c r="AV162" s="298">
        <f t="shared" si="98"/>
        <v>0.48480770238494225</v>
      </c>
      <c r="AW162" s="298"/>
      <c r="AX162" s="24">
        <f t="shared" si="99"/>
        <v>20015.235294117647</v>
      </c>
      <c r="AY162" s="308"/>
      <c r="AZ162" s="10"/>
      <c r="BA162" s="65">
        <f t="shared" si="100"/>
        <v>748058</v>
      </c>
      <c r="BB162" s="66"/>
      <c r="BC162" s="66">
        <v>73115709</v>
      </c>
      <c r="BD162" s="66"/>
      <c r="BE162" s="66">
        <f t="shared" si="101"/>
        <v>44973</v>
      </c>
      <c r="BF162" s="66"/>
      <c r="BG162" s="144">
        <f t="shared" si="102"/>
        <v>6.011966986517088E-2</v>
      </c>
      <c r="BH162" s="66"/>
      <c r="BI162" s="170"/>
      <c r="BJ162" s="66"/>
      <c r="BK162" s="66">
        <f t="shared" si="107"/>
        <v>5564548</v>
      </c>
      <c r="BL162" s="66"/>
      <c r="BM162" s="144">
        <f t="shared" si="108"/>
        <v>6.0366807870109125E-2</v>
      </c>
      <c r="BN162" s="65">
        <f t="shared" si="103"/>
        <v>477880.45098039217</v>
      </c>
      <c r="BO162" s="66"/>
      <c r="BP162" s="66">
        <f t="shared" si="104"/>
        <v>5409611</v>
      </c>
      <c r="BQ162" s="66"/>
      <c r="BR162" s="435">
        <f t="shared" si="105"/>
        <v>7.3986986845740635E-2</v>
      </c>
      <c r="BS162" s="66"/>
      <c r="BT162" s="75"/>
      <c r="BU162" s="170"/>
      <c r="BV162" s="1"/>
      <c r="BW162" s="61">
        <f t="shared" si="53"/>
        <v>153</v>
      </c>
    </row>
    <row r="163" spans="2:75" x14ac:dyDescent="0.3">
      <c r="B163" s="158">
        <f t="shared" si="52"/>
        <v>44063</v>
      </c>
      <c r="C163" s="61"/>
      <c r="D163" s="17">
        <v>45357</v>
      </c>
      <c r="E163" s="16"/>
      <c r="F163" s="16"/>
      <c r="G163" s="16"/>
      <c r="H163" s="16">
        <f t="shared" si="89"/>
        <v>6361946</v>
      </c>
      <c r="I163" s="16"/>
      <c r="J163" s="436">
        <f t="shared" si="90"/>
        <v>7.1806159938536448E-3</v>
      </c>
      <c r="K163" s="16"/>
      <c r="L163" s="16"/>
      <c r="M163" s="16"/>
      <c r="N163" s="16">
        <f t="shared" si="113"/>
        <v>325907</v>
      </c>
      <c r="O163" s="16">
        <f t="shared" si="114"/>
        <v>41311.337662337661</v>
      </c>
      <c r="P163" s="41"/>
      <c r="Q163" s="17">
        <f t="shared" si="92"/>
        <v>325907</v>
      </c>
      <c r="R163" s="16"/>
      <c r="S163" s="60">
        <f t="shared" si="106"/>
        <v>-0.14081703671287191</v>
      </c>
      <c r="T163" s="16"/>
      <c r="U163" s="41"/>
      <c r="V163" s="10">
        <f t="shared" si="109"/>
        <v>55</v>
      </c>
      <c r="W163" s="34">
        <v>1097</v>
      </c>
      <c r="X163" s="33"/>
      <c r="Y163" s="33"/>
      <c r="Z163" s="33"/>
      <c r="AA163" s="33">
        <f t="shared" si="93"/>
        <v>180750</v>
      </c>
      <c r="AB163" s="33"/>
      <c r="AC163" s="46">
        <f t="shared" si="94"/>
        <v>2.8411118233320435E-2</v>
      </c>
      <c r="AD163" s="33"/>
      <c r="AE163" s="33">
        <f t="shared" si="95"/>
        <v>1173.7012987012988</v>
      </c>
      <c r="AF163" s="50"/>
      <c r="AG163" s="33">
        <f t="shared" si="111"/>
        <v>7041</v>
      </c>
      <c r="AH163" s="33">
        <f>SUM(D134:D801)</f>
        <v>891688523.30462837</v>
      </c>
      <c r="AI163" s="213">
        <f t="shared" si="112"/>
        <v>-6.6551769852843695E-2</v>
      </c>
      <c r="AJ163" s="50"/>
      <c r="AK163" s="10"/>
      <c r="AL163" s="23">
        <f t="shared" si="96"/>
        <v>33153</v>
      </c>
      <c r="AM163" s="24"/>
      <c r="AN163" s="24"/>
      <c r="AO163" s="24">
        <v>178263</v>
      </c>
      <c r="AP163" s="24">
        <v>3095484</v>
      </c>
      <c r="AQ163" s="24"/>
      <c r="AR163" s="461">
        <f t="shared" si="97"/>
        <v>1.0826066809890896E-2</v>
      </c>
      <c r="AS163" s="25"/>
      <c r="AT163" s="25"/>
      <c r="AU163" s="24"/>
      <c r="AV163" s="298">
        <f t="shared" si="98"/>
        <v>0.48656244488714617</v>
      </c>
      <c r="AW163" s="298"/>
      <c r="AX163" s="24">
        <f t="shared" si="99"/>
        <v>20100.545454545456</v>
      </c>
      <c r="AY163" s="308"/>
      <c r="AZ163" s="10"/>
      <c r="BA163" s="65">
        <f t="shared" si="100"/>
        <v>752623</v>
      </c>
      <c r="BB163" s="66"/>
      <c r="BC163" s="66">
        <v>73868332</v>
      </c>
      <c r="BD163" s="66"/>
      <c r="BE163" s="66">
        <f t="shared" si="101"/>
        <v>45357</v>
      </c>
      <c r="BF163" s="66"/>
      <c r="BG163" s="144">
        <f t="shared" si="102"/>
        <v>6.0265232393907707E-2</v>
      </c>
      <c r="BH163" s="66"/>
      <c r="BI163" s="170"/>
      <c r="BJ163" s="66"/>
      <c r="BK163" s="66">
        <f t="shared" si="107"/>
        <v>5343730</v>
      </c>
      <c r="BL163" s="66"/>
      <c r="BM163" s="144">
        <f t="shared" si="108"/>
        <v>6.0988672706143464E-2</v>
      </c>
      <c r="BN163" s="65">
        <f t="shared" si="103"/>
        <v>479664.49350649351</v>
      </c>
      <c r="BO163" s="66"/>
      <c r="BP163" s="66">
        <f t="shared" si="104"/>
        <v>5454968</v>
      </c>
      <c r="BQ163" s="66"/>
      <c r="BR163" s="435">
        <f t="shared" si="105"/>
        <v>7.3847179871341886E-2</v>
      </c>
      <c r="BS163" s="66"/>
      <c r="BT163" s="75"/>
      <c r="BU163" s="170"/>
      <c r="BV163" s="1"/>
      <c r="BW163" s="61">
        <f t="shared" si="53"/>
        <v>154</v>
      </c>
    </row>
    <row r="164" spans="2:75" x14ac:dyDescent="0.3">
      <c r="B164" s="158">
        <f t="shared" si="52"/>
        <v>44064</v>
      </c>
      <c r="C164" s="61"/>
      <c r="D164" s="17">
        <v>50481</v>
      </c>
      <c r="E164" s="16"/>
      <c r="F164" s="16"/>
      <c r="G164" s="16"/>
      <c r="H164" s="16">
        <f t="shared" si="89"/>
        <v>6412427</v>
      </c>
      <c r="I164" s="16"/>
      <c r="J164" s="436">
        <f t="shared" si="90"/>
        <v>7.9348362906569783E-3</v>
      </c>
      <c r="K164" s="16"/>
      <c r="L164" s="16"/>
      <c r="M164" s="16"/>
      <c r="N164" s="16">
        <f t="shared" si="113"/>
        <v>315788</v>
      </c>
      <c r="O164" s="16">
        <f t="shared" si="114"/>
        <v>41370.496774193547</v>
      </c>
      <c r="P164" s="41"/>
      <c r="Q164" s="17">
        <f t="shared" si="92"/>
        <v>315788</v>
      </c>
      <c r="R164" s="16"/>
      <c r="S164" s="60">
        <f t="shared" si="106"/>
        <v>-0.16164555214561055</v>
      </c>
      <c r="T164" s="16"/>
      <c r="U164" s="41"/>
      <c r="V164" s="10">
        <f t="shared" si="109"/>
        <v>56</v>
      </c>
      <c r="W164" s="34">
        <v>1170</v>
      </c>
      <c r="X164" s="33"/>
      <c r="Y164" s="33"/>
      <c r="Z164" s="33"/>
      <c r="AA164" s="33">
        <f t="shared" si="93"/>
        <v>181920</v>
      </c>
      <c r="AB164" s="33"/>
      <c r="AC164" s="46">
        <f t="shared" si="94"/>
        <v>2.8369913606813769E-2</v>
      </c>
      <c r="AD164" s="33"/>
      <c r="AE164" s="33">
        <f t="shared" si="95"/>
        <v>1173.6774193548388</v>
      </c>
      <c r="AF164" s="50"/>
      <c r="AG164" s="33">
        <f t="shared" si="111"/>
        <v>7091</v>
      </c>
      <c r="AH164" s="33">
        <f>SUM(D135:D802)</f>
        <v>891616556.30462837</v>
      </c>
      <c r="AI164" s="213">
        <f t="shared" si="112"/>
        <v>-3.8247660382476602E-2</v>
      </c>
      <c r="AJ164" s="50"/>
      <c r="AK164" s="10"/>
      <c r="AL164" s="23">
        <f t="shared" si="96"/>
        <v>31934</v>
      </c>
      <c r="AM164" s="24"/>
      <c r="AN164" s="24"/>
      <c r="AO164" s="24">
        <v>178263</v>
      </c>
      <c r="AP164" s="24">
        <v>3127418</v>
      </c>
      <c r="AQ164" s="24"/>
      <c r="AR164" s="461">
        <f t="shared" si="97"/>
        <v>1.0316318869682414E-2</v>
      </c>
      <c r="AS164" s="25"/>
      <c r="AT164" s="25"/>
      <c r="AU164" s="24"/>
      <c r="AV164" s="298">
        <f t="shared" si="98"/>
        <v>0.48771206284297663</v>
      </c>
      <c r="AW164" s="298"/>
      <c r="AX164" s="24">
        <f t="shared" si="99"/>
        <v>20176.890322580646</v>
      </c>
      <c r="AY164" s="308"/>
      <c r="AZ164" s="10"/>
      <c r="BA164" s="65">
        <f t="shared" si="100"/>
        <v>850248</v>
      </c>
      <c r="BB164" s="66"/>
      <c r="BC164" s="66">
        <v>74718580</v>
      </c>
      <c r="BD164" s="66"/>
      <c r="BE164" s="66">
        <f t="shared" si="101"/>
        <v>50481</v>
      </c>
      <c r="BF164" s="66"/>
      <c r="BG164" s="144">
        <f t="shared" si="102"/>
        <v>5.9372089084596492E-2</v>
      </c>
      <c r="BH164" s="66"/>
      <c r="BI164" s="170"/>
      <c r="BJ164" s="66"/>
      <c r="BK164" s="66">
        <f t="shared" si="107"/>
        <v>5356571</v>
      </c>
      <c r="BL164" s="66"/>
      <c r="BM164" s="144">
        <f t="shared" si="108"/>
        <v>5.8953386410821401E-2</v>
      </c>
      <c r="BN164" s="65">
        <f t="shared" si="103"/>
        <v>482055.3548387097</v>
      </c>
      <c r="BO164" s="66"/>
      <c r="BP164" s="66">
        <f t="shared" si="104"/>
        <v>5505449</v>
      </c>
      <c r="BQ164" s="66"/>
      <c r="BR164" s="435">
        <f t="shared" si="105"/>
        <v>7.3682462916184965E-2</v>
      </c>
      <c r="BS164" s="66"/>
      <c r="BT164" s="75"/>
      <c r="BU164" s="170"/>
      <c r="BV164" s="1"/>
      <c r="BW164" s="61">
        <f t="shared" si="53"/>
        <v>155</v>
      </c>
    </row>
    <row r="165" spans="2:75" x14ac:dyDescent="0.3">
      <c r="B165" s="158">
        <f t="shared" si="52"/>
        <v>44065</v>
      </c>
      <c r="C165" s="61"/>
      <c r="D165" s="17">
        <v>43829</v>
      </c>
      <c r="E165" s="16"/>
      <c r="F165" s="16"/>
      <c r="G165" s="16"/>
      <c r="H165" s="16">
        <f t="shared" ref="H165:H182" si="115">+H164+D165</f>
        <v>6456256</v>
      </c>
      <c r="I165" s="16"/>
      <c r="J165" s="436">
        <f t="shared" ref="J165:J182" si="116">+D165/H164</f>
        <v>6.8350095837348326E-3</v>
      </c>
      <c r="K165" s="16"/>
      <c r="L165" s="16"/>
      <c r="M165" s="16"/>
      <c r="N165" s="16">
        <f t="shared" ref="N165:N182" si="117">SUM(D159:D165)</f>
        <v>306094</v>
      </c>
      <c r="O165" s="16">
        <f t="shared" si="114"/>
        <v>41386.256410256414</v>
      </c>
      <c r="P165" s="41"/>
      <c r="Q165" s="17">
        <f t="shared" ref="Q165:Q182" si="118">SUM(D159:D165)</f>
        <v>306094</v>
      </c>
      <c r="R165" s="16"/>
      <c r="S165" s="60">
        <f t="shared" ref="S165:S182" si="119">+(Q165-Q158)/Q158</f>
        <v>-0.18592021276595744</v>
      </c>
      <c r="T165" s="16"/>
      <c r="U165" s="41"/>
      <c r="V165" s="10">
        <f t="shared" si="109"/>
        <v>57</v>
      </c>
      <c r="W165" s="34">
        <v>974</v>
      </c>
      <c r="X165" s="33"/>
      <c r="Y165" s="33"/>
      <c r="Z165" s="33"/>
      <c r="AA165" s="33">
        <f t="shared" ref="AA165:AA182" si="120">+AA164+W165</f>
        <v>182894</v>
      </c>
      <c r="AB165" s="33"/>
      <c r="AC165" s="46">
        <f t="shared" ref="AC165:AC182" si="121">+AA165/H165</f>
        <v>2.8328182773421622E-2</v>
      </c>
      <c r="AD165" s="33"/>
      <c r="AE165" s="33">
        <f t="shared" ref="AE165:AE182" si="122">+AA165/BW165</f>
        <v>1172.3974358974358</v>
      </c>
      <c r="AF165" s="50"/>
      <c r="AG165" s="33">
        <f t="shared" ref="AG165:AG182" si="123">SUM(W159:W165)</f>
        <v>6994</v>
      </c>
      <c r="AH165" s="33">
        <f>SUM(D136:D803)</f>
        <v>891547113.34662843</v>
      </c>
      <c r="AI165" s="213">
        <f t="shared" ref="AI165:AI182" si="124">+(AG165-AG158)/AG158</f>
        <v>-6.3470808784145683E-2</v>
      </c>
      <c r="AJ165" s="50"/>
      <c r="AK165" s="10"/>
      <c r="AL165" s="23">
        <f t="shared" ref="AL165:AL182" si="125">+AP165-AP164</f>
        <v>20662</v>
      </c>
      <c r="AM165" s="24"/>
      <c r="AN165" s="24"/>
      <c r="AO165" s="24">
        <v>178263</v>
      </c>
      <c r="AP165" s="24">
        <v>3148080</v>
      </c>
      <c r="AQ165" s="24"/>
      <c r="AR165" s="461">
        <f t="shared" ref="AR165:AR182" si="126">+AL165/AP164</f>
        <v>6.606727978159619E-3</v>
      </c>
      <c r="AS165" s="25"/>
      <c r="AT165" s="25"/>
      <c r="AU165" s="24"/>
      <c r="AV165" s="298">
        <f t="shared" ref="AV165:AV182" si="127">+AP165/H165</f>
        <v>0.48760148296473993</v>
      </c>
      <c r="AW165" s="298"/>
      <c r="AX165" s="24">
        <f t="shared" ref="AX165:AX182" si="128">+AP165/BW165</f>
        <v>20180</v>
      </c>
      <c r="AY165" s="308"/>
      <c r="AZ165" s="10"/>
      <c r="BA165" s="65">
        <f t="shared" ref="BA165:BA182" si="129">+BC165-BC164</f>
        <v>756595</v>
      </c>
      <c r="BB165" s="66"/>
      <c r="BC165" s="66">
        <v>75475175</v>
      </c>
      <c r="BD165" s="66"/>
      <c r="BE165" s="66">
        <f t="shared" ref="BE165:BE182" si="130">+D165</f>
        <v>43829</v>
      </c>
      <c r="BF165" s="66"/>
      <c r="BG165" s="144">
        <f t="shared" ref="BG165:BG182" si="131">+BE165/BA165</f>
        <v>5.7929275239725346E-2</v>
      </c>
      <c r="BH165" s="66"/>
      <c r="BI165" s="170"/>
      <c r="BJ165" s="66"/>
      <c r="BK165" s="66">
        <f t="shared" ref="BK165:BK182" si="132">SUM(BA159:BA165)</f>
        <v>5250502</v>
      </c>
      <c r="BL165" s="66"/>
      <c r="BM165" s="144">
        <f t="shared" ref="BM165:BM182" si="133">+Q165/BK165</f>
        <v>5.8298044644112125E-2</v>
      </c>
      <c r="BN165" s="65">
        <f t="shared" ref="BN165:BN182" si="134">+BC165/BW165</f>
        <v>483815.22435897437</v>
      </c>
      <c r="BO165" s="66"/>
      <c r="BP165" s="66">
        <f t="shared" ref="BP165:BP182" si="135">+BP164+BE165</f>
        <v>5549278</v>
      </c>
      <c r="BQ165" s="66"/>
      <c r="BR165" s="435">
        <f t="shared" ref="BR165:BR182" si="136">+BP165/BC165</f>
        <v>7.3524546316056899E-2</v>
      </c>
      <c r="BS165" s="66"/>
      <c r="BT165" s="75"/>
      <c r="BU165" s="170"/>
      <c r="BV165" s="1"/>
      <c r="BW165" s="61">
        <f t="shared" si="53"/>
        <v>156</v>
      </c>
    </row>
    <row r="166" spans="2:75" x14ac:dyDescent="0.3">
      <c r="B166" s="347">
        <f t="shared" si="52"/>
        <v>44066</v>
      </c>
      <c r="C166" s="61"/>
      <c r="D166" s="17">
        <v>32718</v>
      </c>
      <c r="E166" s="16"/>
      <c r="F166" s="16"/>
      <c r="G166" s="16"/>
      <c r="H166" s="16">
        <f t="shared" si="115"/>
        <v>6488974</v>
      </c>
      <c r="I166" s="16"/>
      <c r="J166" s="436">
        <f t="shared" si="116"/>
        <v>5.0676429187442385E-3</v>
      </c>
      <c r="K166" s="16"/>
      <c r="L166" s="16"/>
      <c r="M166" s="16"/>
      <c r="N166" s="16">
        <f t="shared" si="117"/>
        <v>301969</v>
      </c>
      <c r="O166" s="16">
        <f t="shared" si="114"/>
        <v>41331.044585987263</v>
      </c>
      <c r="P166" s="41"/>
      <c r="Q166" s="17">
        <f t="shared" si="118"/>
        <v>301969</v>
      </c>
      <c r="R166" s="16"/>
      <c r="S166" s="60">
        <f t="shared" si="119"/>
        <v>-0.17267407135459761</v>
      </c>
      <c r="T166" s="16"/>
      <c r="U166" s="41"/>
      <c r="V166" s="10">
        <f t="shared" si="109"/>
        <v>58</v>
      </c>
      <c r="W166" s="34">
        <v>430</v>
      </c>
      <c r="X166" s="33"/>
      <c r="Y166" s="33"/>
      <c r="Z166" s="33"/>
      <c r="AA166" s="33">
        <f t="shared" si="120"/>
        <v>183324</v>
      </c>
      <c r="AB166" s="33"/>
      <c r="AC166" s="46">
        <f t="shared" si="121"/>
        <v>2.8251615740793538E-2</v>
      </c>
      <c r="AD166" s="33"/>
      <c r="AE166" s="33">
        <f t="shared" si="122"/>
        <v>1167.6687898089172</v>
      </c>
      <c r="AF166" s="50"/>
      <c r="AG166" s="33">
        <f t="shared" si="123"/>
        <v>6902</v>
      </c>
      <c r="AH166" s="33">
        <f>SUM(D137:D804)</f>
        <v>892470079.34662843</v>
      </c>
      <c r="AI166" s="213">
        <f t="shared" si="124"/>
        <v>-7.430257510729614E-2</v>
      </c>
      <c r="AJ166" s="50"/>
      <c r="AK166" s="10"/>
      <c r="AL166" s="23">
        <f t="shared" si="125"/>
        <v>18983</v>
      </c>
      <c r="AM166" s="24"/>
      <c r="AN166" s="24"/>
      <c r="AO166" s="24">
        <v>178263</v>
      </c>
      <c r="AP166" s="24">
        <v>3167063</v>
      </c>
      <c r="AQ166" s="24"/>
      <c r="AR166" s="461">
        <f t="shared" si="126"/>
        <v>6.0300246499453633E-3</v>
      </c>
      <c r="AS166" s="25"/>
      <c r="AT166" s="25"/>
      <c r="AU166" s="24"/>
      <c r="AV166" s="298">
        <f t="shared" si="127"/>
        <v>0.48806837567849709</v>
      </c>
      <c r="AW166" s="298"/>
      <c r="AX166" s="24">
        <f t="shared" si="128"/>
        <v>20172.375796178345</v>
      </c>
      <c r="AY166" s="308"/>
      <c r="AZ166" s="348"/>
      <c r="BA166" s="65">
        <f t="shared" si="129"/>
        <v>684203</v>
      </c>
      <c r="BB166" s="66"/>
      <c r="BC166" s="66">
        <v>76159378</v>
      </c>
      <c r="BD166" s="66"/>
      <c r="BE166" s="66">
        <f t="shared" si="130"/>
        <v>32718</v>
      </c>
      <c r="BF166" s="66"/>
      <c r="BG166" s="144">
        <f t="shared" si="131"/>
        <v>4.7819141395170732E-2</v>
      </c>
      <c r="BH166" s="66"/>
      <c r="BI166" s="170"/>
      <c r="BJ166" s="66"/>
      <c r="BK166" s="66">
        <f t="shared" si="132"/>
        <v>5198748</v>
      </c>
      <c r="BL166" s="66"/>
      <c r="BM166" s="144">
        <f t="shared" si="133"/>
        <v>5.8084946606375226E-2</v>
      </c>
      <c r="BN166" s="65">
        <f t="shared" si="134"/>
        <v>485091.57961783442</v>
      </c>
      <c r="BO166" s="66"/>
      <c r="BP166" s="66">
        <f t="shared" si="135"/>
        <v>5581996</v>
      </c>
      <c r="BQ166" s="66"/>
      <c r="BR166" s="435">
        <f t="shared" si="136"/>
        <v>7.3293613296053967E-2</v>
      </c>
      <c r="BS166" s="66"/>
      <c r="BT166" s="75"/>
      <c r="BU166" s="170"/>
      <c r="BV166" s="1"/>
      <c r="BW166" s="61">
        <f t="shared" si="53"/>
        <v>157</v>
      </c>
    </row>
    <row r="167" spans="2:75" x14ac:dyDescent="0.3">
      <c r="B167" s="158">
        <f t="shared" si="52"/>
        <v>44067</v>
      </c>
      <c r="C167" s="61"/>
      <c r="D167" s="17">
        <v>41484</v>
      </c>
      <c r="E167" s="16"/>
      <c r="F167" s="16"/>
      <c r="G167" s="16"/>
      <c r="H167" s="16">
        <f t="shared" si="115"/>
        <v>6530458</v>
      </c>
      <c r="I167" s="16"/>
      <c r="J167" s="436">
        <f t="shared" si="116"/>
        <v>6.3929983384122049E-3</v>
      </c>
      <c r="K167" s="16"/>
      <c r="L167" s="16"/>
      <c r="M167" s="16"/>
      <c r="N167" s="16">
        <f t="shared" si="117"/>
        <v>302841</v>
      </c>
      <c r="O167" s="16">
        <f t="shared" si="114"/>
        <v>41332.012658227846</v>
      </c>
      <c r="P167" s="41"/>
      <c r="Q167" s="17">
        <f t="shared" si="118"/>
        <v>302841</v>
      </c>
      <c r="R167" s="16"/>
      <c r="S167" s="60">
        <f t="shared" si="119"/>
        <v>-0.14885920979410128</v>
      </c>
      <c r="T167" s="16"/>
      <c r="U167" s="41"/>
      <c r="V167" s="10">
        <f t="shared" si="109"/>
        <v>59</v>
      </c>
      <c r="W167" s="34">
        <v>510</v>
      </c>
      <c r="X167" s="33"/>
      <c r="Y167" s="33"/>
      <c r="Z167" s="33"/>
      <c r="AA167" s="33">
        <f t="shared" si="120"/>
        <v>183834</v>
      </c>
      <c r="AB167" s="33"/>
      <c r="AC167" s="46">
        <f t="shared" si="121"/>
        <v>2.8150246123625631E-2</v>
      </c>
      <c r="AD167" s="33"/>
      <c r="AE167" s="33">
        <f t="shared" si="122"/>
        <v>1163.506329113924</v>
      </c>
      <c r="AF167" s="50"/>
      <c r="AG167" s="33">
        <f t="shared" si="123"/>
        <v>6823</v>
      </c>
      <c r="AH167" s="33">
        <f>SUM(D138:D805)</f>
        <v>892402666.34662843</v>
      </c>
      <c r="AI167" s="213">
        <f t="shared" si="124"/>
        <v>-8.7346174424826103E-2</v>
      </c>
      <c r="AJ167" s="50"/>
      <c r="AK167" s="10"/>
      <c r="AL167" s="23">
        <f t="shared" si="125"/>
        <v>50918</v>
      </c>
      <c r="AM167" s="24"/>
      <c r="AN167" s="24"/>
      <c r="AO167" s="24">
        <v>178263</v>
      </c>
      <c r="AP167" s="24">
        <v>3217981</v>
      </c>
      <c r="AQ167" s="24"/>
      <c r="AR167" s="461">
        <f t="shared" si="126"/>
        <v>1.607735621299608E-2</v>
      </c>
      <c r="AS167" s="25"/>
      <c r="AT167" s="25"/>
      <c r="AU167" s="24"/>
      <c r="AV167" s="298">
        <f t="shared" si="127"/>
        <v>0.49276497911785055</v>
      </c>
      <c r="AW167" s="298"/>
      <c r="AX167" s="24">
        <f t="shared" si="128"/>
        <v>20366.968354430381</v>
      </c>
      <c r="AY167" s="308"/>
      <c r="AZ167" s="10"/>
      <c r="BA167" s="65">
        <f t="shared" si="129"/>
        <v>724101</v>
      </c>
      <c r="BB167" s="66"/>
      <c r="BC167" s="66">
        <v>76883479</v>
      </c>
      <c r="BD167" s="66"/>
      <c r="BE167" s="66">
        <f t="shared" si="130"/>
        <v>41484</v>
      </c>
      <c r="BF167" s="66"/>
      <c r="BG167" s="144">
        <f t="shared" si="131"/>
        <v>5.7290350379297916E-2</v>
      </c>
      <c r="BH167" s="66"/>
      <c r="BI167" s="170"/>
      <c r="BJ167" s="66"/>
      <c r="BK167" s="66">
        <f t="shared" si="132"/>
        <v>5195698</v>
      </c>
      <c r="BL167" s="66"/>
      <c r="BM167" s="144">
        <f t="shared" si="133"/>
        <v>5.8286875026223615E-2</v>
      </c>
      <c r="BN167" s="65">
        <f t="shared" si="134"/>
        <v>486604.2974683544</v>
      </c>
      <c r="BO167" s="66"/>
      <c r="BP167" s="66">
        <f t="shared" si="135"/>
        <v>5623480</v>
      </c>
      <c r="BQ167" s="66"/>
      <c r="BR167" s="435">
        <f t="shared" si="136"/>
        <v>7.3142891985936279E-2</v>
      </c>
      <c r="BS167" s="66"/>
      <c r="BT167" s="75"/>
      <c r="BU167" s="170"/>
      <c r="BV167" s="1"/>
      <c r="BW167" s="61">
        <f t="shared" si="53"/>
        <v>158</v>
      </c>
    </row>
    <row r="168" spans="2:75" x14ac:dyDescent="0.3">
      <c r="B168" s="158">
        <f t="shared" si="52"/>
        <v>44068</v>
      </c>
      <c r="C168" s="61"/>
      <c r="D168" s="17">
        <v>40098</v>
      </c>
      <c r="E168" s="16"/>
      <c r="F168" s="16"/>
      <c r="G168" s="16"/>
      <c r="H168" s="16">
        <f t="shared" si="115"/>
        <v>6570556</v>
      </c>
      <c r="I168" s="16"/>
      <c r="J168" s="436">
        <f t="shared" si="116"/>
        <v>6.140151272697872E-3</v>
      </c>
      <c r="K168" s="16"/>
      <c r="L168" s="16"/>
      <c r="M168" s="16"/>
      <c r="N168" s="16">
        <f t="shared" si="117"/>
        <v>298940</v>
      </c>
      <c r="O168" s="16">
        <f t="shared" si="114"/>
        <v>41324.251572327041</v>
      </c>
      <c r="P168" s="41"/>
      <c r="Q168" s="17">
        <f t="shared" si="118"/>
        <v>298940</v>
      </c>
      <c r="R168" s="16"/>
      <c r="S168" s="60">
        <f t="shared" si="119"/>
        <v>-0.13422496133639938</v>
      </c>
      <c r="T168" s="16"/>
      <c r="U168" s="41"/>
      <c r="V168" s="10">
        <f t="shared" si="109"/>
        <v>60</v>
      </c>
      <c r="W168" s="34">
        <v>1290</v>
      </c>
      <c r="X168" s="33"/>
      <c r="Y168" s="33"/>
      <c r="Z168" s="33"/>
      <c r="AA168" s="33">
        <f t="shared" si="120"/>
        <v>185124</v>
      </c>
      <c r="AB168" s="33"/>
      <c r="AC168" s="46">
        <f t="shared" si="121"/>
        <v>2.8174784599659452E-2</v>
      </c>
      <c r="AD168" s="33"/>
      <c r="AE168" s="33">
        <f t="shared" si="122"/>
        <v>1164.3018867924529</v>
      </c>
      <c r="AF168" s="50"/>
      <c r="AG168" s="33">
        <f t="shared" si="123"/>
        <v>6755</v>
      </c>
      <c r="AH168" s="33">
        <f>SUM(D139:D806)</f>
        <v>892346536.34662843</v>
      </c>
      <c r="AI168" s="213">
        <f t="shared" si="124"/>
        <v>-7.8444747612551158E-2</v>
      </c>
      <c r="AJ168" s="50"/>
      <c r="AK168" s="10"/>
      <c r="AL168" s="23">
        <f t="shared" si="125"/>
        <v>36301</v>
      </c>
      <c r="AM168" s="24"/>
      <c r="AN168" s="24"/>
      <c r="AO168" s="24">
        <v>178263</v>
      </c>
      <c r="AP168" s="24">
        <v>3254282</v>
      </c>
      <c r="AQ168" s="24"/>
      <c r="AR168" s="461">
        <f t="shared" si="126"/>
        <v>1.1280675678321283E-2</v>
      </c>
      <c r="AS168" s="25"/>
      <c r="AT168" s="25"/>
      <c r="AU168" s="24"/>
      <c r="AV168" s="298">
        <f t="shared" si="127"/>
        <v>0.49528259100143124</v>
      </c>
      <c r="AW168" s="298"/>
      <c r="AX168" s="24">
        <f t="shared" si="128"/>
        <v>20467.182389937108</v>
      </c>
      <c r="AY168" s="308"/>
      <c r="AZ168" s="10"/>
      <c r="BA168" s="65">
        <f t="shared" si="129"/>
        <v>1047928</v>
      </c>
      <c r="BB168" s="66"/>
      <c r="BC168" s="66">
        <v>77931407</v>
      </c>
      <c r="BD168" s="66"/>
      <c r="BE168" s="66">
        <f t="shared" si="130"/>
        <v>40098</v>
      </c>
      <c r="BF168" s="66"/>
      <c r="BG168" s="144">
        <f t="shared" si="131"/>
        <v>3.8264079211548882E-2</v>
      </c>
      <c r="BH168" s="66"/>
      <c r="BI168" s="170"/>
      <c r="BJ168" s="66"/>
      <c r="BK168" s="66">
        <f t="shared" si="132"/>
        <v>5563756</v>
      </c>
      <c r="BL168" s="66"/>
      <c r="BM168" s="144">
        <f t="shared" si="133"/>
        <v>5.3729890383402867E-2</v>
      </c>
      <c r="BN168" s="65">
        <f t="shared" si="134"/>
        <v>490134.63522012578</v>
      </c>
      <c r="BO168" s="66"/>
      <c r="BP168" s="66">
        <f t="shared" si="135"/>
        <v>5663578</v>
      </c>
      <c r="BQ168" s="66"/>
      <c r="BR168" s="435">
        <f t="shared" si="136"/>
        <v>7.2673883585856469E-2</v>
      </c>
      <c r="BS168" s="66"/>
      <c r="BT168" s="75"/>
      <c r="BU168" s="170"/>
      <c r="BV168" s="1"/>
      <c r="BW168" s="61">
        <f t="shared" si="53"/>
        <v>159</v>
      </c>
    </row>
    <row r="169" spans="2:75" x14ac:dyDescent="0.3">
      <c r="B169" s="158">
        <f t="shared" si="52"/>
        <v>44069</v>
      </c>
      <c r="C169" s="61"/>
      <c r="D169" s="17">
        <v>44637</v>
      </c>
      <c r="E169" s="16"/>
      <c r="F169" s="16"/>
      <c r="G169" s="16"/>
      <c r="H169" s="16">
        <f t="shared" si="115"/>
        <v>6615193</v>
      </c>
      <c r="I169" s="16"/>
      <c r="J169" s="436">
        <f t="shared" si="116"/>
        <v>6.7934890137151252E-3</v>
      </c>
      <c r="K169" s="16"/>
      <c r="L169" s="16"/>
      <c r="M169" s="16"/>
      <c r="N169" s="16">
        <f t="shared" si="117"/>
        <v>298604</v>
      </c>
      <c r="O169" s="16">
        <f t="shared" si="114"/>
        <v>41344.956250000003</v>
      </c>
      <c r="P169" s="41"/>
      <c r="Q169" s="17">
        <f t="shared" si="118"/>
        <v>298604</v>
      </c>
      <c r="R169" s="16"/>
      <c r="S169" s="60">
        <f t="shared" si="119"/>
        <v>-0.11107009532201695</v>
      </c>
      <c r="T169" s="16"/>
      <c r="U169" s="41"/>
      <c r="V169" s="10">
        <f t="shared" si="109"/>
        <v>61</v>
      </c>
      <c r="W169" s="34">
        <v>1280</v>
      </c>
      <c r="X169" s="33"/>
      <c r="Y169" s="33"/>
      <c r="Z169" s="33"/>
      <c r="AA169" s="33">
        <f t="shared" si="120"/>
        <v>186404</v>
      </c>
      <c r="AB169" s="33"/>
      <c r="AC169" s="46">
        <f t="shared" si="121"/>
        <v>2.8178165021035668E-2</v>
      </c>
      <c r="AD169" s="33"/>
      <c r="AE169" s="33">
        <f t="shared" si="122"/>
        <v>1165.0250000000001</v>
      </c>
      <c r="AF169" s="50"/>
      <c r="AG169" s="33">
        <f t="shared" si="123"/>
        <v>6751</v>
      </c>
      <c r="AH169" s="33">
        <f>SUM(D140:D807)</f>
        <v>892284965.34662843</v>
      </c>
      <c r="AI169" s="213">
        <f t="shared" si="124"/>
        <v>-6.5993359158826786E-2</v>
      </c>
      <c r="AJ169" s="50"/>
      <c r="AK169" s="10"/>
      <c r="AL169" s="23">
        <f t="shared" si="125"/>
        <v>59579</v>
      </c>
      <c r="AM169" s="24"/>
      <c r="AN169" s="24"/>
      <c r="AO169" s="24">
        <v>178263</v>
      </c>
      <c r="AP169" s="24">
        <v>3313861</v>
      </c>
      <c r="AQ169" s="24"/>
      <c r="AR169" s="461">
        <f t="shared" si="126"/>
        <v>1.8307878665708748E-2</v>
      </c>
      <c r="AS169" s="25"/>
      <c r="AT169" s="25"/>
      <c r="AU169" s="24"/>
      <c r="AV169" s="298">
        <f t="shared" si="127"/>
        <v>0.50094698673190641</v>
      </c>
      <c r="AW169" s="298"/>
      <c r="AX169" s="24">
        <f t="shared" si="128"/>
        <v>20711.631249999999</v>
      </c>
      <c r="AY169" s="308"/>
      <c r="AZ169" s="10"/>
      <c r="BA169" s="65">
        <f t="shared" si="129"/>
        <v>701159</v>
      </c>
      <c r="BB169" s="66"/>
      <c r="BC169" s="66">
        <v>78632566</v>
      </c>
      <c r="BD169" s="66"/>
      <c r="BE169" s="66">
        <f t="shared" si="130"/>
        <v>44637</v>
      </c>
      <c r="BF169" s="66"/>
      <c r="BG169" s="144">
        <f t="shared" si="131"/>
        <v>6.3661737209391875E-2</v>
      </c>
      <c r="BH169" s="66"/>
      <c r="BI169" s="170"/>
      <c r="BJ169" s="66"/>
      <c r="BK169" s="66">
        <f t="shared" si="132"/>
        <v>5516857</v>
      </c>
      <c r="BL169" s="66"/>
      <c r="BM169" s="144">
        <f t="shared" si="133"/>
        <v>5.4125745873057796E-2</v>
      </c>
      <c r="BN169" s="65">
        <f t="shared" si="134"/>
        <v>491453.53749999998</v>
      </c>
      <c r="BO169" s="66"/>
      <c r="BP169" s="66">
        <f t="shared" si="135"/>
        <v>5708215</v>
      </c>
      <c r="BQ169" s="66"/>
      <c r="BR169" s="435">
        <f t="shared" si="136"/>
        <v>7.2593523146631131E-2</v>
      </c>
      <c r="BS169" s="66"/>
      <c r="BT169" s="75"/>
      <c r="BU169" s="170"/>
      <c r="BV169" s="1"/>
      <c r="BW169" s="61">
        <f t="shared" si="53"/>
        <v>160</v>
      </c>
    </row>
    <row r="170" spans="2:75" x14ac:dyDescent="0.3">
      <c r="B170" s="158">
        <f t="shared" si="52"/>
        <v>44070</v>
      </c>
      <c r="C170" s="61"/>
      <c r="D170" s="17">
        <v>46006</v>
      </c>
      <c r="E170" s="16"/>
      <c r="F170" s="16"/>
      <c r="G170" s="16"/>
      <c r="H170" s="16">
        <f t="shared" si="115"/>
        <v>6661199</v>
      </c>
      <c r="I170" s="16"/>
      <c r="J170" s="436">
        <f t="shared" si="116"/>
        <v>6.9545967895418923E-3</v>
      </c>
      <c r="K170" s="16"/>
      <c r="L170" s="16"/>
      <c r="M170" s="16"/>
      <c r="N170" s="16">
        <f t="shared" si="117"/>
        <v>299253</v>
      </c>
      <c r="O170" s="16">
        <f t="shared" ref="O170:O182" si="137">+H170/BW170</f>
        <v>41373.90683229814</v>
      </c>
      <c r="P170" s="41"/>
      <c r="Q170" s="17">
        <f t="shared" si="118"/>
        <v>299253</v>
      </c>
      <c r="R170" s="16"/>
      <c r="S170" s="60">
        <f t="shared" si="119"/>
        <v>-8.1784067233904148E-2</v>
      </c>
      <c r="T170" s="16"/>
      <c r="U170" s="41"/>
      <c r="V170" s="10">
        <f t="shared" si="109"/>
        <v>62</v>
      </c>
      <c r="W170" s="34">
        <v>1143</v>
      </c>
      <c r="X170" s="33"/>
      <c r="Y170" s="33"/>
      <c r="Z170" s="33"/>
      <c r="AA170" s="33">
        <f t="shared" si="120"/>
        <v>187547</v>
      </c>
      <c r="AB170" s="33"/>
      <c r="AC170" s="46">
        <f t="shared" si="121"/>
        <v>2.8155141439251401E-2</v>
      </c>
      <c r="AD170" s="33"/>
      <c r="AE170" s="33">
        <f t="shared" si="122"/>
        <v>1164.888198757764</v>
      </c>
      <c r="AF170" s="50"/>
      <c r="AG170" s="33">
        <f t="shared" si="123"/>
        <v>6797</v>
      </c>
      <c r="AH170" s="33">
        <f>SUM(D141:D808)</f>
        <v>892220236.34662843</v>
      </c>
      <c r="AI170" s="213">
        <f t="shared" si="124"/>
        <v>-3.4654168441982672E-2</v>
      </c>
      <c r="AJ170" s="50"/>
      <c r="AK170" s="10"/>
      <c r="AL170" s="23">
        <f t="shared" si="125"/>
        <v>34079</v>
      </c>
      <c r="AM170" s="24"/>
      <c r="AN170" s="24"/>
      <c r="AO170" s="24">
        <v>178263</v>
      </c>
      <c r="AP170" s="24">
        <v>3347940</v>
      </c>
      <c r="AQ170" s="24"/>
      <c r="AR170" s="461">
        <f t="shared" si="126"/>
        <v>1.0283774726821675E-2</v>
      </c>
      <c r="AS170" s="25"/>
      <c r="AT170" s="25"/>
      <c r="AU170" s="24"/>
      <c r="AV170" s="298">
        <f t="shared" si="127"/>
        <v>0.50260321002270014</v>
      </c>
      <c r="AW170" s="298"/>
      <c r="AX170" s="24">
        <f t="shared" si="128"/>
        <v>20794.658385093167</v>
      </c>
      <c r="AY170" s="308"/>
      <c r="AZ170" s="10"/>
      <c r="BA170" s="65">
        <f t="shared" si="129"/>
        <v>839920</v>
      </c>
      <c r="BB170" s="66"/>
      <c r="BC170" s="66">
        <v>79472486</v>
      </c>
      <c r="BD170" s="66"/>
      <c r="BE170" s="66">
        <f t="shared" si="130"/>
        <v>46006</v>
      </c>
      <c r="BF170" s="66"/>
      <c r="BG170" s="144">
        <f t="shared" si="131"/>
        <v>5.4774264215639586E-2</v>
      </c>
      <c r="BH170" s="66"/>
      <c r="BI170" s="170"/>
      <c r="BJ170" s="66"/>
      <c r="BK170" s="66">
        <f t="shared" si="132"/>
        <v>5604154</v>
      </c>
      <c r="BL170" s="66"/>
      <c r="BM170" s="144">
        <f t="shared" si="133"/>
        <v>5.3398425525065872E-2</v>
      </c>
      <c r="BN170" s="65">
        <f t="shared" si="134"/>
        <v>493617.92546583852</v>
      </c>
      <c r="BO170" s="66"/>
      <c r="BP170" s="66">
        <f t="shared" si="135"/>
        <v>5754221</v>
      </c>
      <c r="BQ170" s="66"/>
      <c r="BR170" s="435">
        <f t="shared" si="136"/>
        <v>7.2405196938220853E-2</v>
      </c>
      <c r="BS170" s="66"/>
      <c r="BT170" s="75"/>
      <c r="BU170" s="170"/>
      <c r="BV170" s="1"/>
      <c r="BW170" s="61">
        <f t="shared" si="53"/>
        <v>161</v>
      </c>
    </row>
    <row r="171" spans="2:75" x14ac:dyDescent="0.3">
      <c r="B171" s="158">
        <f t="shared" si="52"/>
        <v>44071</v>
      </c>
      <c r="C171" s="61"/>
      <c r="D171" s="17">
        <v>49601</v>
      </c>
      <c r="E171" s="16"/>
      <c r="F171" s="16"/>
      <c r="G171" s="16"/>
      <c r="H171" s="16">
        <f t="shared" si="115"/>
        <v>6710800</v>
      </c>
      <c r="I171" s="16"/>
      <c r="J171" s="436">
        <f t="shared" si="116"/>
        <v>7.4462570477176852E-3</v>
      </c>
      <c r="K171" s="16"/>
      <c r="L171" s="16"/>
      <c r="M171" s="16"/>
      <c r="N171" s="16">
        <f t="shared" si="117"/>
        <v>298373</v>
      </c>
      <c r="O171" s="16">
        <f t="shared" si="137"/>
        <v>41424.691358024691</v>
      </c>
      <c r="P171" s="41"/>
      <c r="Q171" s="17">
        <f t="shared" si="118"/>
        <v>298373</v>
      </c>
      <c r="R171" s="16"/>
      <c r="S171" s="60">
        <f t="shared" si="119"/>
        <v>-5.5147757356200998E-2</v>
      </c>
      <c r="T171" s="16"/>
      <c r="U171" s="41"/>
      <c r="V171" s="10">
        <f t="shared" si="109"/>
        <v>63</v>
      </c>
      <c r="W171" s="34">
        <v>1105</v>
      </c>
      <c r="X171" s="33"/>
      <c r="Y171" s="33"/>
      <c r="Z171" s="33"/>
      <c r="AA171" s="33">
        <f t="shared" si="120"/>
        <v>188652</v>
      </c>
      <c r="AB171" s="33"/>
      <c r="AC171" s="46">
        <f t="shared" si="121"/>
        <v>2.8111700542409249E-2</v>
      </c>
      <c r="AD171" s="33"/>
      <c r="AE171" s="33">
        <f t="shared" si="122"/>
        <v>1164.5185185185185</v>
      </c>
      <c r="AF171" s="50"/>
      <c r="AG171" s="33">
        <f t="shared" si="123"/>
        <v>6732</v>
      </c>
      <c r="AH171" s="33">
        <f>SUM(D142:D809)</f>
        <v>892153315.34662843</v>
      </c>
      <c r="AI171" s="213">
        <f t="shared" si="124"/>
        <v>-5.0627556056973631E-2</v>
      </c>
      <c r="AJ171" s="50"/>
      <c r="AK171" s="10"/>
      <c r="AL171" s="23">
        <f t="shared" si="125"/>
        <v>27898</v>
      </c>
      <c r="AM171" s="24"/>
      <c r="AN171" s="24"/>
      <c r="AO171" s="24">
        <v>178263</v>
      </c>
      <c r="AP171" s="24">
        <v>3375838</v>
      </c>
      <c r="AQ171" s="24"/>
      <c r="AR171" s="461">
        <f t="shared" si="126"/>
        <v>8.3328852966301666E-3</v>
      </c>
      <c r="AS171" s="25"/>
      <c r="AT171" s="25"/>
      <c r="AU171" s="24"/>
      <c r="AV171" s="298">
        <f t="shared" si="127"/>
        <v>0.50304553853489897</v>
      </c>
      <c r="AW171" s="298"/>
      <c r="AX171" s="24">
        <f t="shared" si="128"/>
        <v>20838.506172839505</v>
      </c>
      <c r="AY171" s="308"/>
      <c r="AZ171" s="10"/>
      <c r="BA171" s="65">
        <f t="shared" si="129"/>
        <v>827184</v>
      </c>
      <c r="BB171" s="66"/>
      <c r="BC171" s="66">
        <v>80299670</v>
      </c>
      <c r="BD171" s="66"/>
      <c r="BE171" s="66">
        <f t="shared" si="130"/>
        <v>49601</v>
      </c>
      <c r="BF171" s="66"/>
      <c r="BG171" s="144">
        <f t="shared" si="131"/>
        <v>5.9963684017098978E-2</v>
      </c>
      <c r="BH171" s="66"/>
      <c r="BI171" s="170"/>
      <c r="BJ171" s="66"/>
      <c r="BK171" s="66">
        <f t="shared" si="132"/>
        <v>5581090</v>
      </c>
      <c r="BL171" s="66"/>
      <c r="BM171" s="144">
        <f t="shared" si="133"/>
        <v>5.346142061855301E-2</v>
      </c>
      <c r="BN171" s="65">
        <f t="shared" si="134"/>
        <v>495676.97530864197</v>
      </c>
      <c r="BO171" s="66"/>
      <c r="BP171" s="66">
        <f t="shared" si="135"/>
        <v>5803822</v>
      </c>
      <c r="BQ171" s="66"/>
      <c r="BR171" s="435">
        <f t="shared" si="136"/>
        <v>7.2277034264275314E-2</v>
      </c>
      <c r="BS171" s="66"/>
      <c r="BT171" s="75"/>
      <c r="BU171" s="170"/>
      <c r="BV171" s="1"/>
      <c r="BW171" s="61">
        <f t="shared" si="53"/>
        <v>162</v>
      </c>
    </row>
    <row r="172" spans="2:75" x14ac:dyDescent="0.3">
      <c r="B172" s="158">
        <f t="shared" si="52"/>
        <v>44072</v>
      </c>
      <c r="C172" s="61"/>
      <c r="D172" s="17">
        <v>42660</v>
      </c>
      <c r="E172" s="16"/>
      <c r="F172" s="16"/>
      <c r="G172" s="16"/>
      <c r="H172" s="16">
        <f t="shared" si="115"/>
        <v>6753460</v>
      </c>
      <c r="I172" s="16"/>
      <c r="J172" s="436">
        <f t="shared" si="116"/>
        <v>6.3569172080824941E-3</v>
      </c>
      <c r="K172" s="16"/>
      <c r="L172" s="16"/>
      <c r="M172" s="16"/>
      <c r="N172" s="16">
        <f t="shared" si="117"/>
        <v>297204</v>
      </c>
      <c r="O172" s="16">
        <f t="shared" si="137"/>
        <v>41432.269938650308</v>
      </c>
      <c r="P172" s="41"/>
      <c r="Q172" s="17">
        <f t="shared" si="118"/>
        <v>297204</v>
      </c>
      <c r="R172" s="16"/>
      <c r="S172" s="60">
        <f t="shared" si="119"/>
        <v>-2.9043365763458284E-2</v>
      </c>
      <c r="T172" s="16"/>
      <c r="U172" s="41"/>
      <c r="V172" s="10">
        <f t="shared" si="109"/>
        <v>64</v>
      </c>
      <c r="W172" s="34">
        <v>954</v>
      </c>
      <c r="X172" s="33"/>
      <c r="Y172" s="33"/>
      <c r="Z172" s="33"/>
      <c r="AA172" s="33">
        <f t="shared" si="120"/>
        <v>189606</v>
      </c>
      <c r="AB172" s="33"/>
      <c r="AC172" s="46">
        <f t="shared" si="121"/>
        <v>2.8075386542601867E-2</v>
      </c>
      <c r="AD172" s="33"/>
      <c r="AE172" s="33">
        <f t="shared" si="122"/>
        <v>1163.2269938650306</v>
      </c>
      <c r="AF172" s="50"/>
      <c r="AG172" s="33">
        <f t="shared" si="123"/>
        <v>6712</v>
      </c>
      <c r="AH172" s="33">
        <f>SUM(D143:D810)</f>
        <v>892084746.34662843</v>
      </c>
      <c r="AI172" s="213">
        <f t="shared" si="124"/>
        <v>-4.0320274521018017E-2</v>
      </c>
      <c r="AJ172" s="50"/>
      <c r="AK172" s="10"/>
      <c r="AL172" s="23">
        <f t="shared" si="125"/>
        <v>32961</v>
      </c>
      <c r="AM172" s="24"/>
      <c r="AN172" s="24"/>
      <c r="AO172" s="24">
        <v>178263</v>
      </c>
      <c r="AP172" s="24">
        <v>3408799</v>
      </c>
      <c r="AQ172" s="24"/>
      <c r="AR172" s="461">
        <f t="shared" si="126"/>
        <v>9.7637979073640375E-3</v>
      </c>
      <c r="AS172" s="25"/>
      <c r="AT172" s="25"/>
      <c r="AU172" s="24"/>
      <c r="AV172" s="298">
        <f t="shared" si="127"/>
        <v>0.50474852890222199</v>
      </c>
      <c r="AW172" s="298"/>
      <c r="AX172" s="24">
        <f t="shared" si="128"/>
        <v>20912.877300613498</v>
      </c>
      <c r="AY172" s="308"/>
      <c r="AZ172" s="10"/>
      <c r="BA172" s="65">
        <f t="shared" si="129"/>
        <v>802727</v>
      </c>
      <c r="BB172" s="66"/>
      <c r="BC172" s="66">
        <v>81102397</v>
      </c>
      <c r="BD172" s="66"/>
      <c r="BE172" s="66">
        <f t="shared" si="130"/>
        <v>42660</v>
      </c>
      <c r="BF172" s="66"/>
      <c r="BG172" s="144">
        <f t="shared" si="131"/>
        <v>5.3143845915236437E-2</v>
      </c>
      <c r="BH172" s="66"/>
      <c r="BI172" s="170"/>
      <c r="BJ172" s="66"/>
      <c r="BK172" s="66">
        <f t="shared" si="132"/>
        <v>5627222</v>
      </c>
      <c r="BL172" s="66"/>
      <c r="BM172" s="144">
        <f t="shared" si="133"/>
        <v>5.2815403408644622E-2</v>
      </c>
      <c r="BN172" s="65">
        <f t="shared" si="134"/>
        <v>497560.71779141104</v>
      </c>
      <c r="BO172" s="66"/>
      <c r="BP172" s="66">
        <f t="shared" si="135"/>
        <v>5846482</v>
      </c>
      <c r="BQ172" s="66"/>
      <c r="BR172" s="435">
        <f t="shared" si="136"/>
        <v>7.208765975190598E-2</v>
      </c>
      <c r="BS172" s="66"/>
      <c r="BT172" s="75"/>
      <c r="BU172" s="170"/>
      <c r="BV172" s="1"/>
      <c r="BW172" s="61">
        <f t="shared" si="53"/>
        <v>163</v>
      </c>
    </row>
    <row r="173" spans="2:75" x14ac:dyDescent="0.3">
      <c r="B173" s="347">
        <f t="shared" si="52"/>
        <v>44073</v>
      </c>
      <c r="C173" s="61"/>
      <c r="D173" s="17">
        <v>33981</v>
      </c>
      <c r="E173" s="16"/>
      <c r="F173" s="16"/>
      <c r="G173" s="16"/>
      <c r="H173" s="16">
        <f t="shared" si="115"/>
        <v>6787441</v>
      </c>
      <c r="I173" s="16"/>
      <c r="J173" s="436">
        <f t="shared" si="116"/>
        <v>5.0316430392717219E-3</v>
      </c>
      <c r="K173" s="16"/>
      <c r="L173" s="16"/>
      <c r="M173" s="16"/>
      <c r="N173" s="16">
        <f t="shared" si="117"/>
        <v>298467</v>
      </c>
      <c r="O173" s="16">
        <f t="shared" si="137"/>
        <v>41386.835365853658</v>
      </c>
      <c r="P173" s="41"/>
      <c r="Q173" s="17">
        <f t="shared" si="118"/>
        <v>298467</v>
      </c>
      <c r="R173" s="16"/>
      <c r="S173" s="60">
        <f t="shared" si="119"/>
        <v>-1.1597216932863969E-2</v>
      </c>
      <c r="T173" s="16"/>
      <c r="U173" s="41"/>
      <c r="V173" s="10">
        <f t="shared" si="109"/>
        <v>65</v>
      </c>
      <c r="W173" s="34">
        <v>369</v>
      </c>
      <c r="X173" s="33"/>
      <c r="Y173" s="33"/>
      <c r="Z173" s="33"/>
      <c r="AA173" s="33">
        <f t="shared" si="120"/>
        <v>189975</v>
      </c>
      <c r="AB173" s="33"/>
      <c r="AC173" s="46">
        <f t="shared" si="121"/>
        <v>2.7989193570890709E-2</v>
      </c>
      <c r="AD173" s="33"/>
      <c r="AE173" s="33">
        <f t="shared" si="122"/>
        <v>1158.3841463414635</v>
      </c>
      <c r="AF173" s="50"/>
      <c r="AG173" s="33">
        <f t="shared" si="123"/>
        <v>6651</v>
      </c>
      <c r="AH173" s="33">
        <f>SUM(D144:D811)</f>
        <v>892013663.34662843</v>
      </c>
      <c r="AI173" s="213">
        <f t="shared" si="124"/>
        <v>-3.6366270646189511E-2</v>
      </c>
      <c r="AJ173" s="50"/>
      <c r="AK173" s="10"/>
      <c r="AL173" s="23">
        <f t="shared" si="125"/>
        <v>16924</v>
      </c>
      <c r="AM173" s="24"/>
      <c r="AN173" s="24"/>
      <c r="AO173" s="24">
        <v>178263</v>
      </c>
      <c r="AP173" s="24">
        <v>3425723</v>
      </c>
      <c r="AQ173" s="24"/>
      <c r="AR173" s="461">
        <f t="shared" si="126"/>
        <v>4.9647984524754905E-3</v>
      </c>
      <c r="AS173" s="25"/>
      <c r="AT173" s="25"/>
      <c r="AU173" s="24"/>
      <c r="AV173" s="298">
        <f t="shared" si="127"/>
        <v>0.50471495811160638</v>
      </c>
      <c r="AW173" s="298"/>
      <c r="AX173" s="24">
        <f t="shared" si="128"/>
        <v>20888.554878048781</v>
      </c>
      <c r="AY173" s="308"/>
      <c r="AZ173" s="348"/>
      <c r="BA173" s="65">
        <f t="shared" si="129"/>
        <v>727682</v>
      </c>
      <c r="BB173" s="66"/>
      <c r="BC173" s="66">
        <v>81830079</v>
      </c>
      <c r="BD173" s="66"/>
      <c r="BE173" s="66">
        <f t="shared" si="130"/>
        <v>33981</v>
      </c>
      <c r="BF173" s="66"/>
      <c r="BG173" s="144">
        <f t="shared" si="131"/>
        <v>4.6697595927891578E-2</v>
      </c>
      <c r="BH173" s="66"/>
      <c r="BI173" s="170"/>
      <c r="BJ173" s="66"/>
      <c r="BK173" s="66">
        <f t="shared" si="132"/>
        <v>5670701</v>
      </c>
      <c r="BL173" s="66"/>
      <c r="BM173" s="144">
        <f t="shared" si="133"/>
        <v>5.2633175334054823E-2</v>
      </c>
      <c r="BN173" s="65">
        <f t="shared" si="134"/>
        <v>498963.89634146343</v>
      </c>
      <c r="BO173" s="66"/>
      <c r="BP173" s="66">
        <f t="shared" si="135"/>
        <v>5880463</v>
      </c>
      <c r="BQ173" s="66"/>
      <c r="BR173" s="435">
        <f t="shared" si="136"/>
        <v>7.1861876120148924E-2</v>
      </c>
      <c r="BS173" s="66"/>
      <c r="BT173" s="75"/>
      <c r="BU173" s="170"/>
      <c r="BV173" s="1"/>
      <c r="BW173" s="61">
        <f t="shared" si="53"/>
        <v>164</v>
      </c>
    </row>
    <row r="174" spans="2:75" x14ac:dyDescent="0.3">
      <c r="B174" s="158">
        <f t="shared" si="52"/>
        <v>44074</v>
      </c>
      <c r="C174" s="61"/>
      <c r="D174" s="17">
        <v>38560</v>
      </c>
      <c r="E174" s="16"/>
      <c r="F174" s="16"/>
      <c r="G174" s="16"/>
      <c r="H174" s="16">
        <f t="shared" si="115"/>
        <v>6826001</v>
      </c>
      <c r="I174" s="16"/>
      <c r="J174" s="436">
        <f t="shared" si="116"/>
        <v>5.6810806900568266E-3</v>
      </c>
      <c r="K174" s="16"/>
      <c r="L174" s="16"/>
      <c r="M174" s="16"/>
      <c r="N174" s="426">
        <f>SUM(D144:D174)</f>
        <v>1493931</v>
      </c>
      <c r="O174" s="16">
        <f t="shared" si="137"/>
        <v>41369.703030303033</v>
      </c>
      <c r="P174" s="41"/>
      <c r="Q174" s="17">
        <f t="shared" si="118"/>
        <v>295543</v>
      </c>
      <c r="R174" s="16"/>
      <c r="S174" s="60">
        <f t="shared" si="119"/>
        <v>-2.4098454304403962E-2</v>
      </c>
      <c r="T174" s="16"/>
      <c r="U174" s="41"/>
      <c r="V174" s="10">
        <f t="shared" si="109"/>
        <v>66</v>
      </c>
      <c r="W174" s="34">
        <v>512</v>
      </c>
      <c r="X174" s="33"/>
      <c r="Y174" s="33"/>
      <c r="Z174" s="33"/>
      <c r="AA174" s="33">
        <f t="shared" si="120"/>
        <v>190487</v>
      </c>
      <c r="AB174" s="33"/>
      <c r="AC174" s="46">
        <f t="shared" si="121"/>
        <v>2.7906090256945466E-2</v>
      </c>
      <c r="AD174" s="33"/>
      <c r="AE174" s="33">
        <f t="shared" si="122"/>
        <v>1154.4666666666667</v>
      </c>
      <c r="AF174" s="50"/>
      <c r="AG174" s="33">
        <f t="shared" si="123"/>
        <v>6653</v>
      </c>
      <c r="AH174" s="33">
        <f>SUM(D145:D812)</f>
        <v>891955122.34662843</v>
      </c>
      <c r="AI174" s="213">
        <f t="shared" si="124"/>
        <v>-2.4915726220137768E-2</v>
      </c>
      <c r="AJ174" s="50"/>
      <c r="AK174" s="10"/>
      <c r="AL174" s="23">
        <f t="shared" si="125"/>
        <v>30540</v>
      </c>
      <c r="AM174" s="24"/>
      <c r="AN174" s="24"/>
      <c r="AO174" s="24">
        <v>178263</v>
      </c>
      <c r="AP174" s="24">
        <v>3456263</v>
      </c>
      <c r="AQ174" s="24"/>
      <c r="AR174" s="461">
        <f t="shared" si="126"/>
        <v>8.9149064299711336E-3</v>
      </c>
      <c r="AS174" s="25"/>
      <c r="AT174" s="25"/>
      <c r="AU174" s="24"/>
      <c r="AV174" s="298">
        <f t="shared" si="127"/>
        <v>0.50633789828041342</v>
      </c>
      <c r="AW174" s="298"/>
      <c r="AX174" s="24">
        <f t="shared" si="128"/>
        <v>20947.048484848485</v>
      </c>
      <c r="AY174" s="308"/>
      <c r="AZ174" s="10"/>
      <c r="BA174" s="65">
        <f t="shared" si="129"/>
        <v>794762</v>
      </c>
      <c r="BB174" s="66"/>
      <c r="BC174" s="66">
        <v>82624841</v>
      </c>
      <c r="BD174" s="66"/>
      <c r="BE174" s="66">
        <f t="shared" si="130"/>
        <v>38560</v>
      </c>
      <c r="BF174" s="66"/>
      <c r="BG174" s="144">
        <f t="shared" si="131"/>
        <v>4.8517669440662742E-2</v>
      </c>
      <c r="BH174" s="66"/>
      <c r="BI174" s="170"/>
      <c r="BJ174" s="66"/>
      <c r="BK174" s="66">
        <f t="shared" si="132"/>
        <v>5741362</v>
      </c>
      <c r="BL174" s="66"/>
      <c r="BM174" s="144">
        <f t="shared" si="133"/>
        <v>5.147611315921205E-2</v>
      </c>
      <c r="BN174" s="65">
        <f t="shared" si="134"/>
        <v>500756.61212121212</v>
      </c>
      <c r="BO174" s="66"/>
      <c r="BP174" s="66">
        <f t="shared" si="135"/>
        <v>5919023</v>
      </c>
      <c r="BQ174" s="66"/>
      <c r="BR174" s="435">
        <f t="shared" si="136"/>
        <v>7.1637329988931533E-2</v>
      </c>
      <c r="BS174" s="66"/>
      <c r="BT174" s="75"/>
      <c r="BU174" s="170"/>
      <c r="BV174" s="1"/>
      <c r="BW174" s="61">
        <f t="shared" si="53"/>
        <v>165</v>
      </c>
    </row>
    <row r="175" spans="2:75" x14ac:dyDescent="0.3">
      <c r="B175" s="158">
        <f t="shared" si="52"/>
        <v>44075</v>
      </c>
      <c r="C175" s="61"/>
      <c r="D175" s="17">
        <v>41979</v>
      </c>
      <c r="E175" s="16"/>
      <c r="F175" s="16"/>
      <c r="G175" s="16"/>
      <c r="H175" s="16">
        <f t="shared" si="115"/>
        <v>6867980</v>
      </c>
      <c r="I175" s="16"/>
      <c r="J175" s="436">
        <f t="shared" si="116"/>
        <v>6.1498672502391955E-3</v>
      </c>
      <c r="K175" s="16"/>
      <c r="L175" s="16"/>
      <c r="M175" s="16"/>
      <c r="N175" s="16">
        <f t="shared" si="117"/>
        <v>297424</v>
      </c>
      <c r="O175" s="16">
        <f t="shared" si="137"/>
        <v>41373.373493975902</v>
      </c>
      <c r="P175" s="41"/>
      <c r="Q175" s="17">
        <f t="shared" si="118"/>
        <v>297424</v>
      </c>
      <c r="R175" s="16"/>
      <c r="S175" s="60">
        <f t="shared" si="119"/>
        <v>-5.0712517562052587E-3</v>
      </c>
      <c r="T175" s="16"/>
      <c r="U175" s="41"/>
      <c r="V175" s="10">
        <f t="shared" si="109"/>
        <v>67</v>
      </c>
      <c r="W175" s="34">
        <v>1164</v>
      </c>
      <c r="X175" s="33"/>
      <c r="Y175" s="33"/>
      <c r="Z175" s="33"/>
      <c r="AA175" s="33">
        <f t="shared" si="120"/>
        <v>191651</v>
      </c>
      <c r="AB175" s="33"/>
      <c r="AC175" s="46">
        <f t="shared" si="121"/>
        <v>2.7905002635418275E-2</v>
      </c>
      <c r="AD175" s="33"/>
      <c r="AE175" s="33">
        <f t="shared" si="122"/>
        <v>1154.5240963855422</v>
      </c>
      <c r="AF175" s="50"/>
      <c r="AG175" s="33">
        <f t="shared" si="123"/>
        <v>6527</v>
      </c>
      <c r="AH175" s="33">
        <f>SUM(D146:D813)</f>
        <v>891906084.34662843</v>
      </c>
      <c r="AI175" s="213">
        <f t="shared" si="124"/>
        <v>-3.3752775721687639E-2</v>
      </c>
      <c r="AJ175" s="50"/>
      <c r="AK175" s="10"/>
      <c r="AL175" s="23">
        <f t="shared" si="125"/>
        <v>40650</v>
      </c>
      <c r="AM175" s="24"/>
      <c r="AN175" s="24"/>
      <c r="AO175" s="24">
        <v>178263</v>
      </c>
      <c r="AP175" s="24">
        <v>3496913</v>
      </c>
      <c r="AQ175" s="24"/>
      <c r="AR175" s="461">
        <f t="shared" si="126"/>
        <v>1.1761257751507916E-2</v>
      </c>
      <c r="AS175" s="25"/>
      <c r="AT175" s="25"/>
      <c r="AU175" s="24"/>
      <c r="AV175" s="298">
        <f t="shared" si="127"/>
        <v>0.50916179138553108</v>
      </c>
      <c r="AW175" s="298"/>
      <c r="AX175" s="24">
        <f t="shared" si="128"/>
        <v>21065.74096385542</v>
      </c>
      <c r="AY175" s="308"/>
      <c r="AZ175" s="10"/>
      <c r="BA175" s="65">
        <f t="shared" si="129"/>
        <v>725278</v>
      </c>
      <c r="BB175" s="66"/>
      <c r="BC175" s="66">
        <v>83350119</v>
      </c>
      <c r="BD175" s="66"/>
      <c r="BE175" s="66">
        <f t="shared" si="130"/>
        <v>41979</v>
      </c>
      <c r="BF175" s="66"/>
      <c r="BG175" s="144">
        <f t="shared" si="131"/>
        <v>5.7879875027230937E-2</v>
      </c>
      <c r="BH175" s="66"/>
      <c r="BI175" s="170"/>
      <c r="BJ175" s="66"/>
      <c r="BK175" s="66">
        <f t="shared" si="132"/>
        <v>5418712</v>
      </c>
      <c r="BL175" s="66"/>
      <c r="BM175" s="144">
        <f t="shared" si="133"/>
        <v>5.4888320324091779E-2</v>
      </c>
      <c r="BN175" s="65">
        <f t="shared" si="134"/>
        <v>502109.15060240962</v>
      </c>
      <c r="BO175" s="66"/>
      <c r="BP175" s="66">
        <f t="shared" si="135"/>
        <v>5961002</v>
      </c>
      <c r="BQ175" s="66"/>
      <c r="BR175" s="435">
        <f t="shared" si="136"/>
        <v>7.1517618349171169E-2</v>
      </c>
      <c r="BS175" s="66"/>
      <c r="BT175" s="75"/>
      <c r="BU175" s="170"/>
      <c r="BV175" s="1"/>
      <c r="BW175" s="61">
        <f t="shared" si="53"/>
        <v>166</v>
      </c>
    </row>
    <row r="176" spans="2:75" x14ac:dyDescent="0.3">
      <c r="B176" s="158">
        <f t="shared" si="52"/>
        <v>44076</v>
      </c>
      <c r="C176" s="61"/>
      <c r="D176" s="17">
        <v>41211</v>
      </c>
      <c r="E176" s="16"/>
      <c r="F176" s="16"/>
      <c r="G176" s="16"/>
      <c r="H176" s="16">
        <f t="shared" si="115"/>
        <v>6909191</v>
      </c>
      <c r="I176" s="16"/>
      <c r="J176" s="436">
        <f t="shared" si="116"/>
        <v>6.0004542820450849E-3</v>
      </c>
      <c r="K176" s="16"/>
      <c r="L176" s="16"/>
      <c r="M176" s="16"/>
      <c r="N176" s="16">
        <f t="shared" si="117"/>
        <v>293998</v>
      </c>
      <c r="O176" s="16">
        <f t="shared" si="137"/>
        <v>41372.401197604791</v>
      </c>
      <c r="P176" s="41"/>
      <c r="Q176" s="17">
        <f t="shared" si="118"/>
        <v>293998</v>
      </c>
      <c r="R176" s="16"/>
      <c r="S176" s="60">
        <f t="shared" si="119"/>
        <v>-1.5425111518934777E-2</v>
      </c>
      <c r="T176" s="16"/>
      <c r="U176" s="41"/>
      <c r="V176" s="10">
        <f t="shared" si="109"/>
        <v>68</v>
      </c>
      <c r="W176" s="34">
        <v>1090</v>
      </c>
      <c r="X176" s="33"/>
      <c r="Y176" s="33"/>
      <c r="Z176" s="33"/>
      <c r="AA176" s="33">
        <f t="shared" si="120"/>
        <v>192741</v>
      </c>
      <c r="AB176" s="33"/>
      <c r="AC176" s="46">
        <f t="shared" si="121"/>
        <v>2.7896319554633821E-2</v>
      </c>
      <c r="AD176" s="33"/>
      <c r="AE176" s="33">
        <f t="shared" si="122"/>
        <v>1154.1377245508982</v>
      </c>
      <c r="AF176" s="50"/>
      <c r="AG176" s="33">
        <f t="shared" si="123"/>
        <v>6337</v>
      </c>
      <c r="AH176" s="33">
        <f>SUM(D147:D814)</f>
        <v>891857438.34662843</v>
      </c>
      <c r="AI176" s="213">
        <f t="shared" si="124"/>
        <v>-6.1324248259517107E-2</v>
      </c>
      <c r="AJ176" s="50"/>
      <c r="AK176" s="10"/>
      <c r="AL176" s="23">
        <f t="shared" si="125"/>
        <v>50119</v>
      </c>
      <c r="AM176" s="24"/>
      <c r="AN176" s="24"/>
      <c r="AO176" s="24">
        <v>178263</v>
      </c>
      <c r="AP176" s="24">
        <v>3547032</v>
      </c>
      <c r="AQ176" s="24"/>
      <c r="AR176" s="461">
        <f t="shared" si="126"/>
        <v>1.4332355423197546E-2</v>
      </c>
      <c r="AS176" s="25"/>
      <c r="AT176" s="25"/>
      <c r="AU176" s="24"/>
      <c r="AV176" s="298">
        <f t="shared" si="127"/>
        <v>0.51337877328908699</v>
      </c>
      <c r="AW176" s="298"/>
      <c r="AX176" s="24">
        <f t="shared" si="128"/>
        <v>21239.712574850299</v>
      </c>
      <c r="AY176" s="308"/>
      <c r="AZ176" s="10"/>
      <c r="BA176" s="65">
        <f t="shared" si="129"/>
        <v>748292</v>
      </c>
      <c r="BB176" s="66"/>
      <c r="BC176" s="66">
        <v>84098411</v>
      </c>
      <c r="BD176" s="66"/>
      <c r="BE176" s="66">
        <f t="shared" si="130"/>
        <v>41211</v>
      </c>
      <c r="BF176" s="66"/>
      <c r="BG176" s="144">
        <f t="shared" si="131"/>
        <v>5.5073420536368156E-2</v>
      </c>
      <c r="BH176" s="66"/>
      <c r="BI176" s="170"/>
      <c r="BJ176" s="66"/>
      <c r="BK176" s="66">
        <f t="shared" si="132"/>
        <v>5465845</v>
      </c>
      <c r="BL176" s="66"/>
      <c r="BM176" s="144">
        <f t="shared" si="133"/>
        <v>5.3788206581050137E-2</v>
      </c>
      <c r="BN176" s="65">
        <f t="shared" si="134"/>
        <v>503583.29940119758</v>
      </c>
      <c r="BO176" s="66"/>
      <c r="BP176" s="66">
        <f t="shared" si="135"/>
        <v>6002213</v>
      </c>
      <c r="BQ176" s="66"/>
      <c r="BR176" s="435">
        <f t="shared" si="136"/>
        <v>7.137130093932452E-2</v>
      </c>
      <c r="BS176" s="66"/>
      <c r="BT176" s="75"/>
      <c r="BU176" s="170"/>
      <c r="BV176" s="1"/>
      <c r="BW176" s="61">
        <f t="shared" si="53"/>
        <v>167</v>
      </c>
    </row>
    <row r="177" spans="2:75" x14ac:dyDescent="0.3">
      <c r="B177" s="158">
        <f t="shared" si="52"/>
        <v>44077</v>
      </c>
      <c r="C177" s="61"/>
      <c r="D177" s="17">
        <v>45464</v>
      </c>
      <c r="E177" s="16"/>
      <c r="F177" s="16"/>
      <c r="G177" s="16"/>
      <c r="H177" s="16">
        <f t="shared" si="115"/>
        <v>6954655</v>
      </c>
      <c r="I177" s="16"/>
      <c r="J177" s="436">
        <f t="shared" si="116"/>
        <v>6.5802204628588211E-3</v>
      </c>
      <c r="K177" s="16"/>
      <c r="L177" s="16"/>
      <c r="M177" s="16"/>
      <c r="N177" s="16">
        <f t="shared" si="117"/>
        <v>293456</v>
      </c>
      <c r="O177" s="16">
        <f t="shared" si="137"/>
        <v>41396.755952380954</v>
      </c>
      <c r="P177" s="41"/>
      <c r="Q177" s="17">
        <f t="shared" si="118"/>
        <v>293456</v>
      </c>
      <c r="R177" s="16"/>
      <c r="S177" s="60">
        <f t="shared" si="119"/>
        <v>-1.937156853899543E-2</v>
      </c>
      <c r="T177" s="16"/>
      <c r="U177" s="41"/>
      <c r="V177" s="10">
        <f t="shared" si="109"/>
        <v>69</v>
      </c>
      <c r="W177" s="34">
        <v>1114</v>
      </c>
      <c r="X177" s="33"/>
      <c r="Y177" s="33"/>
      <c r="Z177" s="33"/>
      <c r="AA177" s="33">
        <f t="shared" si="120"/>
        <v>193855</v>
      </c>
      <c r="AB177" s="33"/>
      <c r="AC177" s="46">
        <f t="shared" si="121"/>
        <v>2.787413610020914E-2</v>
      </c>
      <c r="AD177" s="33"/>
      <c r="AE177" s="33">
        <f t="shared" si="122"/>
        <v>1153.8988095238096</v>
      </c>
      <c r="AF177" s="50"/>
      <c r="AG177" s="33">
        <f t="shared" si="123"/>
        <v>6308</v>
      </c>
      <c r="AH177" s="33">
        <f>SUM(D148:D815)</f>
        <v>891802874.34662843</v>
      </c>
      <c r="AI177" s="213">
        <f t="shared" si="124"/>
        <v>-7.1943504487273796E-2</v>
      </c>
      <c r="AJ177" s="50"/>
      <c r="AK177" s="10"/>
      <c r="AL177" s="23">
        <f t="shared" si="125"/>
        <v>28064</v>
      </c>
      <c r="AM177" s="24"/>
      <c r="AN177" s="24"/>
      <c r="AO177" s="24">
        <v>178263</v>
      </c>
      <c r="AP177" s="24">
        <v>3575096</v>
      </c>
      <c r="AQ177" s="24"/>
      <c r="AR177" s="461">
        <f t="shared" si="126"/>
        <v>7.9119669628015758E-3</v>
      </c>
      <c r="AS177" s="25"/>
      <c r="AT177" s="25"/>
      <c r="AU177" s="24"/>
      <c r="AV177" s="298">
        <f t="shared" si="127"/>
        <v>0.51405799424989451</v>
      </c>
      <c r="AW177" s="298"/>
      <c r="AX177" s="24">
        <f t="shared" si="128"/>
        <v>21280.333333333332</v>
      </c>
      <c r="AY177" s="308"/>
      <c r="AZ177" s="10"/>
      <c r="BA177" s="65">
        <f t="shared" si="129"/>
        <v>783118</v>
      </c>
      <c r="BB177" s="66"/>
      <c r="BC177" s="66">
        <v>84881529</v>
      </c>
      <c r="BD177" s="66"/>
      <c r="BE177" s="66">
        <f t="shared" si="130"/>
        <v>45464</v>
      </c>
      <c r="BF177" s="66"/>
      <c r="BG177" s="144">
        <f t="shared" si="131"/>
        <v>5.8055107914771462E-2</v>
      </c>
      <c r="BH177" s="66"/>
      <c r="BI177" s="170"/>
      <c r="BJ177" s="66"/>
      <c r="BK177" s="66">
        <f t="shared" si="132"/>
        <v>5409043</v>
      </c>
      <c r="BL177" s="66"/>
      <c r="BM177" s="144">
        <f t="shared" si="133"/>
        <v>5.4252850273144436E-2</v>
      </c>
      <c r="BN177" s="65">
        <f t="shared" si="134"/>
        <v>505247.19642857142</v>
      </c>
      <c r="BO177" s="66"/>
      <c r="BP177" s="66">
        <f t="shared" si="135"/>
        <v>6047677</v>
      </c>
      <c r="BQ177" s="66"/>
      <c r="BR177" s="435">
        <f t="shared" si="136"/>
        <v>7.1248445583490846E-2</v>
      </c>
      <c r="BS177" s="66"/>
      <c r="BT177" s="75"/>
      <c r="BU177" s="170"/>
      <c r="BV177" s="1"/>
      <c r="BW177" s="61">
        <f t="shared" si="53"/>
        <v>168</v>
      </c>
    </row>
    <row r="178" spans="2:75" x14ac:dyDescent="0.3">
      <c r="B178" s="158">
        <f t="shared" si="52"/>
        <v>44078</v>
      </c>
      <c r="C178" s="61"/>
      <c r="D178" s="17">
        <v>52849</v>
      </c>
      <c r="E178" s="16"/>
      <c r="F178" s="16"/>
      <c r="G178" s="16"/>
      <c r="H178" s="16">
        <f t="shared" si="115"/>
        <v>7007504</v>
      </c>
      <c r="I178" s="16"/>
      <c r="J178" s="436">
        <f t="shared" si="116"/>
        <v>7.5990829164063493E-3</v>
      </c>
      <c r="K178" s="16"/>
      <c r="L178" s="16"/>
      <c r="M178" s="16"/>
      <c r="N178" s="16">
        <f t="shared" si="117"/>
        <v>296704</v>
      </c>
      <c r="O178" s="16">
        <f t="shared" si="137"/>
        <v>41464.520710059172</v>
      </c>
      <c r="P178" s="41"/>
      <c r="Q178" s="17">
        <f t="shared" si="118"/>
        <v>296704</v>
      </c>
      <c r="R178" s="16"/>
      <c r="S178" s="60">
        <f t="shared" si="119"/>
        <v>-5.5936696685021771E-3</v>
      </c>
      <c r="T178" s="16"/>
      <c r="U178" s="41"/>
      <c r="V178" s="10">
        <f t="shared" si="109"/>
        <v>70</v>
      </c>
      <c r="W178" s="34">
        <v>1033</v>
      </c>
      <c r="X178" s="33"/>
      <c r="Y178" s="33"/>
      <c r="Z178" s="33"/>
      <c r="AA178" s="33">
        <f t="shared" si="120"/>
        <v>194888</v>
      </c>
      <c r="AB178" s="33"/>
      <c r="AC178" s="46">
        <f t="shared" si="121"/>
        <v>2.7811329112334436E-2</v>
      </c>
      <c r="AD178" s="33"/>
      <c r="AE178" s="33">
        <f t="shared" si="122"/>
        <v>1153.1834319526627</v>
      </c>
      <c r="AF178" s="50"/>
      <c r="AG178" s="33">
        <f t="shared" si="123"/>
        <v>6236</v>
      </c>
      <c r="AH178" s="33">
        <f>SUM(D149:D816)</f>
        <v>891747726.34662843</v>
      </c>
      <c r="AI178" s="213">
        <f t="shared" si="124"/>
        <v>-7.3677956030897204E-2</v>
      </c>
      <c r="AJ178" s="50"/>
      <c r="AK178" s="10"/>
      <c r="AL178" s="23">
        <f t="shared" si="125"/>
        <v>101473</v>
      </c>
      <c r="AM178" s="24"/>
      <c r="AN178" s="24"/>
      <c r="AO178" s="24">
        <v>178263</v>
      </c>
      <c r="AP178" s="24">
        <v>3676569</v>
      </c>
      <c r="AQ178" s="24"/>
      <c r="AR178" s="461">
        <f t="shared" si="126"/>
        <v>2.8383293763300343E-2</v>
      </c>
      <c r="AS178" s="25"/>
      <c r="AT178" s="25"/>
      <c r="AU178" s="24"/>
      <c r="AV178" s="298">
        <f t="shared" si="127"/>
        <v>0.52466170550883739</v>
      </c>
      <c r="AW178" s="298"/>
      <c r="AX178" s="24">
        <f t="shared" si="128"/>
        <v>21754.846153846152</v>
      </c>
      <c r="AY178" s="308"/>
      <c r="AZ178" s="10"/>
      <c r="BA178" s="65">
        <f t="shared" si="129"/>
        <v>1014188</v>
      </c>
      <c r="BB178" s="66"/>
      <c r="BC178" s="66">
        <v>85895717</v>
      </c>
      <c r="BD178" s="66"/>
      <c r="BE178" s="66">
        <f t="shared" si="130"/>
        <v>52849</v>
      </c>
      <c r="BF178" s="66"/>
      <c r="BG178" s="144">
        <f t="shared" si="131"/>
        <v>5.2109668029990494E-2</v>
      </c>
      <c r="BH178" s="66"/>
      <c r="BI178" s="170"/>
      <c r="BJ178" s="66"/>
      <c r="BK178" s="66">
        <f t="shared" si="132"/>
        <v>5596047</v>
      </c>
      <c r="BL178" s="66"/>
      <c r="BM178" s="144">
        <f t="shared" si="133"/>
        <v>5.3020283782462874E-2</v>
      </c>
      <c r="BN178" s="65">
        <f t="shared" si="134"/>
        <v>508258.68047337281</v>
      </c>
      <c r="BO178" s="66"/>
      <c r="BP178" s="66">
        <f t="shared" si="135"/>
        <v>6100526</v>
      </c>
      <c r="BQ178" s="66"/>
      <c r="BR178" s="435">
        <f t="shared" si="136"/>
        <v>7.1022470189054943E-2</v>
      </c>
      <c r="BS178" s="66"/>
      <c r="BT178" s="75"/>
      <c r="BU178" s="170"/>
      <c r="BV178" s="1"/>
      <c r="BW178" s="61">
        <f t="shared" si="53"/>
        <v>169</v>
      </c>
    </row>
    <row r="179" spans="2:75" x14ac:dyDescent="0.3">
      <c r="B179" s="158">
        <f t="shared" si="52"/>
        <v>44079</v>
      </c>
      <c r="C179" s="61"/>
      <c r="D179" s="17">
        <v>42092</v>
      </c>
      <c r="E179" s="16"/>
      <c r="F179" s="16"/>
      <c r="G179" s="16"/>
      <c r="H179" s="16">
        <f t="shared" si="115"/>
        <v>7049596</v>
      </c>
      <c r="I179" s="16"/>
      <c r="J179" s="436">
        <f t="shared" si="116"/>
        <v>6.0067036708077509E-3</v>
      </c>
      <c r="K179" s="16"/>
      <c r="L179" s="16"/>
      <c r="M179" s="16"/>
      <c r="N179" s="16">
        <f t="shared" si="117"/>
        <v>296136</v>
      </c>
      <c r="O179" s="16">
        <f t="shared" si="137"/>
        <v>41468.211764705884</v>
      </c>
      <c r="P179" s="41"/>
      <c r="Q179" s="17">
        <f t="shared" si="118"/>
        <v>296136</v>
      </c>
      <c r="R179" s="16"/>
      <c r="S179" s="60">
        <f t="shared" si="119"/>
        <v>-3.5934913392821092E-3</v>
      </c>
      <c r="T179" s="16"/>
      <c r="U179" s="41"/>
      <c r="V179" s="10">
        <f t="shared" si="109"/>
        <v>71</v>
      </c>
      <c r="W179" s="34">
        <v>707</v>
      </c>
      <c r="X179" s="33"/>
      <c r="Y179" s="33"/>
      <c r="Z179" s="33"/>
      <c r="AA179" s="33">
        <f t="shared" si="120"/>
        <v>195595</v>
      </c>
      <c r="AB179" s="33"/>
      <c r="AC179" s="46">
        <f t="shared" si="121"/>
        <v>2.7745561589628681E-2</v>
      </c>
      <c r="AD179" s="33"/>
      <c r="AE179" s="33">
        <f t="shared" si="122"/>
        <v>1150.5588235294117</v>
      </c>
      <c r="AF179" s="50"/>
      <c r="AG179" s="33">
        <f t="shared" si="123"/>
        <v>5989</v>
      </c>
      <c r="AH179" s="33">
        <f>SUM(D150:D817)</f>
        <v>891689016.34662843</v>
      </c>
      <c r="AI179" s="213">
        <f t="shared" si="124"/>
        <v>-0.10771752085816448</v>
      </c>
      <c r="AJ179" s="50"/>
      <c r="AK179" s="10"/>
      <c r="AL179" s="23">
        <f t="shared" si="125"/>
        <v>30431</v>
      </c>
      <c r="AM179" s="24"/>
      <c r="AN179" s="24"/>
      <c r="AO179" s="24">
        <v>178263</v>
      </c>
      <c r="AP179" s="24">
        <v>3707000</v>
      </c>
      <c r="AQ179" s="24"/>
      <c r="AR179" s="461">
        <f t="shared" si="126"/>
        <v>8.2770104409845158E-3</v>
      </c>
      <c r="AS179" s="25"/>
      <c r="AT179" s="25"/>
      <c r="AU179" s="24"/>
      <c r="AV179" s="298">
        <f t="shared" si="127"/>
        <v>0.52584573640815724</v>
      </c>
      <c r="AW179" s="298"/>
      <c r="AX179" s="24">
        <f t="shared" si="128"/>
        <v>21805.882352941175</v>
      </c>
      <c r="AY179" s="308"/>
      <c r="AZ179" s="10"/>
      <c r="BA179" s="65">
        <f t="shared" si="129"/>
        <v>863485</v>
      </c>
      <c r="BB179" s="66"/>
      <c r="BC179" s="66">
        <v>86759202</v>
      </c>
      <c r="BD179" s="66"/>
      <c r="BE179" s="66">
        <f t="shared" si="130"/>
        <v>42092</v>
      </c>
      <c r="BF179" s="66"/>
      <c r="BG179" s="144">
        <f t="shared" si="131"/>
        <v>4.8746648754755435E-2</v>
      </c>
      <c r="BH179" s="66"/>
      <c r="BI179" s="170"/>
      <c r="BJ179" s="66"/>
      <c r="BK179" s="66">
        <f t="shared" si="132"/>
        <v>5656805</v>
      </c>
      <c r="BL179" s="66"/>
      <c r="BM179" s="144">
        <f t="shared" si="133"/>
        <v>5.2350399209447736E-2</v>
      </c>
      <c r="BN179" s="65">
        <f t="shared" si="134"/>
        <v>510348.24705882353</v>
      </c>
      <c r="BO179" s="66"/>
      <c r="BP179" s="66">
        <f t="shared" si="135"/>
        <v>6142618</v>
      </c>
      <c r="BQ179" s="66"/>
      <c r="BR179" s="435">
        <f t="shared" si="136"/>
        <v>7.0800766470858048E-2</v>
      </c>
      <c r="BS179" s="66"/>
      <c r="BT179" s="75"/>
      <c r="BU179" s="170"/>
      <c r="BV179" s="1"/>
      <c r="BW179" s="61">
        <f t="shared" si="53"/>
        <v>170</v>
      </c>
    </row>
    <row r="180" spans="2:75" x14ac:dyDescent="0.3">
      <c r="B180" s="347">
        <f t="shared" si="52"/>
        <v>44080</v>
      </c>
      <c r="C180" s="61"/>
      <c r="D180" s="17">
        <v>31110</v>
      </c>
      <c r="E180" s="16"/>
      <c r="F180" s="16"/>
      <c r="G180" s="16"/>
      <c r="H180" s="16">
        <f t="shared" si="115"/>
        <v>7080706</v>
      </c>
      <c r="I180" s="16"/>
      <c r="J180" s="436">
        <f t="shared" si="116"/>
        <v>4.41301884533525E-3</v>
      </c>
      <c r="K180" s="16"/>
      <c r="L180" s="16"/>
      <c r="M180" s="16"/>
      <c r="N180" s="16">
        <f t="shared" si="117"/>
        <v>293265</v>
      </c>
      <c r="O180" s="16">
        <f t="shared" si="137"/>
        <v>41407.637426900583</v>
      </c>
      <c r="P180" s="41"/>
      <c r="Q180" s="17">
        <f t="shared" si="118"/>
        <v>293265</v>
      </c>
      <c r="R180" s="16"/>
      <c r="S180" s="60">
        <f t="shared" si="119"/>
        <v>-1.7429062509423152E-2</v>
      </c>
      <c r="T180" s="16"/>
      <c r="U180" s="41"/>
      <c r="V180" s="10">
        <f t="shared" si="109"/>
        <v>72</v>
      </c>
      <c r="W180" s="34">
        <v>430</v>
      </c>
      <c r="X180" s="33"/>
      <c r="Y180" s="33"/>
      <c r="Z180" s="33"/>
      <c r="AA180" s="33">
        <f t="shared" si="120"/>
        <v>196025</v>
      </c>
      <c r="AB180" s="33"/>
      <c r="AC180" s="46">
        <f t="shared" si="121"/>
        <v>2.768438627447602E-2</v>
      </c>
      <c r="AD180" s="33"/>
      <c r="AE180" s="33">
        <f t="shared" si="122"/>
        <v>1146.3450292397661</v>
      </c>
      <c r="AF180" s="50"/>
      <c r="AG180" s="33">
        <f t="shared" si="123"/>
        <v>6050</v>
      </c>
      <c r="AH180" s="33">
        <f>SUM(D151:D818)</f>
        <v>891625770.34662843</v>
      </c>
      <c r="AI180" s="213">
        <f t="shared" si="124"/>
        <v>-9.0362351526086307E-2</v>
      </c>
      <c r="AJ180" s="50"/>
      <c r="AK180" s="10"/>
      <c r="AL180" s="23">
        <f t="shared" si="125"/>
        <v>18970</v>
      </c>
      <c r="AM180" s="24"/>
      <c r="AN180" s="24"/>
      <c r="AO180" s="24">
        <v>178263</v>
      </c>
      <c r="AP180" s="24">
        <v>3725970</v>
      </c>
      <c r="AQ180" s="24"/>
      <c r="AR180" s="461">
        <f t="shared" si="126"/>
        <v>5.1173455624494201E-3</v>
      </c>
      <c r="AS180" s="25"/>
      <c r="AT180" s="25"/>
      <c r="AU180" s="24"/>
      <c r="AV180" s="298">
        <f t="shared" si="127"/>
        <v>0.52621447635306418</v>
      </c>
      <c r="AW180" s="298"/>
      <c r="AX180" s="24">
        <f t="shared" si="128"/>
        <v>21789.298245614034</v>
      </c>
      <c r="AY180" s="308"/>
      <c r="AZ180" s="348"/>
      <c r="BA180" s="65">
        <f t="shared" si="129"/>
        <v>715717</v>
      </c>
      <c r="BB180" s="66"/>
      <c r="BC180" s="66">
        <v>87474919</v>
      </c>
      <c r="BD180" s="66"/>
      <c r="BE180" s="66">
        <f t="shared" si="130"/>
        <v>31110</v>
      </c>
      <c r="BF180" s="66"/>
      <c r="BG180" s="144">
        <f t="shared" si="131"/>
        <v>4.3466901023728653E-2</v>
      </c>
      <c r="BH180" s="66"/>
      <c r="BI180" s="170"/>
      <c r="BJ180" s="66"/>
      <c r="BK180" s="66">
        <f t="shared" si="132"/>
        <v>5644840</v>
      </c>
      <c r="BL180" s="66"/>
      <c r="BM180" s="144">
        <f t="shared" si="133"/>
        <v>5.1952756854047238E-2</v>
      </c>
      <c r="BN180" s="65">
        <f t="shared" si="134"/>
        <v>511549.23391812865</v>
      </c>
      <c r="BO180" s="66"/>
      <c r="BP180" s="66">
        <f t="shared" si="135"/>
        <v>6173728</v>
      </c>
      <c r="BQ180" s="66"/>
      <c r="BR180" s="435">
        <f t="shared" si="136"/>
        <v>7.0577121654722533E-2</v>
      </c>
      <c r="BS180" s="66"/>
      <c r="BT180" s="75"/>
      <c r="BU180" s="170"/>
      <c r="BV180" s="1"/>
      <c r="BW180" s="61">
        <f t="shared" si="53"/>
        <v>171</v>
      </c>
    </row>
    <row r="181" spans="2:75" x14ac:dyDescent="0.3">
      <c r="B181" s="158">
        <f t="shared" si="52"/>
        <v>44081</v>
      </c>
      <c r="C181" s="61"/>
      <c r="D181" s="17">
        <v>25420</v>
      </c>
      <c r="E181" s="16"/>
      <c r="F181" s="16"/>
      <c r="G181" s="16"/>
      <c r="H181" s="16">
        <f t="shared" si="115"/>
        <v>7106126</v>
      </c>
      <c r="I181" s="16"/>
      <c r="J181" s="436">
        <f t="shared" si="116"/>
        <v>3.5900374906118119E-3</v>
      </c>
      <c r="K181" s="16"/>
      <c r="L181" s="16"/>
      <c r="M181" s="16"/>
      <c r="N181" s="16">
        <f t="shared" si="117"/>
        <v>280125</v>
      </c>
      <c r="O181" s="16">
        <f t="shared" si="137"/>
        <v>41314.686046511626</v>
      </c>
      <c r="P181" s="41"/>
      <c r="Q181" s="17">
        <f t="shared" si="118"/>
        <v>280125</v>
      </c>
      <c r="R181" s="16"/>
      <c r="S181" s="60">
        <f t="shared" si="119"/>
        <v>-5.21683815891427E-2</v>
      </c>
      <c r="T181" s="16"/>
      <c r="U181" s="41"/>
      <c r="V181" s="10">
        <f t="shared" si="109"/>
        <v>73</v>
      </c>
      <c r="W181" s="34">
        <v>286</v>
      </c>
      <c r="X181" s="33"/>
      <c r="Y181" s="33"/>
      <c r="Z181" s="33"/>
      <c r="AA181" s="33">
        <f t="shared" si="120"/>
        <v>196311</v>
      </c>
      <c r="AB181" s="33"/>
      <c r="AC181" s="46">
        <f t="shared" si="121"/>
        <v>2.7625600784449925E-2</v>
      </c>
      <c r="AD181" s="33"/>
      <c r="AE181" s="33">
        <f t="shared" si="122"/>
        <v>1141.3430232558139</v>
      </c>
      <c r="AF181" s="50"/>
      <c r="AG181" s="33">
        <f t="shared" si="123"/>
        <v>5824</v>
      </c>
      <c r="AH181" s="33">
        <f>SUM(D152:D819)</f>
        <v>891571571.34662843</v>
      </c>
      <c r="AI181" s="213">
        <f t="shared" si="124"/>
        <v>-0.12460544115436645</v>
      </c>
      <c r="AJ181" s="50"/>
      <c r="AK181" s="10"/>
      <c r="AL181" s="23">
        <f t="shared" si="125"/>
        <v>32659</v>
      </c>
      <c r="AM181" s="24"/>
      <c r="AN181" s="24"/>
      <c r="AO181" s="24">
        <v>178263</v>
      </c>
      <c r="AP181" s="24">
        <v>3758629</v>
      </c>
      <c r="AQ181" s="24"/>
      <c r="AR181" s="461">
        <f t="shared" si="126"/>
        <v>8.7652342879840691E-3</v>
      </c>
      <c r="AS181" s="25"/>
      <c r="AT181" s="25"/>
      <c r="AU181" s="24"/>
      <c r="AV181" s="298">
        <f t="shared" si="127"/>
        <v>0.52892799818072467</v>
      </c>
      <c r="AW181" s="298"/>
      <c r="AX181" s="24">
        <f t="shared" si="128"/>
        <v>21852.494186046511</v>
      </c>
      <c r="AY181" s="308"/>
      <c r="AZ181" s="10"/>
      <c r="BA181" s="65">
        <f t="shared" si="129"/>
        <v>592931</v>
      </c>
      <c r="BB181" s="66"/>
      <c r="BC181" s="66">
        <v>88067850</v>
      </c>
      <c r="BD181" s="66"/>
      <c r="BE181" s="66">
        <f t="shared" si="130"/>
        <v>25420</v>
      </c>
      <c r="BF181" s="66"/>
      <c r="BG181" s="144">
        <f t="shared" si="131"/>
        <v>4.2871767541248475E-2</v>
      </c>
      <c r="BH181" s="66"/>
      <c r="BI181" s="170"/>
      <c r="BJ181" s="66"/>
      <c r="BK181" s="66">
        <f t="shared" si="132"/>
        <v>5443009</v>
      </c>
      <c r="BL181" s="66"/>
      <c r="BM181" s="144">
        <f t="shared" si="133"/>
        <v>5.1465099543285708E-2</v>
      </c>
      <c r="BN181" s="65">
        <f t="shared" si="134"/>
        <v>512022.38372093026</v>
      </c>
      <c r="BO181" s="66"/>
      <c r="BP181" s="66">
        <f t="shared" si="135"/>
        <v>6199148</v>
      </c>
      <c r="BQ181" s="66"/>
      <c r="BR181" s="435">
        <f t="shared" si="136"/>
        <v>7.0390590891000512E-2</v>
      </c>
      <c r="BS181" s="66"/>
      <c r="BT181" s="75"/>
      <c r="BU181" s="170"/>
      <c r="BV181" s="1"/>
      <c r="BW181" s="61">
        <f t="shared" si="53"/>
        <v>172</v>
      </c>
    </row>
    <row r="182" spans="2:75" x14ac:dyDescent="0.3">
      <c r="B182" s="158">
        <f t="shared" si="52"/>
        <v>44082</v>
      </c>
      <c r="C182" s="61"/>
      <c r="D182" s="17">
        <v>28439</v>
      </c>
      <c r="E182" s="16"/>
      <c r="F182" s="16"/>
      <c r="G182" s="16"/>
      <c r="H182" s="16">
        <f t="shared" si="115"/>
        <v>7134565</v>
      </c>
      <c r="I182" s="16"/>
      <c r="J182" s="436">
        <f t="shared" si="116"/>
        <v>4.0020399300547162E-3</v>
      </c>
      <c r="K182" s="16"/>
      <c r="L182" s="16"/>
      <c r="M182" s="16"/>
      <c r="N182" s="16">
        <f t="shared" si="117"/>
        <v>266585</v>
      </c>
      <c r="O182" s="16">
        <f t="shared" si="137"/>
        <v>41240.260115606936</v>
      </c>
      <c r="P182" s="41"/>
      <c r="Q182" s="17">
        <f t="shared" si="118"/>
        <v>266585</v>
      </c>
      <c r="R182" s="16"/>
      <c r="S182" s="60">
        <f t="shared" si="119"/>
        <v>-0.1036869923072785</v>
      </c>
      <c r="T182" s="16"/>
      <c r="U182" s="41"/>
      <c r="V182" s="10">
        <f t="shared" si="109"/>
        <v>74</v>
      </c>
      <c r="W182" s="34">
        <v>496</v>
      </c>
      <c r="X182" s="33"/>
      <c r="Y182" s="33"/>
      <c r="Z182" s="33"/>
      <c r="AA182" s="33">
        <f t="shared" si="120"/>
        <v>196807</v>
      </c>
      <c r="AB182" s="33"/>
      <c r="AC182" s="46">
        <f t="shared" si="121"/>
        <v>2.7585003430482449E-2</v>
      </c>
      <c r="AD182" s="33"/>
      <c r="AE182" s="33">
        <f t="shared" si="122"/>
        <v>1137.6127167630059</v>
      </c>
      <c r="AF182" s="50"/>
      <c r="AG182" s="33">
        <f t="shared" si="123"/>
        <v>5156</v>
      </c>
      <c r="AH182" s="33">
        <f>SUM(D153:D820)</f>
        <v>891523722.34662843</v>
      </c>
      <c r="AI182" s="213">
        <f t="shared" si="124"/>
        <v>-0.21005055921556612</v>
      </c>
      <c r="AJ182" s="50"/>
      <c r="AK182" s="10"/>
      <c r="AL182" s="23">
        <f t="shared" si="125"/>
        <v>38131</v>
      </c>
      <c r="AM182" s="24"/>
      <c r="AN182" s="24"/>
      <c r="AO182" s="24">
        <v>178263</v>
      </c>
      <c r="AP182" s="24">
        <v>3796760</v>
      </c>
      <c r="AQ182" s="24"/>
      <c r="AR182" s="461">
        <f t="shared" si="126"/>
        <v>1.0144922523611669E-2</v>
      </c>
      <c r="AS182" s="25"/>
      <c r="AT182" s="25"/>
      <c r="AU182" s="24"/>
      <c r="AV182" s="298">
        <f t="shared" si="127"/>
        <v>0.53216418940748311</v>
      </c>
      <c r="AW182" s="298"/>
      <c r="AX182" s="24">
        <f t="shared" si="128"/>
        <v>21946.589595375721</v>
      </c>
      <c r="AY182" s="308"/>
      <c r="AZ182" s="10"/>
      <c r="BA182" s="65">
        <f t="shared" si="129"/>
        <v>589124</v>
      </c>
      <c r="BB182" s="66"/>
      <c r="BC182" s="66">
        <v>88656974</v>
      </c>
      <c r="BD182" s="66"/>
      <c r="BE182" s="66">
        <f t="shared" si="130"/>
        <v>28439</v>
      </c>
      <c r="BF182" s="66"/>
      <c r="BG182" s="144">
        <f t="shared" si="131"/>
        <v>4.8273368594727084E-2</v>
      </c>
      <c r="BH182" s="66"/>
      <c r="BI182" s="170"/>
      <c r="BJ182" s="66"/>
      <c r="BK182" s="66">
        <f t="shared" si="132"/>
        <v>5306855</v>
      </c>
      <c r="BL182" s="66"/>
      <c r="BM182" s="144">
        <f t="shared" si="133"/>
        <v>5.0234084029052987E-2</v>
      </c>
      <c r="BN182" s="65">
        <f t="shared" si="134"/>
        <v>512468.0578034682</v>
      </c>
      <c r="BO182" s="66"/>
      <c r="BP182" s="66">
        <f t="shared" si="135"/>
        <v>6227587</v>
      </c>
      <c r="BQ182" s="66"/>
      <c r="BR182" s="435">
        <f t="shared" si="136"/>
        <v>7.0243622346054801E-2</v>
      </c>
      <c r="BS182" s="66"/>
      <c r="BT182" s="75"/>
      <c r="BU182" s="170"/>
      <c r="BV182" s="1"/>
      <c r="BW182" s="61">
        <f t="shared" si="53"/>
        <v>173</v>
      </c>
    </row>
    <row r="183" spans="2:75" x14ac:dyDescent="0.3">
      <c r="B183" s="158">
        <f t="shared" si="52"/>
        <v>44083</v>
      </c>
      <c r="C183" s="61"/>
      <c r="D183" s="17">
        <v>35243</v>
      </c>
      <c r="E183" s="16"/>
      <c r="F183" s="16"/>
      <c r="G183" s="16"/>
      <c r="H183" s="16">
        <f t="shared" ref="H183:H212" si="138">+H182+D183</f>
        <v>7169808</v>
      </c>
      <c r="I183" s="16"/>
      <c r="J183" s="436">
        <f t="shared" ref="J183:J212" si="139">+D183/H182</f>
        <v>4.9397545610699459E-3</v>
      </c>
      <c r="K183" s="16"/>
      <c r="L183" s="16"/>
      <c r="M183" s="16"/>
      <c r="N183" s="16">
        <f t="shared" ref="N183:N212" si="140">SUM(D177:D183)</f>
        <v>260617</v>
      </c>
      <c r="O183" s="16">
        <f t="shared" ref="O183:O212" si="141">+H183/BW183</f>
        <v>41205.793103448275</v>
      </c>
      <c r="P183" s="41"/>
      <c r="Q183" s="17">
        <f>SUM(D177:D183)</f>
        <v>260617</v>
      </c>
      <c r="R183" s="16"/>
      <c r="S183" s="60">
        <f>+(Q183-Q176)/Q176</f>
        <v>-0.11354158871829061</v>
      </c>
      <c r="T183" s="16"/>
      <c r="U183" s="41"/>
      <c r="V183" s="10">
        <f t="shared" si="109"/>
        <v>75</v>
      </c>
      <c r="W183" s="34">
        <v>1208</v>
      </c>
      <c r="X183" s="33"/>
      <c r="Y183" s="33"/>
      <c r="Z183" s="33"/>
      <c r="AA183" s="33">
        <f t="shared" ref="AA183:AA212" si="142">+AA182+W183</f>
        <v>198015</v>
      </c>
      <c r="AB183" s="33"/>
      <c r="AC183" s="46">
        <f t="shared" ref="AC183:AC212" si="143">+AA183/H183</f>
        <v>2.7617894370393182E-2</v>
      </c>
      <c r="AD183" s="33"/>
      <c r="AE183" s="33">
        <f t="shared" ref="AE183:AE212" si="144">+AA183/BW183</f>
        <v>1138.0172413793102</v>
      </c>
      <c r="AF183" s="50"/>
      <c r="AG183" s="33">
        <f t="shared" ref="AG183:AG195" si="145">SUM(W177:W183)</f>
        <v>5274</v>
      </c>
      <c r="AH183" s="33">
        <f>SUM(D154:D821)</f>
        <v>891473922.34662843</v>
      </c>
      <c r="AI183" s="213">
        <f t="shared" ref="AI183:AI212" si="146">+(AG183-AG176)/AG176</f>
        <v>-0.16774498974278049</v>
      </c>
      <c r="AJ183" s="50"/>
      <c r="AK183" s="10"/>
      <c r="AL183" s="23">
        <f t="shared" ref="AL183:AL212" si="147">+AP183-AP182</f>
        <v>49335</v>
      </c>
      <c r="AM183" s="24"/>
      <c r="AN183" s="24"/>
      <c r="AO183" s="24">
        <v>178263</v>
      </c>
      <c r="AP183" s="24">
        <v>3846095</v>
      </c>
      <c r="AQ183" s="24"/>
      <c r="AR183" s="461">
        <f t="shared" ref="AR183:AR212" si="148">+AL183/AP182</f>
        <v>1.2993973809247885E-2</v>
      </c>
      <c r="AS183" s="25"/>
      <c r="AT183" s="25"/>
      <c r="AU183" s="24"/>
      <c r="AV183" s="298">
        <f t="shared" ref="AV183:AV212" si="149">+AP183/H183</f>
        <v>0.53642928792514388</v>
      </c>
      <c r="AW183" s="298"/>
      <c r="AX183" s="24">
        <f t="shared" ref="AX183:AX212" si="150">+AP183/BW183</f>
        <v>22103.994252873563</v>
      </c>
      <c r="AY183" s="308"/>
      <c r="AZ183" s="10"/>
      <c r="BA183" s="65">
        <f t="shared" ref="BA183:BA212" si="151">+BC183-BC182</f>
        <v>626098</v>
      </c>
      <c r="BB183" s="66"/>
      <c r="BC183" s="66">
        <v>89283072</v>
      </c>
      <c r="BD183" s="66"/>
      <c r="BE183" s="66">
        <f t="shared" ref="BE183:BE212" si="152">+D183</f>
        <v>35243</v>
      </c>
      <c r="BF183" s="66"/>
      <c r="BG183" s="144">
        <f t="shared" ref="BG183:BG212" si="153">+BE183/BA183</f>
        <v>5.6289909886311724E-2</v>
      </c>
      <c r="BH183" s="66"/>
      <c r="BI183" s="170"/>
      <c r="BJ183" s="66"/>
      <c r="BK183" s="66">
        <f t="shared" ref="BK183:BK212" si="154">SUM(BA177:BA183)</f>
        <v>5184661</v>
      </c>
      <c r="BL183" s="66"/>
      <c r="BM183" s="144">
        <f t="shared" ref="BM183:BM212" si="155">+Q183/BK183</f>
        <v>5.026693162773805E-2</v>
      </c>
      <c r="BN183" s="65">
        <f t="shared" ref="BN183:BN212" si="156">+BC183/BW183</f>
        <v>513121.10344827588</v>
      </c>
      <c r="BO183" s="66"/>
      <c r="BP183" s="66">
        <f t="shared" ref="BP183:BP212" si="157">+BP182+BE183</f>
        <v>6262830</v>
      </c>
      <c r="BQ183" s="66"/>
      <c r="BR183" s="435">
        <f t="shared" ref="BR183:BR212" si="158">+BP183/BC183</f>
        <v>7.0145771865914294E-2</v>
      </c>
      <c r="BS183" s="66"/>
      <c r="BT183" s="75"/>
      <c r="BU183" s="170"/>
      <c r="BV183" s="1"/>
      <c r="BW183" s="61">
        <f t="shared" si="53"/>
        <v>174</v>
      </c>
    </row>
    <row r="184" spans="2:75" x14ac:dyDescent="0.3">
      <c r="B184" s="158">
        <f t="shared" si="52"/>
        <v>44084</v>
      </c>
      <c r="C184" s="61"/>
      <c r="D184" s="17">
        <v>38811</v>
      </c>
      <c r="E184" s="16"/>
      <c r="F184" s="16"/>
      <c r="G184" s="16"/>
      <c r="H184" s="16">
        <f t="shared" si="138"/>
        <v>7208619</v>
      </c>
      <c r="I184" s="16"/>
      <c r="J184" s="436">
        <f t="shared" si="139"/>
        <v>5.4131156650219919E-3</v>
      </c>
      <c r="K184" s="16"/>
      <c r="L184" s="16"/>
      <c r="M184" s="16"/>
      <c r="N184" s="16">
        <f t="shared" si="140"/>
        <v>253964</v>
      </c>
      <c r="O184" s="16">
        <f t="shared" si="141"/>
        <v>41192.108571428573</v>
      </c>
      <c r="P184" s="41"/>
      <c r="Q184" s="17">
        <f>SUM(D178:D184)</f>
        <v>253964</v>
      </c>
      <c r="R184" s="16"/>
      <c r="S184" s="60">
        <f>+(Q184-Q177)/Q177</f>
        <v>-0.13457554113734257</v>
      </c>
      <c r="T184" s="16"/>
      <c r="U184" s="41"/>
      <c r="V184" s="10">
        <f t="shared" si="109"/>
        <v>76</v>
      </c>
      <c r="W184" s="34">
        <v>1089</v>
      </c>
      <c r="X184" s="33"/>
      <c r="Y184" s="33"/>
      <c r="Z184" s="33"/>
      <c r="AA184" s="33">
        <f t="shared" si="142"/>
        <v>199104</v>
      </c>
      <c r="AB184" s="33"/>
      <c r="AC184" s="46">
        <f t="shared" si="143"/>
        <v>2.7620269568970145E-2</v>
      </c>
      <c r="AD184" s="33"/>
      <c r="AE184" s="33">
        <f t="shared" si="144"/>
        <v>1137.7371428571428</v>
      </c>
      <c r="AF184" s="50"/>
      <c r="AG184" s="33">
        <f t="shared" si="145"/>
        <v>5249</v>
      </c>
      <c r="AH184" s="33">
        <f>SUM(D155:D822)</f>
        <v>891419403.34662843</v>
      </c>
      <c r="AI184" s="213">
        <f t="shared" si="146"/>
        <v>-0.16788205453392518</v>
      </c>
      <c r="AJ184" s="50"/>
      <c r="AK184" s="10"/>
      <c r="AL184" s="23">
        <f t="shared" si="147"/>
        <v>33865</v>
      </c>
      <c r="AM184" s="24"/>
      <c r="AN184" s="24"/>
      <c r="AO184" s="24">
        <v>178263</v>
      </c>
      <c r="AP184" s="24">
        <v>3879960</v>
      </c>
      <c r="AQ184" s="24"/>
      <c r="AR184" s="461">
        <f t="shared" si="148"/>
        <v>8.8050347170311703E-3</v>
      </c>
      <c r="AS184" s="25"/>
      <c r="AT184" s="25"/>
      <c r="AU184" s="24"/>
      <c r="AV184" s="298">
        <f t="shared" si="149"/>
        <v>0.53823901637747817</v>
      </c>
      <c r="AW184" s="298"/>
      <c r="AX184" s="24">
        <f t="shared" si="150"/>
        <v>22171.200000000001</v>
      </c>
      <c r="AY184" s="308"/>
      <c r="AZ184" s="10"/>
      <c r="BA184" s="65">
        <f t="shared" si="151"/>
        <v>701717</v>
      </c>
      <c r="BB184" s="66"/>
      <c r="BC184" s="66">
        <v>89984789</v>
      </c>
      <c r="BD184" s="66"/>
      <c r="BE184" s="66">
        <f t="shared" si="152"/>
        <v>38811</v>
      </c>
      <c r="BF184" s="66"/>
      <c r="BG184" s="144">
        <f t="shared" si="153"/>
        <v>5.5308621566813973E-2</v>
      </c>
      <c r="BH184" s="66"/>
      <c r="BI184" s="170"/>
      <c r="BJ184" s="66"/>
      <c r="BK184" s="66">
        <f t="shared" si="154"/>
        <v>5103260</v>
      </c>
      <c r="BL184" s="66"/>
      <c r="BM184" s="144">
        <f t="shared" si="155"/>
        <v>4.9765052143139872E-2</v>
      </c>
      <c r="BN184" s="65">
        <f t="shared" si="156"/>
        <v>514198.79428571428</v>
      </c>
      <c r="BO184" s="66"/>
      <c r="BP184" s="66">
        <f t="shared" si="157"/>
        <v>6301641</v>
      </c>
      <c r="BQ184" s="66"/>
      <c r="BR184" s="435">
        <f t="shared" si="158"/>
        <v>7.0030069193138852E-2</v>
      </c>
      <c r="BS184" s="66"/>
      <c r="BT184" s="75"/>
      <c r="BU184" s="170"/>
      <c r="BV184" s="1"/>
      <c r="BW184" s="61">
        <f t="shared" si="53"/>
        <v>175</v>
      </c>
    </row>
    <row r="185" spans="2:75" x14ac:dyDescent="0.3">
      <c r="B185" s="158">
        <f t="shared" si="52"/>
        <v>44085</v>
      </c>
      <c r="C185" s="61"/>
      <c r="D185" s="17">
        <v>46600</v>
      </c>
      <c r="E185" s="16"/>
      <c r="F185" s="16"/>
      <c r="G185" s="16"/>
      <c r="H185" s="16">
        <f t="shared" si="138"/>
        <v>7255219</v>
      </c>
      <c r="I185" s="16"/>
      <c r="J185" s="436">
        <f t="shared" si="139"/>
        <v>6.4644836965305008E-3</v>
      </c>
      <c r="K185" s="16"/>
      <c r="L185" s="16"/>
      <c r="M185" s="16"/>
      <c r="N185" s="16">
        <f t="shared" si="140"/>
        <v>247715</v>
      </c>
      <c r="O185" s="16">
        <f t="shared" si="141"/>
        <v>41222.835227272728</v>
      </c>
      <c r="P185" s="41"/>
      <c r="Q185" s="17">
        <f>SUM(D179:D185)</f>
        <v>247715</v>
      </c>
      <c r="R185" s="16"/>
      <c r="S185" s="60">
        <f>+(Q185-Q178)/Q178</f>
        <v>-0.16511068270060397</v>
      </c>
      <c r="T185" s="16"/>
      <c r="U185" s="41"/>
      <c r="V185" s="10">
        <f t="shared" si="109"/>
        <v>77</v>
      </c>
      <c r="W185" s="34">
        <v>1094</v>
      </c>
      <c r="X185" s="33"/>
      <c r="Y185" s="33"/>
      <c r="Z185" s="33"/>
      <c r="AA185" s="33">
        <f t="shared" si="142"/>
        <v>200198</v>
      </c>
      <c r="AB185" s="33"/>
      <c r="AC185" s="46">
        <f t="shared" si="143"/>
        <v>2.7593653616796405E-2</v>
      </c>
      <c r="AD185" s="33"/>
      <c r="AE185" s="33">
        <f t="shared" si="144"/>
        <v>1137.4886363636363</v>
      </c>
      <c r="AF185" s="50"/>
      <c r="AG185" s="33">
        <f t="shared" si="145"/>
        <v>5310</v>
      </c>
      <c r="AH185" s="33">
        <f>SUM(D156:D823)</f>
        <v>891365058.34662843</v>
      </c>
      <c r="AI185" s="213">
        <f t="shared" si="146"/>
        <v>-0.14849262347658757</v>
      </c>
      <c r="AJ185" s="50"/>
      <c r="AK185" s="10"/>
      <c r="AL185" s="23">
        <f t="shared" si="147"/>
        <v>38002</v>
      </c>
      <c r="AM185" s="24"/>
      <c r="AN185" s="24"/>
      <c r="AO185" s="24">
        <v>178263</v>
      </c>
      <c r="AP185" s="24">
        <v>3917962</v>
      </c>
      <c r="AQ185" s="24"/>
      <c r="AR185" s="461">
        <f t="shared" si="148"/>
        <v>9.7944308704213442E-3</v>
      </c>
      <c r="AS185" s="25"/>
      <c r="AT185" s="25"/>
      <c r="AU185" s="24"/>
      <c r="AV185" s="298">
        <f t="shared" si="149"/>
        <v>0.54001981194502879</v>
      </c>
      <c r="AW185" s="298"/>
      <c r="AX185" s="24">
        <f t="shared" si="150"/>
        <v>22261.147727272728</v>
      </c>
      <c r="AY185" s="308"/>
      <c r="AZ185" s="10"/>
      <c r="BA185" s="65">
        <f t="shared" si="151"/>
        <v>860917</v>
      </c>
      <c r="BB185" s="66"/>
      <c r="BC185" s="66">
        <v>90845706</v>
      </c>
      <c r="BD185" s="66"/>
      <c r="BE185" s="66">
        <f t="shared" si="152"/>
        <v>46600</v>
      </c>
      <c r="BF185" s="66"/>
      <c r="BG185" s="144">
        <f t="shared" si="153"/>
        <v>5.412833060562168E-2</v>
      </c>
      <c r="BH185" s="66"/>
      <c r="BI185" s="170"/>
      <c r="BJ185" s="66"/>
      <c r="BK185" s="66">
        <f t="shared" si="154"/>
        <v>4949989</v>
      </c>
      <c r="BL185" s="66"/>
      <c r="BM185" s="144">
        <f t="shared" si="155"/>
        <v>5.0043545551313344E-2</v>
      </c>
      <c r="BN185" s="65">
        <f t="shared" si="156"/>
        <v>516168.78409090912</v>
      </c>
      <c r="BO185" s="66"/>
      <c r="BP185" s="66">
        <f t="shared" si="157"/>
        <v>6348241</v>
      </c>
      <c r="BQ185" s="66"/>
      <c r="BR185" s="435">
        <f t="shared" si="158"/>
        <v>6.9879373274945977E-2</v>
      </c>
      <c r="BS185" s="66"/>
      <c r="BT185" s="75"/>
      <c r="BU185" s="170"/>
      <c r="BV185" s="1"/>
      <c r="BW185" s="61">
        <f t="shared" si="53"/>
        <v>176</v>
      </c>
    </row>
    <row r="186" spans="2:75" x14ac:dyDescent="0.3">
      <c r="B186" s="158">
        <f t="shared" si="52"/>
        <v>44086</v>
      </c>
      <c r="C186" s="61"/>
      <c r="D186" s="17">
        <v>39282</v>
      </c>
      <c r="E186" s="16"/>
      <c r="F186" s="16"/>
      <c r="G186" s="16"/>
      <c r="H186" s="16">
        <f t="shared" si="138"/>
        <v>7294501</v>
      </c>
      <c r="I186" s="16"/>
      <c r="J186" s="436">
        <f t="shared" si="139"/>
        <v>5.4143093406277603E-3</v>
      </c>
      <c r="K186" s="16"/>
      <c r="L186" s="16"/>
      <c r="M186" s="16"/>
      <c r="N186" s="16">
        <f t="shared" si="140"/>
        <v>244905</v>
      </c>
      <c r="O186" s="16">
        <f t="shared" si="141"/>
        <v>41211.870056497173</v>
      </c>
      <c r="P186" s="41"/>
      <c r="Q186" s="17">
        <f>SUM(D180:D186)</f>
        <v>244905</v>
      </c>
      <c r="R186" s="16"/>
      <c r="S186" s="60">
        <f>+(Q186-Q179)/Q179</f>
        <v>-0.17299821703541615</v>
      </c>
      <c r="T186" s="16"/>
      <c r="U186" s="41"/>
      <c r="V186" s="10">
        <f t="shared" si="109"/>
        <v>78</v>
      </c>
      <c r="W186" s="34">
        <v>707</v>
      </c>
      <c r="X186" s="33"/>
      <c r="Y186" s="33"/>
      <c r="Z186" s="33"/>
      <c r="AA186" s="33">
        <f t="shared" si="142"/>
        <v>200905</v>
      </c>
      <c r="AB186" s="33"/>
      <c r="AC186" s="46">
        <f t="shared" si="143"/>
        <v>2.7541979910620344E-2</v>
      </c>
      <c r="AD186" s="33"/>
      <c r="AE186" s="33">
        <f t="shared" si="144"/>
        <v>1135.0564971751412</v>
      </c>
      <c r="AF186" s="50"/>
      <c r="AG186" s="33">
        <f t="shared" si="145"/>
        <v>5310</v>
      </c>
      <c r="AH186" s="33">
        <f>SUM(D157:D824)</f>
        <v>891309694.34662843</v>
      </c>
      <c r="AI186" s="213">
        <f t="shared" si="146"/>
        <v>-0.11337451995324763</v>
      </c>
      <c r="AJ186" s="50"/>
      <c r="AK186" s="10"/>
      <c r="AL186" s="23">
        <f t="shared" si="147"/>
        <v>32392</v>
      </c>
      <c r="AM186" s="24"/>
      <c r="AN186" s="24"/>
      <c r="AO186" s="24">
        <v>178263</v>
      </c>
      <c r="AP186" s="24">
        <v>3950354</v>
      </c>
      <c r="AQ186" s="24"/>
      <c r="AR186" s="461">
        <f t="shared" si="148"/>
        <v>8.2675635955632033E-3</v>
      </c>
      <c r="AS186" s="25"/>
      <c r="AT186" s="25"/>
      <c r="AU186" s="24"/>
      <c r="AV186" s="298">
        <f t="shared" si="149"/>
        <v>0.54155232825384492</v>
      </c>
      <c r="AW186" s="298"/>
      <c r="AX186" s="24">
        <f t="shared" si="150"/>
        <v>22318.384180790959</v>
      </c>
      <c r="AY186" s="308"/>
      <c r="AZ186" s="10"/>
      <c r="BA186" s="65">
        <f t="shared" si="151"/>
        <v>857797</v>
      </c>
      <c r="BB186" s="66"/>
      <c r="BC186" s="66">
        <v>91703503</v>
      </c>
      <c r="BD186" s="66"/>
      <c r="BE186" s="66">
        <f t="shared" si="152"/>
        <v>39282</v>
      </c>
      <c r="BF186" s="66"/>
      <c r="BG186" s="144">
        <f t="shared" si="153"/>
        <v>4.5794051506358728E-2</v>
      </c>
      <c r="BH186" s="66"/>
      <c r="BI186" s="170"/>
      <c r="BJ186" s="66"/>
      <c r="BK186" s="66">
        <f t="shared" si="154"/>
        <v>4944301</v>
      </c>
      <c r="BL186" s="66"/>
      <c r="BM186" s="144">
        <f t="shared" si="155"/>
        <v>4.9532785321929229E-2</v>
      </c>
      <c r="BN186" s="65">
        <f t="shared" si="156"/>
        <v>518098.88700564974</v>
      </c>
      <c r="BO186" s="66"/>
      <c r="BP186" s="66">
        <f t="shared" si="157"/>
        <v>6387523</v>
      </c>
      <c r="BQ186" s="66"/>
      <c r="BR186" s="435">
        <f t="shared" si="158"/>
        <v>6.9654078536127456E-2</v>
      </c>
      <c r="BS186" s="66"/>
      <c r="BT186" s="75"/>
      <c r="BU186" s="170"/>
      <c r="BV186" s="1"/>
      <c r="BW186" s="61">
        <f t="shared" si="53"/>
        <v>177</v>
      </c>
    </row>
    <row r="187" spans="2:75" x14ac:dyDescent="0.3">
      <c r="B187" s="347">
        <f t="shared" si="52"/>
        <v>44087</v>
      </c>
      <c r="C187" s="61"/>
      <c r="D187" s="17">
        <v>31857</v>
      </c>
      <c r="E187" s="16"/>
      <c r="F187" s="16"/>
      <c r="G187" s="16"/>
      <c r="H187" s="16">
        <f t="shared" si="138"/>
        <v>7326358</v>
      </c>
      <c r="I187" s="16"/>
      <c r="J187" s="436">
        <f t="shared" si="139"/>
        <v>4.3672624076684617E-3</v>
      </c>
      <c r="K187" s="16"/>
      <c r="L187" s="16"/>
      <c r="M187" s="16"/>
      <c r="N187" s="16">
        <f t="shared" si="140"/>
        <v>245652</v>
      </c>
      <c r="O187" s="16">
        <f t="shared" si="141"/>
        <v>41159.314606741573</v>
      </c>
      <c r="P187" s="41"/>
      <c r="Q187" s="17">
        <f t="shared" ref="Q187:Q236" si="159">SUM(D181:D187)</f>
        <v>245652</v>
      </c>
      <c r="R187" s="16"/>
      <c r="S187" s="60">
        <f t="shared" ref="S187:S236" si="160">+(Q187-Q180)/Q180</f>
        <v>-0.16235486675873356</v>
      </c>
      <c r="T187" s="16"/>
      <c r="U187" s="41"/>
      <c r="V187" s="10">
        <f t="shared" si="109"/>
        <v>79</v>
      </c>
      <c r="W187" s="34">
        <v>392</v>
      </c>
      <c r="X187" s="33"/>
      <c r="Y187" s="33"/>
      <c r="Z187" s="33"/>
      <c r="AA187" s="33">
        <f t="shared" si="142"/>
        <v>201297</v>
      </c>
      <c r="AB187" s="33"/>
      <c r="AC187" s="46">
        <f t="shared" si="143"/>
        <v>2.7475725319456135E-2</v>
      </c>
      <c r="AD187" s="33"/>
      <c r="AE187" s="33">
        <f t="shared" si="144"/>
        <v>1130.8820224719102</v>
      </c>
      <c r="AF187" s="50"/>
      <c r="AG187" s="33">
        <f t="shared" si="145"/>
        <v>5272</v>
      </c>
      <c r="AH187" s="33">
        <f>SUM(D158:D825)</f>
        <v>891249094.34662843</v>
      </c>
      <c r="AI187" s="213">
        <f t="shared" si="146"/>
        <v>-0.12859504132231406</v>
      </c>
      <c r="AJ187" s="50"/>
      <c r="AK187" s="10"/>
      <c r="AL187" s="23">
        <f t="shared" si="147"/>
        <v>24595</v>
      </c>
      <c r="AM187" s="24"/>
      <c r="AN187" s="24"/>
      <c r="AO187" s="24">
        <v>178263</v>
      </c>
      <c r="AP187" s="24">
        <v>3974949</v>
      </c>
      <c r="AQ187" s="24"/>
      <c r="AR187" s="461">
        <f t="shared" si="148"/>
        <v>6.2260243006069839E-3</v>
      </c>
      <c r="AS187" s="25"/>
      <c r="AT187" s="25"/>
      <c r="AU187" s="24"/>
      <c r="AV187" s="298">
        <f t="shared" si="149"/>
        <v>0.54255456804049162</v>
      </c>
      <c r="AW187" s="298"/>
      <c r="AX187" s="24">
        <f t="shared" si="150"/>
        <v>22331.174157303372</v>
      </c>
      <c r="AY187" s="308"/>
      <c r="AZ187" s="348"/>
      <c r="BA187" s="65">
        <f t="shared" si="151"/>
        <v>699997</v>
      </c>
      <c r="BB187" s="66"/>
      <c r="BC187" s="66">
        <v>92403500</v>
      </c>
      <c r="BD187" s="66"/>
      <c r="BE187" s="66">
        <f t="shared" si="152"/>
        <v>31857</v>
      </c>
      <c r="BF187" s="66"/>
      <c r="BG187" s="144">
        <f t="shared" si="153"/>
        <v>4.5510195043693046E-2</v>
      </c>
      <c r="BH187" s="66"/>
      <c r="BI187" s="170"/>
      <c r="BJ187" s="66"/>
      <c r="BK187" s="66">
        <f t="shared" si="154"/>
        <v>4928581</v>
      </c>
      <c r="BL187" s="66"/>
      <c r="BM187" s="144">
        <f t="shared" si="155"/>
        <v>4.9842337987343617E-2</v>
      </c>
      <c r="BN187" s="65">
        <f t="shared" si="156"/>
        <v>519120.78651685396</v>
      </c>
      <c r="BO187" s="66"/>
      <c r="BP187" s="66">
        <f t="shared" si="157"/>
        <v>6419380</v>
      </c>
      <c r="BQ187" s="66"/>
      <c r="BR187" s="435">
        <f t="shared" si="158"/>
        <v>6.9471178039792872E-2</v>
      </c>
      <c r="BS187" s="66"/>
      <c r="BT187" s="75"/>
      <c r="BU187" s="170"/>
      <c r="BV187" s="1"/>
      <c r="BW187" s="61">
        <f t="shared" si="53"/>
        <v>178</v>
      </c>
    </row>
    <row r="188" spans="2:75" x14ac:dyDescent="0.3">
      <c r="B188" s="158">
        <f t="shared" ref="B188:B441" si="161">1+B187</f>
        <v>44088</v>
      </c>
      <c r="C188" s="61"/>
      <c r="D188" s="17">
        <v>38072</v>
      </c>
      <c r="E188" s="16"/>
      <c r="F188" s="16"/>
      <c r="G188" s="16"/>
      <c r="H188" s="16">
        <f t="shared" si="138"/>
        <v>7364430</v>
      </c>
      <c r="I188" s="16"/>
      <c r="J188" s="436">
        <f t="shared" si="139"/>
        <v>5.1965792553407848E-3</v>
      </c>
      <c r="K188" s="16"/>
      <c r="L188" s="16"/>
      <c r="M188" s="16"/>
      <c r="N188" s="16">
        <f t="shared" si="140"/>
        <v>258304</v>
      </c>
      <c r="O188" s="16">
        <f t="shared" si="141"/>
        <v>41142.067039106143</v>
      </c>
      <c r="P188" s="41"/>
      <c r="Q188" s="17">
        <f t="shared" si="159"/>
        <v>258304</v>
      </c>
      <c r="R188" s="16"/>
      <c r="S188" s="60">
        <f t="shared" si="160"/>
        <v>-7.789736724676484E-2</v>
      </c>
      <c r="T188" s="16"/>
      <c r="U188" s="41"/>
      <c r="V188" s="10">
        <f t="shared" si="109"/>
        <v>80</v>
      </c>
      <c r="W188" s="34">
        <v>480</v>
      </c>
      <c r="X188" s="33"/>
      <c r="Y188" s="33"/>
      <c r="Z188" s="33"/>
      <c r="AA188" s="33">
        <f t="shared" si="142"/>
        <v>201777</v>
      </c>
      <c r="AB188" s="33"/>
      <c r="AC188" s="46">
        <f t="shared" si="143"/>
        <v>2.7398861826373529E-2</v>
      </c>
      <c r="AD188" s="33"/>
      <c r="AE188" s="33">
        <f t="shared" si="144"/>
        <v>1127.2458100558658</v>
      </c>
      <c r="AF188" s="50"/>
      <c r="AG188" s="33">
        <f t="shared" si="145"/>
        <v>5466</v>
      </c>
      <c r="AH188" s="33">
        <f>SUM(D159:D826)</f>
        <v>891195571.34662843</v>
      </c>
      <c r="AI188" s="213">
        <f t="shared" si="146"/>
        <v>-6.1469780219780217E-2</v>
      </c>
      <c r="AJ188" s="50"/>
      <c r="AK188" s="10"/>
      <c r="AL188" s="23">
        <f t="shared" si="147"/>
        <v>52877</v>
      </c>
      <c r="AM188" s="24"/>
      <c r="AN188" s="24"/>
      <c r="AO188" s="24">
        <v>178263</v>
      </c>
      <c r="AP188" s="24">
        <v>4027826</v>
      </c>
      <c r="AQ188" s="24"/>
      <c r="AR188" s="461">
        <f t="shared" si="148"/>
        <v>1.3302560611469481E-2</v>
      </c>
      <c r="AS188" s="25"/>
      <c r="AT188" s="25"/>
      <c r="AU188" s="24"/>
      <c r="AV188" s="298">
        <f t="shared" si="149"/>
        <v>0.54692976917426062</v>
      </c>
      <c r="AW188" s="298"/>
      <c r="AX188" s="24">
        <f t="shared" si="150"/>
        <v>22501.821229050278</v>
      </c>
      <c r="AY188" s="308"/>
      <c r="AZ188" s="10"/>
      <c r="BA188" s="65">
        <f t="shared" si="151"/>
        <v>486822</v>
      </c>
      <c r="BB188" s="66"/>
      <c r="BC188" s="66">
        <v>92890322</v>
      </c>
      <c r="BD188" s="66"/>
      <c r="BE188" s="66">
        <f t="shared" si="152"/>
        <v>38072</v>
      </c>
      <c r="BF188" s="66"/>
      <c r="BG188" s="144">
        <f t="shared" si="153"/>
        <v>7.8205175608333233E-2</v>
      </c>
      <c r="BH188" s="66"/>
      <c r="BI188" s="170"/>
      <c r="BJ188" s="66"/>
      <c r="BK188" s="66">
        <f t="shared" si="154"/>
        <v>4822472</v>
      </c>
      <c r="BL188" s="66"/>
      <c r="BM188" s="144">
        <f t="shared" si="155"/>
        <v>5.3562571229029431E-2</v>
      </c>
      <c r="BN188" s="65">
        <f t="shared" si="156"/>
        <v>518940.34636871511</v>
      </c>
      <c r="BO188" s="66"/>
      <c r="BP188" s="66">
        <f t="shared" si="157"/>
        <v>6457452</v>
      </c>
      <c r="BQ188" s="66"/>
      <c r="BR188" s="435">
        <f t="shared" si="158"/>
        <v>6.9516951399953161E-2</v>
      </c>
      <c r="BS188" s="66"/>
      <c r="BT188" s="75"/>
      <c r="BU188" s="170"/>
      <c r="BV188" s="1"/>
      <c r="BW188" s="61">
        <f t="shared" si="53"/>
        <v>179</v>
      </c>
    </row>
    <row r="189" spans="2:75" x14ac:dyDescent="0.3">
      <c r="B189" s="158">
        <f t="shared" si="161"/>
        <v>44089</v>
      </c>
      <c r="C189" s="61"/>
      <c r="D189" s="17">
        <v>36447</v>
      </c>
      <c r="E189" s="16"/>
      <c r="F189" s="16"/>
      <c r="G189" s="16"/>
      <c r="H189" s="16">
        <f t="shared" si="138"/>
        <v>7400877</v>
      </c>
      <c r="I189" s="16"/>
      <c r="J189" s="436">
        <f t="shared" si="139"/>
        <v>4.9490591939905732E-3</v>
      </c>
      <c r="K189" s="16"/>
      <c r="L189" s="16"/>
      <c r="M189" s="16"/>
      <c r="N189" s="16">
        <f t="shared" si="140"/>
        <v>266312</v>
      </c>
      <c r="O189" s="16">
        <f t="shared" si="141"/>
        <v>41115.98333333333</v>
      </c>
      <c r="P189" s="41"/>
      <c r="Q189" s="17">
        <f t="shared" si="159"/>
        <v>266312</v>
      </c>
      <c r="R189" s="16"/>
      <c r="S189" s="60">
        <f t="shared" si="160"/>
        <v>-1.0240636194834669E-3</v>
      </c>
      <c r="T189" s="16"/>
      <c r="U189" s="41"/>
      <c r="V189" s="10">
        <f t="shared" si="109"/>
        <v>81</v>
      </c>
      <c r="W189" s="34">
        <v>1197</v>
      </c>
      <c r="X189" s="33"/>
      <c r="Y189" s="33"/>
      <c r="Z189" s="33"/>
      <c r="AA189" s="33">
        <f t="shared" si="142"/>
        <v>202974</v>
      </c>
      <c r="AB189" s="33"/>
      <c r="AC189" s="46">
        <f t="shared" si="143"/>
        <v>2.7425668606571897E-2</v>
      </c>
      <c r="AD189" s="33"/>
      <c r="AE189" s="33">
        <f t="shared" si="144"/>
        <v>1127.6333333333334</v>
      </c>
      <c r="AF189" s="50"/>
      <c r="AG189" s="33">
        <f t="shared" si="145"/>
        <v>6167</v>
      </c>
      <c r="AH189" s="33">
        <f>SUM(D160:D827)</f>
        <v>891158728.34662843</v>
      </c>
      <c r="AI189" s="213">
        <f t="shared" si="146"/>
        <v>0.1960822342901474</v>
      </c>
      <c r="AJ189" s="50"/>
      <c r="AK189" s="10"/>
      <c r="AL189" s="23">
        <f t="shared" si="147"/>
        <v>40260</v>
      </c>
      <c r="AM189" s="24"/>
      <c r="AN189" s="24"/>
      <c r="AO189" s="24">
        <v>178263</v>
      </c>
      <c r="AP189" s="24">
        <v>4068086</v>
      </c>
      <c r="AQ189" s="24"/>
      <c r="AR189" s="461">
        <f t="shared" si="148"/>
        <v>9.9954665370351158E-3</v>
      </c>
      <c r="AS189" s="25"/>
      <c r="AT189" s="25"/>
      <c r="AU189" s="24"/>
      <c r="AV189" s="298">
        <f t="shared" si="149"/>
        <v>0.54967620729273026</v>
      </c>
      <c r="AW189" s="298"/>
      <c r="AX189" s="24">
        <f t="shared" si="150"/>
        <v>22600.477777777778</v>
      </c>
      <c r="AY189" s="308"/>
      <c r="AZ189" s="10"/>
      <c r="BA189" s="65">
        <f t="shared" si="151"/>
        <v>741636</v>
      </c>
      <c r="BB189" s="66"/>
      <c r="BC189" s="66">
        <v>93631958</v>
      </c>
      <c r="BD189" s="66"/>
      <c r="BE189" s="66">
        <f t="shared" si="152"/>
        <v>36447</v>
      </c>
      <c r="BF189" s="66"/>
      <c r="BG189" s="144">
        <f t="shared" si="153"/>
        <v>4.9144054495736451E-2</v>
      </c>
      <c r="BH189" s="66"/>
      <c r="BI189" s="170"/>
      <c r="BJ189" s="66"/>
      <c r="BK189" s="66">
        <f t="shared" si="154"/>
        <v>4974984</v>
      </c>
      <c r="BL189" s="66"/>
      <c r="BM189" s="144">
        <f t="shared" si="155"/>
        <v>5.3530222408755483E-2</v>
      </c>
      <c r="BN189" s="65">
        <f t="shared" si="156"/>
        <v>520177.54444444447</v>
      </c>
      <c r="BO189" s="66"/>
      <c r="BP189" s="66">
        <f t="shared" si="157"/>
        <v>6493899</v>
      </c>
      <c r="BQ189" s="66"/>
      <c r="BR189" s="435">
        <f t="shared" si="158"/>
        <v>6.9355582631306284E-2</v>
      </c>
      <c r="BS189" s="66"/>
      <c r="BT189" s="75"/>
      <c r="BU189" s="170"/>
      <c r="BV189" s="1"/>
      <c r="BW189" s="61">
        <f t="shared" si="53"/>
        <v>180</v>
      </c>
    </row>
    <row r="190" spans="2:75" x14ac:dyDescent="0.3">
      <c r="B190" s="158">
        <f t="shared" si="161"/>
        <v>44090</v>
      </c>
      <c r="C190" s="61"/>
      <c r="D190" s="17">
        <v>40154</v>
      </c>
      <c r="E190" s="16"/>
      <c r="F190" s="16"/>
      <c r="G190" s="16"/>
      <c r="H190" s="16">
        <f t="shared" si="138"/>
        <v>7441031</v>
      </c>
      <c r="I190" s="16"/>
      <c r="J190" s="436">
        <f t="shared" si="139"/>
        <v>5.4255732124719814E-3</v>
      </c>
      <c r="K190" s="16"/>
      <c r="L190" s="16"/>
      <c r="M190" s="16"/>
      <c r="N190" s="16">
        <f t="shared" si="140"/>
        <v>271223</v>
      </c>
      <c r="O190" s="16">
        <f t="shared" si="141"/>
        <v>41110.668508287294</v>
      </c>
      <c r="P190" s="41"/>
      <c r="Q190" s="17">
        <f t="shared" si="159"/>
        <v>271223</v>
      </c>
      <c r="R190" s="16"/>
      <c r="S190" s="60">
        <f t="shared" si="160"/>
        <v>4.0695733586066908E-2</v>
      </c>
      <c r="T190" s="16"/>
      <c r="U190" s="41"/>
      <c r="V190" s="10">
        <f t="shared" si="109"/>
        <v>82</v>
      </c>
      <c r="W190" s="34">
        <v>1151</v>
      </c>
      <c r="X190" s="33"/>
      <c r="Y190" s="33"/>
      <c r="Z190" s="33"/>
      <c r="AA190" s="33">
        <f t="shared" si="142"/>
        <v>204125</v>
      </c>
      <c r="AB190" s="33"/>
      <c r="AC190" s="46">
        <f t="shared" si="143"/>
        <v>2.743235446808379E-2</v>
      </c>
      <c r="AD190" s="33"/>
      <c r="AE190" s="33">
        <f t="shared" si="144"/>
        <v>1127.7624309392265</v>
      </c>
      <c r="AF190" s="50"/>
      <c r="AG190" s="33">
        <f t="shared" si="145"/>
        <v>6110</v>
      </c>
      <c r="AH190" s="33">
        <f>SUM(D161:D828)</f>
        <v>891118116.34662843</v>
      </c>
      <c r="AI190" s="213">
        <f t="shared" si="146"/>
        <v>0.15851346226772847</v>
      </c>
      <c r="AJ190" s="50"/>
      <c r="AK190" s="10"/>
      <c r="AL190" s="23">
        <f t="shared" si="147"/>
        <v>51072</v>
      </c>
      <c r="AM190" s="24"/>
      <c r="AN190" s="24"/>
      <c r="AO190" s="24">
        <v>178263</v>
      </c>
      <c r="AP190" s="24">
        <v>4119158</v>
      </c>
      <c r="AQ190" s="24"/>
      <c r="AR190" s="461">
        <f t="shared" si="148"/>
        <v>1.2554306865685731E-2</v>
      </c>
      <c r="AS190" s="25"/>
      <c r="AT190" s="25"/>
      <c r="AU190" s="24"/>
      <c r="AV190" s="298">
        <f t="shared" si="149"/>
        <v>0.5535735572127034</v>
      </c>
      <c r="AW190" s="298"/>
      <c r="AX190" s="24">
        <f t="shared" si="150"/>
        <v>22757.779005524862</v>
      </c>
      <c r="AY190" s="308"/>
      <c r="AZ190" s="10"/>
      <c r="BA190" s="65">
        <f t="shared" si="151"/>
        <v>737109</v>
      </c>
      <c r="BB190" s="66"/>
      <c r="BC190" s="66">
        <v>94369067</v>
      </c>
      <c r="BD190" s="66"/>
      <c r="BE190" s="66">
        <f t="shared" si="152"/>
        <v>40154</v>
      </c>
      <c r="BF190" s="66"/>
      <c r="BG190" s="144">
        <f t="shared" si="153"/>
        <v>5.4474982668777615E-2</v>
      </c>
      <c r="BH190" s="66"/>
      <c r="BI190" s="170"/>
      <c r="BJ190" s="66"/>
      <c r="BK190" s="66">
        <f t="shared" si="154"/>
        <v>5085995</v>
      </c>
      <c r="BL190" s="66"/>
      <c r="BM190" s="144">
        <f t="shared" si="155"/>
        <v>5.3327421674618243E-2</v>
      </c>
      <c r="BN190" s="65">
        <f t="shared" si="156"/>
        <v>521376.06077348068</v>
      </c>
      <c r="BO190" s="66"/>
      <c r="BP190" s="66">
        <f t="shared" si="157"/>
        <v>6534053</v>
      </c>
      <c r="BQ190" s="66"/>
      <c r="BR190" s="435">
        <f t="shared" si="158"/>
        <v>6.9239351492157916E-2</v>
      </c>
      <c r="BS190" s="66"/>
      <c r="BT190" s="75"/>
      <c r="BU190" s="170"/>
      <c r="BV190" s="1"/>
      <c r="BW190" s="61">
        <f t="shared" ref="BW190:BW215" si="162">+BW189+1</f>
        <v>181</v>
      </c>
    </row>
    <row r="191" spans="2:75" x14ac:dyDescent="0.3">
      <c r="B191" s="158">
        <f t="shared" si="161"/>
        <v>44091</v>
      </c>
      <c r="C191" s="61"/>
      <c r="D191" s="17">
        <v>46295</v>
      </c>
      <c r="E191" s="16"/>
      <c r="F191" s="16"/>
      <c r="G191" s="16"/>
      <c r="H191" s="16">
        <f t="shared" si="138"/>
        <v>7487326</v>
      </c>
      <c r="I191" s="16"/>
      <c r="J191" s="436">
        <f t="shared" si="139"/>
        <v>6.2215840788729408E-3</v>
      </c>
      <c r="K191" s="16"/>
      <c r="L191" s="16"/>
      <c r="M191" s="16"/>
      <c r="N191" s="16">
        <f t="shared" si="140"/>
        <v>278707</v>
      </c>
      <c r="O191" s="16">
        <f t="shared" si="141"/>
        <v>41139.153846153844</v>
      </c>
      <c r="P191" s="41"/>
      <c r="Q191" s="17">
        <f t="shared" si="159"/>
        <v>278707</v>
      </c>
      <c r="R191" s="16"/>
      <c r="S191" s="60">
        <f t="shared" si="160"/>
        <v>9.742719440550629E-2</v>
      </c>
      <c r="T191" s="16"/>
      <c r="U191" s="41"/>
      <c r="V191" s="10">
        <f t="shared" si="109"/>
        <v>83</v>
      </c>
      <c r="W191" s="34">
        <v>879</v>
      </c>
      <c r="X191" s="33"/>
      <c r="Y191" s="33"/>
      <c r="Z191" s="33"/>
      <c r="AA191" s="33">
        <f t="shared" si="142"/>
        <v>205004</v>
      </c>
      <c r="AB191" s="33"/>
      <c r="AC191" s="46">
        <f t="shared" si="143"/>
        <v>2.7380135444883793E-2</v>
      </c>
      <c r="AD191" s="33"/>
      <c r="AE191" s="33">
        <f t="shared" si="144"/>
        <v>1126.3956043956043</v>
      </c>
      <c r="AF191" s="50"/>
      <c r="AG191" s="33">
        <f t="shared" si="145"/>
        <v>5900</v>
      </c>
      <c r="AH191" s="33">
        <f>SUM(D162:D829)</f>
        <v>891074117.34662843</v>
      </c>
      <c r="AI191" s="213">
        <f t="shared" si="146"/>
        <v>0.12402362354734235</v>
      </c>
      <c r="AJ191" s="50"/>
      <c r="AK191" s="10"/>
      <c r="AL191" s="23">
        <f t="shared" si="147"/>
        <v>35881</v>
      </c>
      <c r="AM191" s="24"/>
      <c r="AN191" s="24"/>
      <c r="AO191" s="24">
        <v>178263</v>
      </c>
      <c r="AP191" s="24">
        <v>4155039</v>
      </c>
      <c r="AQ191" s="24"/>
      <c r="AR191" s="461">
        <f t="shared" si="148"/>
        <v>8.7107607914044573E-3</v>
      </c>
      <c r="AS191" s="25"/>
      <c r="AT191" s="25"/>
      <c r="AU191" s="24"/>
      <c r="AV191" s="298">
        <f t="shared" si="149"/>
        <v>0.55494297964319972</v>
      </c>
      <c r="AW191" s="298"/>
      <c r="AX191" s="24">
        <f t="shared" si="150"/>
        <v>22829.884615384617</v>
      </c>
      <c r="AY191" s="308"/>
      <c r="AZ191" s="10"/>
      <c r="BA191" s="65">
        <f t="shared" si="151"/>
        <v>865955</v>
      </c>
      <c r="BB191" s="66"/>
      <c r="BC191" s="66">
        <v>95235022</v>
      </c>
      <c r="BD191" s="66"/>
      <c r="BE191" s="66">
        <f t="shared" si="152"/>
        <v>46295</v>
      </c>
      <c r="BF191" s="66"/>
      <c r="BG191" s="144">
        <f t="shared" si="153"/>
        <v>5.3461207568522615E-2</v>
      </c>
      <c r="BH191" s="66"/>
      <c r="BI191" s="170"/>
      <c r="BJ191" s="66"/>
      <c r="BK191" s="66">
        <f t="shared" si="154"/>
        <v>5250233</v>
      </c>
      <c r="BL191" s="66"/>
      <c r="BM191" s="144">
        <f t="shared" si="155"/>
        <v>5.3084691669874458E-2</v>
      </c>
      <c r="BN191" s="65">
        <f t="shared" si="156"/>
        <v>523269.35164835164</v>
      </c>
      <c r="BO191" s="66"/>
      <c r="BP191" s="66">
        <f t="shared" si="157"/>
        <v>6580348</v>
      </c>
      <c r="BQ191" s="66"/>
      <c r="BR191" s="435">
        <f t="shared" si="158"/>
        <v>6.9095883655069662E-2</v>
      </c>
      <c r="BS191" s="66"/>
      <c r="BT191" s="75"/>
      <c r="BU191" s="170"/>
      <c r="BV191" s="1"/>
      <c r="BW191" s="61">
        <f t="shared" si="162"/>
        <v>182</v>
      </c>
    </row>
    <row r="192" spans="2:75" x14ac:dyDescent="0.3">
      <c r="B192" s="158">
        <f t="shared" si="161"/>
        <v>44092</v>
      </c>
      <c r="C192" s="61"/>
      <c r="D192" s="17">
        <v>51345</v>
      </c>
      <c r="E192" s="16"/>
      <c r="F192" s="16"/>
      <c r="G192" s="16"/>
      <c r="H192" s="16">
        <f t="shared" si="138"/>
        <v>7538671</v>
      </c>
      <c r="I192" s="16"/>
      <c r="J192" s="436">
        <f t="shared" si="139"/>
        <v>6.8575884100678932E-3</v>
      </c>
      <c r="K192" s="16"/>
      <c r="L192" s="16"/>
      <c r="M192" s="16"/>
      <c r="N192" s="16">
        <f t="shared" si="140"/>
        <v>283452</v>
      </c>
      <c r="O192" s="16">
        <f t="shared" si="141"/>
        <v>41194.923497267759</v>
      </c>
      <c r="P192" s="41"/>
      <c r="Q192" s="17">
        <f t="shared" si="159"/>
        <v>283452</v>
      </c>
      <c r="R192" s="16"/>
      <c r="S192" s="60">
        <f t="shared" si="160"/>
        <v>0.14426659669378117</v>
      </c>
      <c r="T192" s="16"/>
      <c r="U192" s="41"/>
      <c r="V192" s="10">
        <f t="shared" si="109"/>
        <v>84</v>
      </c>
      <c r="W192" s="34">
        <v>958</v>
      </c>
      <c r="X192" s="33"/>
      <c r="Y192" s="33"/>
      <c r="Z192" s="33"/>
      <c r="AA192" s="33">
        <f t="shared" si="142"/>
        <v>205962</v>
      </c>
      <c r="AB192" s="33"/>
      <c r="AC192" s="46">
        <f t="shared" si="143"/>
        <v>2.7320730669901896E-2</v>
      </c>
      <c r="AD192" s="33"/>
      <c r="AE192" s="33">
        <f t="shared" si="144"/>
        <v>1125.4754098360656</v>
      </c>
      <c r="AF192" s="50"/>
      <c r="AG192" s="33">
        <f t="shared" si="145"/>
        <v>5764</v>
      </c>
      <c r="AH192" s="33">
        <f>SUM(D163:D830)</f>
        <v>891029144.34662843</v>
      </c>
      <c r="AI192" s="213">
        <f t="shared" si="146"/>
        <v>8.5499058380414314E-2</v>
      </c>
      <c r="AJ192" s="50"/>
      <c r="AK192" s="10"/>
      <c r="AL192" s="23">
        <f t="shared" si="147"/>
        <v>36855</v>
      </c>
      <c r="AM192" s="24"/>
      <c r="AN192" s="24"/>
      <c r="AO192" s="24">
        <v>178263</v>
      </c>
      <c r="AP192" s="24">
        <v>4191894</v>
      </c>
      <c r="AQ192" s="24"/>
      <c r="AR192" s="461">
        <f t="shared" si="148"/>
        <v>8.8699528452079509E-3</v>
      </c>
      <c r="AS192" s="25"/>
      <c r="AT192" s="25"/>
      <c r="AU192" s="24"/>
      <c r="AV192" s="298">
        <f t="shared" si="149"/>
        <v>0.5560521211232059</v>
      </c>
      <c r="AW192" s="298"/>
      <c r="AX192" s="24">
        <f t="shared" si="150"/>
        <v>22906.524590163935</v>
      </c>
      <c r="AY192" s="308"/>
      <c r="AZ192" s="10"/>
      <c r="BA192" s="65">
        <f t="shared" si="151"/>
        <v>988439</v>
      </c>
      <c r="BB192" s="66"/>
      <c r="BC192" s="66">
        <v>96223461</v>
      </c>
      <c r="BD192" s="66"/>
      <c r="BE192" s="66">
        <f t="shared" si="152"/>
        <v>51345</v>
      </c>
      <c r="BF192" s="66"/>
      <c r="BG192" s="144">
        <f t="shared" si="153"/>
        <v>5.1945542415869871E-2</v>
      </c>
      <c r="BH192" s="66"/>
      <c r="BI192" s="170"/>
      <c r="BJ192" s="66"/>
      <c r="BK192" s="66">
        <f t="shared" si="154"/>
        <v>5377755</v>
      </c>
      <c r="BL192" s="66"/>
      <c r="BM192" s="144">
        <f t="shared" si="155"/>
        <v>5.270823977663542E-2</v>
      </c>
      <c r="BN192" s="65">
        <f t="shared" si="156"/>
        <v>525811.26229508198</v>
      </c>
      <c r="BO192" s="66"/>
      <c r="BP192" s="66">
        <f t="shared" si="157"/>
        <v>6631693</v>
      </c>
      <c r="BQ192" s="66"/>
      <c r="BR192" s="435">
        <f t="shared" si="158"/>
        <v>6.8919709716115912E-2</v>
      </c>
      <c r="BS192" s="66"/>
      <c r="BT192" s="75"/>
      <c r="BU192" s="170"/>
      <c r="BV192" s="1"/>
      <c r="BW192" s="61">
        <f t="shared" si="162"/>
        <v>183</v>
      </c>
    </row>
    <row r="193" spans="2:75" x14ac:dyDescent="0.3">
      <c r="B193" s="158">
        <f t="shared" si="161"/>
        <v>44093</v>
      </c>
      <c r="C193" s="61"/>
      <c r="D193" s="17">
        <v>43613</v>
      </c>
      <c r="E193" s="16"/>
      <c r="F193" s="16"/>
      <c r="G193" s="16"/>
      <c r="H193" s="16">
        <f t="shared" si="138"/>
        <v>7582284</v>
      </c>
      <c r="I193" s="16"/>
      <c r="J193" s="436">
        <f t="shared" si="139"/>
        <v>5.7852372122354188E-3</v>
      </c>
      <c r="K193" s="16"/>
      <c r="L193" s="16"/>
      <c r="M193" s="16"/>
      <c r="N193" s="16">
        <f t="shared" si="140"/>
        <v>287783</v>
      </c>
      <c r="O193" s="16">
        <f t="shared" si="141"/>
        <v>41208.065217391304</v>
      </c>
      <c r="P193" s="41"/>
      <c r="Q193" s="17">
        <f t="shared" si="159"/>
        <v>287783</v>
      </c>
      <c r="R193" s="16"/>
      <c r="S193" s="60">
        <f t="shared" si="160"/>
        <v>0.17508013311283968</v>
      </c>
      <c r="T193" s="16"/>
      <c r="U193" s="41"/>
      <c r="V193" s="10">
        <f t="shared" si="109"/>
        <v>85</v>
      </c>
      <c r="W193" s="34">
        <v>658</v>
      </c>
      <c r="X193" s="33"/>
      <c r="Y193" s="33"/>
      <c r="Z193" s="33"/>
      <c r="AA193" s="33">
        <f t="shared" si="142"/>
        <v>206620</v>
      </c>
      <c r="AB193" s="33"/>
      <c r="AC193" s="46">
        <f t="shared" si="143"/>
        <v>2.7250364138299225E-2</v>
      </c>
      <c r="AD193" s="33"/>
      <c r="AE193" s="33">
        <f t="shared" si="144"/>
        <v>1122.9347826086957</v>
      </c>
      <c r="AF193" s="50"/>
      <c r="AG193" s="33">
        <f t="shared" si="145"/>
        <v>5715</v>
      </c>
      <c r="AH193" s="33">
        <f>SUM(D164:D831)</f>
        <v>890983787.34662843</v>
      </c>
      <c r="AI193" s="213">
        <f t="shared" si="146"/>
        <v>7.6271186440677971E-2</v>
      </c>
      <c r="AJ193" s="50"/>
      <c r="AK193" s="10"/>
      <c r="AL193" s="23">
        <f t="shared" si="147"/>
        <v>31799</v>
      </c>
      <c r="AM193" s="24"/>
      <c r="AN193" s="24"/>
      <c r="AO193" s="24">
        <v>178263</v>
      </c>
      <c r="AP193" s="24">
        <v>4223693</v>
      </c>
      <c r="AQ193" s="24"/>
      <c r="AR193" s="461">
        <f t="shared" si="148"/>
        <v>7.5858311302719013E-3</v>
      </c>
      <c r="AS193" s="25"/>
      <c r="AT193" s="25"/>
      <c r="AU193" s="24"/>
      <c r="AV193" s="298">
        <f t="shared" si="149"/>
        <v>0.55704758618906913</v>
      </c>
      <c r="AW193" s="298"/>
      <c r="AX193" s="24">
        <f t="shared" si="150"/>
        <v>22954.853260869564</v>
      </c>
      <c r="AY193" s="308"/>
      <c r="AZ193" s="10"/>
      <c r="BA193" s="65">
        <f t="shared" si="151"/>
        <v>1086851</v>
      </c>
      <c r="BB193" s="66"/>
      <c r="BC193" s="66">
        <v>97310312</v>
      </c>
      <c r="BD193" s="66"/>
      <c r="BE193" s="66">
        <f t="shared" si="152"/>
        <v>43613</v>
      </c>
      <c r="BF193" s="66"/>
      <c r="BG193" s="144">
        <f t="shared" si="153"/>
        <v>4.0127855612222832E-2</v>
      </c>
      <c r="BH193" s="66"/>
      <c r="BI193" s="170"/>
      <c r="BJ193" s="66"/>
      <c r="BK193" s="66">
        <f t="shared" si="154"/>
        <v>5606809</v>
      </c>
      <c r="BL193" s="66"/>
      <c r="BM193" s="144">
        <f t="shared" si="155"/>
        <v>5.1327412793979607E-2</v>
      </c>
      <c r="BN193" s="65">
        <f t="shared" si="156"/>
        <v>528860.39130434778</v>
      </c>
      <c r="BO193" s="66"/>
      <c r="BP193" s="66">
        <f t="shared" si="157"/>
        <v>6675306</v>
      </c>
      <c r="BQ193" s="66"/>
      <c r="BR193" s="435">
        <f t="shared" si="158"/>
        <v>6.8598135827578066E-2</v>
      </c>
      <c r="BS193" s="66"/>
      <c r="BT193" s="75"/>
      <c r="BU193" s="170"/>
      <c r="BV193" s="1"/>
      <c r="BW193" s="61">
        <f t="shared" si="162"/>
        <v>184</v>
      </c>
    </row>
    <row r="194" spans="2:75" x14ac:dyDescent="0.3">
      <c r="B194" s="347">
        <f t="shared" si="161"/>
        <v>44094</v>
      </c>
      <c r="C194" s="61"/>
      <c r="D194" s="17">
        <v>33386</v>
      </c>
      <c r="E194" s="16"/>
      <c r="F194" s="16"/>
      <c r="G194" s="16"/>
      <c r="H194" s="16">
        <f t="shared" si="138"/>
        <v>7615670</v>
      </c>
      <c r="I194" s="16"/>
      <c r="J194" s="436">
        <f t="shared" si="139"/>
        <v>4.4031587315906395E-3</v>
      </c>
      <c r="K194" s="16"/>
      <c r="L194" s="16"/>
      <c r="M194" s="16"/>
      <c r="N194" s="16">
        <f t="shared" si="140"/>
        <v>289312</v>
      </c>
      <c r="O194" s="16">
        <f t="shared" si="141"/>
        <v>41165.783783783787</v>
      </c>
      <c r="P194" s="41"/>
      <c r="Q194" s="17">
        <f t="shared" si="159"/>
        <v>289312</v>
      </c>
      <c r="R194" s="16"/>
      <c r="S194" s="60">
        <f t="shared" si="160"/>
        <v>0.17773109927865435</v>
      </c>
      <c r="T194" s="16"/>
      <c r="U194" s="41"/>
      <c r="V194" s="10">
        <f t="shared" si="109"/>
        <v>86</v>
      </c>
      <c r="W194" s="34">
        <v>294</v>
      </c>
      <c r="X194" s="33"/>
      <c r="Y194" s="33"/>
      <c r="Z194" s="33"/>
      <c r="AA194" s="33">
        <f t="shared" si="142"/>
        <v>206914</v>
      </c>
      <c r="AB194" s="33"/>
      <c r="AC194" s="46">
        <f t="shared" si="143"/>
        <v>2.7169507082108336E-2</v>
      </c>
      <c r="AD194" s="33"/>
      <c r="AE194" s="33">
        <f t="shared" si="144"/>
        <v>1118.454054054054</v>
      </c>
      <c r="AF194" s="50"/>
      <c r="AG194" s="33">
        <f t="shared" si="145"/>
        <v>5617</v>
      </c>
      <c r="AH194" s="33">
        <f>SUM(D165:D832)</f>
        <v>890933306.34662843</v>
      </c>
      <c r="AI194" s="213">
        <f t="shared" si="146"/>
        <v>6.5440060698027311E-2</v>
      </c>
      <c r="AJ194" s="50"/>
      <c r="AK194" s="10"/>
      <c r="AL194" s="23">
        <f t="shared" si="147"/>
        <v>26447</v>
      </c>
      <c r="AM194" s="24"/>
      <c r="AN194" s="24"/>
      <c r="AO194" s="24">
        <v>178263</v>
      </c>
      <c r="AP194" s="24">
        <v>4250140</v>
      </c>
      <c r="AQ194" s="24"/>
      <c r="AR194" s="461">
        <f t="shared" si="148"/>
        <v>6.2615819852437195E-3</v>
      </c>
      <c r="AS194" s="25"/>
      <c r="AT194" s="25"/>
      <c r="AU194" s="24"/>
      <c r="AV194" s="298">
        <f t="shared" si="149"/>
        <v>0.55807827807664989</v>
      </c>
      <c r="AW194" s="298"/>
      <c r="AX194" s="24">
        <f t="shared" si="150"/>
        <v>22973.72972972973</v>
      </c>
      <c r="AY194" s="308"/>
      <c r="AZ194" s="348"/>
      <c r="BA194" s="65">
        <f t="shared" si="151"/>
        <v>856297</v>
      </c>
      <c r="BB194" s="66"/>
      <c r="BC194" s="66">
        <v>98166609</v>
      </c>
      <c r="BD194" s="66"/>
      <c r="BE194" s="66">
        <f t="shared" si="152"/>
        <v>33386</v>
      </c>
      <c r="BF194" s="66"/>
      <c r="BG194" s="144">
        <f t="shared" si="153"/>
        <v>3.8988808789473743E-2</v>
      </c>
      <c r="BH194" s="66"/>
      <c r="BI194" s="170"/>
      <c r="BJ194" s="66"/>
      <c r="BK194" s="66">
        <f t="shared" si="154"/>
        <v>5763109</v>
      </c>
      <c r="BL194" s="66"/>
      <c r="BM194" s="144">
        <f t="shared" si="155"/>
        <v>5.0200681611262253E-2</v>
      </c>
      <c r="BN194" s="65">
        <f t="shared" si="156"/>
        <v>530630.31891891896</v>
      </c>
      <c r="BO194" s="66"/>
      <c r="BP194" s="66">
        <f t="shared" si="157"/>
        <v>6708692</v>
      </c>
      <c r="BQ194" s="66"/>
      <c r="BR194" s="435">
        <f t="shared" si="158"/>
        <v>6.8339856783684969E-2</v>
      </c>
      <c r="BS194" s="66"/>
      <c r="BT194" s="75"/>
      <c r="BU194" s="170"/>
      <c r="BV194" s="1"/>
      <c r="BW194" s="61">
        <f t="shared" si="162"/>
        <v>185</v>
      </c>
    </row>
    <row r="195" spans="2:75" x14ac:dyDescent="0.3">
      <c r="B195" s="158">
        <f t="shared" si="161"/>
        <v>44095</v>
      </c>
      <c r="C195" s="61"/>
      <c r="D195" s="17">
        <v>36804</v>
      </c>
      <c r="E195" s="16"/>
      <c r="F195" s="16"/>
      <c r="G195" s="16"/>
      <c r="H195" s="16">
        <f t="shared" si="138"/>
        <v>7652474</v>
      </c>
      <c r="I195" s="16"/>
      <c r="J195" s="436">
        <f t="shared" si="139"/>
        <v>4.8326673818587206E-3</v>
      </c>
      <c r="K195" s="16"/>
      <c r="L195" s="16"/>
      <c r="M195" s="16"/>
      <c r="N195" s="16">
        <f t="shared" si="140"/>
        <v>288044</v>
      </c>
      <c r="O195" s="16">
        <f t="shared" si="141"/>
        <v>41142.333333333336</v>
      </c>
      <c r="P195" s="41"/>
      <c r="Q195" s="17">
        <f t="shared" si="159"/>
        <v>288044</v>
      </c>
      <c r="R195" s="16"/>
      <c r="S195" s="60">
        <f t="shared" si="160"/>
        <v>0.11513565411298315</v>
      </c>
      <c r="T195" s="16"/>
      <c r="U195" s="41"/>
      <c r="V195" s="10">
        <f t="shared" si="109"/>
        <v>87</v>
      </c>
      <c r="W195" s="34">
        <v>384</v>
      </c>
      <c r="X195" s="33"/>
      <c r="Y195" s="33"/>
      <c r="Z195" s="33"/>
      <c r="AA195" s="33">
        <f t="shared" si="142"/>
        <v>207298</v>
      </c>
      <c r="AB195" s="33"/>
      <c r="AC195" s="46">
        <f t="shared" si="143"/>
        <v>2.7089017225017688E-2</v>
      </c>
      <c r="AD195" s="33"/>
      <c r="AE195" s="33">
        <f t="shared" si="144"/>
        <v>1114.505376344086</v>
      </c>
      <c r="AF195" s="50"/>
      <c r="AG195" s="33">
        <f t="shared" si="145"/>
        <v>5521</v>
      </c>
      <c r="AH195" s="33">
        <f>SUM(D166:D833)</f>
        <v>890889477.34662843</v>
      </c>
      <c r="AI195" s="213">
        <f t="shared" si="146"/>
        <v>1.0062202707647273E-2</v>
      </c>
      <c r="AJ195" s="50"/>
      <c r="AK195" s="10"/>
      <c r="AL195" s="23">
        <f t="shared" si="147"/>
        <v>49385</v>
      </c>
      <c r="AM195" s="24"/>
      <c r="AN195" s="24"/>
      <c r="AO195" s="24">
        <v>178263</v>
      </c>
      <c r="AP195" s="24">
        <v>4299525</v>
      </c>
      <c r="AQ195" s="24"/>
      <c r="AR195" s="461">
        <f t="shared" si="148"/>
        <v>1.1619617236138104E-2</v>
      </c>
      <c r="AS195" s="25"/>
      <c r="AT195" s="25"/>
      <c r="AU195" s="24"/>
      <c r="AV195" s="298">
        <f t="shared" si="149"/>
        <v>0.56184771094942632</v>
      </c>
      <c r="AW195" s="298"/>
      <c r="AX195" s="24">
        <f t="shared" si="150"/>
        <v>23115.725806451614</v>
      </c>
      <c r="AY195" s="308"/>
      <c r="AZ195" s="10"/>
      <c r="BA195" s="65">
        <f t="shared" si="151"/>
        <v>743166</v>
      </c>
      <c r="BB195" s="66"/>
      <c r="BC195" s="66">
        <v>98909775</v>
      </c>
      <c r="BD195" s="66"/>
      <c r="BE195" s="66">
        <f t="shared" si="152"/>
        <v>36804</v>
      </c>
      <c r="BF195" s="66"/>
      <c r="BG195" s="144">
        <f t="shared" si="153"/>
        <v>4.9523255907832166E-2</v>
      </c>
      <c r="BH195" s="66"/>
      <c r="BI195" s="170"/>
      <c r="BJ195" s="66"/>
      <c r="BK195" s="66">
        <f t="shared" si="154"/>
        <v>6019453</v>
      </c>
      <c r="BL195" s="66"/>
      <c r="BM195" s="144">
        <f t="shared" si="155"/>
        <v>4.7852188562648466E-2</v>
      </c>
      <c r="BN195" s="65">
        <f t="shared" si="156"/>
        <v>531772.98387096776</v>
      </c>
      <c r="BO195" s="66"/>
      <c r="BP195" s="66">
        <f t="shared" si="157"/>
        <v>6745496</v>
      </c>
      <c r="BQ195" s="66"/>
      <c r="BR195" s="435">
        <f t="shared" si="158"/>
        <v>6.8198476844174405E-2</v>
      </c>
      <c r="BS195" s="66"/>
      <c r="BT195" s="75"/>
      <c r="BU195" s="170"/>
      <c r="BV195" s="1"/>
      <c r="BW195" s="61">
        <f t="shared" si="162"/>
        <v>186</v>
      </c>
    </row>
    <row r="196" spans="2:75" x14ac:dyDescent="0.3">
      <c r="B196" s="158">
        <f t="shared" si="161"/>
        <v>44096</v>
      </c>
      <c r="C196" s="61"/>
      <c r="D196" s="17">
        <v>35696</v>
      </c>
      <c r="E196" s="16"/>
      <c r="F196" s="16"/>
      <c r="G196" s="16"/>
      <c r="H196" s="16">
        <f t="shared" si="138"/>
        <v>7688170</v>
      </c>
      <c r="I196" s="16"/>
      <c r="J196" s="436">
        <f t="shared" si="139"/>
        <v>4.6646352539061221E-3</v>
      </c>
      <c r="K196" s="16"/>
      <c r="L196" s="16"/>
      <c r="M196" s="16"/>
      <c r="N196" s="16">
        <f t="shared" si="140"/>
        <v>287293</v>
      </c>
      <c r="O196" s="16">
        <f t="shared" si="141"/>
        <v>41113.20855614973</v>
      </c>
      <c r="P196" s="41"/>
      <c r="Q196" s="17">
        <f t="shared" si="159"/>
        <v>287293</v>
      </c>
      <c r="R196" s="16"/>
      <c r="S196" s="60">
        <f t="shared" si="160"/>
        <v>7.8783532097689929E-2</v>
      </c>
      <c r="T196" s="16"/>
      <c r="U196" s="41"/>
      <c r="V196" s="10">
        <f t="shared" si="109"/>
        <v>88</v>
      </c>
      <c r="W196" s="34">
        <v>979</v>
      </c>
      <c r="X196" s="33"/>
      <c r="Y196" s="33"/>
      <c r="Z196" s="33"/>
      <c r="AA196" s="33">
        <f t="shared" si="142"/>
        <v>208277</v>
      </c>
      <c r="AB196" s="33"/>
      <c r="AC196" s="46">
        <f t="shared" si="143"/>
        <v>2.7090582024070747E-2</v>
      </c>
      <c r="AD196" s="33"/>
      <c r="AE196" s="33">
        <f t="shared" si="144"/>
        <v>1113.7807486631016</v>
      </c>
      <c r="AF196" s="50"/>
      <c r="AG196" s="33">
        <f t="shared" ref="AG196:AG204" si="163">SUM(W190:W196)</f>
        <v>5303</v>
      </c>
      <c r="AH196" s="33">
        <f>SUM(D167:D834)</f>
        <v>890856759.34662843</v>
      </c>
      <c r="AI196" s="213">
        <f t="shared" si="146"/>
        <v>-0.14010053510621048</v>
      </c>
      <c r="AJ196" s="50"/>
      <c r="AK196" s="10"/>
      <c r="AL196" s="23">
        <f t="shared" si="147"/>
        <v>46585</v>
      </c>
      <c r="AM196" s="24"/>
      <c r="AN196" s="24"/>
      <c r="AO196" s="24">
        <v>178263</v>
      </c>
      <c r="AP196" s="24">
        <v>4346110</v>
      </c>
      <c r="AQ196" s="24"/>
      <c r="AR196" s="461">
        <f t="shared" si="148"/>
        <v>1.0834917810688389E-2</v>
      </c>
      <c r="AS196" s="25"/>
      <c r="AT196" s="25"/>
      <c r="AU196" s="24"/>
      <c r="AV196" s="298">
        <f t="shared" si="149"/>
        <v>0.56529837399537208</v>
      </c>
      <c r="AW196" s="298"/>
      <c r="AX196" s="24">
        <f t="shared" si="150"/>
        <v>23241.229946524065</v>
      </c>
      <c r="AY196" s="308"/>
      <c r="AZ196" s="10"/>
      <c r="BA196" s="65">
        <f t="shared" si="151"/>
        <v>772198</v>
      </c>
      <c r="BB196" s="66"/>
      <c r="BC196" s="66">
        <v>99681973</v>
      </c>
      <c r="BD196" s="66"/>
      <c r="BE196" s="66">
        <f t="shared" si="152"/>
        <v>35696</v>
      </c>
      <c r="BF196" s="66"/>
      <c r="BG196" s="144">
        <f t="shared" si="153"/>
        <v>4.6226485953084574E-2</v>
      </c>
      <c r="BH196" s="66"/>
      <c r="BI196" s="170"/>
      <c r="BJ196" s="66"/>
      <c r="BK196" s="66">
        <f t="shared" si="154"/>
        <v>6050015</v>
      </c>
      <c r="BL196" s="66"/>
      <c r="BM196" s="144">
        <f t="shared" si="155"/>
        <v>4.7486328546292859E-2</v>
      </c>
      <c r="BN196" s="65">
        <f t="shared" si="156"/>
        <v>533058.67914438504</v>
      </c>
      <c r="BO196" s="66"/>
      <c r="BP196" s="66">
        <f t="shared" si="157"/>
        <v>6781192</v>
      </c>
      <c r="BQ196" s="66"/>
      <c r="BR196" s="435">
        <f t="shared" si="158"/>
        <v>6.8028268260701463E-2</v>
      </c>
      <c r="BS196" s="66"/>
      <c r="BT196" s="75"/>
      <c r="BU196" s="170"/>
      <c r="BV196" s="1"/>
      <c r="BW196" s="61">
        <f t="shared" si="162"/>
        <v>187</v>
      </c>
    </row>
    <row r="197" spans="2:75" x14ac:dyDescent="0.3">
      <c r="B197" s="158">
        <f t="shared" si="161"/>
        <v>44097</v>
      </c>
      <c r="C197" s="61"/>
      <c r="D197" s="17">
        <v>41616</v>
      </c>
      <c r="E197" s="16"/>
      <c r="F197" s="16"/>
      <c r="G197" s="16"/>
      <c r="H197" s="16">
        <f t="shared" si="138"/>
        <v>7729786</v>
      </c>
      <c r="I197" s="16"/>
      <c r="J197" s="436">
        <f t="shared" si="139"/>
        <v>5.4129916482075708E-3</v>
      </c>
      <c r="K197" s="16"/>
      <c r="L197" s="16"/>
      <c r="M197" s="16"/>
      <c r="N197" s="16">
        <f t="shared" si="140"/>
        <v>288755</v>
      </c>
      <c r="O197" s="16">
        <f t="shared" si="141"/>
        <v>41115.882978723406</v>
      </c>
      <c r="P197" s="41"/>
      <c r="Q197" s="17">
        <f t="shared" si="159"/>
        <v>288755</v>
      </c>
      <c r="R197" s="16"/>
      <c r="S197" s="60">
        <f t="shared" si="160"/>
        <v>6.4640535647787989E-2</v>
      </c>
      <c r="T197" s="16"/>
      <c r="U197" s="41"/>
      <c r="V197" s="10">
        <f t="shared" si="109"/>
        <v>89</v>
      </c>
      <c r="W197" s="34">
        <v>1115</v>
      </c>
      <c r="X197" s="33"/>
      <c r="Y197" s="33"/>
      <c r="Z197" s="33"/>
      <c r="AA197" s="33">
        <f t="shared" si="142"/>
        <v>209392</v>
      </c>
      <c r="AB197" s="33"/>
      <c r="AC197" s="46">
        <f t="shared" si="143"/>
        <v>2.7088977624995052E-2</v>
      </c>
      <c r="AD197" s="33"/>
      <c r="AE197" s="33">
        <f t="shared" si="144"/>
        <v>1113.7872340425531</v>
      </c>
      <c r="AF197" s="50"/>
      <c r="AG197" s="33">
        <f t="shared" si="163"/>
        <v>5267</v>
      </c>
      <c r="AH197" s="33">
        <f>SUM(D168:D835)</f>
        <v>890815275.34662843</v>
      </c>
      <c r="AI197" s="213">
        <f t="shared" si="146"/>
        <v>-0.13797054009819967</v>
      </c>
      <c r="AJ197" s="50"/>
      <c r="AK197" s="10"/>
      <c r="AL197" s="23">
        <f t="shared" si="147"/>
        <v>52797</v>
      </c>
      <c r="AM197" s="24"/>
      <c r="AN197" s="24"/>
      <c r="AO197" s="24">
        <v>178263</v>
      </c>
      <c r="AP197" s="24">
        <v>4398907</v>
      </c>
      <c r="AQ197" s="24"/>
      <c r="AR197" s="461">
        <f t="shared" si="148"/>
        <v>1.2148104856987052E-2</v>
      </c>
      <c r="AS197" s="25"/>
      <c r="AT197" s="25"/>
      <c r="AU197" s="24"/>
      <c r="AV197" s="298">
        <f t="shared" si="149"/>
        <v>0.56908522435161857</v>
      </c>
      <c r="AW197" s="298"/>
      <c r="AX197" s="24">
        <f t="shared" si="150"/>
        <v>23398.441489361703</v>
      </c>
      <c r="AY197" s="308"/>
      <c r="AZ197" s="10"/>
      <c r="BA197" s="65">
        <f t="shared" si="151"/>
        <v>900117</v>
      </c>
      <c r="BB197" s="66"/>
      <c r="BC197" s="66">
        <v>100582090</v>
      </c>
      <c r="BD197" s="66"/>
      <c r="BE197" s="66">
        <f t="shared" si="152"/>
        <v>41616</v>
      </c>
      <c r="BF197" s="66"/>
      <c r="BG197" s="144">
        <f t="shared" si="153"/>
        <v>4.6233989581354426E-2</v>
      </c>
      <c r="BH197" s="66"/>
      <c r="BI197" s="170"/>
      <c r="BJ197" s="66"/>
      <c r="BK197" s="66">
        <f t="shared" si="154"/>
        <v>6213023</v>
      </c>
      <c r="BL197" s="66"/>
      <c r="BM197" s="144">
        <f t="shared" si="155"/>
        <v>4.647576550094857E-2</v>
      </c>
      <c r="BN197" s="65">
        <f t="shared" si="156"/>
        <v>535011.11702127662</v>
      </c>
      <c r="BO197" s="66"/>
      <c r="BP197" s="66">
        <f t="shared" si="157"/>
        <v>6822808</v>
      </c>
      <c r="BQ197" s="66"/>
      <c r="BR197" s="435">
        <f t="shared" si="158"/>
        <v>6.7833229554088603E-2</v>
      </c>
      <c r="BS197" s="66"/>
      <c r="BT197" s="75"/>
      <c r="BU197" s="170"/>
      <c r="BV197" s="1"/>
      <c r="BW197" s="61">
        <f t="shared" si="162"/>
        <v>188</v>
      </c>
    </row>
    <row r="198" spans="2:75" x14ac:dyDescent="0.3">
      <c r="B198" s="158">
        <f t="shared" si="161"/>
        <v>44098</v>
      </c>
      <c r="C198" s="61"/>
      <c r="D198" s="17">
        <v>45355</v>
      </c>
      <c r="E198" s="16"/>
      <c r="F198" s="16"/>
      <c r="G198" s="16"/>
      <c r="H198" s="16">
        <f t="shared" si="138"/>
        <v>7775141</v>
      </c>
      <c r="I198" s="16"/>
      <c r="J198" s="436">
        <f t="shared" si="139"/>
        <v>5.8675621808934944E-3</v>
      </c>
      <c r="K198" s="16"/>
      <c r="L198" s="16"/>
      <c r="M198" s="16"/>
      <c r="N198" s="16">
        <f t="shared" si="140"/>
        <v>287815</v>
      </c>
      <c r="O198" s="16">
        <f t="shared" si="141"/>
        <v>41138.312169312172</v>
      </c>
      <c r="P198" s="41"/>
      <c r="Q198" s="17">
        <f t="shared" si="159"/>
        <v>287815</v>
      </c>
      <c r="R198" s="16"/>
      <c r="S198" s="60">
        <f t="shared" si="160"/>
        <v>3.2679480601491888E-2</v>
      </c>
      <c r="T198" s="16"/>
      <c r="U198" s="41"/>
      <c r="V198" s="10">
        <f t="shared" si="109"/>
        <v>90</v>
      </c>
      <c r="W198" s="34">
        <v>942</v>
      </c>
      <c r="X198" s="33"/>
      <c r="Y198" s="33"/>
      <c r="Z198" s="33"/>
      <c r="AA198" s="33">
        <f t="shared" si="142"/>
        <v>210334</v>
      </c>
      <c r="AB198" s="33"/>
      <c r="AC198" s="46">
        <f t="shared" si="143"/>
        <v>2.7052113910217192E-2</v>
      </c>
      <c r="AD198" s="33"/>
      <c r="AE198" s="33">
        <f t="shared" si="144"/>
        <v>1112.8783068783068</v>
      </c>
      <c r="AF198" s="50"/>
      <c r="AG198" s="33">
        <f t="shared" si="163"/>
        <v>5330</v>
      </c>
      <c r="AH198" s="33">
        <f>SUM(D169:D836)</f>
        <v>890775177.34662843</v>
      </c>
      <c r="AI198" s="213">
        <f t="shared" si="146"/>
        <v>-9.6610169491525427E-2</v>
      </c>
      <c r="AJ198" s="50"/>
      <c r="AK198" s="10"/>
      <c r="AL198" s="23">
        <f t="shared" si="147"/>
        <v>38643</v>
      </c>
      <c r="AM198" s="24"/>
      <c r="AN198" s="24"/>
      <c r="AO198" s="24">
        <v>178263</v>
      </c>
      <c r="AP198" s="24">
        <v>4437550</v>
      </c>
      <c r="AQ198" s="24"/>
      <c r="AR198" s="461">
        <f t="shared" si="148"/>
        <v>8.7846821949179657E-3</v>
      </c>
      <c r="AS198" s="25"/>
      <c r="AT198" s="25"/>
      <c r="AU198" s="24"/>
      <c r="AV198" s="298">
        <f t="shared" si="149"/>
        <v>0.57073563038921094</v>
      </c>
      <c r="AW198" s="298"/>
      <c r="AX198" s="24">
        <f t="shared" si="150"/>
        <v>23479.100529100528</v>
      </c>
      <c r="AY198" s="308"/>
      <c r="AZ198" s="10"/>
      <c r="BA198" s="65">
        <f t="shared" si="151"/>
        <v>990101</v>
      </c>
      <c r="BB198" s="66"/>
      <c r="BC198" s="66">
        <v>101572191</v>
      </c>
      <c r="BD198" s="66"/>
      <c r="BE198" s="66">
        <f t="shared" si="152"/>
        <v>45355</v>
      </c>
      <c r="BF198" s="66"/>
      <c r="BG198" s="144">
        <f t="shared" si="153"/>
        <v>4.5808457924999574E-2</v>
      </c>
      <c r="BH198" s="66"/>
      <c r="BI198" s="170"/>
      <c r="BJ198" s="66"/>
      <c r="BK198" s="66">
        <f t="shared" si="154"/>
        <v>6337169</v>
      </c>
      <c r="BL198" s="66"/>
      <c r="BM198" s="144">
        <f t="shared" si="155"/>
        <v>4.5416967734330585E-2</v>
      </c>
      <c r="BN198" s="65">
        <f t="shared" si="156"/>
        <v>537419</v>
      </c>
      <c r="BO198" s="66"/>
      <c r="BP198" s="66">
        <f t="shared" si="157"/>
        <v>6868163</v>
      </c>
      <c r="BQ198" s="66"/>
      <c r="BR198" s="435">
        <f t="shared" si="158"/>
        <v>6.7618537440036125E-2</v>
      </c>
      <c r="BS198" s="66"/>
      <c r="BT198" s="75"/>
      <c r="BU198" s="170"/>
      <c r="BV198" s="1"/>
      <c r="BW198" s="61">
        <f t="shared" si="162"/>
        <v>189</v>
      </c>
    </row>
    <row r="199" spans="2:75" x14ac:dyDescent="0.3">
      <c r="B199" s="158">
        <f t="shared" si="161"/>
        <v>44099</v>
      </c>
      <c r="C199" s="61"/>
      <c r="D199" s="17">
        <v>53629</v>
      </c>
      <c r="E199" s="16"/>
      <c r="F199" s="16"/>
      <c r="G199" s="16"/>
      <c r="H199" s="16">
        <f t="shared" si="138"/>
        <v>7828770</v>
      </c>
      <c r="I199" s="16"/>
      <c r="J199" s="436">
        <f t="shared" si="139"/>
        <v>6.8974954923647046E-3</v>
      </c>
      <c r="K199" s="16"/>
      <c r="L199" s="16"/>
      <c r="M199" s="16"/>
      <c r="N199" s="16">
        <f t="shared" si="140"/>
        <v>290099</v>
      </c>
      <c r="O199" s="16">
        <f t="shared" si="141"/>
        <v>41204.052631578947</v>
      </c>
      <c r="P199" s="41"/>
      <c r="Q199" s="17">
        <f t="shared" si="159"/>
        <v>290099</v>
      </c>
      <c r="R199" s="16"/>
      <c r="S199" s="60">
        <f t="shared" si="160"/>
        <v>2.3450178513469654E-2</v>
      </c>
      <c r="T199" s="16"/>
      <c r="U199" s="41"/>
      <c r="V199" s="10">
        <f t="shared" si="109"/>
        <v>91</v>
      </c>
      <c r="W199" s="34">
        <v>895</v>
      </c>
      <c r="X199" s="33"/>
      <c r="Y199" s="33"/>
      <c r="Z199" s="33"/>
      <c r="AA199" s="33">
        <f t="shared" si="142"/>
        <v>211229</v>
      </c>
      <c r="AB199" s="33"/>
      <c r="AC199" s="46">
        <f t="shared" si="143"/>
        <v>2.6981122194163324E-2</v>
      </c>
      <c r="AD199" s="33"/>
      <c r="AE199" s="33">
        <f t="shared" si="144"/>
        <v>1111.7315789473685</v>
      </c>
      <c r="AF199" s="50"/>
      <c r="AG199" s="33">
        <f t="shared" si="163"/>
        <v>5267</v>
      </c>
      <c r="AH199" s="33">
        <f>SUM(D170:D837)</f>
        <v>890730540.34662843</v>
      </c>
      <c r="AI199" s="213">
        <f t="shared" si="146"/>
        <v>-8.6224843858431641E-2</v>
      </c>
      <c r="AJ199" s="50"/>
      <c r="AK199" s="10"/>
      <c r="AL199" s="23">
        <f t="shared" si="147"/>
        <v>43169</v>
      </c>
      <c r="AM199" s="24"/>
      <c r="AN199" s="24"/>
      <c r="AO199" s="24">
        <v>178263</v>
      </c>
      <c r="AP199" s="24">
        <v>4480719</v>
      </c>
      <c r="AQ199" s="24"/>
      <c r="AR199" s="461">
        <f t="shared" si="148"/>
        <v>9.7281157395409622E-3</v>
      </c>
      <c r="AS199" s="25"/>
      <c r="AT199" s="25"/>
      <c r="AU199" s="24"/>
      <c r="AV199" s="298">
        <f t="shared" si="149"/>
        <v>0.57234009940258812</v>
      </c>
      <c r="AW199" s="298"/>
      <c r="AX199" s="24">
        <f t="shared" si="150"/>
        <v>23582.731578947369</v>
      </c>
      <c r="AY199" s="308"/>
      <c r="AZ199" s="10"/>
      <c r="BA199" s="65">
        <f t="shared" si="151"/>
        <v>975164</v>
      </c>
      <c r="BB199" s="66"/>
      <c r="BC199" s="66">
        <v>102547355</v>
      </c>
      <c r="BD199" s="66"/>
      <c r="BE199" s="66">
        <f t="shared" si="152"/>
        <v>53629</v>
      </c>
      <c r="BF199" s="66"/>
      <c r="BG199" s="144">
        <f t="shared" si="153"/>
        <v>5.4994852147946395E-2</v>
      </c>
      <c r="BH199" s="66"/>
      <c r="BI199" s="170"/>
      <c r="BJ199" s="66"/>
      <c r="BK199" s="66">
        <f t="shared" si="154"/>
        <v>6323894</v>
      </c>
      <c r="BL199" s="66"/>
      <c r="BM199" s="144">
        <f t="shared" si="155"/>
        <v>4.5873476057631576E-2</v>
      </c>
      <c r="BN199" s="65">
        <f t="shared" si="156"/>
        <v>539722.92105263157</v>
      </c>
      <c r="BO199" s="66"/>
      <c r="BP199" s="66">
        <f t="shared" si="157"/>
        <v>6921792</v>
      </c>
      <c r="BQ199" s="66"/>
      <c r="BR199" s="435">
        <f t="shared" si="158"/>
        <v>6.7498493744670457E-2</v>
      </c>
      <c r="BS199" s="66"/>
      <c r="BT199" s="75"/>
      <c r="BU199" s="170"/>
      <c r="BV199" s="1"/>
      <c r="BW199" s="61">
        <f t="shared" si="162"/>
        <v>190</v>
      </c>
    </row>
    <row r="200" spans="2:75" x14ac:dyDescent="0.3">
      <c r="B200" s="158">
        <f t="shared" si="161"/>
        <v>44100</v>
      </c>
      <c r="C200" s="61"/>
      <c r="D200" s="17">
        <v>43206</v>
      </c>
      <c r="E200" s="16"/>
      <c r="F200" s="16"/>
      <c r="G200" s="16"/>
      <c r="H200" s="16">
        <f t="shared" si="138"/>
        <v>7871976</v>
      </c>
      <c r="I200" s="16"/>
      <c r="J200" s="436">
        <f t="shared" si="139"/>
        <v>5.5188746124870194E-3</v>
      </c>
      <c r="K200" s="16"/>
      <c r="L200" s="16"/>
      <c r="M200" s="16"/>
      <c r="N200" s="16">
        <f t="shared" si="140"/>
        <v>289692</v>
      </c>
      <c r="O200" s="16">
        <f t="shared" si="141"/>
        <v>41214.534031413612</v>
      </c>
      <c r="P200" s="41"/>
      <c r="Q200" s="17">
        <f t="shared" si="159"/>
        <v>289692</v>
      </c>
      <c r="R200" s="16"/>
      <c r="S200" s="60">
        <f t="shared" si="160"/>
        <v>6.6334703578738146E-3</v>
      </c>
      <c r="T200" s="16"/>
      <c r="U200" s="41"/>
      <c r="V200" s="10">
        <f t="shared" si="109"/>
        <v>92</v>
      </c>
      <c r="W200" s="34">
        <v>737</v>
      </c>
      <c r="X200" s="33"/>
      <c r="Y200" s="33"/>
      <c r="Z200" s="33"/>
      <c r="AA200" s="33">
        <f t="shared" si="142"/>
        <v>211966</v>
      </c>
      <c r="AB200" s="33"/>
      <c r="AC200" s="46">
        <f t="shared" si="143"/>
        <v>2.6926657296719402E-2</v>
      </c>
      <c r="AD200" s="33"/>
      <c r="AE200" s="33">
        <f t="shared" si="144"/>
        <v>1109.7696335078533</v>
      </c>
      <c r="AF200" s="50"/>
      <c r="AG200" s="33">
        <f t="shared" si="163"/>
        <v>5346</v>
      </c>
      <c r="AH200" s="33">
        <f>SUM(D171:D838)</f>
        <v>890684534.34662843</v>
      </c>
      <c r="AI200" s="213">
        <f t="shared" si="146"/>
        <v>-6.4566929133858267E-2</v>
      </c>
      <c r="AJ200" s="50"/>
      <c r="AK200" s="10"/>
      <c r="AL200" s="23">
        <f t="shared" si="147"/>
        <v>43389</v>
      </c>
      <c r="AM200" s="24"/>
      <c r="AN200" s="24"/>
      <c r="AO200" s="24">
        <v>178263</v>
      </c>
      <c r="AP200" s="24">
        <v>4524108</v>
      </c>
      <c r="AQ200" s="24"/>
      <c r="AR200" s="461">
        <f t="shared" si="148"/>
        <v>9.6834905290869612E-3</v>
      </c>
      <c r="AS200" s="25"/>
      <c r="AT200" s="25"/>
      <c r="AU200" s="24"/>
      <c r="AV200" s="298">
        <f t="shared" si="149"/>
        <v>0.57471059362985866</v>
      </c>
      <c r="AW200" s="298"/>
      <c r="AX200" s="24">
        <f t="shared" si="150"/>
        <v>23686.429319371728</v>
      </c>
      <c r="AY200" s="308"/>
      <c r="AZ200" s="10"/>
      <c r="BA200" s="65">
        <f t="shared" si="151"/>
        <v>1028168</v>
      </c>
      <c r="BB200" s="66"/>
      <c r="BC200" s="66">
        <v>103575523</v>
      </c>
      <c r="BD200" s="66"/>
      <c r="BE200" s="66">
        <f t="shared" si="152"/>
        <v>43206</v>
      </c>
      <c r="BF200" s="66"/>
      <c r="BG200" s="144">
        <f t="shared" si="153"/>
        <v>4.2022315419270005E-2</v>
      </c>
      <c r="BH200" s="66"/>
      <c r="BI200" s="170"/>
      <c r="BJ200" s="66"/>
      <c r="BK200" s="66">
        <f t="shared" si="154"/>
        <v>6265211</v>
      </c>
      <c r="BL200" s="66"/>
      <c r="BM200" s="144">
        <f t="shared" si="155"/>
        <v>4.6238187349157113E-2</v>
      </c>
      <c r="BN200" s="65">
        <f t="shared" si="156"/>
        <v>542280.22513089003</v>
      </c>
      <c r="BO200" s="66"/>
      <c r="BP200" s="66">
        <f t="shared" si="157"/>
        <v>6964998</v>
      </c>
      <c r="BQ200" s="66"/>
      <c r="BR200" s="435">
        <f t="shared" si="158"/>
        <v>6.7245598170911483E-2</v>
      </c>
      <c r="BS200" s="66"/>
      <c r="BT200" s="75"/>
      <c r="BU200" s="170"/>
      <c r="BV200" s="1"/>
      <c r="BW200" s="61">
        <f t="shared" si="162"/>
        <v>191</v>
      </c>
    </row>
    <row r="201" spans="2:75" x14ac:dyDescent="0.3">
      <c r="B201" s="347">
        <f t="shared" si="161"/>
        <v>44101</v>
      </c>
      <c r="C201" s="61"/>
      <c r="D201" s="17">
        <v>33782</v>
      </c>
      <c r="E201" s="16"/>
      <c r="F201" s="16"/>
      <c r="G201" s="16"/>
      <c r="H201" s="16">
        <f t="shared" si="138"/>
        <v>7905758</v>
      </c>
      <c r="I201" s="16"/>
      <c r="J201" s="436">
        <f t="shared" si="139"/>
        <v>4.2914256852409106E-3</v>
      </c>
      <c r="K201" s="16"/>
      <c r="L201" s="16"/>
      <c r="M201" s="16"/>
      <c r="N201" s="16">
        <f t="shared" si="140"/>
        <v>290088</v>
      </c>
      <c r="O201" s="16">
        <f t="shared" si="141"/>
        <v>41175.822916666664</v>
      </c>
      <c r="P201" s="41"/>
      <c r="Q201" s="17">
        <f t="shared" si="159"/>
        <v>290088</v>
      </c>
      <c r="R201" s="16"/>
      <c r="S201" s="60">
        <f t="shared" si="160"/>
        <v>2.6822254175423075E-3</v>
      </c>
      <c r="T201" s="16"/>
      <c r="U201" s="41"/>
      <c r="V201" s="348">
        <f t="shared" si="109"/>
        <v>93</v>
      </c>
      <c r="W201" s="34">
        <v>276</v>
      </c>
      <c r="X201" s="33"/>
      <c r="Y201" s="33"/>
      <c r="Z201" s="33"/>
      <c r="AA201" s="33">
        <f t="shared" si="142"/>
        <v>212242</v>
      </c>
      <c r="AB201" s="33"/>
      <c r="AC201" s="46">
        <f t="shared" si="143"/>
        <v>2.6846508582731726E-2</v>
      </c>
      <c r="AD201" s="33"/>
      <c r="AE201" s="33">
        <f t="shared" si="144"/>
        <v>1105.4270833333333</v>
      </c>
      <c r="AF201" s="50"/>
      <c r="AG201" s="33">
        <f t="shared" si="163"/>
        <v>5328</v>
      </c>
      <c r="AH201" s="33">
        <f>SUM(D172:D839)</f>
        <v>890634933.34662843</v>
      </c>
      <c r="AI201" s="213">
        <f t="shared" si="146"/>
        <v>-5.145095246572904E-2</v>
      </c>
      <c r="AJ201" s="50"/>
      <c r="AK201" s="10"/>
      <c r="AL201" s="23">
        <f t="shared" si="147"/>
        <v>36348</v>
      </c>
      <c r="AM201" s="24"/>
      <c r="AN201" s="24"/>
      <c r="AO201" s="24">
        <v>178263</v>
      </c>
      <c r="AP201" s="24">
        <v>4560456</v>
      </c>
      <c r="AQ201" s="24"/>
      <c r="AR201" s="461">
        <f t="shared" si="148"/>
        <v>8.0342909585712809E-3</v>
      </c>
      <c r="AS201" s="25"/>
      <c r="AT201" s="25"/>
      <c r="AU201" s="24"/>
      <c r="AV201" s="298">
        <f t="shared" si="149"/>
        <v>0.57685246626572684</v>
      </c>
      <c r="AW201" s="298"/>
      <c r="AX201" s="24">
        <f t="shared" si="150"/>
        <v>23752.375</v>
      </c>
      <c r="AY201" s="308"/>
      <c r="AZ201" s="348"/>
      <c r="BA201" s="65">
        <f t="shared" si="151"/>
        <v>759639</v>
      </c>
      <c r="BB201" s="66"/>
      <c r="BC201" s="66">
        <v>104335162</v>
      </c>
      <c r="BD201" s="66"/>
      <c r="BE201" s="66">
        <f t="shared" si="152"/>
        <v>33782</v>
      </c>
      <c r="BF201" s="66"/>
      <c r="BG201" s="144">
        <f t="shared" si="153"/>
        <v>4.4471123783797306E-2</v>
      </c>
      <c r="BH201" s="66"/>
      <c r="BI201" s="170"/>
      <c r="BJ201" s="66"/>
      <c r="BK201" s="66">
        <f t="shared" si="154"/>
        <v>6168553</v>
      </c>
      <c r="BL201" s="66"/>
      <c r="BM201" s="144">
        <f t="shared" si="155"/>
        <v>4.7026912146171072E-2</v>
      </c>
      <c r="BN201" s="65">
        <f t="shared" si="156"/>
        <v>543412.30208333337</v>
      </c>
      <c r="BO201" s="66"/>
      <c r="BP201" s="66">
        <f t="shared" si="157"/>
        <v>6998780</v>
      </c>
      <c r="BQ201" s="66"/>
      <c r="BR201" s="435">
        <f t="shared" si="158"/>
        <v>6.7079782748600131E-2</v>
      </c>
      <c r="BS201" s="66"/>
      <c r="BT201" s="75"/>
      <c r="BU201" s="170"/>
      <c r="BV201" s="1"/>
      <c r="BW201" s="61">
        <f t="shared" si="162"/>
        <v>192</v>
      </c>
    </row>
    <row r="202" spans="2:75" x14ac:dyDescent="0.3">
      <c r="B202" s="158">
        <f t="shared" si="161"/>
        <v>44102</v>
      </c>
      <c r="C202" s="61"/>
      <c r="D202" s="17">
        <v>37418</v>
      </c>
      <c r="E202" s="16"/>
      <c r="F202" s="16"/>
      <c r="G202" s="16"/>
      <c r="H202" s="16">
        <f t="shared" si="138"/>
        <v>7943176</v>
      </c>
      <c r="I202" s="16"/>
      <c r="J202" s="436">
        <f t="shared" si="139"/>
        <v>4.7330059938591592E-3</v>
      </c>
      <c r="K202" s="16"/>
      <c r="L202" s="16"/>
      <c r="M202" s="16"/>
      <c r="N202" s="16">
        <f t="shared" si="140"/>
        <v>290702</v>
      </c>
      <c r="O202" s="16">
        <f t="shared" si="141"/>
        <v>41156.35233160622</v>
      </c>
      <c r="P202" s="41"/>
      <c r="Q202" s="17">
        <f t="shared" si="159"/>
        <v>290702</v>
      </c>
      <c r="R202" s="16"/>
      <c r="S202" s="60">
        <f t="shared" si="160"/>
        <v>9.227756870478122E-3</v>
      </c>
      <c r="T202" s="16"/>
      <c r="U202" s="41"/>
      <c r="V202" s="10">
        <f t="shared" si="109"/>
        <v>94</v>
      </c>
      <c r="W202" s="34">
        <v>355</v>
      </c>
      <c r="X202" s="33"/>
      <c r="Y202" s="33"/>
      <c r="Z202" s="33"/>
      <c r="AA202" s="33">
        <f t="shared" si="142"/>
        <v>212597</v>
      </c>
      <c r="AB202" s="33"/>
      <c r="AC202" s="46">
        <f t="shared" si="143"/>
        <v>2.6764734912080507E-2</v>
      </c>
      <c r="AD202" s="33"/>
      <c r="AE202" s="33">
        <f t="shared" si="144"/>
        <v>1101.538860103627</v>
      </c>
      <c r="AF202" s="50"/>
      <c r="AG202" s="33">
        <f t="shared" si="163"/>
        <v>5299</v>
      </c>
      <c r="AH202" s="33">
        <f>SUM(D173:D840)</f>
        <v>890592273.34662843</v>
      </c>
      <c r="AI202" s="213">
        <f t="shared" si="146"/>
        <v>-4.0210106864698426E-2</v>
      </c>
      <c r="AJ202" s="50"/>
      <c r="AK202" s="10"/>
      <c r="AL202" s="23">
        <f t="shared" si="147"/>
        <v>49180</v>
      </c>
      <c r="AM202" s="24"/>
      <c r="AN202" s="24"/>
      <c r="AO202" s="24">
        <v>178263</v>
      </c>
      <c r="AP202" s="24">
        <v>4609636</v>
      </c>
      <c r="AQ202" s="24"/>
      <c r="AR202" s="461">
        <f t="shared" si="148"/>
        <v>1.0784009318366409E-2</v>
      </c>
      <c r="AS202" s="25"/>
      <c r="AT202" s="25"/>
      <c r="AU202" s="24"/>
      <c r="AV202" s="298">
        <f t="shared" si="149"/>
        <v>0.58032655955250145</v>
      </c>
      <c r="AW202" s="298"/>
      <c r="AX202" s="24">
        <f t="shared" si="150"/>
        <v>23884.124352331608</v>
      </c>
      <c r="AY202" s="308"/>
      <c r="AZ202" s="10"/>
      <c r="BA202" s="65">
        <f t="shared" si="151"/>
        <v>1066544</v>
      </c>
      <c r="BB202" s="66"/>
      <c r="BC202" s="66">
        <v>105401706</v>
      </c>
      <c r="BD202" s="66"/>
      <c r="BE202" s="66">
        <f t="shared" si="152"/>
        <v>37418</v>
      </c>
      <c r="BF202" s="66"/>
      <c r="BG202" s="144">
        <f t="shared" si="153"/>
        <v>3.5083409592103092E-2</v>
      </c>
      <c r="BH202" s="66"/>
      <c r="BI202" s="170"/>
      <c r="BJ202" s="66"/>
      <c r="BK202" s="66">
        <f t="shared" si="154"/>
        <v>6491931</v>
      </c>
      <c r="BL202" s="66"/>
      <c r="BM202" s="144">
        <f t="shared" si="155"/>
        <v>4.4778972542992214E-2</v>
      </c>
      <c r="BN202" s="65">
        <f t="shared" si="156"/>
        <v>546122.82901554403</v>
      </c>
      <c r="BO202" s="66"/>
      <c r="BP202" s="66">
        <f t="shared" si="157"/>
        <v>7036198</v>
      </c>
      <c r="BQ202" s="66"/>
      <c r="BR202" s="435">
        <f t="shared" si="158"/>
        <v>6.6756016264101076E-2</v>
      </c>
      <c r="BS202" s="66"/>
      <c r="BT202" s="75"/>
      <c r="BU202" s="170"/>
      <c r="BV202" s="1"/>
      <c r="BW202" s="61">
        <f t="shared" si="162"/>
        <v>193</v>
      </c>
    </row>
    <row r="203" spans="2:75" x14ac:dyDescent="0.3">
      <c r="B203" s="158">
        <f t="shared" si="161"/>
        <v>44103</v>
      </c>
      <c r="C203" s="61"/>
      <c r="D203" s="17">
        <v>44227</v>
      </c>
      <c r="E203" s="16"/>
      <c r="F203" s="16"/>
      <c r="G203" s="16"/>
      <c r="H203" s="16">
        <f t="shared" si="138"/>
        <v>7987403</v>
      </c>
      <c r="I203" s="16"/>
      <c r="J203" s="436">
        <f t="shared" si="139"/>
        <v>5.5679239639156936E-3</v>
      </c>
      <c r="K203" s="16"/>
      <c r="L203" s="16"/>
      <c r="M203" s="16"/>
      <c r="N203" s="16">
        <f t="shared" si="140"/>
        <v>299233</v>
      </c>
      <c r="O203" s="16">
        <f t="shared" si="141"/>
        <v>41172.180412371134</v>
      </c>
      <c r="P203" s="41"/>
      <c r="Q203" s="17">
        <f t="shared" si="159"/>
        <v>299233</v>
      </c>
      <c r="R203" s="16"/>
      <c r="S203" s="60">
        <f t="shared" si="160"/>
        <v>4.1560358240541884E-2</v>
      </c>
      <c r="T203" s="16"/>
      <c r="U203" s="41"/>
      <c r="V203" s="10">
        <f t="shared" si="109"/>
        <v>95</v>
      </c>
      <c r="W203" s="34">
        <v>977</v>
      </c>
      <c r="X203" s="33"/>
      <c r="Y203" s="33"/>
      <c r="Z203" s="33"/>
      <c r="AA203" s="33">
        <f t="shared" si="142"/>
        <v>213574</v>
      </c>
      <c r="AB203" s="33"/>
      <c r="AC203" s="46">
        <f t="shared" si="143"/>
        <v>2.6738853667456118E-2</v>
      </c>
      <c r="AD203" s="33"/>
      <c r="AE203" s="33">
        <f t="shared" si="144"/>
        <v>1100.8969072164948</v>
      </c>
      <c r="AF203" s="50"/>
      <c r="AG203" s="33">
        <f t="shared" si="163"/>
        <v>5297</v>
      </c>
      <c r="AH203" s="33">
        <f>SUM(D174:D841)</f>
        <v>890558292.34662843</v>
      </c>
      <c r="AI203" s="213">
        <f t="shared" si="146"/>
        <v>-1.1314350367716388E-3</v>
      </c>
      <c r="AJ203" s="50"/>
      <c r="AK203" s="10"/>
      <c r="AL203" s="23">
        <f t="shared" si="147"/>
        <v>39047</v>
      </c>
      <c r="AM203" s="24"/>
      <c r="AN203" s="24"/>
      <c r="AO203" s="24">
        <v>178263</v>
      </c>
      <c r="AP203" s="24">
        <v>4648683</v>
      </c>
      <c r="AQ203" s="24"/>
      <c r="AR203" s="461">
        <f t="shared" si="148"/>
        <v>8.4707339147819909E-3</v>
      </c>
      <c r="AS203" s="25"/>
      <c r="AT203" s="25"/>
      <c r="AU203" s="24"/>
      <c r="AV203" s="298">
        <f t="shared" si="149"/>
        <v>0.58200180959944048</v>
      </c>
      <c r="AW203" s="298"/>
      <c r="AX203" s="24">
        <f t="shared" si="150"/>
        <v>23962.283505154639</v>
      </c>
      <c r="AY203" s="308"/>
      <c r="AZ203" s="10"/>
      <c r="BA203" s="65">
        <f t="shared" si="151"/>
        <v>771516</v>
      </c>
      <c r="BB203" s="66"/>
      <c r="BC203" s="66">
        <v>106173222</v>
      </c>
      <c r="BD203" s="66"/>
      <c r="BE203" s="66">
        <f t="shared" si="152"/>
        <v>44227</v>
      </c>
      <c r="BF203" s="66"/>
      <c r="BG203" s="144">
        <f t="shared" si="153"/>
        <v>5.7324799485687916E-2</v>
      </c>
      <c r="BH203" s="66"/>
      <c r="BI203" s="170"/>
      <c r="BJ203" s="66"/>
      <c r="BK203" s="66">
        <f t="shared" si="154"/>
        <v>6491249</v>
      </c>
      <c r="BL203" s="66"/>
      <c r="BM203" s="144">
        <f t="shared" si="155"/>
        <v>4.6097908122150297E-2</v>
      </c>
      <c r="BN203" s="65">
        <f t="shared" si="156"/>
        <v>547284.64948453603</v>
      </c>
      <c r="BO203" s="66"/>
      <c r="BP203" s="66">
        <f t="shared" si="157"/>
        <v>7080425</v>
      </c>
      <c r="BQ203" s="66"/>
      <c r="BR203" s="435">
        <f t="shared" si="158"/>
        <v>6.6687483591672481E-2</v>
      </c>
      <c r="BS203" s="66"/>
      <c r="BT203" s="75"/>
      <c r="BU203" s="170"/>
      <c r="BV203" s="1"/>
      <c r="BW203" s="61">
        <f t="shared" si="162"/>
        <v>194</v>
      </c>
    </row>
    <row r="204" spans="2:75" x14ac:dyDescent="0.3">
      <c r="B204" s="158">
        <f t="shared" si="161"/>
        <v>44104</v>
      </c>
      <c r="C204" s="61"/>
      <c r="D204" s="17">
        <v>40929</v>
      </c>
      <c r="E204" s="16"/>
      <c r="F204" s="16"/>
      <c r="G204" s="16"/>
      <c r="H204" s="16">
        <f t="shared" si="138"/>
        <v>8028332</v>
      </c>
      <c r="I204" s="16"/>
      <c r="J204" s="436">
        <f t="shared" si="139"/>
        <v>5.1241936834788481E-3</v>
      </c>
      <c r="K204" s="16"/>
      <c r="L204" s="16"/>
      <c r="M204" s="16"/>
      <c r="N204" s="426">
        <f>SUM(D175:D204)</f>
        <v>1202331</v>
      </c>
      <c r="O204" s="16">
        <f t="shared" si="141"/>
        <v>41170.933333333334</v>
      </c>
      <c r="P204" s="41"/>
      <c r="Q204" s="17">
        <f t="shared" si="159"/>
        <v>298546</v>
      </c>
      <c r="R204" s="16"/>
      <c r="S204" s="60">
        <f t="shared" si="160"/>
        <v>3.3907637962978993E-2</v>
      </c>
      <c r="T204" s="16"/>
      <c r="U204" s="41"/>
      <c r="V204" s="10">
        <f t="shared" si="109"/>
        <v>96</v>
      </c>
      <c r="W204" s="34">
        <v>955</v>
      </c>
      <c r="X204" s="33"/>
      <c r="Y204" s="33"/>
      <c r="Z204" s="33"/>
      <c r="AA204" s="33">
        <f t="shared" si="142"/>
        <v>214529</v>
      </c>
      <c r="AB204" s="33"/>
      <c r="AC204" s="46">
        <f t="shared" si="143"/>
        <v>2.6721490840189471E-2</v>
      </c>
      <c r="AD204" s="33"/>
      <c r="AE204" s="33">
        <f t="shared" si="144"/>
        <v>1100.1487179487181</v>
      </c>
      <c r="AF204" s="50"/>
      <c r="AG204" s="33">
        <f t="shared" si="163"/>
        <v>5137</v>
      </c>
      <c r="AH204" s="33">
        <f>SUM(D175:D842)</f>
        <v>890519732.34662843</v>
      </c>
      <c r="AI204" s="213">
        <f t="shared" si="146"/>
        <v>-2.468198215302829E-2</v>
      </c>
      <c r="AJ204" s="50"/>
      <c r="AK204" s="10"/>
      <c r="AL204" s="23">
        <f t="shared" si="147"/>
        <v>51023</v>
      </c>
      <c r="AM204" s="24"/>
      <c r="AN204" s="24"/>
      <c r="AO204" s="24">
        <v>178263</v>
      </c>
      <c r="AP204" s="24">
        <v>4699706</v>
      </c>
      <c r="AQ204" s="24"/>
      <c r="AR204" s="461">
        <f t="shared" si="148"/>
        <v>1.0975796800943407E-2</v>
      </c>
      <c r="AS204" s="25"/>
      <c r="AT204" s="25"/>
      <c r="AU204" s="24"/>
      <c r="AV204" s="298">
        <f t="shared" si="149"/>
        <v>0.58539009099274919</v>
      </c>
      <c r="AW204" s="298"/>
      <c r="AX204" s="24">
        <f t="shared" si="150"/>
        <v>24101.056410256409</v>
      </c>
      <c r="AY204" s="308"/>
      <c r="AZ204" s="10"/>
      <c r="BA204" s="65">
        <f t="shared" si="151"/>
        <v>1363003</v>
      </c>
      <c r="BB204" s="66"/>
      <c r="BC204" s="66">
        <v>107536225</v>
      </c>
      <c r="BD204" s="66"/>
      <c r="BE204" s="66">
        <f t="shared" si="152"/>
        <v>40929</v>
      </c>
      <c r="BF204" s="66"/>
      <c r="BG204" s="144">
        <f t="shared" si="153"/>
        <v>3.0028547259250346E-2</v>
      </c>
      <c r="BH204" s="66"/>
      <c r="BI204" s="170"/>
      <c r="BJ204" s="66"/>
      <c r="BK204" s="66">
        <f t="shared" si="154"/>
        <v>6954135</v>
      </c>
      <c r="BL204" s="66"/>
      <c r="BM204" s="144">
        <f t="shared" si="155"/>
        <v>4.2930716760603581E-2</v>
      </c>
      <c r="BN204" s="65">
        <f t="shared" si="156"/>
        <v>551467.8205128205</v>
      </c>
      <c r="BO204" s="66"/>
      <c r="BP204" s="66">
        <f t="shared" si="157"/>
        <v>7121354</v>
      </c>
      <c r="BQ204" s="66"/>
      <c r="BR204" s="435">
        <f t="shared" si="158"/>
        <v>6.6222837932054995E-2</v>
      </c>
      <c r="BS204" s="66"/>
      <c r="BT204" s="75"/>
      <c r="BU204" s="170"/>
      <c r="BV204" s="1"/>
      <c r="BW204" s="61">
        <f t="shared" si="162"/>
        <v>195</v>
      </c>
    </row>
    <row r="205" spans="2:75" x14ac:dyDescent="0.3">
      <c r="B205" s="158">
        <f t="shared" si="161"/>
        <v>44105</v>
      </c>
      <c r="C205" s="61"/>
      <c r="D205" s="17">
        <v>47389</v>
      </c>
      <c r="E205" s="16"/>
      <c r="F205" s="16"/>
      <c r="G205" s="16"/>
      <c r="H205" s="16">
        <f t="shared" si="138"/>
        <v>8075721</v>
      </c>
      <c r="I205" s="16"/>
      <c r="J205" s="436">
        <f t="shared" si="139"/>
        <v>5.9027205152950828E-3</v>
      </c>
      <c r="K205" s="16"/>
      <c r="L205" s="16"/>
      <c r="M205" s="16"/>
      <c r="N205" s="16">
        <f t="shared" si="140"/>
        <v>300580</v>
      </c>
      <c r="O205" s="16">
        <f t="shared" si="141"/>
        <v>41202.658163265303</v>
      </c>
      <c r="P205" s="41"/>
      <c r="Q205" s="17">
        <f t="shared" si="159"/>
        <v>300580</v>
      </c>
      <c r="R205" s="16"/>
      <c r="S205" s="60">
        <f t="shared" si="160"/>
        <v>4.4351406285287422E-2</v>
      </c>
      <c r="T205" s="16"/>
      <c r="U205" s="41"/>
      <c r="V205" s="10">
        <f t="shared" si="109"/>
        <v>97</v>
      </c>
      <c r="W205" s="34">
        <v>920</v>
      </c>
      <c r="X205" s="33"/>
      <c r="Y205" s="33"/>
      <c r="Z205" s="33"/>
      <c r="AA205" s="33">
        <f t="shared" si="142"/>
        <v>215449</v>
      </c>
      <c r="AB205" s="33"/>
      <c r="AC205" s="46">
        <f t="shared" si="143"/>
        <v>2.6678608634448861E-2</v>
      </c>
      <c r="AD205" s="33"/>
      <c r="AE205" s="33">
        <f t="shared" si="144"/>
        <v>1099.2295918367347</v>
      </c>
      <c r="AF205" s="50"/>
      <c r="AG205" s="33">
        <f t="shared" ref="AG205:AG212" si="164">SUM(W199:W205)</f>
        <v>5115</v>
      </c>
      <c r="AH205" s="33">
        <f>SUM(D176:D843)</f>
        <v>890477753.34662843</v>
      </c>
      <c r="AI205" s="213">
        <f t="shared" si="146"/>
        <v>-4.0337711069418386E-2</v>
      </c>
      <c r="AJ205" s="50"/>
      <c r="AK205" s="10"/>
      <c r="AL205" s="23">
        <f t="shared" si="147"/>
        <v>36915</v>
      </c>
      <c r="AM205" s="24"/>
      <c r="AN205" s="24"/>
      <c r="AO205" s="24">
        <v>178263</v>
      </c>
      <c r="AP205" s="24">
        <v>4736621</v>
      </c>
      <c r="AQ205" s="24"/>
      <c r="AR205" s="461">
        <f t="shared" si="148"/>
        <v>7.8547466586207735E-3</v>
      </c>
      <c r="AS205" s="25"/>
      <c r="AT205" s="25"/>
      <c r="AU205" s="24"/>
      <c r="AV205" s="298">
        <f t="shared" si="149"/>
        <v>0.58652608231512704</v>
      </c>
      <c r="AW205" s="298"/>
      <c r="AX205" s="24">
        <f t="shared" si="150"/>
        <v>24166.433673469386</v>
      </c>
      <c r="AY205" s="308"/>
      <c r="AZ205" s="10"/>
      <c r="BA205" s="65">
        <f t="shared" si="151"/>
        <v>895735</v>
      </c>
      <c r="BB205" s="66"/>
      <c r="BC205" s="66">
        <v>108431960</v>
      </c>
      <c r="BD205" s="66"/>
      <c r="BE205" s="66">
        <f t="shared" si="152"/>
        <v>47389</v>
      </c>
      <c r="BF205" s="66"/>
      <c r="BG205" s="144">
        <f t="shared" si="153"/>
        <v>5.2905156100855721E-2</v>
      </c>
      <c r="BH205" s="66"/>
      <c r="BI205" s="170"/>
      <c r="BJ205" s="66"/>
      <c r="BK205" s="66">
        <f t="shared" si="154"/>
        <v>6859769</v>
      </c>
      <c r="BL205" s="66"/>
      <c r="BM205" s="144">
        <f t="shared" si="155"/>
        <v>4.3817802028027472E-2</v>
      </c>
      <c r="BN205" s="65">
        <f t="shared" si="156"/>
        <v>553224.28571428568</v>
      </c>
      <c r="BO205" s="66"/>
      <c r="BP205" s="66">
        <f t="shared" si="157"/>
        <v>7168743</v>
      </c>
      <c r="BQ205" s="66"/>
      <c r="BR205" s="435">
        <f t="shared" si="158"/>
        <v>6.6112823193456988E-2</v>
      </c>
      <c r="BS205" s="66"/>
      <c r="BT205" s="75"/>
      <c r="BU205" s="170"/>
      <c r="BV205" s="1"/>
      <c r="BW205" s="61">
        <f t="shared" si="162"/>
        <v>196</v>
      </c>
    </row>
    <row r="206" spans="2:75" x14ac:dyDescent="0.3">
      <c r="B206" s="158">
        <f t="shared" si="161"/>
        <v>44106</v>
      </c>
      <c r="C206" s="61"/>
      <c r="D206" s="17">
        <v>51403</v>
      </c>
      <c r="E206" s="16"/>
      <c r="F206" s="16"/>
      <c r="G206" s="16"/>
      <c r="H206" s="16">
        <f t="shared" si="138"/>
        <v>8127124</v>
      </c>
      <c r="I206" s="16"/>
      <c r="J206" s="436">
        <f t="shared" si="139"/>
        <v>6.3651282653276403E-3</v>
      </c>
      <c r="K206" s="16"/>
      <c r="L206" s="16"/>
      <c r="M206" s="16"/>
      <c r="N206" s="16">
        <f t="shared" si="140"/>
        <v>298354</v>
      </c>
      <c r="O206" s="16">
        <f t="shared" si="141"/>
        <v>41254.436548223348</v>
      </c>
      <c r="P206" s="41"/>
      <c r="Q206" s="17">
        <f t="shared" si="159"/>
        <v>298354</v>
      </c>
      <c r="R206" s="16"/>
      <c r="S206" s="60">
        <f t="shared" si="160"/>
        <v>2.8455803018969387E-2</v>
      </c>
      <c r="T206" s="16"/>
      <c r="U206" s="41"/>
      <c r="V206" s="10">
        <f t="shared" si="109"/>
        <v>98</v>
      </c>
      <c r="W206" s="34">
        <v>864</v>
      </c>
      <c r="X206" s="33"/>
      <c r="Y206" s="33"/>
      <c r="Z206" s="33"/>
      <c r="AA206" s="33">
        <f t="shared" si="142"/>
        <v>216313</v>
      </c>
      <c r="AB206" s="33"/>
      <c r="AC206" s="46">
        <f t="shared" si="143"/>
        <v>2.6616180582454508E-2</v>
      </c>
      <c r="AD206" s="33"/>
      <c r="AE206" s="33">
        <f t="shared" si="144"/>
        <v>1098.0355329949239</v>
      </c>
      <c r="AF206" s="50"/>
      <c r="AG206" s="33">
        <f t="shared" si="164"/>
        <v>5084</v>
      </c>
      <c r="AH206" s="33">
        <f>SUM(D177:D844)</f>
        <v>890436542.34662843</v>
      </c>
      <c r="AI206" s="213">
        <f t="shared" si="146"/>
        <v>-3.4744636415416745E-2</v>
      </c>
      <c r="AJ206" s="50"/>
      <c r="AK206" s="10"/>
      <c r="AL206" s="23">
        <f t="shared" si="147"/>
        <v>40203</v>
      </c>
      <c r="AM206" s="24"/>
      <c r="AN206" s="24"/>
      <c r="AO206" s="24">
        <v>178263</v>
      </c>
      <c r="AP206" s="24">
        <v>4776824</v>
      </c>
      <c r="AQ206" s="24"/>
      <c r="AR206" s="461">
        <f t="shared" si="148"/>
        <v>8.4876961867964527E-3</v>
      </c>
      <c r="AS206" s="25"/>
      <c r="AT206" s="25"/>
      <c r="AU206" s="24"/>
      <c r="AV206" s="298">
        <f t="shared" si="149"/>
        <v>0.58776314967016619</v>
      </c>
      <c r="AW206" s="298"/>
      <c r="AX206" s="24">
        <f t="shared" si="150"/>
        <v>24247.837563451776</v>
      </c>
      <c r="AY206" s="308"/>
      <c r="AZ206" s="10"/>
      <c r="BA206" s="65">
        <f t="shared" si="151"/>
        <v>1138486</v>
      </c>
      <c r="BB206" s="66"/>
      <c r="BC206" s="66">
        <v>109570446</v>
      </c>
      <c r="BD206" s="66"/>
      <c r="BE206" s="66">
        <f t="shared" si="152"/>
        <v>51403</v>
      </c>
      <c r="BF206" s="66"/>
      <c r="BG206" s="144">
        <f t="shared" si="153"/>
        <v>4.515031366217942E-2</v>
      </c>
      <c r="BH206" s="66"/>
      <c r="BI206" s="170"/>
      <c r="BJ206" s="66"/>
      <c r="BK206" s="66">
        <f t="shared" si="154"/>
        <v>7023091</v>
      </c>
      <c r="BL206" s="66"/>
      <c r="BM206" s="144">
        <f t="shared" si="155"/>
        <v>4.2481864466799593E-2</v>
      </c>
      <c r="BN206" s="65">
        <f t="shared" si="156"/>
        <v>556195.15736040613</v>
      </c>
      <c r="BO206" s="66"/>
      <c r="BP206" s="66">
        <f t="shared" si="157"/>
        <v>7220146</v>
      </c>
      <c r="BQ206" s="66"/>
      <c r="BR206" s="435">
        <f t="shared" si="158"/>
        <v>6.589501333233598E-2</v>
      </c>
      <c r="BS206" s="66"/>
      <c r="BT206" s="75"/>
      <c r="BU206" s="170"/>
      <c r="BV206" s="1"/>
      <c r="BW206" s="61">
        <f t="shared" si="162"/>
        <v>197</v>
      </c>
    </row>
    <row r="207" spans="2:75" x14ac:dyDescent="0.3">
      <c r="B207" s="158">
        <f t="shared" si="161"/>
        <v>44107</v>
      </c>
      <c r="C207" s="61"/>
      <c r="D207" s="17">
        <v>48925</v>
      </c>
      <c r="E207" s="16"/>
      <c r="F207" s="16"/>
      <c r="G207" s="16"/>
      <c r="H207" s="16">
        <f t="shared" si="138"/>
        <v>8176049</v>
      </c>
      <c r="I207" s="16"/>
      <c r="J207" s="436">
        <f t="shared" si="139"/>
        <v>6.0199647501379336E-3</v>
      </c>
      <c r="K207" s="16"/>
      <c r="L207" s="16"/>
      <c r="M207" s="16"/>
      <c r="N207" s="16">
        <f t="shared" si="140"/>
        <v>304073</v>
      </c>
      <c r="O207" s="16">
        <f t="shared" si="141"/>
        <v>41293.17676767677</v>
      </c>
      <c r="P207" s="41"/>
      <c r="Q207" s="17">
        <f t="shared" si="159"/>
        <v>304073</v>
      </c>
      <c r="R207" s="16"/>
      <c r="S207" s="60">
        <f t="shared" si="160"/>
        <v>4.9642378802314181E-2</v>
      </c>
      <c r="T207" s="16"/>
      <c r="U207" s="41"/>
      <c r="V207" s="10">
        <f t="shared" si="109"/>
        <v>99</v>
      </c>
      <c r="W207" s="34">
        <v>755</v>
      </c>
      <c r="X207" s="33"/>
      <c r="Y207" s="33"/>
      <c r="Z207" s="33"/>
      <c r="AA207" s="33">
        <f t="shared" si="142"/>
        <v>217068</v>
      </c>
      <c r="AB207" s="33"/>
      <c r="AC207" s="46">
        <f t="shared" si="143"/>
        <v>2.6549253802172663E-2</v>
      </c>
      <c r="AD207" s="33"/>
      <c r="AE207" s="33">
        <f t="shared" si="144"/>
        <v>1096.3030303030303</v>
      </c>
      <c r="AF207" s="50"/>
      <c r="AG207" s="33">
        <f t="shared" si="164"/>
        <v>5102</v>
      </c>
      <c r="AH207" s="33">
        <f>SUM(D178:D845)</f>
        <v>890391078.34662843</v>
      </c>
      <c r="AI207" s="213">
        <f t="shared" si="146"/>
        <v>-4.5641601197156753E-2</v>
      </c>
      <c r="AJ207" s="50"/>
      <c r="AK207" s="10"/>
      <c r="AL207" s="23">
        <f t="shared" si="147"/>
        <v>41685</v>
      </c>
      <c r="AM207" s="24"/>
      <c r="AN207" s="24"/>
      <c r="AO207" s="24">
        <v>178263</v>
      </c>
      <c r="AP207" s="24">
        <v>4818509</v>
      </c>
      <c r="AQ207" s="24"/>
      <c r="AR207" s="461">
        <f t="shared" si="148"/>
        <v>8.7265094966865013E-3</v>
      </c>
      <c r="AS207" s="25"/>
      <c r="AT207" s="25"/>
      <c r="AU207" s="24"/>
      <c r="AV207" s="298">
        <f t="shared" si="149"/>
        <v>0.58934443763729893</v>
      </c>
      <c r="AW207" s="298"/>
      <c r="AX207" s="24">
        <f t="shared" si="150"/>
        <v>24335.904040404039</v>
      </c>
      <c r="AY207" s="308"/>
      <c r="AZ207" s="10"/>
      <c r="BA207" s="65">
        <f t="shared" si="151"/>
        <v>955837</v>
      </c>
      <c r="BB207" s="66"/>
      <c r="BC207" s="66">
        <v>110526283</v>
      </c>
      <c r="BD207" s="66"/>
      <c r="BE207" s="66">
        <f t="shared" si="152"/>
        <v>48925</v>
      </c>
      <c r="BF207" s="66"/>
      <c r="BG207" s="144">
        <f t="shared" si="153"/>
        <v>5.1185505478444547E-2</v>
      </c>
      <c r="BH207" s="66"/>
      <c r="BI207" s="170"/>
      <c r="BJ207" s="66"/>
      <c r="BK207" s="66">
        <f t="shared" si="154"/>
        <v>6950760</v>
      </c>
      <c r="BL207" s="66"/>
      <c r="BM207" s="144">
        <f t="shared" si="155"/>
        <v>4.3746726976618383E-2</v>
      </c>
      <c r="BN207" s="65">
        <f t="shared" si="156"/>
        <v>558213.55050505046</v>
      </c>
      <c r="BO207" s="66"/>
      <c r="BP207" s="66">
        <f t="shared" si="157"/>
        <v>7269071</v>
      </c>
      <c r="BQ207" s="66"/>
      <c r="BR207" s="435">
        <f t="shared" si="158"/>
        <v>6.5767804749210651E-2</v>
      </c>
      <c r="BS207" s="66"/>
      <c r="BT207" s="75"/>
      <c r="BU207" s="170"/>
      <c r="BV207" s="1"/>
      <c r="BW207" s="61">
        <f t="shared" si="162"/>
        <v>198</v>
      </c>
    </row>
    <row r="208" spans="2:75" x14ac:dyDescent="0.3">
      <c r="B208" s="347">
        <f t="shared" si="161"/>
        <v>44108</v>
      </c>
      <c r="C208" s="61"/>
      <c r="D208" s="17">
        <v>34066</v>
      </c>
      <c r="E208" s="16"/>
      <c r="F208" s="16"/>
      <c r="G208" s="16"/>
      <c r="H208" s="16">
        <f t="shared" si="138"/>
        <v>8210115</v>
      </c>
      <c r="I208" s="16"/>
      <c r="J208" s="436">
        <f t="shared" si="139"/>
        <v>4.1665601563787109E-3</v>
      </c>
      <c r="K208" s="16"/>
      <c r="L208" s="16"/>
      <c r="M208" s="16"/>
      <c r="N208" s="16">
        <f t="shared" si="140"/>
        <v>304357</v>
      </c>
      <c r="O208" s="16">
        <f t="shared" si="141"/>
        <v>41256.859296482413</v>
      </c>
      <c r="P208" s="41"/>
      <c r="Q208" s="17">
        <f t="shared" si="159"/>
        <v>304357</v>
      </c>
      <c r="R208" s="16"/>
      <c r="S208" s="60">
        <f t="shared" si="160"/>
        <v>4.9188522103637514E-2</v>
      </c>
      <c r="T208" s="16"/>
      <c r="U208" s="41"/>
      <c r="V208" s="348">
        <f t="shared" si="109"/>
        <v>100</v>
      </c>
      <c r="W208" s="34">
        <v>332</v>
      </c>
      <c r="X208" s="33"/>
      <c r="Y208" s="33"/>
      <c r="Z208" s="33"/>
      <c r="AA208" s="33">
        <f t="shared" si="142"/>
        <v>217400</v>
      </c>
      <c r="AB208" s="33"/>
      <c r="AC208" s="46">
        <f t="shared" si="143"/>
        <v>2.6479531650896487E-2</v>
      </c>
      <c r="AD208" s="33"/>
      <c r="AE208" s="33">
        <f t="shared" si="144"/>
        <v>1092.462311557789</v>
      </c>
      <c r="AF208" s="50"/>
      <c r="AG208" s="33">
        <f t="shared" si="164"/>
        <v>5158</v>
      </c>
      <c r="AH208" s="33">
        <f>SUM(D179:D846)</f>
        <v>890338229.34662843</v>
      </c>
      <c r="AI208" s="213">
        <f t="shared" si="146"/>
        <v>-3.1906906906906909E-2</v>
      </c>
      <c r="AJ208" s="50"/>
      <c r="AK208" s="10"/>
      <c r="AL208" s="23">
        <f t="shared" si="147"/>
        <v>30529</v>
      </c>
      <c r="AM208" s="24"/>
      <c r="AN208" s="24"/>
      <c r="AO208" s="24">
        <v>178263</v>
      </c>
      <c r="AP208" s="24">
        <v>4849038</v>
      </c>
      <c r="AQ208" s="24"/>
      <c r="AR208" s="461">
        <f t="shared" si="148"/>
        <v>6.3357773120274342E-3</v>
      </c>
      <c r="AS208" s="25"/>
      <c r="AT208" s="25"/>
      <c r="AU208" s="24"/>
      <c r="AV208" s="298">
        <f t="shared" si="149"/>
        <v>0.59061754920607079</v>
      </c>
      <c r="AW208" s="298"/>
      <c r="AX208" s="24">
        <f t="shared" si="150"/>
        <v>24367.025125628141</v>
      </c>
      <c r="AY208" s="308"/>
      <c r="AZ208" s="348"/>
      <c r="BA208" s="65">
        <f t="shared" si="151"/>
        <v>943983</v>
      </c>
      <c r="BB208" s="66"/>
      <c r="BC208" s="66">
        <v>111470266</v>
      </c>
      <c r="BD208" s="66"/>
      <c r="BE208" s="66">
        <f t="shared" si="152"/>
        <v>34066</v>
      </c>
      <c r="BF208" s="66"/>
      <c r="BG208" s="144">
        <f t="shared" si="153"/>
        <v>3.6087514287863234E-2</v>
      </c>
      <c r="BH208" s="66"/>
      <c r="BI208" s="170"/>
      <c r="BJ208" s="66"/>
      <c r="BK208" s="66">
        <f t="shared" si="154"/>
        <v>7135104</v>
      </c>
      <c r="BL208" s="66"/>
      <c r="BM208" s="144">
        <f t="shared" si="155"/>
        <v>4.2656280833467883E-2</v>
      </c>
      <c r="BN208" s="65">
        <f t="shared" si="156"/>
        <v>560152.09045226127</v>
      </c>
      <c r="BO208" s="66"/>
      <c r="BP208" s="66">
        <f t="shared" si="157"/>
        <v>7303137</v>
      </c>
      <c r="BQ208" s="66"/>
      <c r="BR208" s="435">
        <f t="shared" si="158"/>
        <v>6.5516457994278049E-2</v>
      </c>
      <c r="BS208" s="66"/>
      <c r="BT208" s="75"/>
      <c r="BU208" s="170"/>
      <c r="BV208" s="1"/>
      <c r="BW208" s="61">
        <f t="shared" si="162"/>
        <v>199</v>
      </c>
    </row>
    <row r="209" spans="2:75" x14ac:dyDescent="0.3">
      <c r="B209" s="158">
        <f t="shared" si="161"/>
        <v>44109</v>
      </c>
      <c r="C209" s="61"/>
      <c r="D209" s="17">
        <v>37717</v>
      </c>
      <c r="E209" s="16"/>
      <c r="F209" s="16"/>
      <c r="G209" s="16"/>
      <c r="H209" s="16">
        <f t="shared" si="138"/>
        <v>8247832</v>
      </c>
      <c r="I209" s="16"/>
      <c r="J209" s="436">
        <f t="shared" si="139"/>
        <v>4.5939673195807855E-3</v>
      </c>
      <c r="K209" s="16"/>
      <c r="L209" s="16"/>
      <c r="M209" s="16"/>
      <c r="N209" s="16">
        <f t="shared" si="140"/>
        <v>304656</v>
      </c>
      <c r="O209" s="16">
        <f t="shared" si="141"/>
        <v>41239.160000000003</v>
      </c>
      <c r="P209" s="41"/>
      <c r="Q209" s="17">
        <f t="shared" si="159"/>
        <v>304656</v>
      </c>
      <c r="R209" s="16"/>
      <c r="S209" s="60">
        <f t="shared" si="160"/>
        <v>4.8001045744439322E-2</v>
      </c>
      <c r="T209" s="16"/>
      <c r="U209" s="41"/>
      <c r="V209" s="10">
        <f t="shared" si="109"/>
        <v>101</v>
      </c>
      <c r="W209" s="34">
        <v>348</v>
      </c>
      <c r="X209" s="33"/>
      <c r="Y209" s="33"/>
      <c r="Z209" s="33"/>
      <c r="AA209" s="33">
        <f t="shared" si="142"/>
        <v>217748</v>
      </c>
      <c r="AB209" s="33"/>
      <c r="AC209" s="46">
        <f t="shared" si="143"/>
        <v>2.6400634736498028E-2</v>
      </c>
      <c r="AD209" s="33"/>
      <c r="AE209" s="33">
        <f t="shared" si="144"/>
        <v>1088.74</v>
      </c>
      <c r="AF209" s="50"/>
      <c r="AG209" s="33">
        <f t="shared" si="164"/>
        <v>5151</v>
      </c>
      <c r="AH209" s="33">
        <f>SUM(D180:D847)</f>
        <v>890296137.34662843</v>
      </c>
      <c r="AI209" s="213">
        <f t="shared" si="146"/>
        <v>-2.7929798075108512E-2</v>
      </c>
      <c r="AJ209" s="50"/>
      <c r="AK209" s="10"/>
      <c r="AL209" s="23">
        <f t="shared" si="147"/>
        <v>38801</v>
      </c>
      <c r="AM209" s="24"/>
      <c r="AN209" s="24"/>
      <c r="AO209" s="24">
        <v>178263</v>
      </c>
      <c r="AP209" s="24">
        <v>4887839</v>
      </c>
      <c r="AQ209" s="24"/>
      <c r="AR209" s="461">
        <f t="shared" si="148"/>
        <v>8.0017933454017073E-3</v>
      </c>
      <c r="AS209" s="25"/>
      <c r="AT209" s="25"/>
      <c r="AU209" s="24"/>
      <c r="AV209" s="298">
        <f t="shared" si="149"/>
        <v>0.59262106696644645</v>
      </c>
      <c r="AW209" s="298"/>
      <c r="AX209" s="24">
        <f t="shared" si="150"/>
        <v>24439.195</v>
      </c>
      <c r="AY209" s="308"/>
      <c r="AZ209" s="10"/>
      <c r="BA209" s="65">
        <f t="shared" si="151"/>
        <v>901908</v>
      </c>
      <c r="BB209" s="66"/>
      <c r="BC209" s="66">
        <v>112372174</v>
      </c>
      <c r="BD209" s="66"/>
      <c r="BE209" s="66">
        <f t="shared" si="152"/>
        <v>37717</v>
      </c>
      <c r="BF209" s="66"/>
      <c r="BG209" s="144">
        <f t="shared" si="153"/>
        <v>4.1819121240747395E-2</v>
      </c>
      <c r="BH209" s="66"/>
      <c r="BI209" s="170"/>
      <c r="BJ209" s="66"/>
      <c r="BK209" s="66">
        <f t="shared" si="154"/>
        <v>6970468</v>
      </c>
      <c r="BL209" s="66"/>
      <c r="BM209" s="144">
        <f t="shared" si="155"/>
        <v>4.3706677944723368E-2</v>
      </c>
      <c r="BN209" s="65">
        <f t="shared" si="156"/>
        <v>561860.87</v>
      </c>
      <c r="BO209" s="66"/>
      <c r="BP209" s="66">
        <f t="shared" si="157"/>
        <v>7340854</v>
      </c>
      <c r="BQ209" s="66"/>
      <c r="BR209" s="435">
        <f t="shared" si="158"/>
        <v>6.5326261286001289E-2</v>
      </c>
      <c r="BS209" s="66"/>
      <c r="BT209" s="75"/>
      <c r="BU209" s="170"/>
      <c r="BV209" s="1"/>
      <c r="BW209" s="61">
        <f t="shared" si="162"/>
        <v>200</v>
      </c>
    </row>
    <row r="210" spans="2:75" x14ac:dyDescent="0.3">
      <c r="B210" s="158">
        <f t="shared" si="161"/>
        <v>44110</v>
      </c>
      <c r="C210" s="61"/>
      <c r="D210" s="17">
        <v>44668</v>
      </c>
      <c r="E210" s="16"/>
      <c r="F210" s="16"/>
      <c r="G210" s="16"/>
      <c r="H210" s="16">
        <f t="shared" si="138"/>
        <v>8292500</v>
      </c>
      <c r="I210" s="16"/>
      <c r="J210" s="436">
        <f t="shared" si="139"/>
        <v>5.4157262175078252E-3</v>
      </c>
      <c r="K210" s="16"/>
      <c r="L210" s="16"/>
      <c r="M210" s="16"/>
      <c r="N210" s="16">
        <f t="shared" si="140"/>
        <v>305097</v>
      </c>
      <c r="O210" s="16">
        <f t="shared" si="141"/>
        <v>41256.218905472633</v>
      </c>
      <c r="P210" s="41"/>
      <c r="Q210" s="17">
        <f t="shared" si="159"/>
        <v>305097</v>
      </c>
      <c r="R210" s="16"/>
      <c r="S210" s="60">
        <f t="shared" si="160"/>
        <v>1.9596769072929791E-2</v>
      </c>
      <c r="T210" s="16"/>
      <c r="U210" s="41"/>
      <c r="V210" s="10">
        <f t="shared" si="109"/>
        <v>102</v>
      </c>
      <c r="W210" s="34">
        <v>808</v>
      </c>
      <c r="X210" s="33"/>
      <c r="Y210" s="33"/>
      <c r="Z210" s="33"/>
      <c r="AA210" s="33">
        <f t="shared" si="142"/>
        <v>218556</v>
      </c>
      <c r="AB210" s="33"/>
      <c r="AC210" s="46">
        <f t="shared" si="143"/>
        <v>2.6355863732288213E-2</v>
      </c>
      <c r="AD210" s="33"/>
      <c r="AE210" s="33">
        <f t="shared" si="144"/>
        <v>1087.3432835820895</v>
      </c>
      <c r="AF210" s="50"/>
      <c r="AG210" s="33">
        <f t="shared" si="164"/>
        <v>4982</v>
      </c>
      <c r="AH210" s="33">
        <f>SUM(D181:D848)</f>
        <v>890265027.34662843</v>
      </c>
      <c r="AI210" s="213">
        <f t="shared" si="146"/>
        <v>-5.9467623182933735E-2</v>
      </c>
      <c r="AJ210" s="50"/>
      <c r="AK210" s="10"/>
      <c r="AL210" s="23">
        <f t="shared" si="147"/>
        <v>47706</v>
      </c>
      <c r="AM210" s="24"/>
      <c r="AN210" s="24"/>
      <c r="AO210" s="24">
        <v>178263</v>
      </c>
      <c r="AP210" s="24">
        <v>4935545</v>
      </c>
      <c r="AQ210" s="24"/>
      <c r="AR210" s="461">
        <f t="shared" si="148"/>
        <v>9.7601414449207512E-3</v>
      </c>
      <c r="AS210" s="25"/>
      <c r="AT210" s="25"/>
      <c r="AU210" s="24"/>
      <c r="AV210" s="298">
        <f t="shared" si="149"/>
        <v>0.59518179077479649</v>
      </c>
      <c r="AW210" s="298"/>
      <c r="AX210" s="24">
        <f t="shared" si="150"/>
        <v>24554.95024875622</v>
      </c>
      <c r="AY210" s="308"/>
      <c r="AZ210" s="10"/>
      <c r="BA210" s="65">
        <f t="shared" si="151"/>
        <v>947144</v>
      </c>
      <c r="BB210" s="66"/>
      <c r="BC210" s="66">
        <v>113319318</v>
      </c>
      <c r="BD210" s="66"/>
      <c r="BE210" s="66">
        <f t="shared" si="152"/>
        <v>44668</v>
      </c>
      <c r="BF210" s="66"/>
      <c r="BG210" s="144">
        <f t="shared" si="153"/>
        <v>4.7160727407870397E-2</v>
      </c>
      <c r="BH210" s="66"/>
      <c r="BI210" s="170"/>
      <c r="BJ210" s="66"/>
      <c r="BK210" s="66">
        <f t="shared" si="154"/>
        <v>7146096</v>
      </c>
      <c r="BL210" s="66"/>
      <c r="BM210" s="144">
        <f t="shared" si="155"/>
        <v>4.2694220732551032E-2</v>
      </c>
      <c r="BN210" s="65">
        <f t="shared" si="156"/>
        <v>563777.70149253728</v>
      </c>
      <c r="BO210" s="66"/>
      <c r="BP210" s="66">
        <f t="shared" si="157"/>
        <v>7385522</v>
      </c>
      <c r="BQ210" s="66"/>
      <c r="BR210" s="435">
        <f t="shared" si="158"/>
        <v>6.5174430364997427E-2</v>
      </c>
      <c r="BS210" s="66"/>
      <c r="BT210" s="75"/>
      <c r="BU210" s="170"/>
      <c r="BV210" s="1"/>
      <c r="BW210" s="61">
        <f t="shared" si="162"/>
        <v>201</v>
      </c>
    </row>
    <row r="211" spans="2:75" x14ac:dyDescent="0.3">
      <c r="B211" s="158">
        <f t="shared" si="161"/>
        <v>44111</v>
      </c>
      <c r="C211" s="61"/>
      <c r="D211" s="17">
        <v>49358</v>
      </c>
      <c r="E211" s="16"/>
      <c r="F211" s="16"/>
      <c r="G211" s="16"/>
      <c r="H211" s="16">
        <f t="shared" si="138"/>
        <v>8341858</v>
      </c>
      <c r="I211" s="16"/>
      <c r="J211" s="436">
        <f t="shared" si="139"/>
        <v>5.9521254145312027E-3</v>
      </c>
      <c r="K211" s="16"/>
      <c r="L211" s="16"/>
      <c r="M211" s="16"/>
      <c r="N211" s="16">
        <f t="shared" si="140"/>
        <v>313526</v>
      </c>
      <c r="O211" s="16">
        <f t="shared" si="141"/>
        <v>41296.326732673268</v>
      </c>
      <c r="P211" s="41"/>
      <c r="Q211" s="17">
        <f t="shared" si="159"/>
        <v>313526</v>
      </c>
      <c r="R211" s="16"/>
      <c r="S211" s="60">
        <f t="shared" si="160"/>
        <v>5.0176522210982559E-2</v>
      </c>
      <c r="T211" s="16"/>
      <c r="U211" s="41"/>
      <c r="V211" s="10">
        <f t="shared" si="109"/>
        <v>103</v>
      </c>
      <c r="W211" s="34">
        <v>930</v>
      </c>
      <c r="X211" s="33"/>
      <c r="Y211" s="33"/>
      <c r="Z211" s="33"/>
      <c r="AA211" s="33">
        <f t="shared" si="142"/>
        <v>219486</v>
      </c>
      <c r="AB211" s="33"/>
      <c r="AC211" s="46">
        <f t="shared" si="143"/>
        <v>2.6311404485667343E-2</v>
      </c>
      <c r="AD211" s="33"/>
      <c r="AE211" s="33">
        <f t="shared" si="144"/>
        <v>1086.5643564356435</v>
      </c>
      <c r="AF211" s="50"/>
      <c r="AG211" s="33">
        <f t="shared" si="164"/>
        <v>4957</v>
      </c>
      <c r="AH211" s="33">
        <f>SUM(D182:D852)</f>
        <v>890239607.34662843</v>
      </c>
      <c r="AI211" s="213">
        <f t="shared" si="146"/>
        <v>-3.5039906560249176E-2</v>
      </c>
      <c r="AJ211" s="50"/>
      <c r="AK211" s="10"/>
      <c r="AL211" s="23">
        <f t="shared" si="147"/>
        <v>47835</v>
      </c>
      <c r="AM211" s="24"/>
      <c r="AN211" s="24"/>
      <c r="AO211" s="24">
        <v>178263</v>
      </c>
      <c r="AP211" s="24">
        <v>4983380</v>
      </c>
      <c r="AQ211" s="24"/>
      <c r="AR211" s="461">
        <f t="shared" si="148"/>
        <v>9.6919387828497162E-3</v>
      </c>
      <c r="AS211" s="25"/>
      <c r="AT211" s="25"/>
      <c r="AU211" s="24"/>
      <c r="AV211" s="298">
        <f t="shared" si="149"/>
        <v>0.59739448933319172</v>
      </c>
      <c r="AW211" s="298"/>
      <c r="AX211" s="24">
        <f t="shared" si="150"/>
        <v>24670.198019801981</v>
      </c>
      <c r="AY211" s="308"/>
      <c r="AZ211" s="10"/>
      <c r="BA211" s="65">
        <f t="shared" si="151"/>
        <v>839531</v>
      </c>
      <c r="BB211" s="66"/>
      <c r="BC211" s="66">
        <v>114158849</v>
      </c>
      <c r="BD211" s="66"/>
      <c r="BE211" s="66">
        <f t="shared" si="152"/>
        <v>49358</v>
      </c>
      <c r="BF211" s="66"/>
      <c r="BG211" s="144">
        <f t="shared" si="153"/>
        <v>5.8792349538015869E-2</v>
      </c>
      <c r="BH211" s="66"/>
      <c r="BI211" s="170"/>
      <c r="BJ211" s="66"/>
      <c r="BK211" s="66">
        <f t="shared" si="154"/>
        <v>6622624</v>
      </c>
      <c r="BL211" s="66"/>
      <c r="BM211" s="144">
        <f t="shared" si="155"/>
        <v>4.7341657928941759E-2</v>
      </c>
      <c r="BN211" s="65">
        <f t="shared" si="156"/>
        <v>565142.81683168316</v>
      </c>
      <c r="BO211" s="66"/>
      <c r="BP211" s="66">
        <f t="shared" si="157"/>
        <v>7434880</v>
      </c>
      <c r="BQ211" s="66"/>
      <c r="BR211" s="435">
        <f t="shared" si="158"/>
        <v>6.5127496161072898E-2</v>
      </c>
      <c r="BS211" s="66"/>
      <c r="BT211" s="75"/>
      <c r="BU211" s="170"/>
      <c r="BV211" s="1"/>
      <c r="BW211" s="61">
        <f t="shared" si="162"/>
        <v>202</v>
      </c>
    </row>
    <row r="212" spans="2:75" x14ac:dyDescent="0.3">
      <c r="B212" s="158">
        <f t="shared" si="161"/>
        <v>44112</v>
      </c>
      <c r="C212" s="61"/>
      <c r="D212" s="17">
        <v>57318</v>
      </c>
      <c r="E212" s="16"/>
      <c r="F212" s="16"/>
      <c r="G212" s="16"/>
      <c r="H212" s="16">
        <f t="shared" si="138"/>
        <v>8399176</v>
      </c>
      <c r="I212" s="16"/>
      <c r="J212" s="436">
        <f t="shared" si="139"/>
        <v>6.8711311077220448E-3</v>
      </c>
      <c r="K212" s="16"/>
      <c r="L212" s="16"/>
      <c r="M212" s="16"/>
      <c r="N212" s="16">
        <f t="shared" si="140"/>
        <v>323455</v>
      </c>
      <c r="O212" s="16">
        <f t="shared" si="141"/>
        <v>41375.251231527094</v>
      </c>
      <c r="P212" s="41"/>
      <c r="Q212" s="17">
        <f t="shared" si="159"/>
        <v>323455</v>
      </c>
      <c r="R212" s="16"/>
      <c r="S212" s="60">
        <f t="shared" si="160"/>
        <v>7.6102867788941375E-2</v>
      </c>
      <c r="T212" s="16"/>
      <c r="U212" s="41"/>
      <c r="V212" s="10">
        <f t="shared" si="109"/>
        <v>104</v>
      </c>
      <c r="W212" s="34">
        <v>957</v>
      </c>
      <c r="X212" s="33"/>
      <c r="Y212" s="33"/>
      <c r="Z212" s="33"/>
      <c r="AA212" s="33">
        <f t="shared" si="142"/>
        <v>220443</v>
      </c>
      <c r="AB212" s="33"/>
      <c r="AC212" s="46">
        <f t="shared" si="143"/>
        <v>2.6245788872622744E-2</v>
      </c>
      <c r="AD212" s="33"/>
      <c r="AE212" s="33">
        <f t="shared" si="144"/>
        <v>1085.9261083743843</v>
      </c>
      <c r="AF212" s="50"/>
      <c r="AG212" s="33">
        <f t="shared" si="164"/>
        <v>4994</v>
      </c>
      <c r="AH212" s="33">
        <f>SUM(D183:D853)</f>
        <v>890211168.34662843</v>
      </c>
      <c r="AI212" s="213">
        <f t="shared" si="146"/>
        <v>-2.3655913978494623E-2</v>
      </c>
      <c r="AJ212" s="50"/>
      <c r="AK212" s="10"/>
      <c r="AL212" s="23">
        <f t="shared" si="147"/>
        <v>41813</v>
      </c>
      <c r="AM212" s="24"/>
      <c r="AN212" s="24"/>
      <c r="AO212" s="24">
        <v>178263</v>
      </c>
      <c r="AP212" s="24">
        <v>5025193</v>
      </c>
      <c r="AQ212" s="24"/>
      <c r="AR212" s="461">
        <f t="shared" si="148"/>
        <v>8.3904899887225128E-3</v>
      </c>
      <c r="AS212" s="25"/>
      <c r="AT212" s="25"/>
      <c r="AU212" s="24"/>
      <c r="AV212" s="298">
        <f t="shared" si="149"/>
        <v>0.59829595188861384</v>
      </c>
      <c r="AW212" s="298"/>
      <c r="AX212" s="24">
        <f t="shared" si="150"/>
        <v>24754.645320197043</v>
      </c>
      <c r="AY212" s="308"/>
      <c r="AZ212" s="10"/>
      <c r="BA212" s="65">
        <f t="shared" si="151"/>
        <v>1184966</v>
      </c>
      <c r="BB212" s="66"/>
      <c r="BC212" s="66">
        <v>115343815</v>
      </c>
      <c r="BD212" s="66"/>
      <c r="BE212" s="66">
        <f t="shared" si="152"/>
        <v>57318</v>
      </c>
      <c r="BF212" s="66"/>
      <c r="BG212" s="144">
        <f t="shared" si="153"/>
        <v>4.8371008113312956E-2</v>
      </c>
      <c r="BH212" s="66"/>
      <c r="BI212" s="170"/>
      <c r="BJ212" s="66"/>
      <c r="BK212" s="66">
        <f t="shared" si="154"/>
        <v>6911855</v>
      </c>
      <c r="BL212" s="66"/>
      <c r="BM212" s="144">
        <f t="shared" si="155"/>
        <v>4.67971333310667E-2</v>
      </c>
      <c r="BN212" s="65">
        <f t="shared" si="156"/>
        <v>568196.13300492615</v>
      </c>
      <c r="BO212" s="66"/>
      <c r="BP212" s="66">
        <f t="shared" si="157"/>
        <v>7492198</v>
      </c>
      <c r="BQ212" s="66"/>
      <c r="BR212" s="435">
        <f t="shared" si="158"/>
        <v>6.4955351095331806E-2</v>
      </c>
      <c r="BS212" s="66"/>
      <c r="BT212" s="75"/>
      <c r="BU212" s="170"/>
      <c r="BV212" s="1"/>
      <c r="BW212" s="61">
        <f t="shared" si="162"/>
        <v>203</v>
      </c>
    </row>
    <row r="213" spans="2:75" x14ac:dyDescent="0.3">
      <c r="B213" s="158">
        <f t="shared" si="161"/>
        <v>44113</v>
      </c>
      <c r="C213" s="61"/>
      <c r="D213" s="17">
        <v>60983</v>
      </c>
      <c r="E213" s="16"/>
      <c r="F213" s="16"/>
      <c r="G213" s="16"/>
      <c r="H213" s="16">
        <f t="shared" ref="H213:H222" si="165">+H212+D213</f>
        <v>8460159</v>
      </c>
      <c r="I213" s="16"/>
      <c r="J213" s="436">
        <f t="shared" ref="J213:J222" si="166">+D213/H212</f>
        <v>7.2605931819978535E-3</v>
      </c>
      <c r="K213" s="16"/>
      <c r="L213" s="16"/>
      <c r="M213" s="16"/>
      <c r="N213" s="16">
        <f>SUM(D207:D213)</f>
        <v>333035</v>
      </c>
      <c r="O213" s="16">
        <f t="shared" ref="O213:O222" si="167">+H213/BW213</f>
        <v>41471.367647058825</v>
      </c>
      <c r="P213" s="41"/>
      <c r="Q213" s="17">
        <f t="shared" si="159"/>
        <v>333035</v>
      </c>
      <c r="R213" s="16"/>
      <c r="S213" s="60">
        <f t="shared" si="160"/>
        <v>0.11624110955442193</v>
      </c>
      <c r="T213" s="16"/>
      <c r="U213" s="41"/>
      <c r="V213" s="10">
        <f t="shared" si="109"/>
        <v>105</v>
      </c>
      <c r="W213" s="34">
        <v>909</v>
      </c>
      <c r="X213" s="33"/>
      <c r="Y213" s="33"/>
      <c r="Z213" s="33"/>
      <c r="AA213" s="33">
        <f t="shared" ref="AA213:AA222" si="168">+AA212+W213</f>
        <v>221352</v>
      </c>
      <c r="AB213" s="33"/>
      <c r="AC213" s="46">
        <f t="shared" ref="AC213:AC222" si="169">+AA213/H213</f>
        <v>2.6164047271451992E-2</v>
      </c>
      <c r="AD213" s="33"/>
      <c r="AE213" s="33">
        <f t="shared" ref="AE213:AE222" si="170">+AA213/BW213</f>
        <v>1085.0588235294117</v>
      </c>
      <c r="AF213" s="50"/>
      <c r="AG213" s="33">
        <f t="shared" ref="AG213:AG222" si="171">SUM(W207:W213)</f>
        <v>5039</v>
      </c>
      <c r="AH213" s="33">
        <f>SUM(D184:D854)</f>
        <v>890175925.34662843</v>
      </c>
      <c r="AI213" s="213">
        <f t="shared" ref="AI213:AI222" si="172">+(AG213-AG206)/AG206</f>
        <v>-8.8512981904012595E-3</v>
      </c>
      <c r="AJ213" s="50"/>
      <c r="AK213" s="10"/>
      <c r="AL213" s="23">
        <f t="shared" ref="AL213:AL222" si="173">+AP213-AP212</f>
        <v>39107</v>
      </c>
      <c r="AM213" s="24"/>
      <c r="AN213" s="24"/>
      <c r="AO213" s="24">
        <v>178263</v>
      </c>
      <c r="AP213" s="24">
        <v>5064300</v>
      </c>
      <c r="AQ213" s="24"/>
      <c r="AR213" s="461">
        <f t="shared" ref="AR213:AR222" si="174">+AL213/AP212</f>
        <v>7.7821886641965795E-3</v>
      </c>
      <c r="AS213" s="25"/>
      <c r="AT213" s="25"/>
      <c r="AU213" s="24"/>
      <c r="AV213" s="298">
        <f t="shared" ref="AV213:AV222" si="175">+AP213/H213</f>
        <v>0.59860577088444789</v>
      </c>
      <c r="AW213" s="298"/>
      <c r="AX213" s="24">
        <f t="shared" ref="AX213:AX222" si="176">+AP213/BW213</f>
        <v>24825</v>
      </c>
      <c r="AY213" s="308"/>
      <c r="AZ213" s="10"/>
      <c r="BA213" s="65">
        <f t="shared" ref="BA213:BA222" si="177">+BC213-BC212</f>
        <v>1154320</v>
      </c>
      <c r="BB213" s="66"/>
      <c r="BC213" s="66">
        <v>116498135</v>
      </c>
      <c r="BD213" s="66"/>
      <c r="BE213" s="66">
        <f t="shared" ref="BE213:BE222" si="178">+D213</f>
        <v>60983</v>
      </c>
      <c r="BF213" s="66"/>
      <c r="BG213" s="144">
        <f t="shared" ref="BG213:BG222" si="179">+BE213/BA213</f>
        <v>5.2830237715711416E-2</v>
      </c>
      <c r="BH213" s="66"/>
      <c r="BI213" s="170"/>
      <c r="BJ213" s="66"/>
      <c r="BK213" s="66">
        <f t="shared" ref="BK213:BK222" si="180">SUM(BA207:BA213)</f>
        <v>6927689</v>
      </c>
      <c r="BL213" s="66"/>
      <c r="BM213" s="144">
        <f t="shared" ref="BM213:BM222" si="181">+Q213/BK213</f>
        <v>4.8073029837222774E-2</v>
      </c>
      <c r="BN213" s="65">
        <f t="shared" ref="BN213:BN222" si="182">+BC213/BW213</f>
        <v>571069.28921568627</v>
      </c>
      <c r="BO213" s="66"/>
      <c r="BP213" s="66">
        <f t="shared" ref="BP213:BP222" si="183">+BP212+BE213</f>
        <v>7553181</v>
      </c>
      <c r="BQ213" s="66"/>
      <c r="BR213" s="435">
        <f t="shared" ref="BR213:BR222" si="184">+BP213/BC213</f>
        <v>6.4835209593698651E-2</v>
      </c>
      <c r="BS213" s="66"/>
      <c r="BT213" s="75"/>
      <c r="BU213" s="170"/>
      <c r="BV213" s="1"/>
      <c r="BW213" s="61">
        <f t="shared" si="162"/>
        <v>204</v>
      </c>
    </row>
    <row r="214" spans="2:75" x14ac:dyDescent="0.3">
      <c r="B214" s="158">
        <f t="shared" si="161"/>
        <v>44114</v>
      </c>
      <c r="C214" s="61"/>
      <c r="D214" s="17">
        <v>54235</v>
      </c>
      <c r="E214" s="16"/>
      <c r="F214" s="16"/>
      <c r="G214" s="16"/>
      <c r="H214" s="16">
        <f t="shared" si="165"/>
        <v>8514394</v>
      </c>
      <c r="I214" s="16"/>
      <c r="J214" s="436">
        <f t="shared" si="166"/>
        <v>6.4106360175973055E-3</v>
      </c>
      <c r="K214" s="16"/>
      <c r="L214" s="16"/>
      <c r="M214" s="16"/>
      <c r="N214" s="16">
        <f>SUM(D205:D214)</f>
        <v>486062</v>
      </c>
      <c r="O214" s="16">
        <f t="shared" si="167"/>
        <v>41533.62926829268</v>
      </c>
      <c r="P214" s="41"/>
      <c r="Q214" s="17">
        <f t="shared" si="159"/>
        <v>338345</v>
      </c>
      <c r="R214" s="16"/>
      <c r="S214" s="60">
        <f t="shared" si="160"/>
        <v>0.1127097769285665</v>
      </c>
      <c r="T214" s="16"/>
      <c r="U214" s="41"/>
      <c r="V214" s="10">
        <f t="shared" si="109"/>
        <v>106</v>
      </c>
      <c r="W214" s="34">
        <v>723</v>
      </c>
      <c r="X214" s="33"/>
      <c r="Y214" s="33"/>
      <c r="Z214" s="33"/>
      <c r="AA214" s="33">
        <f t="shared" si="168"/>
        <v>222075</v>
      </c>
      <c r="AB214" s="33"/>
      <c r="AC214" s="46">
        <f t="shared" si="169"/>
        <v>2.608230251031371E-2</v>
      </c>
      <c r="AD214" s="33"/>
      <c r="AE214" s="33">
        <f t="shared" si="170"/>
        <v>1083.2926829268292</v>
      </c>
      <c r="AF214" s="50"/>
      <c r="AG214" s="33">
        <f t="shared" si="171"/>
        <v>5007</v>
      </c>
      <c r="AH214" s="33">
        <f>SUM(D185:D855)</f>
        <v>923851400.06091416</v>
      </c>
      <c r="AI214" s="213">
        <f t="shared" si="172"/>
        <v>-1.8620148961191688E-2</v>
      </c>
      <c r="AJ214" s="50"/>
      <c r="AK214" s="10"/>
      <c r="AL214" s="23">
        <f t="shared" si="173"/>
        <v>25542</v>
      </c>
      <c r="AM214" s="24"/>
      <c r="AN214" s="24"/>
      <c r="AO214" s="24">
        <v>178263</v>
      </c>
      <c r="AP214" s="24">
        <v>5089842</v>
      </c>
      <c r="AQ214" s="24"/>
      <c r="AR214" s="461">
        <f t="shared" si="174"/>
        <v>5.0435400746401283E-3</v>
      </c>
      <c r="AS214" s="25"/>
      <c r="AT214" s="25"/>
      <c r="AU214" s="24"/>
      <c r="AV214" s="298">
        <f t="shared" si="175"/>
        <v>0.59779263210041722</v>
      </c>
      <c r="AW214" s="298"/>
      <c r="AX214" s="24">
        <f t="shared" si="176"/>
        <v>24828.497560975611</v>
      </c>
      <c r="AY214" s="308"/>
      <c r="AZ214" s="10"/>
      <c r="BA214" s="65">
        <f t="shared" si="177"/>
        <v>1103287</v>
      </c>
      <c r="BB214" s="66"/>
      <c r="BC214" s="66">
        <v>117601422</v>
      </c>
      <c r="BD214" s="66"/>
      <c r="BE214" s="66">
        <f t="shared" si="178"/>
        <v>54235</v>
      </c>
      <c r="BF214" s="66"/>
      <c r="BG214" s="144">
        <f t="shared" si="179"/>
        <v>4.9157653448286799E-2</v>
      </c>
      <c r="BH214" s="66"/>
      <c r="BI214" s="170"/>
      <c r="BJ214" s="66"/>
      <c r="BK214" s="66">
        <f t="shared" si="180"/>
        <v>7075139</v>
      </c>
      <c r="BL214" s="66"/>
      <c r="BM214" s="144">
        <f t="shared" si="181"/>
        <v>4.7821675305601767E-2</v>
      </c>
      <c r="BN214" s="65">
        <f t="shared" si="182"/>
        <v>573665.47317073168</v>
      </c>
      <c r="BO214" s="66"/>
      <c r="BP214" s="66">
        <f t="shared" si="183"/>
        <v>7607416</v>
      </c>
      <c r="BQ214" s="66"/>
      <c r="BR214" s="435">
        <f t="shared" si="184"/>
        <v>6.4688129366326882E-2</v>
      </c>
      <c r="BS214" s="66"/>
      <c r="BT214" s="75"/>
      <c r="BU214" s="170"/>
      <c r="BV214" s="1"/>
      <c r="BW214" s="61">
        <f t="shared" si="162"/>
        <v>205</v>
      </c>
    </row>
    <row r="215" spans="2:75" x14ac:dyDescent="0.3">
      <c r="B215" s="347">
        <f t="shared" si="161"/>
        <v>44115</v>
      </c>
      <c r="C215" s="61"/>
      <c r="D215" s="17">
        <v>41935</v>
      </c>
      <c r="E215" s="16"/>
      <c r="F215" s="16"/>
      <c r="G215" s="16"/>
      <c r="H215" s="16">
        <f t="shared" si="165"/>
        <v>8556329</v>
      </c>
      <c r="I215" s="16"/>
      <c r="J215" s="436">
        <f t="shared" si="166"/>
        <v>4.9251890387031656E-3</v>
      </c>
      <c r="K215" s="16"/>
      <c r="L215" s="16"/>
      <c r="M215" s="16"/>
      <c r="N215" s="426">
        <f t="shared" ref="N215:N222" si="185">SUM(D209:D215)</f>
        <v>346214</v>
      </c>
      <c r="O215" s="16">
        <f t="shared" si="167"/>
        <v>41535.577669902916</v>
      </c>
      <c r="P215" s="41"/>
      <c r="Q215" s="17">
        <f t="shared" si="159"/>
        <v>346214</v>
      </c>
      <c r="R215" s="16"/>
      <c r="S215" s="60">
        <f t="shared" si="160"/>
        <v>0.13752599743064889</v>
      </c>
      <c r="T215" s="16"/>
      <c r="U215" s="41"/>
      <c r="V215" s="348">
        <f t="shared" si="109"/>
        <v>107</v>
      </c>
      <c r="W215" s="34">
        <v>325</v>
      </c>
      <c r="X215" s="33"/>
      <c r="Y215" s="33"/>
      <c r="Z215" s="33"/>
      <c r="AA215" s="33">
        <f t="shared" si="168"/>
        <v>222400</v>
      </c>
      <c r="AB215" s="33"/>
      <c r="AC215" s="46">
        <f t="shared" si="169"/>
        <v>2.5992455409323319E-2</v>
      </c>
      <c r="AD215" s="33"/>
      <c r="AE215" s="33">
        <f t="shared" si="170"/>
        <v>1079.6116504854369</v>
      </c>
      <c r="AF215" s="50"/>
      <c r="AG215" s="33">
        <f t="shared" si="171"/>
        <v>5000</v>
      </c>
      <c r="AH215" s="33">
        <f>SUM(D186:D856)</f>
        <v>974661942.91805696</v>
      </c>
      <c r="AI215" s="213">
        <f t="shared" si="172"/>
        <v>-3.0632027917797598E-2</v>
      </c>
      <c r="AJ215" s="50"/>
      <c r="AK215" s="10"/>
      <c r="AL215" s="23">
        <f t="shared" si="173"/>
        <v>38320</v>
      </c>
      <c r="AM215" s="24"/>
      <c r="AN215" s="24"/>
      <c r="AO215" s="24">
        <v>178263</v>
      </c>
      <c r="AP215" s="24">
        <v>5128162</v>
      </c>
      <c r="AQ215" s="24"/>
      <c r="AR215" s="461">
        <f t="shared" si="174"/>
        <v>7.5287209308265365E-3</v>
      </c>
      <c r="AS215" s="25"/>
      <c r="AT215" s="25"/>
      <c r="AU215" s="24"/>
      <c r="AV215" s="298">
        <f t="shared" si="175"/>
        <v>0.59934137642439878</v>
      </c>
      <c r="AW215" s="298"/>
      <c r="AX215" s="24">
        <f t="shared" si="176"/>
        <v>24893.990291262136</v>
      </c>
      <c r="AY215" s="308"/>
      <c r="AZ215" s="348"/>
      <c r="BA215" s="65">
        <f t="shared" si="177"/>
        <v>885476</v>
      </c>
      <c r="BB215" s="66"/>
      <c r="BC215" s="66">
        <v>118486898</v>
      </c>
      <c r="BD215" s="66"/>
      <c r="BE215" s="66">
        <f t="shared" si="178"/>
        <v>41935</v>
      </c>
      <c r="BF215" s="66"/>
      <c r="BG215" s="144">
        <f t="shared" si="179"/>
        <v>4.7358708762292825E-2</v>
      </c>
      <c r="BH215" s="66"/>
      <c r="BI215" s="170"/>
      <c r="BJ215" s="66"/>
      <c r="BK215" s="66">
        <f t="shared" si="180"/>
        <v>7016632</v>
      </c>
      <c r="BL215" s="66"/>
      <c r="BM215" s="144">
        <f t="shared" si="181"/>
        <v>4.9341906487328967E-2</v>
      </c>
      <c r="BN215" s="65">
        <f t="shared" si="182"/>
        <v>575179.11650485441</v>
      </c>
      <c r="BO215" s="66"/>
      <c r="BP215" s="66">
        <f t="shared" si="183"/>
        <v>7649351</v>
      </c>
      <c r="BQ215" s="66"/>
      <c r="BR215" s="435">
        <f t="shared" si="184"/>
        <v>6.4558623182117567E-2</v>
      </c>
      <c r="BS215" s="66"/>
      <c r="BT215" s="75"/>
      <c r="BU215" s="170"/>
      <c r="BV215" s="1"/>
      <c r="BW215" s="61">
        <f t="shared" si="162"/>
        <v>206</v>
      </c>
    </row>
    <row r="216" spans="2:75" x14ac:dyDescent="0.3">
      <c r="B216" s="158">
        <f t="shared" si="161"/>
        <v>44116</v>
      </c>
      <c r="C216" s="61"/>
      <c r="D216" s="17">
        <v>45791</v>
      </c>
      <c r="E216" s="16"/>
      <c r="F216" s="16"/>
      <c r="G216" s="16"/>
      <c r="H216" s="16">
        <f t="shared" si="165"/>
        <v>8602120</v>
      </c>
      <c r="I216" s="16"/>
      <c r="J216" s="436">
        <f t="shared" si="166"/>
        <v>5.3517109966201631E-3</v>
      </c>
      <c r="K216" s="16"/>
      <c r="L216" s="16"/>
      <c r="M216" s="16"/>
      <c r="N216" s="16">
        <f t="shared" si="185"/>
        <v>354288</v>
      </c>
      <c r="O216" s="16">
        <f t="shared" si="167"/>
        <v>41556.135265700483</v>
      </c>
      <c r="P216" s="41"/>
      <c r="Q216" s="17">
        <f t="shared" si="159"/>
        <v>354288</v>
      </c>
      <c r="R216" s="16"/>
      <c r="S216" s="60">
        <f t="shared" si="160"/>
        <v>0.16291161178509533</v>
      </c>
      <c r="T216" s="16"/>
      <c r="U216" s="41"/>
      <c r="V216" s="10">
        <f t="shared" si="109"/>
        <v>108</v>
      </c>
      <c r="W216" s="34">
        <v>316</v>
      </c>
      <c r="X216" s="33"/>
      <c r="Y216" s="33"/>
      <c r="Z216" s="33"/>
      <c r="AA216" s="33">
        <f t="shared" si="168"/>
        <v>222716</v>
      </c>
      <c r="AB216" s="33"/>
      <c r="AC216" s="46">
        <f t="shared" si="169"/>
        <v>2.5890826912435539E-2</v>
      </c>
      <c r="AD216" s="33"/>
      <c r="AE216" s="33">
        <f t="shared" si="170"/>
        <v>1075.9227053140096</v>
      </c>
      <c r="AF216" s="50"/>
      <c r="AG216" s="33">
        <f t="shared" si="171"/>
        <v>4968</v>
      </c>
      <c r="AH216" s="33">
        <f>SUM(D187:D857)</f>
        <v>1043194089.4894855</v>
      </c>
      <c r="AI216" s="213">
        <f t="shared" si="172"/>
        <v>-3.5527082119976704E-2</v>
      </c>
      <c r="AJ216" s="50"/>
      <c r="AK216" s="10"/>
      <c r="AL216" s="23">
        <f t="shared" si="173"/>
        <v>56453</v>
      </c>
      <c r="AM216" s="24"/>
      <c r="AN216" s="24"/>
      <c r="AO216" s="24">
        <v>178263</v>
      </c>
      <c r="AP216" s="24">
        <v>5184615</v>
      </c>
      <c r="AQ216" s="24"/>
      <c r="AR216" s="461">
        <f t="shared" si="174"/>
        <v>1.1008427580875954E-2</v>
      </c>
      <c r="AS216" s="25"/>
      <c r="AT216" s="25"/>
      <c r="AU216" s="24"/>
      <c r="AV216" s="298">
        <f t="shared" si="175"/>
        <v>0.60271363338339856</v>
      </c>
      <c r="AW216" s="298"/>
      <c r="AX216" s="24">
        <f t="shared" si="176"/>
        <v>25046.44927536232</v>
      </c>
      <c r="AY216" s="308"/>
      <c r="AZ216" s="10"/>
      <c r="BA216" s="65">
        <f t="shared" si="177"/>
        <v>1010726</v>
      </c>
      <c r="BB216" s="66"/>
      <c r="BC216" s="66">
        <v>119497624</v>
      </c>
      <c r="BD216" s="66"/>
      <c r="BE216" s="66">
        <f t="shared" si="178"/>
        <v>45791</v>
      </c>
      <c r="BF216" s="66"/>
      <c r="BG216" s="144">
        <f t="shared" si="179"/>
        <v>4.5305057948444978E-2</v>
      </c>
      <c r="BH216" s="66"/>
      <c r="BI216" s="170"/>
      <c r="BJ216" s="66"/>
      <c r="BK216" s="66">
        <f t="shared" si="180"/>
        <v>7125450</v>
      </c>
      <c r="BL216" s="66"/>
      <c r="BM216" s="144">
        <f t="shared" si="181"/>
        <v>4.9721491274235315E-2</v>
      </c>
      <c r="BN216" s="65">
        <f t="shared" si="182"/>
        <v>577283.20772946859</v>
      </c>
      <c r="BO216" s="66"/>
      <c r="BP216" s="66">
        <f t="shared" si="183"/>
        <v>7695142</v>
      </c>
      <c r="BQ216" s="66"/>
      <c r="BR216" s="435">
        <f t="shared" si="184"/>
        <v>6.4395774095056479E-2</v>
      </c>
      <c r="BS216" s="66"/>
      <c r="BT216" s="75"/>
      <c r="BU216" s="170"/>
      <c r="BV216" s="1"/>
      <c r="BW216" s="61">
        <f t="shared" ref="BW216:BW470" si="186">+BW215+1</f>
        <v>207</v>
      </c>
    </row>
    <row r="217" spans="2:75" x14ac:dyDescent="0.3">
      <c r="B217" s="158">
        <f t="shared" si="161"/>
        <v>44117</v>
      </c>
      <c r="C217" s="61"/>
      <c r="D217" s="17">
        <v>51534</v>
      </c>
      <c r="E217" s="16"/>
      <c r="F217" s="16"/>
      <c r="G217" s="16"/>
      <c r="H217" s="16">
        <f t="shared" si="165"/>
        <v>8653654</v>
      </c>
      <c r="I217" s="16"/>
      <c r="J217" s="436">
        <f t="shared" si="166"/>
        <v>5.9908487675131242E-3</v>
      </c>
      <c r="K217" s="16"/>
      <c r="L217" s="16"/>
      <c r="M217" s="16"/>
      <c r="N217" s="16">
        <f t="shared" si="185"/>
        <v>361154</v>
      </c>
      <c r="O217" s="16">
        <f t="shared" si="167"/>
        <v>41604.105769230766</v>
      </c>
      <c r="P217" s="41"/>
      <c r="Q217" s="17">
        <f t="shared" si="159"/>
        <v>361154</v>
      </c>
      <c r="R217" s="16"/>
      <c r="S217" s="60">
        <f t="shared" si="160"/>
        <v>0.18373500886603278</v>
      </c>
      <c r="T217" s="16"/>
      <c r="U217" s="41"/>
      <c r="V217" s="10">
        <f t="shared" si="109"/>
        <v>109</v>
      </c>
      <c r="W217" s="34">
        <v>843</v>
      </c>
      <c r="X217" s="33"/>
      <c r="Y217" s="33"/>
      <c r="Z217" s="33"/>
      <c r="AA217" s="33">
        <f t="shared" si="168"/>
        <v>223559</v>
      </c>
      <c r="AB217" s="33"/>
      <c r="AC217" s="46">
        <f t="shared" si="169"/>
        <v>2.5834058075351753E-2</v>
      </c>
      <c r="AD217" s="33"/>
      <c r="AE217" s="33">
        <f t="shared" si="170"/>
        <v>1074.8028846153845</v>
      </c>
      <c r="AF217" s="50"/>
      <c r="AG217" s="33">
        <f t="shared" si="171"/>
        <v>5003</v>
      </c>
      <c r="AH217" s="33">
        <f>SUM(D188:D859)</f>
        <v>1043162232.4894855</v>
      </c>
      <c r="AI217" s="213">
        <f t="shared" si="172"/>
        <v>4.2151746286631878E-3</v>
      </c>
      <c r="AJ217" s="50"/>
      <c r="AK217" s="10"/>
      <c r="AL217" s="23">
        <f t="shared" si="173"/>
        <v>41812</v>
      </c>
      <c r="AM217" s="24"/>
      <c r="AN217" s="24"/>
      <c r="AO217" s="24">
        <v>178263</v>
      </c>
      <c r="AP217" s="24">
        <v>5226427</v>
      </c>
      <c r="AQ217" s="24"/>
      <c r="AR217" s="461">
        <f t="shared" si="174"/>
        <v>8.0646296783849908E-3</v>
      </c>
      <c r="AS217" s="25"/>
      <c r="AT217" s="25"/>
      <c r="AU217" s="24"/>
      <c r="AV217" s="298">
        <f t="shared" si="175"/>
        <v>0.60395608606491546</v>
      </c>
      <c r="AW217" s="298"/>
      <c r="AX217" s="24">
        <f t="shared" si="176"/>
        <v>25127.052884615383</v>
      </c>
      <c r="AY217" s="308"/>
      <c r="AZ217" s="10"/>
      <c r="BA217" s="65">
        <f t="shared" si="177"/>
        <v>1025948</v>
      </c>
      <c r="BB217" s="66"/>
      <c r="BC217" s="66">
        <v>120523572</v>
      </c>
      <c r="BD217" s="66"/>
      <c r="BE217" s="66">
        <f t="shared" si="178"/>
        <v>51534</v>
      </c>
      <c r="BF217" s="66"/>
      <c r="BG217" s="144">
        <f t="shared" si="179"/>
        <v>5.0230615976638193E-2</v>
      </c>
      <c r="BH217" s="66"/>
      <c r="BI217" s="170"/>
      <c r="BJ217" s="66"/>
      <c r="BK217" s="66">
        <f t="shared" si="180"/>
        <v>7204254</v>
      </c>
      <c r="BL217" s="66"/>
      <c r="BM217" s="144">
        <f t="shared" si="181"/>
        <v>5.0130658913469739E-2</v>
      </c>
      <c r="BN217" s="65">
        <f t="shared" si="182"/>
        <v>579440.25</v>
      </c>
      <c r="BO217" s="66"/>
      <c r="BP217" s="66">
        <f t="shared" si="183"/>
        <v>7746676</v>
      </c>
      <c r="BQ217" s="66"/>
      <c r="BR217" s="435">
        <f t="shared" si="184"/>
        <v>6.4275194233373703E-2</v>
      </c>
      <c r="BS217" s="66"/>
      <c r="BT217" s="75"/>
      <c r="BU217" s="170"/>
      <c r="BV217" s="1"/>
      <c r="BW217" s="61">
        <f t="shared" si="186"/>
        <v>208</v>
      </c>
    </row>
    <row r="218" spans="2:75" x14ac:dyDescent="0.3">
      <c r="B218" s="158">
        <f t="shared" si="161"/>
        <v>44118</v>
      </c>
      <c r="C218" s="61"/>
      <c r="D218" s="17">
        <v>59693</v>
      </c>
      <c r="E218" s="16"/>
      <c r="F218" s="16"/>
      <c r="G218" s="16"/>
      <c r="H218" s="16">
        <f t="shared" si="165"/>
        <v>8713347</v>
      </c>
      <c r="I218" s="16"/>
      <c r="J218" s="436">
        <f t="shared" si="166"/>
        <v>6.8980109442785672E-3</v>
      </c>
      <c r="K218" s="16"/>
      <c r="L218" s="16"/>
      <c r="M218" s="16"/>
      <c r="N218" s="16">
        <f t="shared" si="185"/>
        <v>371489</v>
      </c>
      <c r="O218" s="16">
        <f t="shared" si="167"/>
        <v>41690.655502392343</v>
      </c>
      <c r="P218" s="41"/>
      <c r="Q218" s="17">
        <f t="shared" si="159"/>
        <v>371489</v>
      </c>
      <c r="R218" s="16"/>
      <c r="S218" s="60">
        <f t="shared" si="160"/>
        <v>0.18487461964876917</v>
      </c>
      <c r="T218" s="16"/>
      <c r="U218" s="41"/>
      <c r="V218" s="10">
        <f t="shared" si="109"/>
        <v>110</v>
      </c>
      <c r="W218" s="34">
        <v>970</v>
      </c>
      <c r="X218" s="33"/>
      <c r="Y218" s="33"/>
      <c r="Z218" s="33"/>
      <c r="AA218" s="33">
        <f t="shared" si="168"/>
        <v>224529</v>
      </c>
      <c r="AB218" s="33"/>
      <c r="AC218" s="46">
        <f t="shared" si="169"/>
        <v>2.5768398756528348E-2</v>
      </c>
      <c r="AD218" s="33"/>
      <c r="AE218" s="33">
        <f t="shared" si="170"/>
        <v>1074.3014354066986</v>
      </c>
      <c r="AF218" s="50"/>
      <c r="AG218" s="33">
        <f t="shared" si="171"/>
        <v>5043</v>
      </c>
      <c r="AH218" s="33">
        <f>SUM(D189:D860)</f>
        <v>1220709436.060914</v>
      </c>
      <c r="AI218" s="213">
        <f t="shared" si="172"/>
        <v>1.7349203147064757E-2</v>
      </c>
      <c r="AJ218" s="50"/>
      <c r="AK218" s="10"/>
      <c r="AL218" s="23">
        <f t="shared" si="173"/>
        <v>52326</v>
      </c>
      <c r="AM218" s="24"/>
      <c r="AN218" s="24"/>
      <c r="AO218" s="24">
        <v>178263</v>
      </c>
      <c r="AP218" s="24">
        <v>5278753</v>
      </c>
      <c r="AQ218" s="24"/>
      <c r="AR218" s="461">
        <f t="shared" si="174"/>
        <v>1.0011811128329162E-2</v>
      </c>
      <c r="AS218" s="25"/>
      <c r="AT218" s="25"/>
      <c r="AU218" s="24"/>
      <c r="AV218" s="298">
        <f t="shared" si="175"/>
        <v>0.60582380111798595</v>
      </c>
      <c r="AW218" s="298"/>
      <c r="AX218" s="24">
        <f t="shared" si="176"/>
        <v>25257.191387559807</v>
      </c>
      <c r="AY218" s="308"/>
      <c r="AZ218" s="10"/>
      <c r="BA218" s="65">
        <f t="shared" si="177"/>
        <v>1043566</v>
      </c>
      <c r="BB218" s="66"/>
      <c r="BC218" s="66">
        <v>121567138</v>
      </c>
      <c r="BD218" s="66"/>
      <c r="BE218" s="66">
        <f t="shared" si="178"/>
        <v>59693</v>
      </c>
      <c r="BF218" s="66"/>
      <c r="BG218" s="144">
        <f t="shared" si="179"/>
        <v>5.7200982017428702E-2</v>
      </c>
      <c r="BH218" s="66"/>
      <c r="BI218" s="170"/>
      <c r="BJ218" s="66"/>
      <c r="BK218" s="66">
        <f t="shared" si="180"/>
        <v>7408289</v>
      </c>
      <c r="BL218" s="66"/>
      <c r="BM218" s="144">
        <f t="shared" si="181"/>
        <v>5.0145046987232815E-2</v>
      </c>
      <c r="BN218" s="65">
        <f t="shared" si="182"/>
        <v>581660.94736842101</v>
      </c>
      <c r="BO218" s="66"/>
      <c r="BP218" s="66">
        <f t="shared" si="183"/>
        <v>7806369</v>
      </c>
      <c r="BQ218" s="66"/>
      <c r="BR218" s="435">
        <f t="shared" si="184"/>
        <v>6.4214467235380671E-2</v>
      </c>
      <c r="BS218" s="66"/>
      <c r="BT218" s="75"/>
      <c r="BU218" s="170"/>
      <c r="BV218" s="1"/>
      <c r="BW218" s="61">
        <f t="shared" si="186"/>
        <v>209</v>
      </c>
    </row>
    <row r="219" spans="2:75" x14ac:dyDescent="0.3">
      <c r="B219" s="158">
        <f t="shared" si="161"/>
        <v>44119</v>
      </c>
      <c r="C219" s="61"/>
      <c r="D219" s="17">
        <v>66129</v>
      </c>
      <c r="E219" s="16"/>
      <c r="F219" s="16"/>
      <c r="G219" s="16"/>
      <c r="H219" s="16">
        <f t="shared" si="165"/>
        <v>8779476</v>
      </c>
      <c r="I219" s="16"/>
      <c r="J219" s="436">
        <f t="shared" si="166"/>
        <v>7.589391309676982E-3</v>
      </c>
      <c r="K219" s="16"/>
      <c r="L219" s="16"/>
      <c r="M219" s="16"/>
      <c r="N219" s="16">
        <f t="shared" si="185"/>
        <v>380300</v>
      </c>
      <c r="O219" s="16">
        <f t="shared" si="167"/>
        <v>41807.028571428571</v>
      </c>
      <c r="P219" s="41"/>
      <c r="Q219" s="17">
        <f t="shared" si="159"/>
        <v>380300</v>
      </c>
      <c r="R219" s="16"/>
      <c r="S219" s="60">
        <f t="shared" si="160"/>
        <v>0.17574314819681253</v>
      </c>
      <c r="T219" s="16"/>
      <c r="U219" s="41"/>
      <c r="V219" s="10">
        <f t="shared" si="109"/>
        <v>111</v>
      </c>
      <c r="W219" s="34">
        <v>874</v>
      </c>
      <c r="X219" s="33"/>
      <c r="Y219" s="33"/>
      <c r="Z219" s="33"/>
      <c r="AA219" s="33">
        <f t="shared" si="168"/>
        <v>225403</v>
      </c>
      <c r="AB219" s="33"/>
      <c r="AC219" s="46">
        <f t="shared" si="169"/>
        <v>2.5673855706194765E-2</v>
      </c>
      <c r="AD219" s="33"/>
      <c r="AE219" s="33">
        <f t="shared" si="170"/>
        <v>1073.347619047619</v>
      </c>
      <c r="AF219" s="50"/>
      <c r="AG219" s="33">
        <f t="shared" si="171"/>
        <v>4960</v>
      </c>
      <c r="AH219" s="33">
        <f>SUM(D190:D864)</f>
        <v>1220672989.060914</v>
      </c>
      <c r="AI219" s="213">
        <f t="shared" si="172"/>
        <v>-6.8081698037645178E-3</v>
      </c>
      <c r="AJ219" s="50"/>
      <c r="AK219" s="10"/>
      <c r="AL219" s="23">
        <f t="shared" si="173"/>
        <v>41386</v>
      </c>
      <c r="AM219" s="24"/>
      <c r="AN219" s="24"/>
      <c r="AO219" s="24">
        <v>178263</v>
      </c>
      <c r="AP219" s="24">
        <v>5320139</v>
      </c>
      <c r="AQ219" s="24"/>
      <c r="AR219" s="461">
        <f t="shared" si="174"/>
        <v>7.8401092076102064E-3</v>
      </c>
      <c r="AS219" s="25"/>
      <c r="AT219" s="25"/>
      <c r="AU219" s="24"/>
      <c r="AV219" s="298">
        <f t="shared" si="175"/>
        <v>0.60597454791151539</v>
      </c>
      <c r="AW219" s="298"/>
      <c r="AX219" s="24">
        <f t="shared" si="176"/>
        <v>25333.995238095238</v>
      </c>
      <c r="AY219" s="308"/>
      <c r="AZ219" s="10"/>
      <c r="BA219" s="65">
        <f t="shared" si="177"/>
        <v>1128210</v>
      </c>
      <c r="BB219" s="66"/>
      <c r="BC219" s="66">
        <v>122695348</v>
      </c>
      <c r="BD219" s="66"/>
      <c r="BE219" s="66">
        <f t="shared" si="178"/>
        <v>66129</v>
      </c>
      <c r="BF219" s="66"/>
      <c r="BG219" s="144">
        <f t="shared" si="179"/>
        <v>5.8614087802802667E-2</v>
      </c>
      <c r="BH219" s="66"/>
      <c r="BI219" s="170"/>
      <c r="BJ219" s="66"/>
      <c r="BK219" s="66">
        <f t="shared" si="180"/>
        <v>7351533</v>
      </c>
      <c r="BL219" s="66"/>
      <c r="BM219" s="144">
        <f t="shared" si="181"/>
        <v>5.1730707051168785E-2</v>
      </c>
      <c r="BN219" s="65">
        <f t="shared" si="182"/>
        <v>584263.56190476194</v>
      </c>
      <c r="BO219" s="66"/>
      <c r="BP219" s="66">
        <f t="shared" si="183"/>
        <v>7872498</v>
      </c>
      <c r="BQ219" s="66"/>
      <c r="BR219" s="435">
        <f t="shared" si="184"/>
        <v>6.4162970547179995E-2</v>
      </c>
      <c r="BS219" s="66"/>
      <c r="BT219" s="75"/>
      <c r="BU219" s="170"/>
      <c r="BV219" s="1"/>
      <c r="BW219" s="61">
        <f t="shared" si="186"/>
        <v>210</v>
      </c>
    </row>
    <row r="220" spans="2:75" x14ac:dyDescent="0.3">
      <c r="B220" s="158">
        <f t="shared" si="161"/>
        <v>44120</v>
      </c>
      <c r="C220" s="61"/>
      <c r="D220" s="17">
        <v>71687</v>
      </c>
      <c r="E220" s="16"/>
      <c r="F220" s="16"/>
      <c r="G220" s="16"/>
      <c r="H220" s="16">
        <f t="shared" si="165"/>
        <v>8851163</v>
      </c>
      <c r="I220" s="16"/>
      <c r="J220" s="436">
        <f t="shared" si="166"/>
        <v>8.1652936917875289E-3</v>
      </c>
      <c r="K220" s="16"/>
      <c r="L220" s="16"/>
      <c r="M220" s="16"/>
      <c r="N220" s="16">
        <f t="shared" si="185"/>
        <v>391004</v>
      </c>
      <c r="O220" s="16">
        <f t="shared" si="167"/>
        <v>41948.639810426539</v>
      </c>
      <c r="P220" s="41"/>
      <c r="Q220" s="17">
        <f t="shared" si="159"/>
        <v>391004</v>
      </c>
      <c r="R220" s="16"/>
      <c r="S220" s="60">
        <f t="shared" si="160"/>
        <v>0.17406278619364332</v>
      </c>
      <c r="T220" s="16"/>
      <c r="U220" s="41"/>
      <c r="V220" s="10">
        <f t="shared" si="109"/>
        <v>112</v>
      </c>
      <c r="W220" s="34">
        <v>928</v>
      </c>
      <c r="X220" s="33"/>
      <c r="Y220" s="33"/>
      <c r="Z220" s="33"/>
      <c r="AA220" s="33">
        <f t="shared" si="168"/>
        <v>226331</v>
      </c>
      <c r="AB220" s="33"/>
      <c r="AC220" s="46">
        <f t="shared" si="169"/>
        <v>2.5570763977569952E-2</v>
      </c>
      <c r="AD220" s="33"/>
      <c r="AE220" s="33">
        <f t="shared" si="170"/>
        <v>1072.6587677725117</v>
      </c>
      <c r="AF220" s="50"/>
      <c r="AG220" s="33">
        <f t="shared" si="171"/>
        <v>4979</v>
      </c>
      <c r="AH220" s="33">
        <f>SUM(D191:D865)</f>
        <v>1220632835.060914</v>
      </c>
      <c r="AI220" s="213">
        <f t="shared" si="172"/>
        <v>-1.1907124429450288E-2</v>
      </c>
      <c r="AJ220" s="50"/>
      <c r="AK220" s="10"/>
      <c r="AL220" s="23">
        <f t="shared" si="173"/>
        <v>75262</v>
      </c>
      <c r="AM220" s="24"/>
      <c r="AN220" s="24"/>
      <c r="AO220" s="24">
        <v>178263</v>
      </c>
      <c r="AP220" s="24">
        <v>5395401</v>
      </c>
      <c r="AQ220" s="24"/>
      <c r="AR220" s="461">
        <f t="shared" si="174"/>
        <v>1.4146622860793675E-2</v>
      </c>
      <c r="AS220" s="25"/>
      <c r="AT220" s="25"/>
      <c r="AU220" s="24"/>
      <c r="AV220" s="298">
        <f t="shared" si="175"/>
        <v>0.60956972546997501</v>
      </c>
      <c r="AW220" s="298"/>
      <c r="AX220" s="24">
        <f t="shared" si="176"/>
        <v>25570.620853080567</v>
      </c>
      <c r="AY220" s="308"/>
      <c r="AZ220" s="10"/>
      <c r="BA220" s="65">
        <f t="shared" si="177"/>
        <v>1041099</v>
      </c>
      <c r="BB220" s="66"/>
      <c r="BC220" s="66">
        <v>123736447</v>
      </c>
      <c r="BD220" s="66"/>
      <c r="BE220" s="66">
        <f t="shared" si="178"/>
        <v>71687</v>
      </c>
      <c r="BF220" s="66"/>
      <c r="BG220" s="144">
        <f t="shared" si="179"/>
        <v>6.885704433488074E-2</v>
      </c>
      <c r="BH220" s="66"/>
      <c r="BI220" s="170"/>
      <c r="BJ220" s="66"/>
      <c r="BK220" s="66">
        <f t="shared" si="180"/>
        <v>7238312</v>
      </c>
      <c r="BL220" s="66"/>
      <c r="BM220" s="144">
        <f t="shared" si="181"/>
        <v>5.40186717566195E-2</v>
      </c>
      <c r="BN220" s="65">
        <f t="shared" si="182"/>
        <v>586428.65876777249</v>
      </c>
      <c r="BO220" s="66"/>
      <c r="BP220" s="66">
        <f t="shared" si="183"/>
        <v>7944185</v>
      </c>
      <c r="BQ220" s="66"/>
      <c r="BR220" s="435">
        <f t="shared" si="184"/>
        <v>6.4202465745602025E-2</v>
      </c>
      <c r="BS220" s="66"/>
      <c r="BT220" s="75"/>
      <c r="BU220" s="170"/>
      <c r="BV220" s="1"/>
      <c r="BW220" s="61">
        <f t="shared" si="186"/>
        <v>211</v>
      </c>
    </row>
    <row r="221" spans="2:75" x14ac:dyDescent="0.3">
      <c r="B221" s="158">
        <f t="shared" si="161"/>
        <v>44121</v>
      </c>
      <c r="C221" s="61"/>
      <c r="D221" s="17">
        <v>54232</v>
      </c>
      <c r="E221" s="16"/>
      <c r="F221" s="16"/>
      <c r="G221" s="16"/>
      <c r="H221" s="16">
        <f t="shared" si="165"/>
        <v>8905395</v>
      </c>
      <c r="I221" s="16"/>
      <c r="J221" s="436">
        <f t="shared" si="166"/>
        <v>6.1271044268419866E-3</v>
      </c>
      <c r="K221" s="16"/>
      <c r="L221" s="16"/>
      <c r="M221" s="16"/>
      <c r="N221" s="16">
        <f t="shared" si="185"/>
        <v>391001</v>
      </c>
      <c r="O221" s="16">
        <f t="shared" si="167"/>
        <v>42006.580188679247</v>
      </c>
      <c r="P221" s="41"/>
      <c r="Q221" s="17">
        <f t="shared" si="159"/>
        <v>391001</v>
      </c>
      <c r="R221" s="16"/>
      <c r="S221" s="60">
        <f t="shared" si="160"/>
        <v>0.15562813104966824</v>
      </c>
      <c r="T221" s="16"/>
      <c r="U221" s="41"/>
      <c r="V221" s="10">
        <f t="shared" si="109"/>
        <v>113</v>
      </c>
      <c r="W221" s="34">
        <v>638</v>
      </c>
      <c r="X221" s="33"/>
      <c r="Y221" s="33"/>
      <c r="Z221" s="33"/>
      <c r="AA221" s="33">
        <f t="shared" si="168"/>
        <v>226969</v>
      </c>
      <c r="AB221" s="33"/>
      <c r="AC221" s="46">
        <f t="shared" si="169"/>
        <v>2.5486685318281785E-2</v>
      </c>
      <c r="AD221" s="33"/>
      <c r="AE221" s="33">
        <f t="shared" si="170"/>
        <v>1070.6084905660377</v>
      </c>
      <c r="AF221" s="50"/>
      <c r="AG221" s="33">
        <f t="shared" si="171"/>
        <v>4894</v>
      </c>
      <c r="AH221" s="33">
        <f>SUM(D192:D866)</f>
        <v>1220586540.060914</v>
      </c>
      <c r="AI221" s="213">
        <f t="shared" si="172"/>
        <v>-2.25684042340723E-2</v>
      </c>
      <c r="AJ221" s="50"/>
      <c r="AK221" s="10"/>
      <c r="AL221" s="23">
        <f t="shared" si="173"/>
        <v>36791</v>
      </c>
      <c r="AM221" s="24"/>
      <c r="AN221" s="24"/>
      <c r="AO221" s="24">
        <v>178263</v>
      </c>
      <c r="AP221" s="24">
        <v>5432192</v>
      </c>
      <c r="AQ221" s="24"/>
      <c r="AR221" s="461">
        <f t="shared" si="174"/>
        <v>6.8189556253557427E-3</v>
      </c>
      <c r="AS221" s="25"/>
      <c r="AT221" s="25"/>
      <c r="AU221" s="24"/>
      <c r="AV221" s="298">
        <f t="shared" si="175"/>
        <v>0.60998888875788215</v>
      </c>
      <c r="AW221" s="298"/>
      <c r="AX221" s="24">
        <f t="shared" si="176"/>
        <v>25623.547169811322</v>
      </c>
      <c r="AY221" s="308"/>
      <c r="AZ221" s="10"/>
      <c r="BA221" s="65">
        <f t="shared" si="177"/>
        <v>1056221</v>
      </c>
      <c r="BB221" s="66"/>
      <c r="BC221" s="66">
        <v>124792668</v>
      </c>
      <c r="BD221" s="66"/>
      <c r="BE221" s="66">
        <f t="shared" si="178"/>
        <v>54232</v>
      </c>
      <c r="BF221" s="66"/>
      <c r="BG221" s="144">
        <f t="shared" si="179"/>
        <v>5.1345315042969228E-2</v>
      </c>
      <c r="BH221" s="66"/>
      <c r="BI221" s="170"/>
      <c r="BJ221" s="66"/>
      <c r="BK221" s="66">
        <f t="shared" si="180"/>
        <v>7191246</v>
      </c>
      <c r="BL221" s="66"/>
      <c r="BM221" s="144">
        <f t="shared" si="181"/>
        <v>5.4371801493093133E-2</v>
      </c>
      <c r="BN221" s="65">
        <f t="shared" si="182"/>
        <v>588644.66037735844</v>
      </c>
      <c r="BO221" s="66"/>
      <c r="BP221" s="66">
        <f t="shared" si="183"/>
        <v>7998417</v>
      </c>
      <c r="BQ221" s="66"/>
      <c r="BR221" s="435">
        <f t="shared" si="184"/>
        <v>6.4093645309354227E-2</v>
      </c>
      <c r="BS221" s="66"/>
      <c r="BT221" s="75"/>
      <c r="BU221" s="170"/>
      <c r="BV221" s="1"/>
      <c r="BW221" s="61">
        <f t="shared" si="186"/>
        <v>212</v>
      </c>
    </row>
    <row r="222" spans="2:75" x14ac:dyDescent="0.3">
      <c r="B222" s="347">
        <f t="shared" si="161"/>
        <v>44122</v>
      </c>
      <c r="C222" s="61"/>
      <c r="D222" s="17">
        <v>44941</v>
      </c>
      <c r="E222" s="16"/>
      <c r="F222" s="16"/>
      <c r="G222" s="16"/>
      <c r="H222" s="16">
        <f t="shared" si="165"/>
        <v>8950336</v>
      </c>
      <c r="I222" s="16"/>
      <c r="J222" s="436">
        <f t="shared" si="166"/>
        <v>5.0464914807260095E-3</v>
      </c>
      <c r="K222" s="16"/>
      <c r="L222" s="16"/>
      <c r="M222" s="16"/>
      <c r="N222" s="16">
        <f t="shared" si="185"/>
        <v>394007</v>
      </c>
      <c r="O222" s="16">
        <f t="shared" si="167"/>
        <v>42020.356807511736</v>
      </c>
      <c r="P222" s="41"/>
      <c r="Q222" s="17">
        <f t="shared" si="159"/>
        <v>394007</v>
      </c>
      <c r="R222" s="16"/>
      <c r="S222" s="60">
        <f t="shared" si="160"/>
        <v>0.13804467756936462</v>
      </c>
      <c r="T222" s="16"/>
      <c r="U222" s="41"/>
      <c r="V222" s="348">
        <f t="shared" si="109"/>
        <v>114</v>
      </c>
      <c r="W222" s="34">
        <v>448</v>
      </c>
      <c r="X222" s="33"/>
      <c r="Y222" s="33"/>
      <c r="Z222" s="33"/>
      <c r="AA222" s="33">
        <f t="shared" si="168"/>
        <v>227417</v>
      </c>
      <c r="AB222" s="33"/>
      <c r="AC222" s="46">
        <f t="shared" si="169"/>
        <v>2.5408766777023788E-2</v>
      </c>
      <c r="AD222" s="33"/>
      <c r="AE222" s="33">
        <f t="shared" si="170"/>
        <v>1067.6854460093896</v>
      </c>
      <c r="AF222" s="50"/>
      <c r="AG222" s="33">
        <f t="shared" si="171"/>
        <v>5017</v>
      </c>
      <c r="AH222" s="33">
        <f>SUM(D193:D867)</f>
        <v>1220535195.060914</v>
      </c>
      <c r="AI222" s="213">
        <f t="shared" si="172"/>
        <v>3.3999999999999998E-3</v>
      </c>
      <c r="AJ222" s="50"/>
      <c r="AK222" s="10"/>
      <c r="AL222" s="23">
        <f t="shared" si="173"/>
        <v>25492</v>
      </c>
      <c r="AM222" s="24"/>
      <c r="AN222" s="24"/>
      <c r="AO222" s="24">
        <v>178263</v>
      </c>
      <c r="AP222" s="24">
        <v>5457684</v>
      </c>
      <c r="AQ222" s="24"/>
      <c r="AR222" s="461">
        <f t="shared" si="174"/>
        <v>4.6927649096350057E-3</v>
      </c>
      <c r="AS222" s="25"/>
      <c r="AT222" s="25"/>
      <c r="AU222" s="24"/>
      <c r="AV222" s="298">
        <f t="shared" si="175"/>
        <v>0.60977420289026019</v>
      </c>
      <c r="AW222" s="298"/>
      <c r="AX222" s="24">
        <f t="shared" si="176"/>
        <v>25622.929577464787</v>
      </c>
      <c r="AY222" s="308"/>
      <c r="AZ222" s="348"/>
      <c r="BA222" s="65">
        <f t="shared" si="177"/>
        <v>891213</v>
      </c>
      <c r="BB222" s="66"/>
      <c r="BC222" s="66">
        <v>125683881</v>
      </c>
      <c r="BD222" s="66"/>
      <c r="BE222" s="66">
        <f t="shared" si="178"/>
        <v>44941</v>
      </c>
      <c r="BF222" s="66"/>
      <c r="BG222" s="144">
        <f t="shared" si="179"/>
        <v>5.0426777885870154E-2</v>
      </c>
      <c r="BH222" s="66"/>
      <c r="BI222" s="170"/>
      <c r="BJ222" s="66"/>
      <c r="BK222" s="66">
        <f t="shared" si="180"/>
        <v>7196983</v>
      </c>
      <c r="BL222" s="66"/>
      <c r="BM222" s="144">
        <f t="shared" si="181"/>
        <v>5.4746134595565946E-2</v>
      </c>
      <c r="BN222" s="65">
        <f t="shared" si="182"/>
        <v>590065.1690140845</v>
      </c>
      <c r="BO222" s="66"/>
      <c r="BP222" s="66">
        <f t="shared" si="183"/>
        <v>8043358</v>
      </c>
      <c r="BQ222" s="66"/>
      <c r="BR222" s="435">
        <f t="shared" si="184"/>
        <v>6.39967347921091E-2</v>
      </c>
      <c r="BS222" s="66"/>
      <c r="BT222" s="75"/>
      <c r="BU222" s="170"/>
      <c r="BV222" s="1"/>
      <c r="BW222" s="61">
        <f t="shared" si="186"/>
        <v>213</v>
      </c>
    </row>
    <row r="223" spans="2:75" x14ac:dyDescent="0.3">
      <c r="B223" s="158">
        <f t="shared" si="161"/>
        <v>44123</v>
      </c>
      <c r="C223" s="61"/>
      <c r="D223" s="17">
        <v>57327</v>
      </c>
      <c r="E223" s="16"/>
      <c r="F223" s="16"/>
      <c r="G223" s="16"/>
      <c r="H223" s="16">
        <f t="shared" ref="H223:H229" si="187">+H222+D223</f>
        <v>9007663</v>
      </c>
      <c r="I223" s="16"/>
      <c r="J223" s="436">
        <f t="shared" ref="J223:J229" si="188">+D223/H222</f>
        <v>6.4050109403714006E-3</v>
      </c>
      <c r="K223" s="16"/>
      <c r="L223" s="16"/>
      <c r="M223" s="16"/>
      <c r="N223" s="16">
        <f t="shared" ref="N223:N229" si="189">SUM(D217:D223)</f>
        <v>405543</v>
      </c>
      <c r="O223" s="16">
        <f t="shared" ref="O223:O229" si="190">+H223/BW223</f>
        <v>42091.883177570096</v>
      </c>
      <c r="P223" s="41"/>
      <c r="Q223" s="17">
        <f t="shared" si="159"/>
        <v>405543</v>
      </c>
      <c r="R223" s="16"/>
      <c r="S223" s="60">
        <f t="shared" si="160"/>
        <v>0.14467043761007994</v>
      </c>
      <c r="T223" s="16"/>
      <c r="U223" s="41"/>
      <c r="V223" s="10">
        <f t="shared" si="109"/>
        <v>115</v>
      </c>
      <c r="W223" s="34">
        <v>442</v>
      </c>
      <c r="X223" s="33"/>
      <c r="Y223" s="33"/>
      <c r="Z223" s="33"/>
      <c r="AA223" s="33">
        <f t="shared" ref="AA223:AA229" si="191">+AA222+W223</f>
        <v>227859</v>
      </c>
      <c r="AB223" s="33"/>
      <c r="AC223" s="46">
        <f t="shared" ref="AC223:AC229" si="192">+AA223/H223</f>
        <v>2.5296128418658647E-2</v>
      </c>
      <c r="AD223" s="33"/>
      <c r="AE223" s="33">
        <f t="shared" ref="AE223:AE229" si="193">+AA223/BW223</f>
        <v>1064.7616822429907</v>
      </c>
      <c r="AF223" s="50"/>
      <c r="AG223" s="33">
        <f t="shared" ref="AG223:AG229" si="194">SUM(W217:W223)</f>
        <v>5143</v>
      </c>
      <c r="AH223" s="33">
        <f>SUM(D194:D868)</f>
        <v>1220491582.060914</v>
      </c>
      <c r="AI223" s="213">
        <f t="shared" ref="AI223:AI229" si="195">+(AG223-AG216)/AG216</f>
        <v>3.5225442834138483E-2</v>
      </c>
      <c r="AJ223" s="50"/>
      <c r="AK223" s="10"/>
      <c r="AL223" s="23">
        <f t="shared" ref="AL223:AL229" si="196">+AP223-AP222</f>
        <v>45584</v>
      </c>
      <c r="AM223" s="24"/>
      <c r="AN223" s="24"/>
      <c r="AO223" s="24">
        <v>178263</v>
      </c>
      <c r="AP223" s="24">
        <v>5503268</v>
      </c>
      <c r="AQ223" s="24"/>
      <c r="AR223" s="461">
        <f t="shared" ref="AR223:AR229" si="197">+AL223/AP222</f>
        <v>8.3522607758162622E-3</v>
      </c>
      <c r="AS223" s="25"/>
      <c r="AT223" s="25"/>
      <c r="AU223" s="24"/>
      <c r="AV223" s="298">
        <f t="shared" ref="AV223:AV229" si="198">+AP223/H223</f>
        <v>0.61095402880858218</v>
      </c>
      <c r="AW223" s="298"/>
      <c r="AX223" s="24">
        <f t="shared" ref="AX223:AX229" si="199">+AP223/BW223</f>
        <v>25716.205607476637</v>
      </c>
      <c r="AY223" s="308"/>
      <c r="AZ223" s="10"/>
      <c r="BA223" s="65">
        <f t="shared" ref="BA223:BA229" si="200">+BC223-BC222</f>
        <v>1373226</v>
      </c>
      <c r="BB223" s="66"/>
      <c r="BC223" s="66">
        <v>127057107</v>
      </c>
      <c r="BD223" s="66"/>
      <c r="BE223" s="66">
        <f t="shared" ref="BE223:BE229" si="201">+D223</f>
        <v>57327</v>
      </c>
      <c r="BF223" s="66"/>
      <c r="BG223" s="144">
        <f t="shared" ref="BG223:BG229" si="202">+BE223/BA223</f>
        <v>4.1746223855359567E-2</v>
      </c>
      <c r="BH223" s="66"/>
      <c r="BI223" s="170"/>
      <c r="BJ223" s="66"/>
      <c r="BK223" s="66">
        <f t="shared" ref="BK223:BK229" si="203">SUM(BA217:BA223)</f>
        <v>7559483</v>
      </c>
      <c r="BL223" s="66"/>
      <c r="BM223" s="144">
        <f t="shared" ref="BM223:BM229" si="204">+Q223/BK223</f>
        <v>5.3646922679765272E-2</v>
      </c>
      <c r="BN223" s="65">
        <f t="shared" ref="BN223:BN229" si="205">+BC223/BW223</f>
        <v>593724.79906542052</v>
      </c>
      <c r="BO223" s="66"/>
      <c r="BP223" s="66">
        <f t="shared" ref="BP223:BP229" si="206">+BP222+BE223</f>
        <v>8100685</v>
      </c>
      <c r="BQ223" s="66"/>
      <c r="BR223" s="435">
        <f t="shared" ref="BR223:BR229" si="207">+BP223/BC223</f>
        <v>6.3756252532965352E-2</v>
      </c>
      <c r="BS223" s="66"/>
      <c r="BT223" s="75"/>
      <c r="BU223" s="170"/>
      <c r="BV223" s="1"/>
      <c r="BW223" s="61">
        <f t="shared" si="186"/>
        <v>214</v>
      </c>
    </row>
    <row r="224" spans="2:75" x14ac:dyDescent="0.3">
      <c r="B224" s="158">
        <f t="shared" si="161"/>
        <v>44124</v>
      </c>
      <c r="C224" s="61"/>
      <c r="D224" s="17">
        <v>62072</v>
      </c>
      <c r="E224" s="16"/>
      <c r="F224" s="16"/>
      <c r="G224" s="16"/>
      <c r="H224" s="16">
        <f t="shared" si="187"/>
        <v>9069735</v>
      </c>
      <c r="I224" s="16"/>
      <c r="J224" s="436">
        <f t="shared" si="188"/>
        <v>6.8910215668592399E-3</v>
      </c>
      <c r="K224" s="16"/>
      <c r="L224" s="16"/>
      <c r="M224" s="16"/>
      <c r="N224" s="16">
        <f t="shared" si="189"/>
        <v>416081</v>
      </c>
      <c r="O224" s="16">
        <f t="shared" si="190"/>
        <v>42184.813953488374</v>
      </c>
      <c r="P224" s="41"/>
      <c r="Q224" s="17">
        <f t="shared" si="159"/>
        <v>416081</v>
      </c>
      <c r="R224" s="16"/>
      <c r="S224" s="60">
        <f t="shared" si="160"/>
        <v>0.15208747514910537</v>
      </c>
      <c r="T224" s="16"/>
      <c r="U224" s="41"/>
      <c r="V224" s="10">
        <f t="shared" si="109"/>
        <v>116</v>
      </c>
      <c r="W224" s="34">
        <v>952</v>
      </c>
      <c r="X224" s="33"/>
      <c r="Y224" s="33"/>
      <c r="Z224" s="33"/>
      <c r="AA224" s="33">
        <f t="shared" si="191"/>
        <v>228811</v>
      </c>
      <c r="AB224" s="33"/>
      <c r="AC224" s="46">
        <f t="shared" si="192"/>
        <v>2.5227969725686583E-2</v>
      </c>
      <c r="AD224" s="33"/>
      <c r="AE224" s="33">
        <f t="shared" si="193"/>
        <v>1064.2372093023255</v>
      </c>
      <c r="AF224" s="50"/>
      <c r="AG224" s="33">
        <f t="shared" si="194"/>
        <v>5252</v>
      </c>
      <c r="AH224" s="33">
        <f>SUM(D195:D869)</f>
        <v>1220458196.060914</v>
      </c>
      <c r="AI224" s="213">
        <f t="shared" si="195"/>
        <v>4.977013791724965E-2</v>
      </c>
      <c r="AJ224" s="50"/>
      <c r="AK224" s="10"/>
      <c r="AL224" s="23">
        <f t="shared" si="196"/>
        <v>42351</v>
      </c>
      <c r="AM224" s="24"/>
      <c r="AN224" s="24"/>
      <c r="AO224" s="24">
        <v>178263</v>
      </c>
      <c r="AP224" s="24">
        <v>5545619</v>
      </c>
      <c r="AQ224" s="24"/>
      <c r="AR224" s="461">
        <f t="shared" si="197"/>
        <v>7.6956092270992439E-3</v>
      </c>
      <c r="AS224" s="25"/>
      <c r="AT224" s="25"/>
      <c r="AU224" s="24"/>
      <c r="AV224" s="298">
        <f t="shared" si="198"/>
        <v>0.61144223067156867</v>
      </c>
      <c r="AW224" s="298"/>
      <c r="AX224" s="24">
        <f t="shared" si="199"/>
        <v>25793.576744186048</v>
      </c>
      <c r="AY224" s="308"/>
      <c r="AZ224" s="10"/>
      <c r="BA224" s="65">
        <f t="shared" si="200"/>
        <v>777769</v>
      </c>
      <c r="BB224" s="66"/>
      <c r="BC224" s="66">
        <v>127834876</v>
      </c>
      <c r="BD224" s="66"/>
      <c r="BE224" s="66">
        <f t="shared" si="201"/>
        <v>62072</v>
      </c>
      <c r="BF224" s="66"/>
      <c r="BG224" s="144">
        <f t="shared" si="202"/>
        <v>7.9807757830409803E-2</v>
      </c>
      <c r="BH224" s="66"/>
      <c r="BI224" s="170"/>
      <c r="BJ224" s="66"/>
      <c r="BK224" s="66">
        <f t="shared" si="203"/>
        <v>7311304</v>
      </c>
      <c r="BL224" s="66"/>
      <c r="BM224" s="144">
        <f t="shared" si="204"/>
        <v>5.6909273639832239E-2</v>
      </c>
      <c r="BN224" s="65">
        <f t="shared" si="205"/>
        <v>594580.81860465114</v>
      </c>
      <c r="BO224" s="66"/>
      <c r="BP224" s="66">
        <f t="shared" si="206"/>
        <v>8162757</v>
      </c>
      <c r="BQ224" s="66"/>
      <c r="BR224" s="435">
        <f t="shared" si="207"/>
        <v>6.3853912605195476E-2</v>
      </c>
      <c r="BS224" s="66"/>
      <c r="BT224" s="75"/>
      <c r="BU224" s="170"/>
      <c r="BV224" s="1"/>
      <c r="BW224" s="61">
        <f t="shared" si="186"/>
        <v>215</v>
      </c>
    </row>
    <row r="225" spans="2:75" x14ac:dyDescent="0.3">
      <c r="B225" s="158">
        <f t="shared" si="161"/>
        <v>44125</v>
      </c>
      <c r="C225" s="61"/>
      <c r="D225" s="17">
        <v>63663</v>
      </c>
      <c r="E225" s="16"/>
      <c r="F225" s="16"/>
      <c r="G225" s="16"/>
      <c r="H225" s="16">
        <f t="shared" si="187"/>
        <v>9133398</v>
      </c>
      <c r="I225" s="16"/>
      <c r="J225" s="436">
        <f t="shared" si="188"/>
        <v>7.0192789535747186E-3</v>
      </c>
      <c r="K225" s="16"/>
      <c r="L225" s="16"/>
      <c r="M225" s="16"/>
      <c r="N225" s="16">
        <f t="shared" si="189"/>
        <v>420051</v>
      </c>
      <c r="O225" s="16">
        <f t="shared" si="190"/>
        <v>42284.25</v>
      </c>
      <c r="P225" s="41"/>
      <c r="Q225" s="17">
        <f t="shared" si="159"/>
        <v>420051</v>
      </c>
      <c r="R225" s="16"/>
      <c r="S225" s="60">
        <f t="shared" si="160"/>
        <v>0.13072257859586689</v>
      </c>
      <c r="T225" s="16"/>
      <c r="U225" s="41"/>
      <c r="V225" s="10">
        <f t="shared" si="109"/>
        <v>117</v>
      </c>
      <c r="W225" s="34">
        <v>1225</v>
      </c>
      <c r="X225" s="33"/>
      <c r="Y225" s="33"/>
      <c r="Z225" s="33"/>
      <c r="AA225" s="33">
        <f t="shared" si="191"/>
        <v>230036</v>
      </c>
      <c r="AB225" s="33"/>
      <c r="AC225" s="46">
        <f t="shared" si="192"/>
        <v>2.518624503169576E-2</v>
      </c>
      <c r="AD225" s="33"/>
      <c r="AE225" s="33">
        <f t="shared" si="193"/>
        <v>1064.9814814814815</v>
      </c>
      <c r="AF225" s="50"/>
      <c r="AG225" s="33">
        <f t="shared" si="194"/>
        <v>5507</v>
      </c>
      <c r="AH225" s="33">
        <f>SUM(D196:D875)</f>
        <v>1220421392.060914</v>
      </c>
      <c r="AI225" s="213">
        <f t="shared" si="195"/>
        <v>9.2008724965298438E-2</v>
      </c>
      <c r="AJ225" s="50"/>
      <c r="AK225" s="10"/>
      <c r="AL225" s="23">
        <f t="shared" si="196"/>
        <v>56497</v>
      </c>
      <c r="AM225" s="24"/>
      <c r="AN225" s="24"/>
      <c r="AO225" s="24">
        <v>178263</v>
      </c>
      <c r="AP225" s="24">
        <v>5602116</v>
      </c>
      <c r="AQ225" s="24"/>
      <c r="AR225" s="461">
        <f t="shared" si="197"/>
        <v>1.0187681483347486E-2</v>
      </c>
      <c r="AS225" s="25"/>
      <c r="AT225" s="25"/>
      <c r="AU225" s="24"/>
      <c r="AV225" s="298">
        <f t="shared" si="198"/>
        <v>0.61336602215298186</v>
      </c>
      <c r="AW225" s="298"/>
      <c r="AX225" s="24">
        <f t="shared" si="199"/>
        <v>25935.722222222223</v>
      </c>
      <c r="AY225" s="308"/>
      <c r="AZ225" s="10"/>
      <c r="BA225" s="65">
        <f t="shared" si="200"/>
        <v>815281</v>
      </c>
      <c r="BB225" s="66"/>
      <c r="BC225" s="66">
        <v>128650157</v>
      </c>
      <c r="BD225" s="66"/>
      <c r="BE225" s="66">
        <f t="shared" si="201"/>
        <v>63663</v>
      </c>
      <c r="BF225" s="66"/>
      <c r="BG225" s="144">
        <f t="shared" si="202"/>
        <v>7.8087187117079876E-2</v>
      </c>
      <c r="BH225" s="66"/>
      <c r="BI225" s="170"/>
      <c r="BJ225" s="66"/>
      <c r="BK225" s="66">
        <f t="shared" si="203"/>
        <v>7083019</v>
      </c>
      <c r="BL225" s="66"/>
      <c r="BM225" s="144">
        <f t="shared" si="204"/>
        <v>5.9303949347022787E-2</v>
      </c>
      <c r="BN225" s="65">
        <f t="shared" si="205"/>
        <v>595602.57870370371</v>
      </c>
      <c r="BO225" s="66"/>
      <c r="BP225" s="66">
        <f t="shared" si="206"/>
        <v>8226420</v>
      </c>
      <c r="BQ225" s="66"/>
      <c r="BR225" s="435">
        <f t="shared" si="207"/>
        <v>6.3944111626696262E-2</v>
      </c>
      <c r="BS225" s="66"/>
      <c r="BT225" s="75"/>
      <c r="BU225" s="170"/>
      <c r="BV225" s="1"/>
      <c r="BW225" s="61">
        <f t="shared" si="186"/>
        <v>216</v>
      </c>
    </row>
    <row r="226" spans="2:75" x14ac:dyDescent="0.3">
      <c r="B226" s="158">
        <f t="shared" si="161"/>
        <v>44126</v>
      </c>
      <c r="C226" s="61"/>
      <c r="D226" s="17">
        <v>74301</v>
      </c>
      <c r="E226" s="16"/>
      <c r="F226" s="16"/>
      <c r="G226" s="16"/>
      <c r="H226" s="16">
        <f t="shared" si="187"/>
        <v>9207699</v>
      </c>
      <c r="I226" s="16"/>
      <c r="J226" s="436">
        <f t="shared" si="188"/>
        <v>8.1350883866004742E-3</v>
      </c>
      <c r="K226" s="16"/>
      <c r="L226" s="16"/>
      <c r="M226" s="16"/>
      <c r="N226" s="16">
        <f t="shared" si="189"/>
        <v>428223</v>
      </c>
      <c r="O226" s="16">
        <f t="shared" si="190"/>
        <v>42431.792626728107</v>
      </c>
      <c r="P226" s="41"/>
      <c r="Q226" s="17">
        <f t="shared" si="159"/>
        <v>428223</v>
      </c>
      <c r="R226" s="16"/>
      <c r="S226" s="60">
        <f t="shared" si="160"/>
        <v>0.12601367341572442</v>
      </c>
      <c r="T226" s="16"/>
      <c r="U226" s="41"/>
      <c r="V226" s="10">
        <f t="shared" si="109"/>
        <v>118</v>
      </c>
      <c r="W226" s="34">
        <v>973</v>
      </c>
      <c r="X226" s="33"/>
      <c r="Y226" s="33"/>
      <c r="Z226" s="33"/>
      <c r="AA226" s="33">
        <f t="shared" si="191"/>
        <v>231009</v>
      </c>
      <c r="AB226" s="33"/>
      <c r="AC226" s="46">
        <f t="shared" si="192"/>
        <v>2.508867850697552E-2</v>
      </c>
      <c r="AD226" s="33"/>
      <c r="AE226" s="33">
        <f t="shared" si="193"/>
        <v>1064.557603686636</v>
      </c>
      <c r="AF226" s="50"/>
      <c r="AG226" s="33">
        <f t="shared" si="194"/>
        <v>5606</v>
      </c>
      <c r="AH226" s="33">
        <f>SUM(D197:D876)</f>
        <v>1220385696.060914</v>
      </c>
      <c r="AI226" s="213">
        <f t="shared" si="195"/>
        <v>0.13024193548387097</v>
      </c>
      <c r="AJ226" s="50"/>
      <c r="AK226" s="10"/>
      <c r="AL226" s="23">
        <f t="shared" si="196"/>
        <v>53185</v>
      </c>
      <c r="AM226" s="24"/>
      <c r="AN226" s="24"/>
      <c r="AO226" s="24">
        <v>178263</v>
      </c>
      <c r="AP226" s="24">
        <v>5655301</v>
      </c>
      <c r="AQ226" s="24"/>
      <c r="AR226" s="461">
        <f t="shared" si="197"/>
        <v>9.4937341533092145E-3</v>
      </c>
      <c r="AS226" s="25"/>
      <c r="AT226" s="25"/>
      <c r="AU226" s="24"/>
      <c r="AV226" s="298">
        <f t="shared" si="198"/>
        <v>0.61419264465530421</v>
      </c>
      <c r="AW226" s="298"/>
      <c r="AX226" s="24">
        <f t="shared" si="199"/>
        <v>26061.294930875578</v>
      </c>
      <c r="AY226" s="308"/>
      <c r="AZ226" s="10"/>
      <c r="BA226" s="65">
        <f t="shared" si="200"/>
        <v>1154411</v>
      </c>
      <c r="BB226" s="66"/>
      <c r="BC226" s="66">
        <v>129804568</v>
      </c>
      <c r="BD226" s="66"/>
      <c r="BE226" s="66">
        <f t="shared" si="201"/>
        <v>74301</v>
      </c>
      <c r="BF226" s="66"/>
      <c r="BG226" s="144">
        <f t="shared" si="202"/>
        <v>6.4362692316687897E-2</v>
      </c>
      <c r="BH226" s="66"/>
      <c r="BI226" s="170"/>
      <c r="BJ226" s="66"/>
      <c r="BK226" s="66">
        <f t="shared" si="203"/>
        <v>7109220</v>
      </c>
      <c r="BL226" s="66"/>
      <c r="BM226" s="144">
        <f t="shared" si="204"/>
        <v>6.0234878087891498E-2</v>
      </c>
      <c r="BN226" s="65">
        <f t="shared" si="205"/>
        <v>598177.73271889403</v>
      </c>
      <c r="BO226" s="66"/>
      <c r="BP226" s="66">
        <f t="shared" si="206"/>
        <v>8300721</v>
      </c>
      <c r="BQ226" s="66"/>
      <c r="BR226" s="435">
        <f t="shared" si="207"/>
        <v>6.3947834254954719E-2</v>
      </c>
      <c r="BS226" s="66"/>
      <c r="BT226" s="75"/>
      <c r="BU226" s="170"/>
      <c r="BV226" s="1"/>
      <c r="BW226" s="61">
        <f t="shared" si="186"/>
        <v>217</v>
      </c>
    </row>
    <row r="227" spans="2:75" x14ac:dyDescent="0.3">
      <c r="B227" s="158">
        <f t="shared" si="161"/>
        <v>44127</v>
      </c>
      <c r="C227" s="61"/>
      <c r="D227" s="17">
        <v>81414</v>
      </c>
      <c r="E227" s="16"/>
      <c r="F227" s="16"/>
      <c r="G227" s="16"/>
      <c r="H227" s="16">
        <f t="shared" si="187"/>
        <v>9289113</v>
      </c>
      <c r="I227" s="16"/>
      <c r="J227" s="436">
        <f t="shared" si="188"/>
        <v>8.8419484607392147E-3</v>
      </c>
      <c r="K227" s="16"/>
      <c r="L227" s="16"/>
      <c r="M227" s="16"/>
      <c r="N227" s="16">
        <f t="shared" si="189"/>
        <v>437950</v>
      </c>
      <c r="O227" s="16">
        <f t="shared" si="190"/>
        <v>42610.610091743118</v>
      </c>
      <c r="P227" s="41"/>
      <c r="Q227" s="17">
        <f t="shared" si="159"/>
        <v>437950</v>
      </c>
      <c r="R227" s="16"/>
      <c r="S227" s="60">
        <f t="shared" si="160"/>
        <v>0.12006526787449745</v>
      </c>
      <c r="T227" s="16"/>
      <c r="U227" s="41"/>
      <c r="V227" s="10">
        <f t="shared" si="109"/>
        <v>119</v>
      </c>
      <c r="W227" s="34">
        <v>903</v>
      </c>
      <c r="X227" s="33"/>
      <c r="Y227" s="33"/>
      <c r="Z227" s="33"/>
      <c r="AA227" s="33">
        <f t="shared" si="191"/>
        <v>231912</v>
      </c>
      <c r="AB227" s="33"/>
      <c r="AC227" s="46">
        <f t="shared" si="192"/>
        <v>2.4966000521255367E-2</v>
      </c>
      <c r="AD227" s="33"/>
      <c r="AE227" s="33">
        <f t="shared" si="193"/>
        <v>1063.8165137614678</v>
      </c>
      <c r="AF227" s="50"/>
      <c r="AG227" s="33">
        <f t="shared" si="194"/>
        <v>5581</v>
      </c>
      <c r="AH227" s="33">
        <f>SUM(D198:D877)</f>
        <v>1220344080.060914</v>
      </c>
      <c r="AI227" s="213">
        <f t="shared" si="195"/>
        <v>0.12090781281381803</v>
      </c>
      <c r="AJ227" s="50"/>
      <c r="AK227" s="10"/>
      <c r="AL227" s="23">
        <f t="shared" si="196"/>
        <v>42860</v>
      </c>
      <c r="AM227" s="24"/>
      <c r="AN227" s="24"/>
      <c r="AO227" s="24">
        <v>178263</v>
      </c>
      <c r="AP227" s="24">
        <v>5698161</v>
      </c>
      <c r="AQ227" s="24"/>
      <c r="AR227" s="461">
        <f t="shared" si="197"/>
        <v>7.5787301153378041E-3</v>
      </c>
      <c r="AS227" s="25"/>
      <c r="AT227" s="25"/>
      <c r="AU227" s="24"/>
      <c r="AV227" s="298">
        <f t="shared" si="198"/>
        <v>0.61342358522283025</v>
      </c>
      <c r="AW227" s="298"/>
      <c r="AX227" s="24">
        <f t="shared" si="199"/>
        <v>26138.353211009173</v>
      </c>
      <c r="AY227" s="308"/>
      <c r="AZ227" s="10"/>
      <c r="BA227" s="65">
        <f t="shared" si="200"/>
        <v>1252145</v>
      </c>
      <c r="BB227" s="66"/>
      <c r="BC227" s="66">
        <v>131056713</v>
      </c>
      <c r="BD227" s="66"/>
      <c r="BE227" s="66">
        <f t="shared" si="201"/>
        <v>81414</v>
      </c>
      <c r="BF227" s="66"/>
      <c r="BG227" s="144">
        <f t="shared" si="202"/>
        <v>6.501962632123276E-2</v>
      </c>
      <c r="BH227" s="66"/>
      <c r="BI227" s="170"/>
      <c r="BJ227" s="66"/>
      <c r="BK227" s="66">
        <f t="shared" si="203"/>
        <v>7320266</v>
      </c>
      <c r="BL227" s="66"/>
      <c r="BM227" s="144">
        <f t="shared" si="204"/>
        <v>5.9827060929206671E-2</v>
      </c>
      <c r="BN227" s="65">
        <f t="shared" si="205"/>
        <v>601177.58256880729</v>
      </c>
      <c r="BO227" s="66"/>
      <c r="BP227" s="66">
        <f t="shared" si="206"/>
        <v>8382135</v>
      </c>
      <c r="BQ227" s="66"/>
      <c r="BR227" s="435">
        <f t="shared" si="207"/>
        <v>6.3958074394861411E-2</v>
      </c>
      <c r="BS227" s="66"/>
      <c r="BT227" s="75"/>
      <c r="BU227" s="170"/>
      <c r="BV227" s="1"/>
      <c r="BW227" s="61">
        <f t="shared" si="186"/>
        <v>218</v>
      </c>
    </row>
    <row r="228" spans="2:75" x14ac:dyDescent="0.3">
      <c r="B228" s="158">
        <f t="shared" si="161"/>
        <v>44128</v>
      </c>
      <c r="C228" s="61"/>
      <c r="D228" s="17">
        <v>79449</v>
      </c>
      <c r="E228" s="16"/>
      <c r="F228" s="16"/>
      <c r="G228" s="16"/>
      <c r="H228" s="16">
        <f t="shared" si="187"/>
        <v>9368562</v>
      </c>
      <c r="I228" s="16"/>
      <c r="J228" s="436">
        <f t="shared" si="188"/>
        <v>8.5529156551330567E-3</v>
      </c>
      <c r="K228" s="16"/>
      <c r="L228" s="16"/>
      <c r="M228" s="16"/>
      <c r="N228" s="16">
        <f t="shared" si="189"/>
        <v>463167</v>
      </c>
      <c r="O228" s="16">
        <f t="shared" si="190"/>
        <v>42778.821917808222</v>
      </c>
      <c r="P228" s="41"/>
      <c r="Q228" s="17">
        <f t="shared" si="159"/>
        <v>463167</v>
      </c>
      <c r="R228" s="16"/>
      <c r="S228" s="60">
        <f t="shared" si="160"/>
        <v>0.18456730289692352</v>
      </c>
      <c r="T228" s="16"/>
      <c r="U228" s="41"/>
      <c r="V228" s="10">
        <f t="shared" si="109"/>
        <v>120</v>
      </c>
      <c r="W228" s="34">
        <v>784</v>
      </c>
      <c r="X228" s="33"/>
      <c r="Y228" s="33"/>
      <c r="Z228" s="33"/>
      <c r="AA228" s="33">
        <f t="shared" si="191"/>
        <v>232696</v>
      </c>
      <c r="AB228" s="33"/>
      <c r="AC228" s="46">
        <f t="shared" si="192"/>
        <v>2.4837963392887831E-2</v>
      </c>
      <c r="AD228" s="33"/>
      <c r="AE228" s="33">
        <f t="shared" si="193"/>
        <v>1062.538812785388</v>
      </c>
      <c r="AF228" s="50"/>
      <c r="AG228" s="33">
        <f t="shared" si="194"/>
        <v>5727</v>
      </c>
      <c r="AH228" s="33">
        <f>SUM(D199:D878)</f>
        <v>1220298725.060914</v>
      </c>
      <c r="AI228" s="213">
        <f t="shared" si="195"/>
        <v>0.17020841847159787</v>
      </c>
      <c r="AJ228" s="50"/>
      <c r="AK228" s="10"/>
      <c r="AL228" s="23">
        <f t="shared" si="196"/>
        <v>43450</v>
      </c>
      <c r="AM228" s="24"/>
      <c r="AN228" s="24"/>
      <c r="AO228" s="24">
        <v>178263</v>
      </c>
      <c r="AP228" s="24">
        <v>5741611</v>
      </c>
      <c r="AQ228" s="24"/>
      <c r="AR228" s="461">
        <f t="shared" si="197"/>
        <v>7.625267169530661E-3</v>
      </c>
      <c r="AS228" s="25"/>
      <c r="AT228" s="25"/>
      <c r="AU228" s="24"/>
      <c r="AV228" s="298">
        <f t="shared" si="198"/>
        <v>0.61285936945285735</v>
      </c>
      <c r="AW228" s="298"/>
      <c r="AX228" s="24">
        <f t="shared" si="199"/>
        <v>26217.40182648402</v>
      </c>
      <c r="AY228" s="308"/>
      <c r="AZ228" s="10"/>
      <c r="BA228" s="65">
        <f t="shared" si="200"/>
        <v>1151780</v>
      </c>
      <c r="BB228" s="66"/>
      <c r="BC228" s="66">
        <v>132208493</v>
      </c>
      <c r="BD228" s="66"/>
      <c r="BE228" s="66">
        <f t="shared" si="201"/>
        <v>79449</v>
      </c>
      <c r="BF228" s="66"/>
      <c r="BG228" s="144">
        <f t="shared" si="202"/>
        <v>6.8979318967163875E-2</v>
      </c>
      <c r="BH228" s="66"/>
      <c r="BI228" s="170"/>
      <c r="BJ228" s="66"/>
      <c r="BK228" s="66">
        <f t="shared" si="203"/>
        <v>7415825</v>
      </c>
      <c r="BL228" s="66"/>
      <c r="BM228" s="144">
        <f t="shared" si="204"/>
        <v>6.2456570914227343E-2</v>
      </c>
      <c r="BN228" s="65">
        <f t="shared" si="205"/>
        <v>603691.74885844754</v>
      </c>
      <c r="BO228" s="66"/>
      <c r="BP228" s="66">
        <f t="shared" si="206"/>
        <v>8461584</v>
      </c>
      <c r="BQ228" s="66"/>
      <c r="BR228" s="435">
        <f t="shared" si="207"/>
        <v>6.4001818703129765E-2</v>
      </c>
      <c r="BS228" s="66"/>
      <c r="BT228" s="75"/>
      <c r="BU228" s="170"/>
      <c r="BV228" s="1"/>
      <c r="BW228" s="61">
        <f t="shared" si="186"/>
        <v>219</v>
      </c>
    </row>
    <row r="229" spans="2:75" x14ac:dyDescent="0.3">
      <c r="B229" s="347">
        <f t="shared" si="161"/>
        <v>44129</v>
      </c>
      <c r="C229" s="61"/>
      <c r="D229" s="17">
        <v>60889</v>
      </c>
      <c r="E229" s="16"/>
      <c r="F229" s="16"/>
      <c r="G229" s="16"/>
      <c r="H229" s="16">
        <f t="shared" si="187"/>
        <v>9429451</v>
      </c>
      <c r="I229" s="16"/>
      <c r="J229" s="436">
        <f t="shared" si="188"/>
        <v>6.499289858998638E-3</v>
      </c>
      <c r="K229" s="16"/>
      <c r="L229" s="16"/>
      <c r="M229" s="16"/>
      <c r="N229" s="16">
        <f t="shared" si="189"/>
        <v>479115</v>
      </c>
      <c r="O229" s="16">
        <f t="shared" si="190"/>
        <v>42861.140909090907</v>
      </c>
      <c r="P229" s="41"/>
      <c r="Q229" s="17">
        <f t="shared" si="159"/>
        <v>479115</v>
      </c>
      <c r="R229" s="16"/>
      <c r="S229" s="60">
        <f t="shared" si="160"/>
        <v>0.21600631460862371</v>
      </c>
      <c r="T229" s="16"/>
      <c r="U229" s="41"/>
      <c r="V229" s="348">
        <f t="shared" si="109"/>
        <v>121</v>
      </c>
      <c r="W229" s="34">
        <v>442</v>
      </c>
      <c r="X229" s="33"/>
      <c r="Y229" s="33"/>
      <c r="Z229" s="33"/>
      <c r="AA229" s="33">
        <f t="shared" si="191"/>
        <v>233138</v>
      </c>
      <c r="AB229" s="33"/>
      <c r="AC229" s="46">
        <f t="shared" si="192"/>
        <v>2.4724451084161738E-2</v>
      </c>
      <c r="AD229" s="33"/>
      <c r="AE229" s="33">
        <f t="shared" si="193"/>
        <v>1059.7181818181818</v>
      </c>
      <c r="AF229" s="50"/>
      <c r="AG229" s="33">
        <f t="shared" si="194"/>
        <v>5721</v>
      </c>
      <c r="AH229" s="33">
        <f>SUM(D200:D880)</f>
        <v>1220245096.060914</v>
      </c>
      <c r="AI229" s="213">
        <f t="shared" si="195"/>
        <v>0.14032290213274864</v>
      </c>
      <c r="AJ229" s="50"/>
      <c r="AK229" s="10"/>
      <c r="AL229" s="23">
        <f t="shared" si="196"/>
        <v>30887</v>
      </c>
      <c r="AM229" s="24"/>
      <c r="AN229" s="24"/>
      <c r="AO229" s="24">
        <v>178263</v>
      </c>
      <c r="AP229" s="24">
        <v>5772498</v>
      </c>
      <c r="AQ229" s="24"/>
      <c r="AR229" s="461">
        <f t="shared" si="197"/>
        <v>5.379500631442987E-3</v>
      </c>
      <c r="AS229" s="25"/>
      <c r="AT229" s="25"/>
      <c r="AU229" s="24"/>
      <c r="AV229" s="298">
        <f t="shared" si="198"/>
        <v>0.61217752762064304</v>
      </c>
      <c r="AW229" s="298"/>
      <c r="AX229" s="24">
        <f t="shared" si="199"/>
        <v>26238.627272727274</v>
      </c>
      <c r="AY229" s="308"/>
      <c r="AZ229" s="348"/>
      <c r="BA229" s="65">
        <f t="shared" si="200"/>
        <v>1020835</v>
      </c>
      <c r="BB229" s="66"/>
      <c r="BC229" s="66">
        <v>133229328</v>
      </c>
      <c r="BD229" s="66"/>
      <c r="BE229" s="66">
        <f t="shared" si="201"/>
        <v>60889</v>
      </c>
      <c r="BF229" s="66"/>
      <c r="BG229" s="144">
        <f t="shared" si="202"/>
        <v>5.964626996527353E-2</v>
      </c>
      <c r="BH229" s="66"/>
      <c r="BI229" s="170"/>
      <c r="BJ229" s="66"/>
      <c r="BK229" s="66">
        <f t="shared" si="203"/>
        <v>7545447</v>
      </c>
      <c r="BL229" s="66"/>
      <c r="BM229" s="144">
        <f t="shared" si="204"/>
        <v>6.349723217193097E-2</v>
      </c>
      <c r="BN229" s="65">
        <f t="shared" si="205"/>
        <v>605587.85454545449</v>
      </c>
      <c r="BO229" s="66"/>
      <c r="BP229" s="66">
        <f t="shared" si="206"/>
        <v>8522473</v>
      </c>
      <c r="BQ229" s="66"/>
      <c r="BR229" s="435">
        <f t="shared" si="207"/>
        <v>6.3968445446185837E-2</v>
      </c>
      <c r="BS229" s="66"/>
      <c r="BT229" s="75"/>
      <c r="BU229" s="170"/>
      <c r="BV229" s="1"/>
      <c r="BW229" s="61">
        <f t="shared" si="186"/>
        <v>220</v>
      </c>
    </row>
    <row r="230" spans="2:75" x14ac:dyDescent="0.3">
      <c r="B230" s="158">
        <f t="shared" si="161"/>
        <v>44130</v>
      </c>
      <c r="C230" s="61"/>
      <c r="D230" s="17">
        <v>69841</v>
      </c>
      <c r="E230" s="16"/>
      <c r="F230" s="16"/>
      <c r="G230" s="16"/>
      <c r="H230" s="16">
        <f t="shared" ref="H230:H261" si="208">+H229+D230</f>
        <v>9499292</v>
      </c>
      <c r="I230" s="16"/>
      <c r="J230" s="436">
        <f t="shared" ref="J230:J261" si="209">+D230/H229</f>
        <v>7.4066878336819398E-3</v>
      </c>
      <c r="K230" s="16"/>
      <c r="L230" s="16"/>
      <c r="M230" s="16"/>
      <c r="N230" s="16">
        <f>SUM(D224:D230)</f>
        <v>491629</v>
      </c>
      <c r="O230" s="16">
        <f t="shared" ref="O230:O261" si="210">+H230/BW230</f>
        <v>42983.221719457011</v>
      </c>
      <c r="P230" s="41"/>
      <c r="Q230" s="17">
        <f t="shared" si="159"/>
        <v>491629</v>
      </c>
      <c r="R230" s="16"/>
      <c r="S230" s="60">
        <f t="shared" si="160"/>
        <v>0.21227342106755634</v>
      </c>
      <c r="T230" s="16"/>
      <c r="U230" s="41"/>
      <c r="V230" s="10">
        <f t="shared" si="109"/>
        <v>122</v>
      </c>
      <c r="W230" s="34">
        <v>529</v>
      </c>
      <c r="X230" s="33"/>
      <c r="Y230" s="33"/>
      <c r="Z230" s="33"/>
      <c r="AA230" s="33">
        <f t="shared" ref="AA230:AA261" si="211">+AA229+W230</f>
        <v>233667</v>
      </c>
      <c r="AB230" s="33"/>
      <c r="AC230" s="46">
        <f t="shared" ref="AC230:AC261" si="212">+AA230/H230</f>
        <v>2.4598359540900522E-2</v>
      </c>
      <c r="AD230" s="33"/>
      <c r="AE230" s="33">
        <f t="shared" ref="AE230:AE261" si="213">+AA230/BW230</f>
        <v>1057.316742081448</v>
      </c>
      <c r="AF230" s="50"/>
      <c r="AG230" s="33">
        <f t="shared" ref="AG230:AG261" si="214">SUM(W224:W230)</f>
        <v>5808</v>
      </c>
      <c r="AH230" s="33">
        <f>SUM(D201:D882)</f>
        <v>1220201890.060914</v>
      </c>
      <c r="AI230" s="213">
        <f t="shared" ref="AI230:AI261" si="215">+(AG230-AG223)/AG223</f>
        <v>0.12930196383433792</v>
      </c>
      <c r="AJ230" s="50"/>
      <c r="AK230" s="10"/>
      <c r="AL230" s="23">
        <f t="shared" ref="AL230:AL261" si="216">+AP230-AP229</f>
        <v>61326</v>
      </c>
      <c r="AM230" s="24"/>
      <c r="AN230" s="24"/>
      <c r="AO230" s="24">
        <v>178263</v>
      </c>
      <c r="AP230" s="24">
        <v>5833824</v>
      </c>
      <c r="AQ230" s="24"/>
      <c r="AR230" s="461">
        <f t="shared" ref="AR230:AR261" si="217">+AL230/AP229</f>
        <v>1.0623823516266269E-2</v>
      </c>
      <c r="AS230" s="25"/>
      <c r="AT230" s="25"/>
      <c r="AU230" s="24"/>
      <c r="AV230" s="298">
        <f t="shared" ref="AV230:AV261" si="218">+AP230/H230</f>
        <v>0.61413250587517465</v>
      </c>
      <c r="AW230" s="298"/>
      <c r="AX230" s="24">
        <f t="shared" ref="AX230:AX261" si="219">+AP230/BW230</f>
        <v>26397.393665158372</v>
      </c>
      <c r="AY230" s="308"/>
      <c r="AZ230" s="10"/>
      <c r="BA230" s="65">
        <f t="shared" ref="BA230:BA261" si="220">+BC230-BC229</f>
        <v>1246764</v>
      </c>
      <c r="BB230" s="66"/>
      <c r="BC230" s="66">
        <v>134476092</v>
      </c>
      <c r="BD230" s="66"/>
      <c r="BE230" s="66">
        <f t="shared" ref="BE230:BE261" si="221">+D230</f>
        <v>69841</v>
      </c>
      <c r="BF230" s="66"/>
      <c r="BG230" s="144">
        <f t="shared" ref="BG230:BG261" si="222">+BE230/BA230</f>
        <v>5.6017818929645066E-2</v>
      </c>
      <c r="BH230" s="66"/>
      <c r="BI230" s="170"/>
      <c r="BJ230" s="66"/>
      <c r="BK230" s="66">
        <f t="shared" ref="BK230:BK261" si="223">SUM(BA224:BA230)</f>
        <v>7418985</v>
      </c>
      <c r="BL230" s="66"/>
      <c r="BM230" s="144">
        <f t="shared" ref="BM230:BM261" si="224">+Q230/BK230</f>
        <v>6.6266342363544339E-2</v>
      </c>
      <c r="BN230" s="65">
        <f t="shared" ref="BN230:BN261" si="225">+BC230/BW230</f>
        <v>608489.10407239816</v>
      </c>
      <c r="BO230" s="66"/>
      <c r="BP230" s="66">
        <f t="shared" ref="BP230:BP261" si="226">+BP229+BE230</f>
        <v>8592314</v>
      </c>
      <c r="BQ230" s="66"/>
      <c r="BR230" s="435">
        <f t="shared" ref="BR230:BR261" si="227">+BP230/BC230</f>
        <v>6.3894733050392338E-2</v>
      </c>
      <c r="BS230" s="66"/>
      <c r="BT230" s="75"/>
      <c r="BU230" s="170"/>
      <c r="BV230" s="1"/>
      <c r="BW230" s="61">
        <f t="shared" si="186"/>
        <v>221</v>
      </c>
    </row>
    <row r="231" spans="2:75" x14ac:dyDescent="0.3">
      <c r="B231" s="158">
        <f t="shared" si="161"/>
        <v>44131</v>
      </c>
      <c r="C231" s="61"/>
      <c r="D231" s="17">
        <v>75072</v>
      </c>
      <c r="E231" s="16"/>
      <c r="F231" s="16"/>
      <c r="G231" s="16"/>
      <c r="H231" s="16">
        <f t="shared" si="208"/>
        <v>9574364</v>
      </c>
      <c r="I231" s="16"/>
      <c r="J231" s="436">
        <f t="shared" si="209"/>
        <v>7.9029047638497687E-3</v>
      </c>
      <c r="K231" s="16"/>
      <c r="L231" s="16"/>
      <c r="M231" s="16"/>
      <c r="N231" s="16">
        <f>SUM(D225:D231)</f>
        <v>504629</v>
      </c>
      <c r="O231" s="16">
        <f t="shared" si="210"/>
        <v>43127.765765765769</v>
      </c>
      <c r="P231" s="41"/>
      <c r="Q231" s="17">
        <f t="shared" si="159"/>
        <v>504629</v>
      </c>
      <c r="R231" s="16"/>
      <c r="S231" s="60">
        <f t="shared" si="160"/>
        <v>0.21281433182481296</v>
      </c>
      <c r="T231" s="16"/>
      <c r="U231" s="41"/>
      <c r="V231" s="10">
        <f t="shared" si="109"/>
        <v>123</v>
      </c>
      <c r="W231" s="34">
        <v>1039</v>
      </c>
      <c r="X231" s="33"/>
      <c r="Y231" s="33"/>
      <c r="Z231" s="33"/>
      <c r="AA231" s="33">
        <f t="shared" si="211"/>
        <v>234706</v>
      </c>
      <c r="AB231" s="33"/>
      <c r="AC231" s="46">
        <f t="shared" si="212"/>
        <v>2.4514004272241999E-2</v>
      </c>
      <c r="AD231" s="33"/>
      <c r="AE231" s="33">
        <f t="shared" si="213"/>
        <v>1057.2342342342342</v>
      </c>
      <c r="AF231" s="50"/>
      <c r="AG231" s="33">
        <f t="shared" si="214"/>
        <v>5895</v>
      </c>
      <c r="AH231" s="33">
        <f>SUM(D202:D883)</f>
        <v>1220168108.060914</v>
      </c>
      <c r="AI231" s="213">
        <f t="shared" si="215"/>
        <v>0.12242955064737243</v>
      </c>
      <c r="AJ231" s="50"/>
      <c r="AK231" s="10"/>
      <c r="AL231" s="23">
        <f t="shared" si="216"/>
        <v>44140</v>
      </c>
      <c r="AM231" s="24"/>
      <c r="AN231" s="24"/>
      <c r="AO231" s="24">
        <v>178263</v>
      </c>
      <c r="AP231" s="24">
        <v>5877964</v>
      </c>
      <c r="AQ231" s="24"/>
      <c r="AR231" s="461">
        <f t="shared" si="217"/>
        <v>7.5662207156060928E-3</v>
      </c>
      <c r="AS231" s="25"/>
      <c r="AT231" s="25"/>
      <c r="AU231" s="24"/>
      <c r="AV231" s="298">
        <f t="shared" si="218"/>
        <v>0.613927358516973</v>
      </c>
      <c r="AW231" s="298"/>
      <c r="AX231" s="24">
        <f t="shared" si="219"/>
        <v>26477.315315315314</v>
      </c>
      <c r="AY231" s="308"/>
      <c r="AZ231" s="10"/>
      <c r="BA231" s="65">
        <f t="shared" si="220"/>
        <v>948841</v>
      </c>
      <c r="BB231" s="66"/>
      <c r="BC231" s="66">
        <v>135424933</v>
      </c>
      <c r="BD231" s="66"/>
      <c r="BE231" s="66">
        <f t="shared" si="221"/>
        <v>75072</v>
      </c>
      <c r="BF231" s="66"/>
      <c r="BG231" s="144">
        <f t="shared" si="222"/>
        <v>7.9119683909105953E-2</v>
      </c>
      <c r="BH231" s="66"/>
      <c r="BI231" s="170"/>
      <c r="BJ231" s="66"/>
      <c r="BK231" s="66">
        <f t="shared" si="223"/>
        <v>7590057</v>
      </c>
      <c r="BL231" s="66"/>
      <c r="BM231" s="144">
        <f t="shared" si="224"/>
        <v>6.6485534957115608E-2</v>
      </c>
      <c r="BN231" s="65">
        <f t="shared" si="225"/>
        <v>610022.22072072071</v>
      </c>
      <c r="BO231" s="66"/>
      <c r="BP231" s="66">
        <f t="shared" si="226"/>
        <v>8667386</v>
      </c>
      <c r="BQ231" s="66"/>
      <c r="BR231" s="435">
        <f t="shared" si="227"/>
        <v>6.4001405117918728E-2</v>
      </c>
      <c r="BS231" s="66"/>
      <c r="BT231" s="75"/>
      <c r="BU231" s="170"/>
      <c r="BV231" s="1"/>
      <c r="BW231" s="61">
        <f t="shared" si="186"/>
        <v>222</v>
      </c>
    </row>
    <row r="232" spans="2:75" x14ac:dyDescent="0.3">
      <c r="B232" s="158">
        <f t="shared" si="161"/>
        <v>44132</v>
      </c>
      <c r="C232" s="61"/>
      <c r="D232" s="17">
        <v>81581</v>
      </c>
      <c r="E232" s="16"/>
      <c r="F232" s="16"/>
      <c r="G232" s="16"/>
      <c r="H232" s="16">
        <f t="shared" si="208"/>
        <v>9655945</v>
      </c>
      <c r="I232" s="16"/>
      <c r="J232" s="436">
        <f t="shared" si="209"/>
        <v>8.5207748525123958E-3</v>
      </c>
      <c r="K232" s="16"/>
      <c r="L232" s="16"/>
      <c r="M232" s="16"/>
      <c r="N232" s="16">
        <f>SUM(D226:D232)</f>
        <v>522547</v>
      </c>
      <c r="O232" s="16">
        <f t="shared" si="210"/>
        <v>43300.201793721972</v>
      </c>
      <c r="P232" s="41"/>
      <c r="Q232" s="17">
        <f t="shared" si="159"/>
        <v>522547</v>
      </c>
      <c r="R232" s="16"/>
      <c r="S232" s="60">
        <f t="shared" si="160"/>
        <v>0.24400846563869624</v>
      </c>
      <c r="T232" s="16"/>
      <c r="U232" s="41"/>
      <c r="V232" s="10">
        <f t="shared" si="109"/>
        <v>124</v>
      </c>
      <c r="W232" s="34">
        <v>1030</v>
      </c>
      <c r="X232" s="33"/>
      <c r="Y232" s="33"/>
      <c r="Z232" s="33"/>
      <c r="AA232" s="33">
        <f t="shared" si="211"/>
        <v>235736</v>
      </c>
      <c r="AB232" s="33"/>
      <c r="AC232" s="46">
        <f t="shared" si="212"/>
        <v>2.441356076489665E-2</v>
      </c>
      <c r="AD232" s="33"/>
      <c r="AE232" s="33">
        <f t="shared" si="213"/>
        <v>1057.1121076233185</v>
      </c>
      <c r="AF232" s="50"/>
      <c r="AG232" s="33">
        <f t="shared" si="214"/>
        <v>5700</v>
      </c>
      <c r="AH232" s="33">
        <f>SUM(D203:D884)</f>
        <v>1220130690.060914</v>
      </c>
      <c r="AI232" s="213">
        <f t="shared" si="215"/>
        <v>3.5046304703105137E-2</v>
      </c>
      <c r="AJ232" s="50"/>
      <c r="AK232" s="10"/>
      <c r="AL232" s="23">
        <f t="shared" si="216"/>
        <v>55248</v>
      </c>
      <c r="AM232" s="24"/>
      <c r="AN232" s="24"/>
      <c r="AO232" s="24">
        <v>178263</v>
      </c>
      <c r="AP232" s="24">
        <v>5933212</v>
      </c>
      <c r="AQ232" s="24"/>
      <c r="AR232" s="461">
        <f t="shared" si="217"/>
        <v>9.3991729108922756E-3</v>
      </c>
      <c r="AS232" s="25"/>
      <c r="AT232" s="25"/>
      <c r="AU232" s="24"/>
      <c r="AV232" s="298">
        <f t="shared" si="218"/>
        <v>0.61446207491861227</v>
      </c>
      <c r="AW232" s="298"/>
      <c r="AX232" s="24">
        <f t="shared" si="219"/>
        <v>26606.331838565024</v>
      </c>
      <c r="AY232" s="308"/>
      <c r="AZ232" s="10"/>
      <c r="BA232" s="65">
        <f t="shared" si="220"/>
        <v>4769881</v>
      </c>
      <c r="BB232" s="66"/>
      <c r="BC232" s="66">
        <v>140194814</v>
      </c>
      <c r="BD232" s="66"/>
      <c r="BE232" s="66">
        <f t="shared" si="221"/>
        <v>81581</v>
      </c>
      <c r="BF232" s="66"/>
      <c r="BG232" s="144">
        <f t="shared" si="222"/>
        <v>1.710336169812203E-2</v>
      </c>
      <c r="BH232" s="66"/>
      <c r="BI232" s="170"/>
      <c r="BJ232" s="66"/>
      <c r="BK232" s="66">
        <f t="shared" si="223"/>
        <v>11544657</v>
      </c>
      <c r="BL232" s="66"/>
      <c r="BM232" s="144">
        <f t="shared" si="224"/>
        <v>4.5263103096090253E-2</v>
      </c>
      <c r="BN232" s="65">
        <f t="shared" si="225"/>
        <v>628676.29596412554</v>
      </c>
      <c r="BO232" s="66"/>
      <c r="BP232" s="66">
        <f t="shared" si="226"/>
        <v>8748967</v>
      </c>
      <c r="BQ232" s="66"/>
      <c r="BR232" s="435">
        <f t="shared" si="227"/>
        <v>6.2405781999896229E-2</v>
      </c>
      <c r="BS232" s="66"/>
      <c r="BT232" s="75"/>
      <c r="BU232" s="170"/>
      <c r="BV232" s="1"/>
      <c r="BW232" s="61">
        <f t="shared" si="186"/>
        <v>223</v>
      </c>
    </row>
    <row r="233" spans="2:75" x14ac:dyDescent="0.3">
      <c r="B233" s="158">
        <f t="shared" si="161"/>
        <v>44133</v>
      </c>
      <c r="C233" s="61"/>
      <c r="D233" s="17">
        <v>91530</v>
      </c>
      <c r="E233" s="16"/>
      <c r="F233" s="16"/>
      <c r="G233" s="16"/>
      <c r="H233" s="16">
        <f t="shared" si="208"/>
        <v>9747475</v>
      </c>
      <c r="I233" s="16"/>
      <c r="J233" s="436">
        <f t="shared" si="209"/>
        <v>9.4791343571240302E-3</v>
      </c>
      <c r="K233" s="16"/>
      <c r="L233" s="16"/>
      <c r="M233" s="16"/>
      <c r="N233" s="16">
        <f>SUM(D227:D233)</f>
        <v>539776</v>
      </c>
      <c r="O233" s="16">
        <f t="shared" si="210"/>
        <v>43515.513392857145</v>
      </c>
      <c r="P233" s="41"/>
      <c r="Q233" s="17">
        <f t="shared" si="159"/>
        <v>539776</v>
      </c>
      <c r="R233" s="16"/>
      <c r="S233" s="60">
        <f t="shared" si="160"/>
        <v>0.2605021215581601</v>
      </c>
      <c r="T233" s="16"/>
      <c r="U233" s="41"/>
      <c r="V233" s="10">
        <f t="shared" si="109"/>
        <v>125</v>
      </c>
      <c r="W233" s="34">
        <v>1047</v>
      </c>
      <c r="X233" s="33"/>
      <c r="Y233" s="33"/>
      <c r="Z233" s="33"/>
      <c r="AA233" s="33">
        <f t="shared" si="211"/>
        <v>236783</v>
      </c>
      <c r="AB233" s="33"/>
      <c r="AC233" s="46">
        <f t="shared" si="212"/>
        <v>2.429172683182055E-2</v>
      </c>
      <c r="AD233" s="33"/>
      <c r="AE233" s="33">
        <f t="shared" si="213"/>
        <v>1057.0669642857142</v>
      </c>
      <c r="AF233" s="50"/>
      <c r="AG233" s="33">
        <f t="shared" si="214"/>
        <v>5774</v>
      </c>
      <c r="AH233" s="33">
        <f>SUM(D204:D885)</f>
        <v>1220086463.060914</v>
      </c>
      <c r="AI233" s="213">
        <f t="shared" si="215"/>
        <v>2.9967891544773455E-2</v>
      </c>
      <c r="AJ233" s="50"/>
      <c r="AK233" s="10"/>
      <c r="AL233" s="23">
        <f t="shared" si="216"/>
        <v>50133</v>
      </c>
      <c r="AM233" s="24"/>
      <c r="AN233" s="24"/>
      <c r="AO233" s="24">
        <v>178263</v>
      </c>
      <c r="AP233" s="24">
        <v>5983345</v>
      </c>
      <c r="AQ233" s="24"/>
      <c r="AR233" s="461">
        <f t="shared" si="217"/>
        <v>8.449554811120856E-3</v>
      </c>
      <c r="AS233" s="25"/>
      <c r="AT233" s="25"/>
      <c r="AU233" s="24"/>
      <c r="AV233" s="298">
        <f t="shared" si="218"/>
        <v>0.61383537787991249</v>
      </c>
      <c r="AW233" s="298"/>
      <c r="AX233" s="24">
        <f t="shared" si="219"/>
        <v>26711.361607142859</v>
      </c>
      <c r="AY233" s="308"/>
      <c r="AZ233" s="10"/>
      <c r="BA233" s="65">
        <f t="shared" si="220"/>
        <v>1474514</v>
      </c>
      <c r="BB233" s="66"/>
      <c r="BC233" s="66">
        <v>141669328</v>
      </c>
      <c r="BD233" s="66"/>
      <c r="BE233" s="66">
        <f t="shared" si="221"/>
        <v>91530</v>
      </c>
      <c r="BF233" s="66"/>
      <c r="BG233" s="144">
        <f t="shared" si="222"/>
        <v>6.2074690372556654E-2</v>
      </c>
      <c r="BH233" s="66"/>
      <c r="BI233" s="170"/>
      <c r="BJ233" s="66"/>
      <c r="BK233" s="66">
        <f t="shared" si="223"/>
        <v>11864760</v>
      </c>
      <c r="BL233" s="66"/>
      <c r="BM233" s="144">
        <f t="shared" si="224"/>
        <v>4.5494051291387269E-2</v>
      </c>
      <c r="BN233" s="65">
        <f t="shared" si="225"/>
        <v>632452.35714285716</v>
      </c>
      <c r="BO233" s="66"/>
      <c r="BP233" s="66">
        <f t="shared" si="226"/>
        <v>8840497</v>
      </c>
      <c r="BQ233" s="66"/>
      <c r="BR233" s="435">
        <f t="shared" si="227"/>
        <v>6.2402335952352367E-2</v>
      </c>
      <c r="BS233" s="66"/>
      <c r="BT233" s="75"/>
      <c r="BU233" s="170"/>
      <c r="BV233" s="1"/>
      <c r="BW233" s="61">
        <f t="shared" si="186"/>
        <v>224</v>
      </c>
    </row>
    <row r="234" spans="2:75" x14ac:dyDescent="0.3">
      <c r="B234" s="158">
        <f t="shared" si="161"/>
        <v>44134</v>
      </c>
      <c r="C234" s="61"/>
      <c r="D234" s="17">
        <v>101461</v>
      </c>
      <c r="E234" s="16"/>
      <c r="F234" s="16"/>
      <c r="G234" s="16"/>
      <c r="H234" s="16">
        <f t="shared" si="208"/>
        <v>9848936</v>
      </c>
      <c r="I234" s="16"/>
      <c r="J234" s="436">
        <f t="shared" si="209"/>
        <v>1.0408952061944247E-2</v>
      </c>
      <c r="K234" s="16"/>
      <c r="L234" s="16"/>
      <c r="M234" s="16"/>
      <c r="N234" s="16">
        <f>SUM(D228:D234)</f>
        <v>559823</v>
      </c>
      <c r="O234" s="16">
        <f t="shared" si="210"/>
        <v>43773.048888888887</v>
      </c>
      <c r="P234" s="41"/>
      <c r="Q234" s="17">
        <f t="shared" si="159"/>
        <v>559823</v>
      </c>
      <c r="R234" s="16"/>
      <c r="S234" s="60">
        <f t="shared" si="160"/>
        <v>0.27828062564219658</v>
      </c>
      <c r="T234" s="16"/>
      <c r="U234" s="41"/>
      <c r="V234" s="10">
        <f t="shared" si="109"/>
        <v>126</v>
      </c>
      <c r="W234" s="34">
        <v>988</v>
      </c>
      <c r="X234" s="33"/>
      <c r="Y234" s="33"/>
      <c r="Z234" s="33"/>
      <c r="AA234" s="33">
        <f t="shared" si="211"/>
        <v>237771</v>
      </c>
      <c r="AB234" s="33"/>
      <c r="AC234" s="46">
        <f t="shared" si="212"/>
        <v>2.4141795621374737E-2</v>
      </c>
      <c r="AD234" s="33"/>
      <c r="AE234" s="33">
        <f t="shared" si="213"/>
        <v>1056.76</v>
      </c>
      <c r="AF234" s="50"/>
      <c r="AG234" s="33">
        <f t="shared" si="214"/>
        <v>5859</v>
      </c>
      <c r="AH234" s="33">
        <f>SUM(D205:D886)</f>
        <v>1220045534.060914</v>
      </c>
      <c r="AI234" s="213">
        <f t="shared" si="215"/>
        <v>4.9811861673535206E-2</v>
      </c>
      <c r="AJ234" s="50"/>
      <c r="AK234" s="10"/>
      <c r="AL234" s="23">
        <f t="shared" si="216"/>
        <v>41167</v>
      </c>
      <c r="AM234" s="24"/>
      <c r="AN234" s="24"/>
      <c r="AO234" s="24">
        <v>178263</v>
      </c>
      <c r="AP234" s="24">
        <v>6024512</v>
      </c>
      <c r="AQ234" s="24"/>
      <c r="AR234" s="461">
        <f t="shared" si="217"/>
        <v>6.8802651359732726E-3</v>
      </c>
      <c r="AS234" s="25"/>
      <c r="AT234" s="25"/>
      <c r="AU234" s="24"/>
      <c r="AV234" s="298">
        <f t="shared" si="218"/>
        <v>0.61169165887563892</v>
      </c>
      <c r="AW234" s="298"/>
      <c r="AX234" s="24">
        <f t="shared" si="219"/>
        <v>26775.608888888888</v>
      </c>
      <c r="AY234" s="308"/>
      <c r="AZ234" s="10"/>
      <c r="BA234" s="65">
        <f t="shared" si="220"/>
        <v>1281025</v>
      </c>
      <c r="BB234" s="66"/>
      <c r="BC234" s="66">
        <v>142950353</v>
      </c>
      <c r="BD234" s="66"/>
      <c r="BE234" s="66">
        <f t="shared" si="221"/>
        <v>101461</v>
      </c>
      <c r="BF234" s="66"/>
      <c r="BG234" s="144">
        <f t="shared" si="222"/>
        <v>7.9202981987080659E-2</v>
      </c>
      <c r="BH234" s="66"/>
      <c r="BI234" s="170"/>
      <c r="BJ234" s="66"/>
      <c r="BK234" s="66">
        <f t="shared" si="223"/>
        <v>11893640</v>
      </c>
      <c r="BL234" s="66"/>
      <c r="BM234" s="144">
        <f t="shared" si="224"/>
        <v>4.7069105841441305E-2</v>
      </c>
      <c r="BN234" s="65">
        <f t="shared" si="225"/>
        <v>635334.90222222218</v>
      </c>
      <c r="BO234" s="66"/>
      <c r="BP234" s="66">
        <f t="shared" si="226"/>
        <v>8941958</v>
      </c>
      <c r="BQ234" s="66"/>
      <c r="BR234" s="435">
        <f t="shared" si="227"/>
        <v>6.2552892051969955E-2</v>
      </c>
      <c r="BS234" s="66"/>
      <c r="BT234" s="75"/>
      <c r="BU234" s="170"/>
      <c r="BV234" s="1"/>
      <c r="BW234" s="61">
        <f t="shared" si="186"/>
        <v>225</v>
      </c>
    </row>
    <row r="235" spans="2:75" x14ac:dyDescent="0.3">
      <c r="B235" s="158">
        <f t="shared" si="161"/>
        <v>44135</v>
      </c>
      <c r="C235" s="61"/>
      <c r="D235" s="17">
        <v>86293</v>
      </c>
      <c r="E235" s="16"/>
      <c r="F235" s="16"/>
      <c r="G235" s="16"/>
      <c r="H235" s="16">
        <f t="shared" si="208"/>
        <v>9935229</v>
      </c>
      <c r="I235" s="16"/>
      <c r="J235" s="436">
        <f t="shared" si="209"/>
        <v>8.7616570967665956E-3</v>
      </c>
      <c r="K235" s="16"/>
      <c r="L235" s="16"/>
      <c r="M235" s="16"/>
      <c r="N235" s="16">
        <f>SUM(D205:D235)</f>
        <v>1906897</v>
      </c>
      <c r="O235" s="16">
        <f t="shared" si="210"/>
        <v>43961.190265486723</v>
      </c>
      <c r="P235" s="41"/>
      <c r="Q235" s="17">
        <f t="shared" si="159"/>
        <v>566667</v>
      </c>
      <c r="R235" s="16"/>
      <c r="S235" s="60">
        <f t="shared" si="160"/>
        <v>0.22346151604065057</v>
      </c>
      <c r="T235" s="16"/>
      <c r="U235" s="41"/>
      <c r="V235" s="10">
        <f t="shared" si="109"/>
        <v>127</v>
      </c>
      <c r="W235" s="34">
        <v>914</v>
      </c>
      <c r="X235" s="33"/>
      <c r="Y235" s="33"/>
      <c r="Z235" s="33"/>
      <c r="AA235" s="33">
        <f t="shared" si="211"/>
        <v>238685</v>
      </c>
      <c r="AB235" s="33"/>
      <c r="AC235" s="46">
        <f t="shared" si="212"/>
        <v>2.4024106540473298E-2</v>
      </c>
      <c r="AD235" s="33"/>
      <c r="AE235" s="33">
        <f t="shared" si="213"/>
        <v>1056.1283185840707</v>
      </c>
      <c r="AF235" s="50"/>
      <c r="AG235" s="33">
        <f t="shared" si="214"/>
        <v>5989</v>
      </c>
      <c r="AH235" s="33">
        <f>SUM(D206:D887)</f>
        <v>1219998145.060914</v>
      </c>
      <c r="AI235" s="213">
        <f t="shared" si="215"/>
        <v>4.5748210232233279E-2</v>
      </c>
      <c r="AJ235" s="50"/>
      <c r="AK235" s="10"/>
      <c r="AL235" s="23">
        <f t="shared" si="216"/>
        <v>37926</v>
      </c>
      <c r="AM235" s="24"/>
      <c r="AN235" s="24"/>
      <c r="AO235" s="24">
        <v>178263</v>
      </c>
      <c r="AP235" s="24">
        <v>6062438</v>
      </c>
      <c r="AQ235" s="24"/>
      <c r="AR235" s="461">
        <f t="shared" si="217"/>
        <v>6.2952816759266148E-3</v>
      </c>
      <c r="AS235" s="25"/>
      <c r="AT235" s="25"/>
      <c r="AU235" s="24"/>
      <c r="AV235" s="298">
        <f t="shared" si="218"/>
        <v>0.61019610116686795</v>
      </c>
      <c r="AW235" s="298"/>
      <c r="AX235" s="24">
        <f t="shared" si="219"/>
        <v>26824.946902654869</v>
      </c>
      <c r="AY235" s="308"/>
      <c r="AZ235" s="10"/>
      <c r="BA235" s="65">
        <f t="shared" si="220"/>
        <v>1235921</v>
      </c>
      <c r="BB235" s="66"/>
      <c r="BC235" s="66">
        <v>144186274</v>
      </c>
      <c r="BD235" s="66"/>
      <c r="BE235" s="66">
        <f t="shared" si="221"/>
        <v>86293</v>
      </c>
      <c r="BF235" s="66"/>
      <c r="BG235" s="144">
        <f t="shared" si="222"/>
        <v>6.9820805698746116E-2</v>
      </c>
      <c r="BH235" s="66"/>
      <c r="BI235" s="170"/>
      <c r="BJ235" s="66"/>
      <c r="BK235" s="66">
        <f t="shared" si="223"/>
        <v>11977781</v>
      </c>
      <c r="BL235" s="66"/>
      <c r="BM235" s="144">
        <f t="shared" si="224"/>
        <v>4.7309848126293179E-2</v>
      </c>
      <c r="BN235" s="65">
        <f t="shared" si="225"/>
        <v>637992.36283185845</v>
      </c>
      <c r="BO235" s="66"/>
      <c r="BP235" s="66">
        <f t="shared" si="226"/>
        <v>9028251</v>
      </c>
      <c r="BQ235" s="66"/>
      <c r="BR235" s="435">
        <f t="shared" si="227"/>
        <v>6.2615190402936685E-2</v>
      </c>
      <c r="BS235" s="66"/>
      <c r="BT235" s="75"/>
      <c r="BU235" s="170"/>
      <c r="BV235" s="1"/>
      <c r="BW235" s="61">
        <f t="shared" si="186"/>
        <v>226</v>
      </c>
    </row>
    <row r="236" spans="2:75" x14ac:dyDescent="0.3">
      <c r="B236" s="347">
        <f t="shared" si="161"/>
        <v>44136</v>
      </c>
      <c r="C236" s="61"/>
      <c r="D236" s="17">
        <v>71321</v>
      </c>
      <c r="E236" s="16"/>
      <c r="F236" s="16"/>
      <c r="G236" s="16"/>
      <c r="H236" s="16">
        <f t="shared" si="208"/>
        <v>10006550</v>
      </c>
      <c r="I236" s="16"/>
      <c r="J236" s="436">
        <f t="shared" si="209"/>
        <v>7.178596487307942E-3</v>
      </c>
      <c r="K236" s="16"/>
      <c r="L236" s="16"/>
      <c r="M236" s="16"/>
      <c r="N236" s="16">
        <f t="shared" ref="N236:N267" si="228">SUM(D230:D236)</f>
        <v>577099</v>
      </c>
      <c r="O236" s="16">
        <f t="shared" si="210"/>
        <v>44081.718061674008</v>
      </c>
      <c r="P236" s="41"/>
      <c r="Q236" s="17">
        <f t="shared" si="159"/>
        <v>577099</v>
      </c>
      <c r="R236" s="16"/>
      <c r="S236" s="60">
        <f t="shared" si="160"/>
        <v>0.20451039938219426</v>
      </c>
      <c r="T236" s="16"/>
      <c r="U236" s="41"/>
      <c r="V236" s="10">
        <f t="shared" si="109"/>
        <v>128</v>
      </c>
      <c r="W236" s="34">
        <v>399</v>
      </c>
      <c r="X236" s="33"/>
      <c r="Y236" s="33"/>
      <c r="Z236" s="33"/>
      <c r="AA236" s="33">
        <f t="shared" si="211"/>
        <v>239084</v>
      </c>
      <c r="AB236" s="33"/>
      <c r="AC236" s="46">
        <f t="shared" si="212"/>
        <v>2.3892750248587176E-2</v>
      </c>
      <c r="AD236" s="33"/>
      <c r="AE236" s="33">
        <f t="shared" si="213"/>
        <v>1053.2334801762115</v>
      </c>
      <c r="AF236" s="50"/>
      <c r="AG236" s="33">
        <f t="shared" si="214"/>
        <v>5946</v>
      </c>
      <c r="AH236" s="33">
        <f>SUM(D207:D888)</f>
        <v>1219946742.060914</v>
      </c>
      <c r="AI236" s="213">
        <f t="shared" si="215"/>
        <v>3.9328788673308863E-2</v>
      </c>
      <c r="AJ236" s="50"/>
      <c r="AK236" s="348"/>
      <c r="AL236" s="23">
        <f t="shared" si="216"/>
        <v>41167</v>
      </c>
      <c r="AM236" s="24"/>
      <c r="AN236" s="24"/>
      <c r="AO236" s="24">
        <v>178263</v>
      </c>
      <c r="AP236" s="24">
        <v>6103605</v>
      </c>
      <c r="AQ236" s="24"/>
      <c r="AR236" s="461">
        <f t="shared" si="217"/>
        <v>6.7905024348290238E-3</v>
      </c>
      <c r="AS236" s="25"/>
      <c r="AT236" s="25"/>
      <c r="AU236" s="24"/>
      <c r="AV236" s="298">
        <f t="shared" si="218"/>
        <v>0.60996097556100759</v>
      </c>
      <c r="AW236" s="298"/>
      <c r="AX236" s="24">
        <f t="shared" si="219"/>
        <v>26888.127753303965</v>
      </c>
      <c r="AY236" s="308"/>
      <c r="AZ236" s="348"/>
      <c r="BA236" s="65">
        <f t="shared" si="220"/>
        <v>851151</v>
      </c>
      <c r="BB236" s="66"/>
      <c r="BC236" s="66">
        <v>145037425</v>
      </c>
      <c r="BD236" s="66"/>
      <c r="BE236" s="66">
        <f t="shared" si="221"/>
        <v>71321</v>
      </c>
      <c r="BF236" s="66"/>
      <c r="BG236" s="144">
        <f t="shared" si="222"/>
        <v>8.3793592441294196E-2</v>
      </c>
      <c r="BH236" s="66"/>
      <c r="BI236" s="170"/>
      <c r="BJ236" s="66"/>
      <c r="BK236" s="66">
        <f t="shared" si="223"/>
        <v>11808097</v>
      </c>
      <c r="BL236" s="66"/>
      <c r="BM236" s="144">
        <f t="shared" si="224"/>
        <v>4.8873158816361346E-2</v>
      </c>
      <c r="BN236" s="65">
        <f t="shared" si="225"/>
        <v>638931.38766519818</v>
      </c>
      <c r="BO236" s="66"/>
      <c r="BP236" s="66">
        <f t="shared" si="226"/>
        <v>9099572</v>
      </c>
      <c r="BQ236" s="66"/>
      <c r="BR236" s="435">
        <f t="shared" si="227"/>
        <v>6.2739475690498508E-2</v>
      </c>
      <c r="BS236" s="66"/>
      <c r="BT236" s="75"/>
      <c r="BU236" s="170"/>
      <c r="BV236" s="1"/>
      <c r="BW236" s="61">
        <f t="shared" si="186"/>
        <v>227</v>
      </c>
    </row>
    <row r="237" spans="2:75" x14ac:dyDescent="0.3">
      <c r="B237" s="158">
        <f t="shared" si="161"/>
        <v>44137</v>
      </c>
      <c r="C237" s="61"/>
      <c r="D237" s="17">
        <v>88905</v>
      </c>
      <c r="E237" s="16"/>
      <c r="F237" s="16"/>
      <c r="G237" s="16"/>
      <c r="H237" s="16">
        <f t="shared" si="208"/>
        <v>10095455</v>
      </c>
      <c r="I237" s="16"/>
      <c r="J237" s="436">
        <f t="shared" si="209"/>
        <v>8.8846805342500668E-3</v>
      </c>
      <c r="K237" s="16"/>
      <c r="L237" s="16"/>
      <c r="M237" s="16"/>
      <c r="N237" s="16">
        <f t="shared" si="228"/>
        <v>596163</v>
      </c>
      <c r="O237" s="16">
        <f t="shared" si="210"/>
        <v>44278.311403508771</v>
      </c>
      <c r="P237" s="41"/>
      <c r="Q237" s="17">
        <f t="shared" ref="Q237:Q268" si="229">SUM(D231:D237)</f>
        <v>596163</v>
      </c>
      <c r="R237" s="16"/>
      <c r="S237" s="60">
        <f t="shared" ref="S237:S268" si="230">+(Q237-Q230)/Q230</f>
        <v>0.21262781487666513</v>
      </c>
      <c r="T237" s="16"/>
      <c r="U237" s="41"/>
      <c r="V237" s="10">
        <f t="shared" si="109"/>
        <v>129</v>
      </c>
      <c r="W237" s="34">
        <v>522</v>
      </c>
      <c r="X237" s="33"/>
      <c r="Y237" s="33"/>
      <c r="Z237" s="33"/>
      <c r="AA237" s="33">
        <f t="shared" si="211"/>
        <v>239606</v>
      </c>
      <c r="AB237" s="33"/>
      <c r="AC237" s="46">
        <f t="shared" si="212"/>
        <v>2.3734046657629598E-2</v>
      </c>
      <c r="AD237" s="33"/>
      <c r="AE237" s="33">
        <f t="shared" si="213"/>
        <v>1050.9035087719299</v>
      </c>
      <c r="AF237" s="50"/>
      <c r="AG237" s="33">
        <f t="shared" si="214"/>
        <v>5939</v>
      </c>
      <c r="AH237" s="33">
        <f>SUM(D208:D889)</f>
        <v>1219897817.060914</v>
      </c>
      <c r="AI237" s="213">
        <f t="shared" si="215"/>
        <v>2.2555096418732781E-2</v>
      </c>
      <c r="AJ237" s="50"/>
      <c r="AK237" s="10"/>
      <c r="AL237" s="23">
        <f t="shared" si="216"/>
        <v>67797</v>
      </c>
      <c r="AM237" s="24"/>
      <c r="AN237" s="24"/>
      <c r="AO237" s="24">
        <v>178263</v>
      </c>
      <c r="AP237" s="24">
        <v>6171402</v>
      </c>
      <c r="AQ237" s="24"/>
      <c r="AR237" s="461">
        <f t="shared" si="217"/>
        <v>1.1107697827759168E-2</v>
      </c>
      <c r="AS237" s="25"/>
      <c r="AT237" s="25"/>
      <c r="AU237" s="24"/>
      <c r="AV237" s="298">
        <f t="shared" si="218"/>
        <v>0.61130498823480472</v>
      </c>
      <c r="AW237" s="298"/>
      <c r="AX237" s="24">
        <f t="shared" si="219"/>
        <v>27067.552631578947</v>
      </c>
      <c r="AY237" s="308"/>
      <c r="AZ237" s="10"/>
      <c r="BA237" s="65">
        <f t="shared" si="220"/>
        <v>4657343</v>
      </c>
      <c r="BB237" s="66"/>
      <c r="BC237" s="66">
        <v>149694768</v>
      </c>
      <c r="BD237" s="66"/>
      <c r="BE237" s="66">
        <f t="shared" si="221"/>
        <v>88905</v>
      </c>
      <c r="BF237" s="66"/>
      <c r="BG237" s="144">
        <f t="shared" si="222"/>
        <v>1.9089210307250293E-2</v>
      </c>
      <c r="BH237" s="66"/>
      <c r="BI237" s="170"/>
      <c r="BJ237" s="66"/>
      <c r="BK237" s="66">
        <f t="shared" si="223"/>
        <v>15218676</v>
      </c>
      <c r="BL237" s="66"/>
      <c r="BM237" s="144">
        <f t="shared" si="224"/>
        <v>3.9173118607689655E-2</v>
      </c>
      <c r="BN237" s="65">
        <f t="shared" si="225"/>
        <v>656556</v>
      </c>
      <c r="BO237" s="66"/>
      <c r="BP237" s="66">
        <f t="shared" si="226"/>
        <v>9188477</v>
      </c>
      <c r="BQ237" s="66"/>
      <c r="BR237" s="435">
        <f t="shared" si="227"/>
        <v>6.1381417151466507E-2</v>
      </c>
      <c r="BS237" s="66"/>
      <c r="BT237" s="75"/>
      <c r="BU237" s="170"/>
      <c r="BV237" s="1"/>
      <c r="BW237" s="61">
        <f t="shared" si="186"/>
        <v>228</v>
      </c>
    </row>
    <row r="238" spans="2:75" x14ac:dyDescent="0.3">
      <c r="B238" s="158">
        <f t="shared" si="161"/>
        <v>44138</v>
      </c>
      <c r="C238" s="61"/>
      <c r="D238" s="17">
        <v>94467</v>
      </c>
      <c r="E238" s="16"/>
      <c r="F238" s="16"/>
      <c r="G238" s="16"/>
      <c r="H238" s="16">
        <f t="shared" si="208"/>
        <v>10189922</v>
      </c>
      <c r="I238" s="16"/>
      <c r="J238" s="436">
        <f t="shared" si="209"/>
        <v>9.357379137443533E-3</v>
      </c>
      <c r="K238" s="16"/>
      <c r="L238" s="16"/>
      <c r="M238" s="16"/>
      <c r="N238" s="16">
        <f t="shared" si="228"/>
        <v>615558</v>
      </c>
      <c r="O238" s="16">
        <f t="shared" si="210"/>
        <v>44497.475982532749</v>
      </c>
      <c r="P238" s="41"/>
      <c r="Q238" s="17">
        <f t="shared" si="229"/>
        <v>615558</v>
      </c>
      <c r="R238" s="16"/>
      <c r="S238" s="60">
        <f t="shared" si="230"/>
        <v>0.21982287977900597</v>
      </c>
      <c r="T238" s="16"/>
      <c r="U238" s="41"/>
      <c r="V238" s="10">
        <f t="shared" si="109"/>
        <v>130</v>
      </c>
      <c r="W238" s="34">
        <v>1187</v>
      </c>
      <c r="X238" s="33"/>
      <c r="Y238" s="33"/>
      <c r="Z238" s="33"/>
      <c r="AA238" s="33">
        <f t="shared" si="211"/>
        <v>240793</v>
      </c>
      <c r="AB238" s="33"/>
      <c r="AC238" s="46">
        <f t="shared" si="212"/>
        <v>2.3630504728102925E-2</v>
      </c>
      <c r="AD238" s="33"/>
      <c r="AE238" s="33">
        <f t="shared" si="213"/>
        <v>1051.4978165938865</v>
      </c>
      <c r="AF238" s="50"/>
      <c r="AG238" s="33">
        <f t="shared" si="214"/>
        <v>6087</v>
      </c>
      <c r="AH238" s="33">
        <f>SUM(D209:D890)</f>
        <v>1219863751.060914</v>
      </c>
      <c r="AI238" s="213">
        <f t="shared" si="215"/>
        <v>3.2569974554707379E-2</v>
      </c>
      <c r="AJ238" s="50"/>
      <c r="AK238" s="10"/>
      <c r="AL238" s="23">
        <f t="shared" si="216"/>
        <v>64768</v>
      </c>
      <c r="AM238" s="24"/>
      <c r="AN238" s="24"/>
      <c r="AO238" s="24">
        <v>178263</v>
      </c>
      <c r="AP238" s="24">
        <v>6236170</v>
      </c>
      <c r="AQ238" s="24"/>
      <c r="AR238" s="461">
        <f t="shared" si="217"/>
        <v>1.0494860001017597E-2</v>
      </c>
      <c r="AS238" s="25"/>
      <c r="AT238" s="25"/>
      <c r="AU238" s="24"/>
      <c r="AV238" s="298">
        <f t="shared" si="218"/>
        <v>0.61199388964900814</v>
      </c>
      <c r="AW238" s="298"/>
      <c r="AX238" s="24">
        <f t="shared" si="219"/>
        <v>27232.183406113538</v>
      </c>
      <c r="AY238" s="308"/>
      <c r="AZ238" s="10"/>
      <c r="BA238" s="65">
        <f t="shared" si="220"/>
        <v>1154241</v>
      </c>
      <c r="BB238" s="66"/>
      <c r="BC238" s="66">
        <v>150849009</v>
      </c>
      <c r="BD238" s="66"/>
      <c r="BE238" s="66">
        <f t="shared" si="221"/>
        <v>94467</v>
      </c>
      <c r="BF238" s="66"/>
      <c r="BG238" s="144">
        <f t="shared" si="222"/>
        <v>8.1843393190850086E-2</v>
      </c>
      <c r="BH238" s="66"/>
      <c r="BI238" s="170"/>
      <c r="BJ238" s="66"/>
      <c r="BK238" s="66">
        <f t="shared" si="223"/>
        <v>15424076</v>
      </c>
      <c r="BL238" s="66"/>
      <c r="BM238" s="144">
        <f t="shared" si="224"/>
        <v>3.9908906050514795E-2</v>
      </c>
      <c r="BN238" s="65">
        <f t="shared" si="225"/>
        <v>658729.29694323149</v>
      </c>
      <c r="BO238" s="66"/>
      <c r="BP238" s="66">
        <f t="shared" si="226"/>
        <v>9282944</v>
      </c>
      <c r="BQ238" s="66"/>
      <c r="BR238" s="435">
        <f t="shared" si="227"/>
        <v>6.1537984647946874E-2</v>
      </c>
      <c r="BS238" s="66"/>
      <c r="BT238" s="75"/>
      <c r="BU238" s="170"/>
      <c r="BV238" s="1"/>
      <c r="BW238" s="61">
        <f t="shared" si="186"/>
        <v>229</v>
      </c>
    </row>
    <row r="239" spans="2:75" x14ac:dyDescent="0.3">
      <c r="B239" s="158">
        <f t="shared" si="161"/>
        <v>44139</v>
      </c>
      <c r="C239" s="61"/>
      <c r="D239" s="17">
        <v>108389</v>
      </c>
      <c r="E239" s="16"/>
      <c r="F239" s="16"/>
      <c r="G239" s="16"/>
      <c r="H239" s="16">
        <f t="shared" si="208"/>
        <v>10298311</v>
      </c>
      <c r="I239" s="16"/>
      <c r="J239" s="436">
        <f t="shared" si="209"/>
        <v>1.0636882205771546E-2</v>
      </c>
      <c r="K239" s="16"/>
      <c r="L239" s="16"/>
      <c r="M239" s="16"/>
      <c r="N239" s="16">
        <f t="shared" si="228"/>
        <v>642366</v>
      </c>
      <c r="O239" s="16">
        <f t="shared" si="210"/>
        <v>44775.265217391301</v>
      </c>
      <c r="P239" s="41"/>
      <c r="Q239" s="17">
        <f t="shared" si="229"/>
        <v>642366</v>
      </c>
      <c r="R239" s="16"/>
      <c r="S239" s="60">
        <f t="shared" si="230"/>
        <v>0.22929803443517999</v>
      </c>
      <c r="T239" s="16"/>
      <c r="U239" s="41"/>
      <c r="V239" s="10">
        <f t="shared" si="109"/>
        <v>131</v>
      </c>
      <c r="W239" s="34">
        <v>1201</v>
      </c>
      <c r="X239" s="33"/>
      <c r="Y239" s="33"/>
      <c r="Z239" s="33"/>
      <c r="AA239" s="33">
        <f t="shared" si="211"/>
        <v>241994</v>
      </c>
      <c r="AB239" s="33"/>
      <c r="AC239" s="46">
        <f t="shared" si="212"/>
        <v>2.3498416390804279E-2</v>
      </c>
      <c r="AD239" s="33"/>
      <c r="AE239" s="33">
        <f t="shared" si="213"/>
        <v>1052.1478260869565</v>
      </c>
      <c r="AF239" s="50"/>
      <c r="AG239" s="33">
        <f t="shared" si="214"/>
        <v>6258</v>
      </c>
      <c r="AH239" s="33">
        <f>SUM(D210:D891)</f>
        <v>1219826034.060914</v>
      </c>
      <c r="AI239" s="213">
        <f t="shared" si="215"/>
        <v>9.7894736842105257E-2</v>
      </c>
      <c r="AJ239" s="50"/>
      <c r="AK239" s="10"/>
      <c r="AL239" s="23">
        <f t="shared" si="216"/>
        <v>55849</v>
      </c>
      <c r="AM239" s="24"/>
      <c r="AN239" s="24"/>
      <c r="AO239" s="24">
        <v>178263</v>
      </c>
      <c r="AP239" s="24">
        <v>6292019</v>
      </c>
      <c r="AQ239" s="24"/>
      <c r="AR239" s="461">
        <f t="shared" si="217"/>
        <v>8.9556570779821595E-3</v>
      </c>
      <c r="AS239" s="25"/>
      <c r="AT239" s="25"/>
      <c r="AU239" s="24"/>
      <c r="AV239" s="298">
        <f t="shared" si="218"/>
        <v>0.61097581923870814</v>
      </c>
      <c r="AW239" s="298"/>
      <c r="AX239" s="24">
        <f t="shared" si="219"/>
        <v>27356.604347826087</v>
      </c>
      <c r="AY239" s="308"/>
      <c r="AZ239" s="10"/>
      <c r="BA239" s="65">
        <f t="shared" si="220"/>
        <v>1201405</v>
      </c>
      <c r="BB239" s="66"/>
      <c r="BC239" s="66">
        <v>152050414</v>
      </c>
      <c r="BD239" s="66"/>
      <c r="BE239" s="66">
        <f t="shared" si="221"/>
        <v>108389</v>
      </c>
      <c r="BF239" s="66"/>
      <c r="BG239" s="144">
        <f t="shared" si="222"/>
        <v>9.0218535797670224E-2</v>
      </c>
      <c r="BH239" s="66"/>
      <c r="BI239" s="170"/>
      <c r="BJ239" s="66"/>
      <c r="BK239" s="66">
        <f t="shared" si="223"/>
        <v>11855600</v>
      </c>
      <c r="BL239" s="66"/>
      <c r="BM239" s="144">
        <f t="shared" si="224"/>
        <v>5.4182496035628733E-2</v>
      </c>
      <c r="BN239" s="65">
        <f t="shared" si="225"/>
        <v>661088.75652173918</v>
      </c>
      <c r="BO239" s="66"/>
      <c r="BP239" s="66">
        <f t="shared" si="226"/>
        <v>9391333</v>
      </c>
      <c r="BQ239" s="66"/>
      <c r="BR239" s="435">
        <f t="shared" si="227"/>
        <v>6.176459999641961E-2</v>
      </c>
      <c r="BS239" s="66"/>
      <c r="BT239" s="75"/>
      <c r="BU239" s="170"/>
      <c r="BV239" s="1"/>
      <c r="BW239" s="61">
        <f t="shared" si="186"/>
        <v>230</v>
      </c>
    </row>
    <row r="240" spans="2:75" x14ac:dyDescent="0.3">
      <c r="B240" s="158">
        <f t="shared" si="161"/>
        <v>44140</v>
      </c>
      <c r="C240" s="61"/>
      <c r="D240" s="17">
        <v>118319</v>
      </c>
      <c r="E240" s="16"/>
      <c r="F240" s="16"/>
      <c r="G240" s="16"/>
      <c r="H240" s="16">
        <f t="shared" si="208"/>
        <v>10416630</v>
      </c>
      <c r="I240" s="16"/>
      <c r="J240" s="436">
        <f t="shared" si="209"/>
        <v>1.1489165553458231E-2</v>
      </c>
      <c r="K240" s="16"/>
      <c r="L240" s="16"/>
      <c r="M240" s="16"/>
      <c r="N240" s="16">
        <f t="shared" si="228"/>
        <v>669155</v>
      </c>
      <c r="O240" s="16">
        <f t="shared" si="210"/>
        <v>45093.63636363636</v>
      </c>
      <c r="P240" s="41"/>
      <c r="Q240" s="17">
        <f t="shared" si="229"/>
        <v>669155</v>
      </c>
      <c r="R240" s="16"/>
      <c r="S240" s="60">
        <f t="shared" si="230"/>
        <v>0.23969016777329855</v>
      </c>
      <c r="T240" s="16"/>
      <c r="U240" s="41"/>
      <c r="V240" s="10">
        <f t="shared" si="109"/>
        <v>132</v>
      </c>
      <c r="W240" s="34">
        <v>1127</v>
      </c>
      <c r="X240" s="33"/>
      <c r="Y240" s="33"/>
      <c r="Z240" s="33"/>
      <c r="AA240" s="33">
        <f t="shared" si="211"/>
        <v>243121</v>
      </c>
      <c r="AB240" s="33"/>
      <c r="AC240" s="46">
        <f t="shared" si="212"/>
        <v>2.3339698155737509E-2</v>
      </c>
      <c r="AD240" s="33"/>
      <c r="AE240" s="33">
        <f t="shared" si="213"/>
        <v>1052.4718614718615</v>
      </c>
      <c r="AF240" s="50"/>
      <c r="AG240" s="33">
        <f t="shared" si="214"/>
        <v>6338</v>
      </c>
      <c r="AH240" s="33">
        <f>SUM(D211:D892)</f>
        <v>1219781366.060914</v>
      </c>
      <c r="AI240" s="213">
        <f t="shared" si="215"/>
        <v>9.767925181849671E-2</v>
      </c>
      <c r="AJ240" s="50"/>
      <c r="AK240" s="10"/>
      <c r="AL240" s="23">
        <f t="shared" si="216"/>
        <v>48467</v>
      </c>
      <c r="AM240" s="24"/>
      <c r="AN240" s="24"/>
      <c r="AO240" s="24">
        <v>178263</v>
      </c>
      <c r="AP240" s="24">
        <v>6340486</v>
      </c>
      <c r="AQ240" s="24"/>
      <c r="AR240" s="461">
        <f t="shared" si="217"/>
        <v>7.7029328741696429E-3</v>
      </c>
      <c r="AS240" s="25"/>
      <c r="AT240" s="25"/>
      <c r="AU240" s="24"/>
      <c r="AV240" s="298">
        <f t="shared" si="218"/>
        <v>0.60868879858457103</v>
      </c>
      <c r="AW240" s="298"/>
      <c r="AX240" s="24">
        <f t="shared" si="219"/>
        <v>27447.991341991343</v>
      </c>
      <c r="AY240" s="308"/>
      <c r="AZ240" s="10"/>
      <c r="BA240" s="65">
        <f t="shared" si="220"/>
        <v>1544407</v>
      </c>
      <c r="BB240" s="66"/>
      <c r="BC240" s="66">
        <v>153594821</v>
      </c>
      <c r="BD240" s="66"/>
      <c r="BE240" s="66">
        <f t="shared" si="221"/>
        <v>118319</v>
      </c>
      <c r="BF240" s="66"/>
      <c r="BG240" s="144">
        <f t="shared" si="222"/>
        <v>7.6611281870646794E-2</v>
      </c>
      <c r="BH240" s="66"/>
      <c r="BI240" s="170"/>
      <c r="BJ240" s="66"/>
      <c r="BK240" s="66">
        <f t="shared" si="223"/>
        <v>11925493</v>
      </c>
      <c r="BL240" s="66"/>
      <c r="BM240" s="144">
        <f t="shared" si="224"/>
        <v>5.6111307096486492E-2</v>
      </c>
      <c r="BN240" s="65">
        <f t="shared" si="225"/>
        <v>664912.645021645</v>
      </c>
      <c r="BO240" s="66"/>
      <c r="BP240" s="66">
        <f t="shared" si="226"/>
        <v>9509652</v>
      </c>
      <c r="BQ240" s="66"/>
      <c r="BR240" s="435">
        <f t="shared" si="227"/>
        <v>6.1913884453174368E-2</v>
      </c>
      <c r="BS240" s="66"/>
      <c r="BT240" s="75"/>
      <c r="BU240" s="170"/>
      <c r="BV240" s="1"/>
      <c r="BW240" s="61">
        <f t="shared" si="186"/>
        <v>231</v>
      </c>
    </row>
    <row r="241" spans="2:75" x14ac:dyDescent="0.3">
      <c r="B241" s="158">
        <f t="shared" si="161"/>
        <v>44141</v>
      </c>
      <c r="C241" s="61"/>
      <c r="D241" s="17">
        <v>132541</v>
      </c>
      <c r="E241" s="16"/>
      <c r="F241" s="16"/>
      <c r="G241" s="16"/>
      <c r="H241" s="16">
        <f t="shared" si="208"/>
        <v>10549171</v>
      </c>
      <c r="I241" s="16"/>
      <c r="J241" s="436">
        <f t="shared" si="209"/>
        <v>1.2723980788412375E-2</v>
      </c>
      <c r="K241" s="16"/>
      <c r="L241" s="16"/>
      <c r="M241" s="16"/>
      <c r="N241" s="16">
        <f t="shared" si="228"/>
        <v>700235</v>
      </c>
      <c r="O241" s="16">
        <f t="shared" si="210"/>
        <v>45470.564655172413</v>
      </c>
      <c r="P241" s="41"/>
      <c r="Q241" s="17">
        <f t="shared" si="229"/>
        <v>700235</v>
      </c>
      <c r="R241" s="16"/>
      <c r="S241" s="60">
        <f t="shared" si="230"/>
        <v>0.25081498973782784</v>
      </c>
      <c r="T241" s="16"/>
      <c r="U241" s="41"/>
      <c r="V241" s="10">
        <f t="shared" si="109"/>
        <v>133</v>
      </c>
      <c r="W241" s="34">
        <v>1244</v>
      </c>
      <c r="X241" s="33"/>
      <c r="Y241" s="33"/>
      <c r="Z241" s="33"/>
      <c r="AA241" s="33">
        <f t="shared" si="211"/>
        <v>244365</v>
      </c>
      <c r="AB241" s="33"/>
      <c r="AC241" s="46">
        <f t="shared" si="212"/>
        <v>2.3164379456926048E-2</v>
      </c>
      <c r="AD241" s="33"/>
      <c r="AE241" s="33">
        <f t="shared" si="213"/>
        <v>1053.2974137931035</v>
      </c>
      <c r="AF241" s="50"/>
      <c r="AG241" s="33">
        <f t="shared" si="214"/>
        <v>6594</v>
      </c>
      <c r="AH241" s="33">
        <f>SUM(D212:D893)</f>
        <v>1219732008.060914</v>
      </c>
      <c r="AI241" s="213">
        <f t="shared" si="215"/>
        <v>0.12544802867383512</v>
      </c>
      <c r="AJ241" s="50"/>
      <c r="AK241" s="10"/>
      <c r="AL241" s="23">
        <f t="shared" si="216"/>
        <v>50722</v>
      </c>
      <c r="AM241" s="24"/>
      <c r="AN241" s="24"/>
      <c r="AO241" s="24">
        <v>178263</v>
      </c>
      <c r="AP241" s="24">
        <v>6391208</v>
      </c>
      <c r="AQ241" s="24"/>
      <c r="AR241" s="461">
        <f t="shared" si="217"/>
        <v>7.999702231027717E-3</v>
      </c>
      <c r="AS241" s="25"/>
      <c r="AT241" s="25"/>
      <c r="AU241" s="24"/>
      <c r="AV241" s="298">
        <f t="shared" si="218"/>
        <v>0.60584931270902709</v>
      </c>
      <c r="AW241" s="298"/>
      <c r="AX241" s="24">
        <f t="shared" si="219"/>
        <v>27548.310344827587</v>
      </c>
      <c r="AY241" s="308"/>
      <c r="AZ241" s="10"/>
      <c r="BA241" s="65">
        <f t="shared" si="220"/>
        <v>1425131</v>
      </c>
      <c r="BB241" s="66"/>
      <c r="BC241" s="66">
        <v>155019952</v>
      </c>
      <c r="BD241" s="66"/>
      <c r="BE241" s="66">
        <f t="shared" si="221"/>
        <v>132541</v>
      </c>
      <c r="BF241" s="66"/>
      <c r="BG241" s="144">
        <f t="shared" si="222"/>
        <v>9.3002678350270956E-2</v>
      </c>
      <c r="BH241" s="66"/>
      <c r="BI241" s="170"/>
      <c r="BJ241" s="66"/>
      <c r="BK241" s="66">
        <f t="shared" si="223"/>
        <v>12069599</v>
      </c>
      <c r="BL241" s="66"/>
      <c r="BM241" s="144">
        <f t="shared" si="224"/>
        <v>5.8016426229239262E-2</v>
      </c>
      <c r="BN241" s="65">
        <f t="shared" si="225"/>
        <v>668189.44827586203</v>
      </c>
      <c r="BO241" s="66"/>
      <c r="BP241" s="66">
        <f t="shared" si="226"/>
        <v>9642193</v>
      </c>
      <c r="BQ241" s="66"/>
      <c r="BR241" s="435">
        <f t="shared" si="227"/>
        <v>6.219969026954672E-2</v>
      </c>
      <c r="BS241" s="66"/>
      <c r="BT241" s="75"/>
      <c r="BU241" s="170"/>
      <c r="BV241" s="1"/>
      <c r="BW241" s="61">
        <f t="shared" si="186"/>
        <v>232</v>
      </c>
    </row>
    <row r="242" spans="2:75" x14ac:dyDescent="0.3">
      <c r="B242" s="158">
        <f t="shared" si="161"/>
        <v>44142</v>
      </c>
      <c r="C242" s="61"/>
      <c r="D242" s="17">
        <v>124390</v>
      </c>
      <c r="E242" s="16"/>
      <c r="F242" s="16"/>
      <c r="G242" s="16"/>
      <c r="H242" s="16">
        <f t="shared" si="208"/>
        <v>10673561</v>
      </c>
      <c r="I242" s="16"/>
      <c r="J242" s="436">
        <f t="shared" si="209"/>
        <v>1.1791447877752669E-2</v>
      </c>
      <c r="K242" s="16"/>
      <c r="L242" s="16"/>
      <c r="M242" s="16"/>
      <c r="N242" s="16">
        <f t="shared" si="228"/>
        <v>738332</v>
      </c>
      <c r="O242" s="16">
        <f t="shared" si="210"/>
        <v>45809.274678111586</v>
      </c>
      <c r="P242" s="41"/>
      <c r="Q242" s="17">
        <f t="shared" si="229"/>
        <v>738332</v>
      </c>
      <c r="R242" s="16"/>
      <c r="S242" s="60">
        <f t="shared" si="230"/>
        <v>0.3029380570952605</v>
      </c>
      <c r="T242" s="16"/>
      <c r="U242" s="41"/>
      <c r="V242" s="10">
        <f t="shared" si="109"/>
        <v>134</v>
      </c>
      <c r="W242" s="34">
        <v>1031</v>
      </c>
      <c r="X242" s="33"/>
      <c r="Y242" s="33"/>
      <c r="Z242" s="33"/>
      <c r="AA242" s="33">
        <f t="shared" si="211"/>
        <v>245396</v>
      </c>
      <c r="AB242" s="33"/>
      <c r="AC242" s="46">
        <f t="shared" si="212"/>
        <v>2.2991014901212446E-2</v>
      </c>
      <c r="AD242" s="33"/>
      <c r="AE242" s="33">
        <f t="shared" si="213"/>
        <v>1053.2017167381973</v>
      </c>
      <c r="AF242" s="50"/>
      <c r="AG242" s="33">
        <f t="shared" si="214"/>
        <v>6711</v>
      </c>
      <c r="AH242" s="33">
        <f>SUM(D213:D894)</f>
        <v>1219674690.060914</v>
      </c>
      <c r="AI242" s="213">
        <f t="shared" si="215"/>
        <v>0.12055434964100852</v>
      </c>
      <c r="AJ242" s="50"/>
      <c r="AK242" s="10"/>
      <c r="AL242" s="23">
        <f t="shared" si="216"/>
        <v>50540</v>
      </c>
      <c r="AM242" s="24"/>
      <c r="AN242" s="24"/>
      <c r="AO242" s="24">
        <v>178263</v>
      </c>
      <c r="AP242" s="24">
        <v>6441748</v>
      </c>
      <c r="AQ242" s="24"/>
      <c r="AR242" s="461">
        <f t="shared" si="217"/>
        <v>7.9077382554283947E-3</v>
      </c>
      <c r="AS242" s="25"/>
      <c r="AT242" s="25"/>
      <c r="AU242" s="24"/>
      <c r="AV242" s="298">
        <f t="shared" si="218"/>
        <v>0.6035237911696012</v>
      </c>
      <c r="AW242" s="298"/>
      <c r="AX242" s="24">
        <f t="shared" si="219"/>
        <v>27646.987124463518</v>
      </c>
      <c r="AY242" s="308"/>
      <c r="AZ242" s="10"/>
      <c r="BA242" s="65">
        <f t="shared" si="220"/>
        <v>1534974</v>
      </c>
      <c r="BB242" s="66"/>
      <c r="BC242" s="66">
        <v>156554926</v>
      </c>
      <c r="BD242" s="66"/>
      <c r="BE242" s="66">
        <f t="shared" si="221"/>
        <v>124390</v>
      </c>
      <c r="BF242" s="66"/>
      <c r="BG242" s="144">
        <f t="shared" si="222"/>
        <v>8.1037203236015723E-2</v>
      </c>
      <c r="BH242" s="66"/>
      <c r="BI242" s="170"/>
      <c r="BJ242" s="66"/>
      <c r="BK242" s="66">
        <f t="shared" si="223"/>
        <v>12368652</v>
      </c>
      <c r="BL242" s="66"/>
      <c r="BM242" s="144">
        <f t="shared" si="224"/>
        <v>5.9693813036376157E-2</v>
      </c>
      <c r="BN242" s="65">
        <f t="shared" si="225"/>
        <v>671909.55364806869</v>
      </c>
      <c r="BO242" s="66"/>
      <c r="BP242" s="66">
        <f t="shared" si="226"/>
        <v>9766583</v>
      </c>
      <c r="BQ242" s="66"/>
      <c r="BR242" s="435">
        <f t="shared" si="227"/>
        <v>6.2384386422947816E-2</v>
      </c>
      <c r="BS242" s="66"/>
      <c r="BT242" s="75"/>
      <c r="BU242" s="170"/>
      <c r="BV242" s="1"/>
      <c r="BW242" s="61">
        <f t="shared" si="186"/>
        <v>233</v>
      </c>
    </row>
    <row r="243" spans="2:75" x14ac:dyDescent="0.3">
      <c r="B243" s="347">
        <f t="shared" si="161"/>
        <v>44143</v>
      </c>
      <c r="C243" s="61"/>
      <c r="D243" s="17">
        <v>102726</v>
      </c>
      <c r="E243" s="16"/>
      <c r="F243" s="16"/>
      <c r="G243" s="16"/>
      <c r="H243" s="16">
        <f t="shared" si="208"/>
        <v>10776287</v>
      </c>
      <c r="I243" s="16"/>
      <c r="J243" s="436">
        <f t="shared" si="209"/>
        <v>9.6243418667865399E-3</v>
      </c>
      <c r="K243" s="16"/>
      <c r="L243" s="16"/>
      <c r="M243" s="16"/>
      <c r="N243" s="16">
        <f t="shared" si="228"/>
        <v>769737</v>
      </c>
      <c r="O243" s="16">
        <f t="shared" si="210"/>
        <v>46052.508547008547</v>
      </c>
      <c r="P243" s="41"/>
      <c r="Q243" s="17">
        <f t="shared" si="229"/>
        <v>769737</v>
      </c>
      <c r="R243" s="16"/>
      <c r="S243" s="60">
        <f t="shared" si="230"/>
        <v>0.33380407867627565</v>
      </c>
      <c r="T243" s="16"/>
      <c r="U243" s="41"/>
      <c r="V243" s="10">
        <f t="shared" si="109"/>
        <v>135</v>
      </c>
      <c r="W243" s="34">
        <v>512</v>
      </c>
      <c r="X243" s="33"/>
      <c r="Y243" s="33"/>
      <c r="Z243" s="33"/>
      <c r="AA243" s="33">
        <f t="shared" si="211"/>
        <v>245908</v>
      </c>
      <c r="AB243" s="33"/>
      <c r="AC243" s="46">
        <f t="shared" si="212"/>
        <v>2.2819362550384935E-2</v>
      </c>
      <c r="AD243" s="33"/>
      <c r="AE243" s="33">
        <f t="shared" si="213"/>
        <v>1050.8888888888889</v>
      </c>
      <c r="AF243" s="50"/>
      <c r="AG243" s="33">
        <f t="shared" si="214"/>
        <v>6824</v>
      </c>
      <c r="AH243" s="33">
        <f>SUM(D214:D895)</f>
        <v>1219613707.060914</v>
      </c>
      <c r="AI243" s="213">
        <f t="shared" si="215"/>
        <v>0.14766229397914565</v>
      </c>
      <c r="AJ243" s="50"/>
      <c r="AK243" s="348"/>
      <c r="AL243" s="23">
        <f t="shared" si="216"/>
        <v>41672</v>
      </c>
      <c r="AM243" s="24"/>
      <c r="AN243" s="24"/>
      <c r="AO243" s="24">
        <v>178263</v>
      </c>
      <c r="AP243" s="24">
        <v>6483420</v>
      </c>
      <c r="AQ243" s="24"/>
      <c r="AR243" s="461">
        <f t="shared" si="217"/>
        <v>6.4690515679905513E-3</v>
      </c>
      <c r="AS243" s="25"/>
      <c r="AT243" s="25"/>
      <c r="AU243" s="24"/>
      <c r="AV243" s="298">
        <f t="shared" si="218"/>
        <v>0.60163765126151525</v>
      </c>
      <c r="AW243" s="298"/>
      <c r="AX243" s="24">
        <f t="shared" si="219"/>
        <v>27706.923076923078</v>
      </c>
      <c r="AY243" s="308"/>
      <c r="AZ243" s="348"/>
      <c r="BA243" s="65">
        <f t="shared" si="220"/>
        <v>1047931</v>
      </c>
      <c r="BB243" s="66"/>
      <c r="BC243" s="66">
        <v>157602857</v>
      </c>
      <c r="BD243" s="66"/>
      <c r="BE243" s="66">
        <f t="shared" si="221"/>
        <v>102726</v>
      </c>
      <c r="BF243" s="66"/>
      <c r="BG243" s="144">
        <f t="shared" si="222"/>
        <v>9.8027446463555323E-2</v>
      </c>
      <c r="BH243" s="66"/>
      <c r="BI243" s="170"/>
      <c r="BJ243" s="66"/>
      <c r="BK243" s="66">
        <f t="shared" si="223"/>
        <v>12565432</v>
      </c>
      <c r="BL243" s="66"/>
      <c r="BM243" s="144">
        <f t="shared" si="224"/>
        <v>6.1258299754437411E-2</v>
      </c>
      <c r="BN243" s="65">
        <f t="shared" si="225"/>
        <v>673516.48290598288</v>
      </c>
      <c r="BO243" s="66"/>
      <c r="BP243" s="66">
        <f t="shared" si="226"/>
        <v>9869309</v>
      </c>
      <c r="BQ243" s="66"/>
      <c r="BR243" s="435">
        <f t="shared" si="227"/>
        <v>6.2621383824279273E-2</v>
      </c>
      <c r="BS243" s="66"/>
      <c r="BT243" s="75"/>
      <c r="BU243" s="170"/>
      <c r="BV243" s="1"/>
      <c r="BW243" s="61">
        <f t="shared" si="186"/>
        <v>234</v>
      </c>
    </row>
    <row r="244" spans="2:75" x14ac:dyDescent="0.3">
      <c r="B244" s="158">
        <f t="shared" si="161"/>
        <v>44144</v>
      </c>
      <c r="C244" s="61"/>
      <c r="D244" s="17">
        <v>125689</v>
      </c>
      <c r="E244" s="16"/>
      <c r="F244" s="16"/>
      <c r="G244" s="16"/>
      <c r="H244" s="16">
        <f t="shared" si="208"/>
        <v>10901976</v>
      </c>
      <c r="I244" s="16"/>
      <c r="J244" s="436">
        <f t="shared" si="209"/>
        <v>1.1663479267023977E-2</v>
      </c>
      <c r="K244" s="16"/>
      <c r="L244" s="16"/>
      <c r="M244" s="16"/>
      <c r="N244" s="16">
        <f t="shared" si="228"/>
        <v>806521</v>
      </c>
      <c r="O244" s="16">
        <f t="shared" si="210"/>
        <v>46391.387234042551</v>
      </c>
      <c r="P244" s="41"/>
      <c r="Q244" s="17">
        <f t="shared" si="229"/>
        <v>806521</v>
      </c>
      <c r="R244" s="16"/>
      <c r="S244" s="60">
        <f t="shared" si="230"/>
        <v>0.35285316264176075</v>
      </c>
      <c r="T244" s="16"/>
      <c r="U244" s="41"/>
      <c r="V244" s="10">
        <f t="shared" si="109"/>
        <v>136</v>
      </c>
      <c r="W244" s="34">
        <v>641</v>
      </c>
      <c r="X244" s="33"/>
      <c r="Y244" s="33"/>
      <c r="Z244" s="33"/>
      <c r="AA244" s="33">
        <f t="shared" si="211"/>
        <v>246549</v>
      </c>
      <c r="AB244" s="33"/>
      <c r="AC244" s="46">
        <f t="shared" si="212"/>
        <v>2.2615074551622569E-2</v>
      </c>
      <c r="AD244" s="33"/>
      <c r="AE244" s="33">
        <f t="shared" si="213"/>
        <v>1049.1446808510639</v>
      </c>
      <c r="AF244" s="50"/>
      <c r="AG244" s="33">
        <f t="shared" si="214"/>
        <v>6943</v>
      </c>
      <c r="AH244" s="33">
        <f>SUM(D215:D896)</f>
        <v>1219559472.060914</v>
      </c>
      <c r="AI244" s="213">
        <f t="shared" si="215"/>
        <v>0.16905202896110455</v>
      </c>
      <c r="AJ244" s="50"/>
      <c r="AK244" s="10"/>
      <c r="AL244" s="23">
        <f t="shared" si="216"/>
        <v>69190</v>
      </c>
      <c r="AM244" s="24"/>
      <c r="AN244" s="24"/>
      <c r="AO244" s="24">
        <v>178263</v>
      </c>
      <c r="AP244" s="24">
        <v>6552610</v>
      </c>
      <c r="AQ244" s="24"/>
      <c r="AR244" s="461">
        <f t="shared" si="217"/>
        <v>1.0671836777503231E-2</v>
      </c>
      <c r="AS244" s="25"/>
      <c r="AT244" s="25"/>
      <c r="AU244" s="24"/>
      <c r="AV244" s="298">
        <f t="shared" si="218"/>
        <v>0.60104792012016905</v>
      </c>
      <c r="AW244" s="298"/>
      <c r="AX244" s="24">
        <f t="shared" si="219"/>
        <v>27883.446808510638</v>
      </c>
      <c r="AY244" s="308"/>
      <c r="AZ244" s="10"/>
      <c r="BA244" s="65">
        <f t="shared" si="220"/>
        <v>1681256</v>
      </c>
      <c r="BB244" s="66"/>
      <c r="BC244" s="66">
        <v>159284113</v>
      </c>
      <c r="BD244" s="66"/>
      <c r="BE244" s="66">
        <f t="shared" si="221"/>
        <v>125689</v>
      </c>
      <c r="BF244" s="66"/>
      <c r="BG244" s="144">
        <f t="shared" si="222"/>
        <v>7.475898970769472E-2</v>
      </c>
      <c r="BH244" s="66"/>
      <c r="BI244" s="170"/>
      <c r="BJ244" s="66"/>
      <c r="BK244" s="66">
        <f t="shared" si="223"/>
        <v>9589345</v>
      </c>
      <c r="BL244" s="66"/>
      <c r="BM244" s="144">
        <f t="shared" si="224"/>
        <v>8.4105953013474857E-2</v>
      </c>
      <c r="BN244" s="65">
        <f t="shared" si="225"/>
        <v>677804.73617021274</v>
      </c>
      <c r="BO244" s="66"/>
      <c r="BP244" s="66">
        <f t="shared" si="226"/>
        <v>9994998</v>
      </c>
      <c r="BQ244" s="66"/>
      <c r="BR244" s="435">
        <f t="shared" si="227"/>
        <v>6.2749497183061817E-2</v>
      </c>
      <c r="BS244" s="66"/>
      <c r="BT244" s="75"/>
      <c r="BU244" s="170"/>
      <c r="BV244" s="1"/>
      <c r="BW244" s="61">
        <f t="shared" si="186"/>
        <v>235</v>
      </c>
    </row>
    <row r="245" spans="2:75" x14ac:dyDescent="0.3">
      <c r="B245" s="158">
        <f t="shared" si="161"/>
        <v>44145</v>
      </c>
      <c r="C245" s="61"/>
      <c r="D245" s="17">
        <v>135653</v>
      </c>
      <c r="E245" s="16"/>
      <c r="F245" s="16"/>
      <c r="G245" s="16"/>
      <c r="H245" s="16">
        <f t="shared" si="208"/>
        <v>11037629</v>
      </c>
      <c r="I245" s="16"/>
      <c r="J245" s="436">
        <f t="shared" si="209"/>
        <v>1.2442973640741825E-2</v>
      </c>
      <c r="K245" s="16"/>
      <c r="L245" s="16"/>
      <c r="M245" s="16"/>
      <c r="N245" s="16">
        <f t="shared" si="228"/>
        <v>847707</v>
      </c>
      <c r="O245" s="16">
        <f t="shared" si="210"/>
        <v>46769.614406779663</v>
      </c>
      <c r="P245" s="41"/>
      <c r="Q245" s="17">
        <f t="shared" si="229"/>
        <v>847707</v>
      </c>
      <c r="R245" s="16"/>
      <c r="S245" s="60">
        <f t="shared" si="230"/>
        <v>0.37713586696948137</v>
      </c>
      <c r="T245" s="16"/>
      <c r="U245" s="41"/>
      <c r="V245" s="10">
        <f t="shared" si="109"/>
        <v>137</v>
      </c>
      <c r="W245" s="34">
        <v>1346</v>
      </c>
      <c r="X245" s="33"/>
      <c r="Y245" s="33"/>
      <c r="Z245" s="33"/>
      <c r="AA245" s="33">
        <f t="shared" si="211"/>
        <v>247895</v>
      </c>
      <c r="AB245" s="33"/>
      <c r="AC245" s="46">
        <f t="shared" si="212"/>
        <v>2.2459080659442351E-2</v>
      </c>
      <c r="AD245" s="33"/>
      <c r="AE245" s="33">
        <f t="shared" si="213"/>
        <v>1050.4025423728813</v>
      </c>
      <c r="AF245" s="50"/>
      <c r="AG245" s="33">
        <f t="shared" si="214"/>
        <v>7102</v>
      </c>
      <c r="AH245" s="33">
        <f>SUM(D216:D897)</f>
        <v>1219517537.060914</v>
      </c>
      <c r="AI245" s="213">
        <f t="shared" si="215"/>
        <v>0.16674880893707902</v>
      </c>
      <c r="AJ245" s="50"/>
      <c r="AK245" s="10"/>
      <c r="AL245" s="23">
        <f t="shared" si="216"/>
        <v>48728</v>
      </c>
      <c r="AM245" s="24"/>
      <c r="AN245" s="24"/>
      <c r="AO245" s="24">
        <v>178263</v>
      </c>
      <c r="AP245" s="24">
        <v>6601338</v>
      </c>
      <c r="AQ245" s="24"/>
      <c r="AR245" s="461">
        <f t="shared" si="217"/>
        <v>7.4364260958610382E-3</v>
      </c>
      <c r="AS245" s="25"/>
      <c r="AT245" s="25"/>
      <c r="AU245" s="24"/>
      <c r="AV245" s="298">
        <f t="shared" si="218"/>
        <v>0.59807572803905618</v>
      </c>
      <c r="AW245" s="298"/>
      <c r="AX245" s="24">
        <f t="shared" si="219"/>
        <v>27971.771186440677</v>
      </c>
      <c r="AY245" s="308"/>
      <c r="AZ245" s="10"/>
      <c r="BA245" s="65">
        <f t="shared" si="220"/>
        <v>1311466</v>
      </c>
      <c r="BB245" s="66"/>
      <c r="BC245" s="66">
        <v>160595579</v>
      </c>
      <c r="BD245" s="66"/>
      <c r="BE245" s="66">
        <f t="shared" si="221"/>
        <v>135653</v>
      </c>
      <c r="BF245" s="66"/>
      <c r="BG245" s="144">
        <f t="shared" si="222"/>
        <v>0.10343615465440964</v>
      </c>
      <c r="BH245" s="66"/>
      <c r="BI245" s="170"/>
      <c r="BJ245" s="66"/>
      <c r="BK245" s="66">
        <f t="shared" si="223"/>
        <v>9746570</v>
      </c>
      <c r="BL245" s="66"/>
      <c r="BM245" s="144">
        <f t="shared" si="224"/>
        <v>8.6974905017867823E-2</v>
      </c>
      <c r="BN245" s="65">
        <f t="shared" si="225"/>
        <v>680489.74152542371</v>
      </c>
      <c r="BO245" s="66"/>
      <c r="BP245" s="66">
        <f t="shared" si="226"/>
        <v>10130651</v>
      </c>
      <c r="BQ245" s="66"/>
      <c r="BR245" s="435">
        <f t="shared" si="227"/>
        <v>6.3081755195764144E-2</v>
      </c>
      <c r="BS245" s="66"/>
      <c r="BT245" s="75"/>
      <c r="BU245" s="170"/>
      <c r="BV245" s="1"/>
      <c r="BW245" s="61">
        <f t="shared" si="186"/>
        <v>236</v>
      </c>
    </row>
    <row r="246" spans="2:75" x14ac:dyDescent="0.3">
      <c r="B246" s="158">
        <f t="shared" si="161"/>
        <v>44146</v>
      </c>
      <c r="C246" s="61"/>
      <c r="D246" s="17">
        <v>142906</v>
      </c>
      <c r="E246" s="16"/>
      <c r="F246" s="16"/>
      <c r="G246" s="16"/>
      <c r="H246" s="16">
        <f t="shared" si="208"/>
        <v>11180535</v>
      </c>
      <c r="I246" s="16"/>
      <c r="J246" s="436">
        <f t="shared" si="209"/>
        <v>1.2947164649219502E-2</v>
      </c>
      <c r="K246" s="16"/>
      <c r="L246" s="16"/>
      <c r="M246" s="16"/>
      <c r="N246" s="16">
        <f t="shared" si="228"/>
        <v>882224</v>
      </c>
      <c r="O246" s="16">
        <f t="shared" si="210"/>
        <v>47175.253164556962</v>
      </c>
      <c r="P246" s="41"/>
      <c r="Q246" s="17">
        <f t="shared" si="229"/>
        <v>882224</v>
      </c>
      <c r="R246" s="16"/>
      <c r="S246" s="60">
        <f t="shared" si="230"/>
        <v>0.37339772030275575</v>
      </c>
      <c r="T246" s="16"/>
      <c r="U246" s="41"/>
      <c r="V246" s="10">
        <f t="shared" si="109"/>
        <v>138</v>
      </c>
      <c r="W246" s="34">
        <v>1470</v>
      </c>
      <c r="X246" s="33"/>
      <c r="Y246" s="33"/>
      <c r="Z246" s="33"/>
      <c r="AA246" s="33">
        <f t="shared" si="211"/>
        <v>249365</v>
      </c>
      <c r="AB246" s="33"/>
      <c r="AC246" s="46">
        <f t="shared" si="212"/>
        <v>2.2303494421331359E-2</v>
      </c>
      <c r="AD246" s="33"/>
      <c r="AE246" s="33">
        <f t="shared" si="213"/>
        <v>1052.1729957805908</v>
      </c>
      <c r="AF246" s="50"/>
      <c r="AG246" s="33">
        <f t="shared" si="214"/>
        <v>7371</v>
      </c>
      <c r="AH246" s="33">
        <f>SUM(D217:D898)</f>
        <v>1219471746.060914</v>
      </c>
      <c r="AI246" s="213">
        <f t="shared" si="215"/>
        <v>0.17785234899328858</v>
      </c>
      <c r="AJ246" s="50"/>
      <c r="AK246" s="10"/>
      <c r="AL246" s="23">
        <f t="shared" si="216"/>
        <v>47367</v>
      </c>
      <c r="AM246" s="24"/>
      <c r="AN246" s="24"/>
      <c r="AO246" s="24">
        <v>178263</v>
      </c>
      <c r="AP246" s="24">
        <v>6648705</v>
      </c>
      <c r="AQ246" s="24"/>
      <c r="AR246" s="461">
        <f t="shared" si="217"/>
        <v>7.1753635399369039E-3</v>
      </c>
      <c r="AS246" s="25"/>
      <c r="AT246" s="25"/>
      <c r="AU246" s="24"/>
      <c r="AV246" s="298">
        <f t="shared" si="218"/>
        <v>0.59466787591112591</v>
      </c>
      <c r="AW246" s="298"/>
      <c r="AX246" s="24">
        <f t="shared" si="219"/>
        <v>28053.607594936708</v>
      </c>
      <c r="AY246" s="308"/>
      <c r="AZ246" s="10"/>
      <c r="BA246" s="65">
        <f t="shared" si="220"/>
        <v>1321988</v>
      </c>
      <c r="BB246" s="66"/>
      <c r="BC246" s="66">
        <v>161917567</v>
      </c>
      <c r="BD246" s="66"/>
      <c r="BE246" s="66">
        <f t="shared" si="221"/>
        <v>142906</v>
      </c>
      <c r="BF246" s="66"/>
      <c r="BG246" s="144">
        <f t="shared" si="222"/>
        <v>0.10809931708911125</v>
      </c>
      <c r="BH246" s="66"/>
      <c r="BI246" s="170"/>
      <c r="BJ246" s="66"/>
      <c r="BK246" s="66">
        <f t="shared" si="223"/>
        <v>9867153</v>
      </c>
      <c r="BL246" s="66"/>
      <c r="BM246" s="144">
        <f t="shared" si="224"/>
        <v>8.9410187518121992E-2</v>
      </c>
      <c r="BN246" s="65">
        <f t="shared" si="225"/>
        <v>683196.48523206753</v>
      </c>
      <c r="BO246" s="66"/>
      <c r="BP246" s="66">
        <f t="shared" si="226"/>
        <v>10273557</v>
      </c>
      <c r="BQ246" s="66"/>
      <c r="BR246" s="435">
        <f t="shared" si="227"/>
        <v>6.3449304422910455E-2</v>
      </c>
      <c r="BS246" s="66"/>
      <c r="BT246" s="75"/>
      <c r="BU246" s="170"/>
      <c r="BV246" s="1"/>
      <c r="BW246" s="61">
        <f t="shared" si="186"/>
        <v>237</v>
      </c>
    </row>
    <row r="247" spans="2:75" x14ac:dyDescent="0.3">
      <c r="B247" s="158">
        <f t="shared" si="161"/>
        <v>44147</v>
      </c>
      <c r="C247" s="61"/>
      <c r="D247" s="17">
        <v>161541</v>
      </c>
      <c r="E247" s="16"/>
      <c r="F247" s="16"/>
      <c r="G247" s="16"/>
      <c r="H247" s="16">
        <f t="shared" si="208"/>
        <v>11342076</v>
      </c>
      <c r="I247" s="16"/>
      <c r="J247" s="436">
        <f t="shared" si="209"/>
        <v>1.4448414141183762E-2</v>
      </c>
      <c r="K247" s="16"/>
      <c r="L247" s="16"/>
      <c r="M247" s="16"/>
      <c r="N247" s="16">
        <f t="shared" si="228"/>
        <v>925446</v>
      </c>
      <c r="O247" s="16">
        <f t="shared" si="210"/>
        <v>47655.781512605041</v>
      </c>
      <c r="P247" s="41"/>
      <c r="Q247" s="17">
        <f t="shared" si="229"/>
        <v>925446</v>
      </c>
      <c r="R247" s="16"/>
      <c r="S247" s="60">
        <f t="shared" si="230"/>
        <v>0.38300692664629271</v>
      </c>
      <c r="T247" s="16"/>
      <c r="U247" s="41"/>
      <c r="V247" s="10">
        <f t="shared" si="109"/>
        <v>139</v>
      </c>
      <c r="W247" s="34">
        <v>1190</v>
      </c>
      <c r="X247" s="33"/>
      <c r="Y247" s="33"/>
      <c r="Z247" s="33"/>
      <c r="AA247" s="33">
        <f t="shared" si="211"/>
        <v>250555</v>
      </c>
      <c r="AB247" s="33"/>
      <c r="AC247" s="46">
        <f t="shared" si="212"/>
        <v>2.2090753050852417E-2</v>
      </c>
      <c r="AD247" s="33"/>
      <c r="AE247" s="33">
        <f t="shared" si="213"/>
        <v>1052.7521008403362</v>
      </c>
      <c r="AF247" s="50"/>
      <c r="AG247" s="33">
        <f t="shared" si="214"/>
        <v>7434</v>
      </c>
      <c r="AH247" s="33">
        <f>SUM(D218:D899)</f>
        <v>1219420212.060914</v>
      </c>
      <c r="AI247" s="213">
        <f t="shared" si="215"/>
        <v>0.17292521300094668</v>
      </c>
      <c r="AJ247" s="50"/>
      <c r="AK247" s="10"/>
      <c r="AL247" s="23">
        <f t="shared" si="216"/>
        <v>79415</v>
      </c>
      <c r="AM247" s="24"/>
      <c r="AN247" s="24"/>
      <c r="AO247" s="24">
        <v>178263</v>
      </c>
      <c r="AP247" s="24">
        <v>6728120</v>
      </c>
      <c r="AQ247" s="24"/>
      <c r="AR247" s="461">
        <f t="shared" si="217"/>
        <v>1.1944431283986881E-2</v>
      </c>
      <c r="AS247" s="25"/>
      <c r="AT247" s="25"/>
      <c r="AU247" s="24"/>
      <c r="AV247" s="298">
        <f t="shared" si="218"/>
        <v>0.59320004556485073</v>
      </c>
      <c r="AW247" s="298"/>
      <c r="AX247" s="24">
        <f t="shared" si="219"/>
        <v>28269.411764705881</v>
      </c>
      <c r="AY247" s="308"/>
      <c r="AZ247" s="10"/>
      <c r="BA247" s="65">
        <f t="shared" si="220"/>
        <v>1537138</v>
      </c>
      <c r="BB247" s="66"/>
      <c r="BC247" s="66">
        <v>163454705</v>
      </c>
      <c r="BD247" s="66"/>
      <c r="BE247" s="66">
        <f t="shared" si="221"/>
        <v>161541</v>
      </c>
      <c r="BF247" s="66"/>
      <c r="BG247" s="144">
        <f t="shared" si="222"/>
        <v>0.10509206069982005</v>
      </c>
      <c r="BH247" s="66"/>
      <c r="BI247" s="170"/>
      <c r="BJ247" s="66"/>
      <c r="BK247" s="66">
        <f t="shared" si="223"/>
        <v>9859884</v>
      </c>
      <c r="BL247" s="66"/>
      <c r="BM247" s="144">
        <f t="shared" si="224"/>
        <v>9.3859724921713072E-2</v>
      </c>
      <c r="BN247" s="65">
        <f t="shared" si="225"/>
        <v>686784.47478991596</v>
      </c>
      <c r="BO247" s="66"/>
      <c r="BP247" s="66">
        <f t="shared" si="226"/>
        <v>10435098</v>
      </c>
      <c r="BQ247" s="66"/>
      <c r="BR247" s="435">
        <f t="shared" si="227"/>
        <v>6.3840915438928475E-2</v>
      </c>
      <c r="BS247" s="66"/>
      <c r="BT247" s="75"/>
      <c r="BU247" s="170"/>
      <c r="BV247" s="1"/>
      <c r="BW247" s="61">
        <f t="shared" si="186"/>
        <v>238</v>
      </c>
    </row>
    <row r="248" spans="2:75" x14ac:dyDescent="0.3">
      <c r="B248" s="158">
        <f t="shared" si="161"/>
        <v>44148</v>
      </c>
      <c r="C248" s="61"/>
      <c r="D248" s="17">
        <v>183527</v>
      </c>
      <c r="E248" s="16"/>
      <c r="F248" s="16"/>
      <c r="G248" s="16"/>
      <c r="H248" s="16">
        <f t="shared" si="208"/>
        <v>11525603</v>
      </c>
      <c r="I248" s="16"/>
      <c r="J248" s="436">
        <f t="shared" si="209"/>
        <v>1.6181076550712586E-2</v>
      </c>
      <c r="K248" s="16"/>
      <c r="L248" s="16"/>
      <c r="M248" s="16"/>
      <c r="N248" s="16">
        <f t="shared" si="228"/>
        <v>976432</v>
      </c>
      <c r="O248" s="16">
        <f t="shared" si="210"/>
        <v>48224.280334728035</v>
      </c>
      <c r="P248" s="41"/>
      <c r="Q248" s="17">
        <f t="shared" si="229"/>
        <v>976432</v>
      </c>
      <c r="R248" s="16"/>
      <c r="S248" s="60">
        <f t="shared" si="230"/>
        <v>0.39443472548501574</v>
      </c>
      <c r="T248" s="16"/>
      <c r="U248" s="41"/>
      <c r="V248" s="10">
        <f t="shared" si="109"/>
        <v>140</v>
      </c>
      <c r="W248" s="34">
        <v>1395</v>
      </c>
      <c r="X248" s="33"/>
      <c r="Y248" s="33"/>
      <c r="Z248" s="33"/>
      <c r="AA248" s="33">
        <f t="shared" si="211"/>
        <v>251950</v>
      </c>
      <c r="AB248" s="33"/>
      <c r="AC248" s="46">
        <f t="shared" si="212"/>
        <v>2.1860027627187924E-2</v>
      </c>
      <c r="AD248" s="33"/>
      <c r="AE248" s="33">
        <f t="shared" si="213"/>
        <v>1054.18410041841</v>
      </c>
      <c r="AF248" s="50"/>
      <c r="AG248" s="33">
        <f t="shared" si="214"/>
        <v>7585</v>
      </c>
      <c r="AH248" s="33">
        <f>SUM(D219:D900)</f>
        <v>1219360519.060914</v>
      </c>
      <c r="AI248" s="213">
        <f t="shared" si="215"/>
        <v>0.1502881407340006</v>
      </c>
      <c r="AJ248" s="50"/>
      <c r="AK248" s="10"/>
      <c r="AL248" s="23">
        <f t="shared" si="216"/>
        <v>61026</v>
      </c>
      <c r="AM248" s="24"/>
      <c r="AN248" s="24"/>
      <c r="AO248" s="24">
        <v>178263</v>
      </c>
      <c r="AP248" s="24">
        <v>6789146</v>
      </c>
      <c r="AQ248" s="24"/>
      <c r="AR248" s="461">
        <f t="shared" si="217"/>
        <v>9.0702900661700451E-3</v>
      </c>
      <c r="AS248" s="25"/>
      <c r="AT248" s="25"/>
      <c r="AU248" s="24"/>
      <c r="AV248" s="298">
        <f t="shared" si="218"/>
        <v>0.58904909357020196</v>
      </c>
      <c r="AW248" s="298"/>
      <c r="AX248" s="24">
        <f t="shared" si="219"/>
        <v>28406.468619246862</v>
      </c>
      <c r="AY248" s="308"/>
      <c r="AZ248" s="10"/>
      <c r="BA248" s="65">
        <f t="shared" si="220"/>
        <v>1687033</v>
      </c>
      <c r="BB248" s="66"/>
      <c r="BC248" s="66">
        <v>165141738</v>
      </c>
      <c r="BD248" s="66"/>
      <c r="BE248" s="66">
        <f t="shared" si="221"/>
        <v>183527</v>
      </c>
      <c r="BF248" s="66"/>
      <c r="BG248" s="144">
        <f t="shared" si="222"/>
        <v>0.10878684649322212</v>
      </c>
      <c r="BH248" s="66"/>
      <c r="BI248" s="170"/>
      <c r="BJ248" s="66"/>
      <c r="BK248" s="66">
        <f t="shared" si="223"/>
        <v>10121786</v>
      </c>
      <c r="BL248" s="66"/>
      <c r="BM248" s="144">
        <f t="shared" si="224"/>
        <v>9.6468350546039999E-2</v>
      </c>
      <c r="BN248" s="65">
        <f t="shared" si="225"/>
        <v>690969.61506276147</v>
      </c>
      <c r="BO248" s="66"/>
      <c r="BP248" s="66">
        <f t="shared" si="226"/>
        <v>10618625</v>
      </c>
      <c r="BQ248" s="66"/>
      <c r="BR248" s="435">
        <f t="shared" si="227"/>
        <v>6.4300068102710661E-2</v>
      </c>
      <c r="BS248" s="66"/>
      <c r="BT248" s="75"/>
      <c r="BU248" s="170"/>
      <c r="BV248" s="1"/>
      <c r="BW248" s="61">
        <f t="shared" si="186"/>
        <v>239</v>
      </c>
    </row>
    <row r="249" spans="2:75" x14ac:dyDescent="0.3">
      <c r="B249" s="158">
        <f t="shared" si="161"/>
        <v>44149</v>
      </c>
      <c r="C249" s="61"/>
      <c r="D249" s="17">
        <v>157253</v>
      </c>
      <c r="E249" s="16"/>
      <c r="F249" s="16"/>
      <c r="G249" s="16"/>
      <c r="H249" s="16">
        <f t="shared" si="208"/>
        <v>11682856</v>
      </c>
      <c r="I249" s="16"/>
      <c r="J249" s="436">
        <f t="shared" si="209"/>
        <v>1.3643798072864387E-2</v>
      </c>
      <c r="K249" s="16"/>
      <c r="L249" s="16"/>
      <c r="M249" s="16"/>
      <c r="N249" s="16">
        <f t="shared" si="228"/>
        <v>1009295</v>
      </c>
      <c r="O249" s="16">
        <f t="shared" si="210"/>
        <v>48678.566666666666</v>
      </c>
      <c r="P249" s="41"/>
      <c r="Q249" s="17">
        <f t="shared" si="229"/>
        <v>1009295</v>
      </c>
      <c r="R249" s="16"/>
      <c r="S249" s="60">
        <f t="shared" si="230"/>
        <v>0.36699343926580452</v>
      </c>
      <c r="T249" s="16"/>
      <c r="U249" s="41"/>
      <c r="V249" s="10">
        <f t="shared" si="109"/>
        <v>141</v>
      </c>
      <c r="W249" s="34">
        <v>1260</v>
      </c>
      <c r="X249" s="33"/>
      <c r="Y249" s="33"/>
      <c r="Z249" s="33"/>
      <c r="AA249" s="33">
        <f t="shared" si="211"/>
        <v>253210</v>
      </c>
      <c r="AB249" s="33"/>
      <c r="AC249" s="46">
        <f t="shared" si="212"/>
        <v>2.167363870615199E-2</v>
      </c>
      <c r="AD249" s="33"/>
      <c r="AE249" s="33">
        <f t="shared" si="213"/>
        <v>1055.0416666666667</v>
      </c>
      <c r="AF249" s="50"/>
      <c r="AG249" s="33">
        <f t="shared" si="214"/>
        <v>7814</v>
      </c>
      <c r="AH249" s="33">
        <f>SUM(D220:D901)</f>
        <v>1219294390.060914</v>
      </c>
      <c r="AI249" s="213">
        <f t="shared" si="215"/>
        <v>0.1643570257785725</v>
      </c>
      <c r="AJ249" s="50"/>
      <c r="AK249" s="10"/>
      <c r="AL249" s="23">
        <f t="shared" si="216"/>
        <v>101885</v>
      </c>
      <c r="AM249" s="24"/>
      <c r="AN249" s="24"/>
      <c r="AO249" s="24">
        <v>178263</v>
      </c>
      <c r="AP249" s="24">
        <v>6891031</v>
      </c>
      <c r="AQ249" s="24"/>
      <c r="AR249" s="461">
        <f t="shared" si="217"/>
        <v>1.5007042122823696E-2</v>
      </c>
      <c r="AS249" s="25"/>
      <c r="AT249" s="25"/>
      <c r="AU249" s="24"/>
      <c r="AV249" s="298">
        <f t="shared" si="218"/>
        <v>0.58984130250342892</v>
      </c>
      <c r="AW249" s="298"/>
      <c r="AX249" s="24">
        <f t="shared" si="219"/>
        <v>28712.629166666666</v>
      </c>
      <c r="AY249" s="308"/>
      <c r="AZ249" s="10"/>
      <c r="BA249" s="65">
        <f t="shared" si="220"/>
        <v>1609746</v>
      </c>
      <c r="BB249" s="66"/>
      <c r="BC249" s="66">
        <v>166751484</v>
      </c>
      <c r="BD249" s="66"/>
      <c r="BE249" s="66">
        <f t="shared" si="221"/>
        <v>157253</v>
      </c>
      <c r="BF249" s="66"/>
      <c r="BG249" s="144">
        <f t="shared" si="222"/>
        <v>9.7688082467668816E-2</v>
      </c>
      <c r="BH249" s="66"/>
      <c r="BI249" s="170"/>
      <c r="BJ249" s="66"/>
      <c r="BK249" s="66">
        <f t="shared" si="223"/>
        <v>10196558</v>
      </c>
      <c r="BL249" s="66"/>
      <c r="BM249" s="144">
        <f t="shared" si="224"/>
        <v>9.8983892407614418E-2</v>
      </c>
      <c r="BN249" s="65">
        <f t="shared" si="225"/>
        <v>694797.85</v>
      </c>
      <c r="BO249" s="66"/>
      <c r="BP249" s="66">
        <f t="shared" si="226"/>
        <v>10775878</v>
      </c>
      <c r="BQ249" s="66"/>
      <c r="BR249" s="435">
        <f t="shared" si="227"/>
        <v>6.46223814116101E-2</v>
      </c>
      <c r="BS249" s="66"/>
      <c r="BT249" s="75"/>
      <c r="BU249" s="170"/>
      <c r="BV249" s="1"/>
      <c r="BW249" s="61">
        <f t="shared" si="186"/>
        <v>240</v>
      </c>
    </row>
    <row r="250" spans="2:75" x14ac:dyDescent="0.3">
      <c r="B250" s="347">
        <f t="shared" si="161"/>
        <v>44150</v>
      </c>
      <c r="C250" s="61"/>
      <c r="D250" s="17">
        <v>138249</v>
      </c>
      <c r="E250" s="16"/>
      <c r="F250" s="16"/>
      <c r="G250" s="16"/>
      <c r="H250" s="16">
        <f t="shared" si="208"/>
        <v>11821105</v>
      </c>
      <c r="I250" s="16"/>
      <c r="J250" s="436">
        <f t="shared" si="209"/>
        <v>1.1833493453997892E-2</v>
      </c>
      <c r="K250" s="16"/>
      <c r="L250" s="16"/>
      <c r="M250" s="16"/>
      <c r="N250" s="16">
        <f t="shared" si="228"/>
        <v>1044818</v>
      </c>
      <c r="O250" s="16">
        <f t="shared" si="210"/>
        <v>49050.228215767638</v>
      </c>
      <c r="P250" s="41"/>
      <c r="Q250" s="17">
        <f t="shared" si="229"/>
        <v>1044818</v>
      </c>
      <c r="R250" s="16"/>
      <c r="S250" s="60">
        <f t="shared" si="230"/>
        <v>0.35737011472749786</v>
      </c>
      <c r="T250" s="16"/>
      <c r="U250" s="41"/>
      <c r="V250" s="10">
        <f t="shared" si="109"/>
        <v>142</v>
      </c>
      <c r="W250" s="34">
        <v>579</v>
      </c>
      <c r="X250" s="33"/>
      <c r="Y250" s="33"/>
      <c r="Z250" s="33"/>
      <c r="AA250" s="33">
        <f t="shared" si="211"/>
        <v>253789</v>
      </c>
      <c r="AB250" s="33"/>
      <c r="AC250" s="46">
        <f t="shared" si="212"/>
        <v>2.1469143536073827E-2</v>
      </c>
      <c r="AD250" s="33"/>
      <c r="AE250" s="33">
        <f t="shared" si="213"/>
        <v>1053.0663900414938</v>
      </c>
      <c r="AF250" s="50"/>
      <c r="AG250" s="33">
        <f t="shared" si="214"/>
        <v>7881</v>
      </c>
      <c r="AH250" s="33">
        <f>SUM(D221:D902)</f>
        <v>1219222703.060914</v>
      </c>
      <c r="AI250" s="213">
        <f t="shared" si="215"/>
        <v>0.15489449003517</v>
      </c>
      <c r="AJ250" s="50"/>
      <c r="AK250" s="348"/>
      <c r="AL250" s="23">
        <f t="shared" si="216"/>
        <v>44599</v>
      </c>
      <c r="AM250" s="24"/>
      <c r="AN250" s="24"/>
      <c r="AO250" s="24">
        <v>178263</v>
      </c>
      <c r="AP250" s="24">
        <v>6935630</v>
      </c>
      <c r="AQ250" s="24"/>
      <c r="AR250" s="461">
        <f t="shared" si="217"/>
        <v>6.4720358970958049E-3</v>
      </c>
      <c r="AS250" s="25"/>
      <c r="AT250" s="25"/>
      <c r="AU250" s="24"/>
      <c r="AV250" s="298">
        <f t="shared" si="218"/>
        <v>0.58671587808415537</v>
      </c>
      <c r="AW250" s="298"/>
      <c r="AX250" s="24">
        <f t="shared" si="219"/>
        <v>28778.547717842324</v>
      </c>
      <c r="AY250" s="308"/>
      <c r="AZ250" s="10"/>
      <c r="BA250" s="65">
        <f t="shared" si="220"/>
        <v>1404360</v>
      </c>
      <c r="BB250" s="66"/>
      <c r="BC250" s="66">
        <v>168155844</v>
      </c>
      <c r="BD250" s="66"/>
      <c r="BE250" s="66">
        <f t="shared" si="221"/>
        <v>138249</v>
      </c>
      <c r="BF250" s="66"/>
      <c r="BG250" s="144">
        <f t="shared" si="222"/>
        <v>9.8442706998205592E-2</v>
      </c>
      <c r="BH250" s="66"/>
      <c r="BI250" s="170"/>
      <c r="BJ250" s="66"/>
      <c r="BK250" s="66">
        <f t="shared" si="223"/>
        <v>10552987</v>
      </c>
      <c r="BL250" s="66"/>
      <c r="BM250" s="144">
        <f t="shared" si="224"/>
        <v>9.9006849908940472E-2</v>
      </c>
      <c r="BN250" s="65">
        <f t="shared" si="225"/>
        <v>697742.09128630708</v>
      </c>
      <c r="BO250" s="66"/>
      <c r="BP250" s="66">
        <f t="shared" si="226"/>
        <v>10914127</v>
      </c>
      <c r="BQ250" s="66"/>
      <c r="BR250" s="435">
        <f t="shared" si="227"/>
        <v>6.4904833161790076E-2</v>
      </c>
      <c r="BS250" s="66"/>
      <c r="BT250" s="75"/>
      <c r="BU250" s="170"/>
      <c r="BV250" s="1"/>
      <c r="BW250" s="61">
        <f t="shared" si="186"/>
        <v>241</v>
      </c>
    </row>
    <row r="251" spans="2:75" x14ac:dyDescent="0.3">
      <c r="B251" s="158">
        <f t="shared" si="161"/>
        <v>44151</v>
      </c>
      <c r="C251" s="61"/>
      <c r="D251" s="17">
        <v>162149</v>
      </c>
      <c r="E251" s="16"/>
      <c r="F251" s="16"/>
      <c r="G251" s="16"/>
      <c r="H251" s="16">
        <f t="shared" si="208"/>
        <v>11983254</v>
      </c>
      <c r="I251" s="16"/>
      <c r="J251" s="436">
        <f t="shared" si="209"/>
        <v>1.371690717576741E-2</v>
      </c>
      <c r="K251" s="16"/>
      <c r="L251" s="16"/>
      <c r="M251" s="16"/>
      <c r="N251" s="16">
        <f t="shared" si="228"/>
        <v>1081278</v>
      </c>
      <c r="O251" s="16">
        <f t="shared" si="210"/>
        <v>49517.578512396693</v>
      </c>
      <c r="P251" s="41"/>
      <c r="Q251" s="17">
        <f t="shared" si="229"/>
        <v>1081278</v>
      </c>
      <c r="R251" s="16"/>
      <c r="S251" s="60">
        <f t="shared" si="230"/>
        <v>0.34066936880750781</v>
      </c>
      <c r="T251" s="16"/>
      <c r="U251" s="41"/>
      <c r="V251" s="10">
        <f t="shared" si="109"/>
        <v>143</v>
      </c>
      <c r="W251" s="34">
        <v>739</v>
      </c>
      <c r="X251" s="33"/>
      <c r="Y251" s="33"/>
      <c r="Z251" s="33"/>
      <c r="AA251" s="33">
        <f t="shared" si="211"/>
        <v>254528</v>
      </c>
      <c r="AB251" s="33"/>
      <c r="AC251" s="46">
        <f t="shared" si="212"/>
        <v>2.1240307515804972E-2</v>
      </c>
      <c r="AD251" s="33"/>
      <c r="AE251" s="33">
        <f t="shared" si="213"/>
        <v>1051.7685950413222</v>
      </c>
      <c r="AF251" s="50"/>
      <c r="AG251" s="33">
        <f t="shared" si="214"/>
        <v>7979</v>
      </c>
      <c r="AH251" s="33">
        <f>SUM(D222:D903)</f>
        <v>1219168471.060914</v>
      </c>
      <c r="AI251" s="213">
        <f t="shared" si="215"/>
        <v>0.14921503672763936</v>
      </c>
      <c r="AJ251" s="50"/>
      <c r="AK251" s="10"/>
      <c r="AL251" s="23">
        <f t="shared" si="216"/>
        <v>83674</v>
      </c>
      <c r="AM251" s="24"/>
      <c r="AN251" s="24"/>
      <c r="AO251" s="24">
        <v>178263</v>
      </c>
      <c r="AP251" s="24">
        <v>7019304</v>
      </c>
      <c r="AQ251" s="24"/>
      <c r="AR251" s="461">
        <f t="shared" si="217"/>
        <v>1.2064369062363477E-2</v>
      </c>
      <c r="AS251" s="25"/>
      <c r="AT251" s="25"/>
      <c r="AU251" s="24"/>
      <c r="AV251" s="298">
        <f t="shared" si="218"/>
        <v>0.58575942728077035</v>
      </c>
      <c r="AW251" s="298"/>
      <c r="AX251" s="24">
        <f t="shared" si="219"/>
        <v>29005.388429752067</v>
      </c>
      <c r="AY251" s="308"/>
      <c r="AZ251" s="10"/>
      <c r="BA251" s="65">
        <f t="shared" si="220"/>
        <v>1980160</v>
      </c>
      <c r="BB251" s="66"/>
      <c r="BC251" s="66">
        <v>170136004</v>
      </c>
      <c r="BD251" s="66"/>
      <c r="BE251" s="66">
        <f t="shared" si="221"/>
        <v>162149</v>
      </c>
      <c r="BF251" s="66"/>
      <c r="BG251" s="144">
        <f t="shared" si="222"/>
        <v>8.1886817226890757E-2</v>
      </c>
      <c r="BH251" s="66"/>
      <c r="BI251" s="170"/>
      <c r="BJ251" s="66"/>
      <c r="BK251" s="66">
        <f t="shared" si="223"/>
        <v>10851891</v>
      </c>
      <c r="BL251" s="66"/>
      <c r="BM251" s="144">
        <f t="shared" si="224"/>
        <v>9.9639592767748961E-2</v>
      </c>
      <c r="BN251" s="65">
        <f t="shared" si="225"/>
        <v>703041.33884297521</v>
      </c>
      <c r="BO251" s="66"/>
      <c r="BP251" s="66">
        <f t="shared" si="226"/>
        <v>11076276</v>
      </c>
      <c r="BQ251" s="66"/>
      <c r="BR251" s="435">
        <f t="shared" si="227"/>
        <v>6.5102481189107983E-2</v>
      </c>
      <c r="BS251" s="66"/>
      <c r="BT251" s="75"/>
      <c r="BU251" s="170"/>
      <c r="BV251" s="1"/>
      <c r="BW251" s="61">
        <f t="shared" si="186"/>
        <v>242</v>
      </c>
    </row>
    <row r="252" spans="2:75" x14ac:dyDescent="0.3">
      <c r="B252" s="158">
        <f t="shared" si="161"/>
        <v>44152</v>
      </c>
      <c r="C252" s="61"/>
      <c r="D252" s="17">
        <v>157261</v>
      </c>
      <c r="E252" s="16"/>
      <c r="F252" s="16"/>
      <c r="G252" s="16"/>
      <c r="H252" s="16">
        <f t="shared" si="208"/>
        <v>12140515</v>
      </c>
      <c r="I252" s="16"/>
      <c r="J252" s="436">
        <f t="shared" si="209"/>
        <v>1.3123397033894132E-2</v>
      </c>
      <c r="K252" s="16"/>
      <c r="L252" s="16"/>
      <c r="M252" s="16"/>
      <c r="N252" s="16">
        <f t="shared" si="228"/>
        <v>1102886</v>
      </c>
      <c r="O252" s="16">
        <f t="shared" si="210"/>
        <v>49960.9670781893</v>
      </c>
      <c r="P252" s="41"/>
      <c r="Q252" s="17">
        <f t="shared" si="229"/>
        <v>1102886</v>
      </c>
      <c r="R252" s="16"/>
      <c r="S252" s="60">
        <f t="shared" si="230"/>
        <v>0.30102264107763649</v>
      </c>
      <c r="T252" s="16"/>
      <c r="U252" s="41"/>
      <c r="V252" s="10">
        <f t="shared" si="109"/>
        <v>144</v>
      </c>
      <c r="W252" s="34">
        <v>1615</v>
      </c>
      <c r="X252" s="33"/>
      <c r="Y252" s="33"/>
      <c r="Z252" s="33"/>
      <c r="AA252" s="33">
        <f t="shared" si="211"/>
        <v>256143</v>
      </c>
      <c r="AB252" s="33"/>
      <c r="AC252" s="46">
        <f t="shared" si="212"/>
        <v>2.1098198882007889E-2</v>
      </c>
      <c r="AD252" s="33"/>
      <c r="AE252" s="33">
        <f t="shared" si="213"/>
        <v>1054.0864197530864</v>
      </c>
      <c r="AF252" s="50"/>
      <c r="AG252" s="33">
        <f t="shared" si="214"/>
        <v>8248</v>
      </c>
      <c r="AH252" s="33">
        <f>SUM(D223:D904)</f>
        <v>1219123530.060914</v>
      </c>
      <c r="AI252" s="213">
        <f t="shared" si="215"/>
        <v>0.16136299633905943</v>
      </c>
      <c r="AJ252" s="50"/>
      <c r="AK252" s="10"/>
      <c r="AL252" s="23">
        <f t="shared" si="216"/>
        <v>68492</v>
      </c>
      <c r="AM252" s="24"/>
      <c r="AN252" s="24"/>
      <c r="AO252" s="24">
        <v>178263</v>
      </c>
      <c r="AP252" s="24">
        <v>7087796</v>
      </c>
      <c r="AQ252" s="24"/>
      <c r="AR252" s="461">
        <f t="shared" si="217"/>
        <v>9.7576625830709147E-3</v>
      </c>
      <c r="AS252" s="25"/>
      <c r="AT252" s="25"/>
      <c r="AU252" s="24"/>
      <c r="AV252" s="298">
        <f t="shared" si="218"/>
        <v>0.58381345437158139</v>
      </c>
      <c r="AW252" s="298"/>
      <c r="AX252" s="24">
        <f t="shared" si="219"/>
        <v>29167.88477366255</v>
      </c>
      <c r="AY252" s="308"/>
      <c r="AZ252" s="10"/>
      <c r="BA252" s="65">
        <f t="shared" si="220"/>
        <v>1555687</v>
      </c>
      <c r="BB252" s="66"/>
      <c r="BC252" s="66">
        <v>171691691</v>
      </c>
      <c r="BD252" s="66"/>
      <c r="BE252" s="66">
        <f t="shared" si="221"/>
        <v>157261</v>
      </c>
      <c r="BF252" s="66"/>
      <c r="BG252" s="144">
        <f t="shared" si="222"/>
        <v>0.10108781522247084</v>
      </c>
      <c r="BH252" s="66"/>
      <c r="BI252" s="170"/>
      <c r="BJ252" s="66"/>
      <c r="BK252" s="66">
        <f t="shared" si="223"/>
        <v>11096112</v>
      </c>
      <c r="BL252" s="66"/>
      <c r="BM252" s="144">
        <f t="shared" si="224"/>
        <v>9.9393913832160313E-2</v>
      </c>
      <c r="BN252" s="65">
        <f t="shared" si="225"/>
        <v>706550.16872427985</v>
      </c>
      <c r="BO252" s="66"/>
      <c r="BP252" s="66">
        <f t="shared" si="226"/>
        <v>11233537</v>
      </c>
      <c r="BQ252" s="66"/>
      <c r="BR252" s="435">
        <f t="shared" si="227"/>
        <v>6.5428541908880145E-2</v>
      </c>
      <c r="BS252" s="66"/>
      <c r="BT252" s="75"/>
      <c r="BU252" s="170"/>
      <c r="BV252" s="1"/>
      <c r="BW252" s="61">
        <f t="shared" si="186"/>
        <v>243</v>
      </c>
    </row>
    <row r="253" spans="2:75" x14ac:dyDescent="0.3">
      <c r="B253" s="158">
        <f t="shared" si="161"/>
        <v>44153</v>
      </c>
      <c r="C253" s="61"/>
      <c r="D253" s="17">
        <v>173768</v>
      </c>
      <c r="E253" s="16"/>
      <c r="F253" s="16"/>
      <c r="G253" s="16"/>
      <c r="H253" s="16">
        <f t="shared" si="208"/>
        <v>12314283</v>
      </c>
      <c r="I253" s="16"/>
      <c r="J253" s="436">
        <f t="shared" si="209"/>
        <v>1.4313066620320473E-2</v>
      </c>
      <c r="K253" s="16"/>
      <c r="L253" s="16"/>
      <c r="M253" s="16"/>
      <c r="N253" s="16">
        <f t="shared" si="228"/>
        <v>1133748</v>
      </c>
      <c r="O253" s="16">
        <f t="shared" si="210"/>
        <v>50468.37295081967</v>
      </c>
      <c r="P253" s="41"/>
      <c r="Q253" s="17">
        <f t="shared" si="229"/>
        <v>1133748</v>
      </c>
      <c r="R253" s="16"/>
      <c r="S253" s="60">
        <f t="shared" si="230"/>
        <v>0.28510219626761457</v>
      </c>
      <c r="T253" s="16"/>
      <c r="U253" s="41"/>
      <c r="V253" s="10">
        <f t="shared" si="109"/>
        <v>145</v>
      </c>
      <c r="W253" s="34">
        <v>1964</v>
      </c>
      <c r="X253" s="33"/>
      <c r="Y253" s="33"/>
      <c r="Z253" s="33"/>
      <c r="AA253" s="33">
        <f t="shared" si="211"/>
        <v>258107</v>
      </c>
      <c r="AB253" s="33"/>
      <c r="AC253" s="46">
        <f t="shared" si="212"/>
        <v>2.0959969817162721E-2</v>
      </c>
      <c r="AD253" s="33"/>
      <c r="AE253" s="33">
        <f t="shared" si="213"/>
        <v>1057.8155737704917</v>
      </c>
      <c r="AF253" s="50"/>
      <c r="AG253" s="33">
        <f t="shared" si="214"/>
        <v>8742</v>
      </c>
      <c r="AH253" s="33">
        <f>SUM(D224:D905)</f>
        <v>1219066203.060914</v>
      </c>
      <c r="AI253" s="213">
        <f t="shared" si="215"/>
        <v>0.185999185999186</v>
      </c>
      <c r="AJ253" s="50"/>
      <c r="AK253" s="10"/>
      <c r="AL253" s="23">
        <f t="shared" si="216"/>
        <v>112200</v>
      </c>
      <c r="AM253" s="24"/>
      <c r="AN253" s="24"/>
      <c r="AO253" s="24">
        <v>178263</v>
      </c>
      <c r="AP253" s="24">
        <v>7199996</v>
      </c>
      <c r="AQ253" s="24"/>
      <c r="AR253" s="461">
        <f t="shared" si="217"/>
        <v>1.583002671070104E-2</v>
      </c>
      <c r="AS253" s="25"/>
      <c r="AT253" s="25"/>
      <c r="AU253" s="24"/>
      <c r="AV253" s="298">
        <f t="shared" si="218"/>
        <v>0.58468657899124132</v>
      </c>
      <c r="AW253" s="298"/>
      <c r="AX253" s="24">
        <f t="shared" si="219"/>
        <v>29508.180327868853</v>
      </c>
      <c r="AY253" s="308"/>
      <c r="AZ253" s="10"/>
      <c r="BA253" s="65">
        <f t="shared" si="220"/>
        <v>1544138</v>
      </c>
      <c r="BB253" s="66"/>
      <c r="BC253" s="66">
        <v>173235829</v>
      </c>
      <c r="BD253" s="66"/>
      <c r="BE253" s="66">
        <f t="shared" si="221"/>
        <v>173768</v>
      </c>
      <c r="BF253" s="66"/>
      <c r="BG253" s="144">
        <f t="shared" si="222"/>
        <v>0.11253398336159073</v>
      </c>
      <c r="BH253" s="66"/>
      <c r="BI253" s="170"/>
      <c r="BJ253" s="66"/>
      <c r="BK253" s="66">
        <f t="shared" si="223"/>
        <v>11318262</v>
      </c>
      <c r="BL253" s="66"/>
      <c r="BM253" s="144">
        <f t="shared" si="224"/>
        <v>0.10016979638746655</v>
      </c>
      <c r="BN253" s="65">
        <f t="shared" si="225"/>
        <v>709982.90573770495</v>
      </c>
      <c r="BO253" s="66"/>
      <c r="BP253" s="66">
        <f t="shared" si="226"/>
        <v>11407305</v>
      </c>
      <c r="BQ253" s="66"/>
      <c r="BR253" s="435">
        <f t="shared" si="227"/>
        <v>6.5848416380424393E-2</v>
      </c>
      <c r="BS253" s="66"/>
      <c r="BT253" s="75"/>
      <c r="BU253" s="170"/>
      <c r="BV253" s="1"/>
      <c r="BW253" s="61">
        <f t="shared" si="186"/>
        <v>244</v>
      </c>
    </row>
    <row r="254" spans="2:75" x14ac:dyDescent="0.3">
      <c r="B254" s="158">
        <f t="shared" si="161"/>
        <v>44154</v>
      </c>
      <c r="C254" s="61"/>
      <c r="D254" s="17">
        <v>192186</v>
      </c>
      <c r="E254" s="16"/>
      <c r="F254" s="16"/>
      <c r="G254" s="16"/>
      <c r="H254" s="16">
        <f t="shared" si="208"/>
        <v>12506469</v>
      </c>
      <c r="I254" s="16"/>
      <c r="J254" s="436">
        <f t="shared" si="209"/>
        <v>1.5606755180143253E-2</v>
      </c>
      <c r="K254" s="16"/>
      <c r="L254" s="16"/>
      <c r="M254" s="16"/>
      <c r="N254" s="16">
        <f t="shared" si="228"/>
        <v>1164393</v>
      </c>
      <c r="O254" s="16">
        <f t="shared" si="210"/>
        <v>51046.812244897956</v>
      </c>
      <c r="P254" s="41"/>
      <c r="Q254" s="17">
        <f t="shared" si="229"/>
        <v>1164393</v>
      </c>
      <c r="R254" s="16"/>
      <c r="S254" s="60">
        <f t="shared" si="230"/>
        <v>0.25819658845572835</v>
      </c>
      <c r="T254" s="16"/>
      <c r="U254" s="41"/>
      <c r="V254" s="10">
        <f t="shared" si="109"/>
        <v>146</v>
      </c>
      <c r="W254" s="34">
        <v>2065</v>
      </c>
      <c r="X254" s="33"/>
      <c r="Y254" s="33"/>
      <c r="Z254" s="33"/>
      <c r="AA254" s="33">
        <f t="shared" si="211"/>
        <v>260172</v>
      </c>
      <c r="AB254" s="33"/>
      <c r="AC254" s="46">
        <f t="shared" si="212"/>
        <v>2.0802994034527251E-2</v>
      </c>
      <c r="AD254" s="33"/>
      <c r="AE254" s="33">
        <f t="shared" si="213"/>
        <v>1061.926530612245</v>
      </c>
      <c r="AF254" s="50"/>
      <c r="AG254" s="33">
        <f t="shared" si="214"/>
        <v>9617</v>
      </c>
      <c r="AH254" s="33">
        <f>SUM(D225:D906)</f>
        <v>1219004131.060914</v>
      </c>
      <c r="AI254" s="213">
        <f t="shared" si="215"/>
        <v>0.29365079365079366</v>
      </c>
      <c r="AJ254" s="50"/>
      <c r="AK254" s="10"/>
      <c r="AL254" s="23">
        <f t="shared" si="216"/>
        <v>43492</v>
      </c>
      <c r="AM254" s="24"/>
      <c r="AN254" s="24"/>
      <c r="AO254" s="24">
        <v>178263</v>
      </c>
      <c r="AP254" s="24">
        <v>7243488</v>
      </c>
      <c r="AQ254" s="24"/>
      <c r="AR254" s="461">
        <f t="shared" si="217"/>
        <v>6.0405589114216176E-3</v>
      </c>
      <c r="AS254" s="25"/>
      <c r="AT254" s="25"/>
      <c r="AU254" s="24"/>
      <c r="AV254" s="298">
        <f t="shared" si="218"/>
        <v>0.57917930312704569</v>
      </c>
      <c r="AW254" s="298"/>
      <c r="AX254" s="24">
        <f t="shared" si="219"/>
        <v>29565.257142857143</v>
      </c>
      <c r="AY254" s="308"/>
      <c r="AZ254" s="10"/>
      <c r="BA254" s="65">
        <f t="shared" si="220"/>
        <v>1748416</v>
      </c>
      <c r="BB254" s="66"/>
      <c r="BC254" s="66">
        <v>174984245</v>
      </c>
      <c r="BD254" s="66"/>
      <c r="BE254" s="66">
        <f t="shared" si="221"/>
        <v>192186</v>
      </c>
      <c r="BF254" s="66"/>
      <c r="BG254" s="144">
        <f t="shared" si="222"/>
        <v>0.10992006479007284</v>
      </c>
      <c r="BH254" s="66"/>
      <c r="BI254" s="170"/>
      <c r="BJ254" s="66"/>
      <c r="BK254" s="66">
        <f t="shared" si="223"/>
        <v>11529540</v>
      </c>
      <c r="BL254" s="66"/>
      <c r="BM254" s="144">
        <f t="shared" si="224"/>
        <v>0.10099214712815949</v>
      </c>
      <c r="BN254" s="65">
        <f t="shared" si="225"/>
        <v>714221.40816326533</v>
      </c>
      <c r="BO254" s="66"/>
      <c r="BP254" s="66">
        <f t="shared" si="226"/>
        <v>11599491</v>
      </c>
      <c r="BQ254" s="66"/>
      <c r="BR254" s="435">
        <f t="shared" si="227"/>
        <v>6.6288773597874481E-2</v>
      </c>
      <c r="BS254" s="66"/>
      <c r="BT254" s="75"/>
      <c r="BU254" s="170"/>
      <c r="BV254" s="1"/>
      <c r="BW254" s="61">
        <f t="shared" si="186"/>
        <v>245</v>
      </c>
    </row>
    <row r="255" spans="2:75" x14ac:dyDescent="0.3">
      <c r="B255" s="158">
        <f t="shared" si="161"/>
        <v>44155</v>
      </c>
      <c r="C255" s="61"/>
      <c r="D255" s="17">
        <v>204179</v>
      </c>
      <c r="E255" s="16"/>
      <c r="F255" s="16"/>
      <c r="G255" s="16"/>
      <c r="H255" s="16">
        <f t="shared" si="208"/>
        <v>12710648</v>
      </c>
      <c r="I255" s="16"/>
      <c r="J255" s="436">
        <f t="shared" si="209"/>
        <v>1.6325871035221852E-2</v>
      </c>
      <c r="K255" s="16"/>
      <c r="L255" s="16"/>
      <c r="M255" s="16"/>
      <c r="N255" s="16">
        <f t="shared" si="228"/>
        <v>1185045</v>
      </c>
      <c r="O255" s="16">
        <f t="shared" si="210"/>
        <v>51669.300813008129</v>
      </c>
      <c r="P255" s="41"/>
      <c r="Q255" s="17">
        <f t="shared" si="229"/>
        <v>1185045</v>
      </c>
      <c r="R255" s="16"/>
      <c r="S255" s="60">
        <f t="shared" si="230"/>
        <v>0.21364826224458028</v>
      </c>
      <c r="T255" s="16"/>
      <c r="U255" s="41"/>
      <c r="V255" s="10">
        <f t="shared" si="109"/>
        <v>147</v>
      </c>
      <c r="W255" s="34">
        <v>1998</v>
      </c>
      <c r="X255" s="33"/>
      <c r="Y255" s="33"/>
      <c r="Z255" s="33"/>
      <c r="AA255" s="33">
        <f t="shared" si="211"/>
        <v>262170</v>
      </c>
      <c r="AB255" s="33"/>
      <c r="AC255" s="46">
        <f t="shared" si="212"/>
        <v>2.0626013717003257E-2</v>
      </c>
      <c r="AD255" s="33"/>
      <c r="AE255" s="33">
        <f t="shared" si="213"/>
        <v>1065.7317073170732</v>
      </c>
      <c r="AF255" s="50"/>
      <c r="AG255" s="33">
        <f t="shared" si="214"/>
        <v>10220</v>
      </c>
      <c r="AH255" s="33">
        <f>SUM(D226:D907)</f>
        <v>1218940468.060914</v>
      </c>
      <c r="AI255" s="213">
        <f t="shared" si="215"/>
        <v>0.34739617666446937</v>
      </c>
      <c r="AJ255" s="50"/>
      <c r="AK255" s="10"/>
      <c r="AL255" s="23">
        <f t="shared" si="216"/>
        <v>73572</v>
      </c>
      <c r="AM255" s="24"/>
      <c r="AN255" s="24"/>
      <c r="AO255" s="24">
        <v>178263</v>
      </c>
      <c r="AP255" s="24">
        <v>7317060</v>
      </c>
      <c r="AQ255" s="24"/>
      <c r="AR255" s="461">
        <f t="shared" si="217"/>
        <v>1.0156985143069196E-2</v>
      </c>
      <c r="AS255" s="25"/>
      <c r="AT255" s="25"/>
      <c r="AU255" s="24"/>
      <c r="AV255" s="298">
        <f t="shared" si="218"/>
        <v>0.57566380565333886</v>
      </c>
      <c r="AW255" s="298"/>
      <c r="AX255" s="24">
        <f t="shared" si="219"/>
        <v>29744.146341463416</v>
      </c>
      <c r="AY255" s="308"/>
      <c r="AZ255" s="10"/>
      <c r="BA255" s="65">
        <f t="shared" si="220"/>
        <v>2172596</v>
      </c>
      <c r="BB255" s="66"/>
      <c r="BC255" s="66">
        <v>177156841</v>
      </c>
      <c r="BD255" s="66"/>
      <c r="BE255" s="66">
        <f t="shared" si="221"/>
        <v>204179</v>
      </c>
      <c r="BF255" s="66"/>
      <c r="BG255" s="144">
        <f t="shared" si="222"/>
        <v>9.3979276404817097E-2</v>
      </c>
      <c r="BH255" s="66"/>
      <c r="BI255" s="170"/>
      <c r="BJ255" s="66"/>
      <c r="BK255" s="66">
        <f t="shared" si="223"/>
        <v>12015103</v>
      </c>
      <c r="BL255" s="66"/>
      <c r="BM255" s="144">
        <f t="shared" si="224"/>
        <v>9.8629616408615062E-2</v>
      </c>
      <c r="BN255" s="65">
        <f t="shared" si="225"/>
        <v>720149.7601626016</v>
      </c>
      <c r="BO255" s="66"/>
      <c r="BP255" s="66">
        <f t="shared" si="226"/>
        <v>11803670</v>
      </c>
      <c r="BQ255" s="66"/>
      <c r="BR255" s="435">
        <f t="shared" si="227"/>
        <v>6.6628361249679316E-2</v>
      </c>
      <c r="BS255" s="66"/>
      <c r="BT255" s="75"/>
      <c r="BU255" s="170"/>
      <c r="BV255" s="1"/>
      <c r="BW255" s="61">
        <f t="shared" si="186"/>
        <v>246</v>
      </c>
    </row>
    <row r="256" spans="2:75" x14ac:dyDescent="0.3">
      <c r="B256" s="158">
        <f t="shared" si="161"/>
        <v>44156</v>
      </c>
      <c r="C256" s="61"/>
      <c r="D256" s="17">
        <v>172839</v>
      </c>
      <c r="E256" s="16"/>
      <c r="F256" s="16"/>
      <c r="G256" s="16"/>
      <c r="H256" s="16">
        <f t="shared" si="208"/>
        <v>12883487</v>
      </c>
      <c r="I256" s="16"/>
      <c r="J256" s="436">
        <f t="shared" si="209"/>
        <v>1.3597969198737941E-2</v>
      </c>
      <c r="K256" s="16"/>
      <c r="L256" s="16"/>
      <c r="M256" s="16"/>
      <c r="N256" s="16">
        <f t="shared" si="228"/>
        <v>1200631</v>
      </c>
      <c r="O256" s="16">
        <f t="shared" si="210"/>
        <v>52159.866396761136</v>
      </c>
      <c r="P256" s="41"/>
      <c r="Q256" s="17">
        <f t="shared" si="229"/>
        <v>1200631</v>
      </c>
      <c r="R256" s="16"/>
      <c r="S256" s="60">
        <f t="shared" si="230"/>
        <v>0.18957391050188499</v>
      </c>
      <c r="T256" s="16"/>
      <c r="U256" s="41"/>
      <c r="V256" s="10">
        <f t="shared" si="109"/>
        <v>148</v>
      </c>
      <c r="W256" s="34">
        <v>1460</v>
      </c>
      <c r="X256" s="33"/>
      <c r="Y256" s="33"/>
      <c r="Z256" s="33"/>
      <c r="AA256" s="33">
        <f t="shared" si="211"/>
        <v>263630</v>
      </c>
      <c r="AB256" s="33"/>
      <c r="AC256" s="46">
        <f t="shared" si="212"/>
        <v>2.0462627858436153E-2</v>
      </c>
      <c r="AD256" s="33"/>
      <c r="AE256" s="33">
        <f t="shared" si="213"/>
        <v>1067.3279352226721</v>
      </c>
      <c r="AF256" s="50"/>
      <c r="AG256" s="33">
        <f t="shared" si="214"/>
        <v>10420</v>
      </c>
      <c r="AH256" s="33">
        <f>SUM(D227:D908)</f>
        <v>1218866167.060914</v>
      </c>
      <c r="AI256" s="213">
        <f t="shared" si="215"/>
        <v>0.33350396723829023</v>
      </c>
      <c r="AJ256" s="50"/>
      <c r="AK256" s="10"/>
      <c r="AL256" s="23">
        <f t="shared" si="216"/>
        <v>86787</v>
      </c>
      <c r="AM256" s="24"/>
      <c r="AN256" s="24"/>
      <c r="AO256" s="24">
        <v>178263</v>
      </c>
      <c r="AP256" s="24">
        <v>7403847</v>
      </c>
      <c r="AQ256" s="24"/>
      <c r="AR256" s="461">
        <f t="shared" si="217"/>
        <v>1.1860911349640429E-2</v>
      </c>
      <c r="AS256" s="25"/>
      <c r="AT256" s="25"/>
      <c r="AU256" s="24"/>
      <c r="AV256" s="298">
        <f t="shared" si="218"/>
        <v>0.57467725934756642</v>
      </c>
      <c r="AW256" s="298"/>
      <c r="AX256" s="24">
        <f t="shared" si="219"/>
        <v>29975.08906882591</v>
      </c>
      <c r="AY256" s="308"/>
      <c r="AZ256" s="10"/>
      <c r="BA256" s="65">
        <f t="shared" si="220"/>
        <v>1882866</v>
      </c>
      <c r="BB256" s="66"/>
      <c r="BC256" s="66">
        <v>179039707</v>
      </c>
      <c r="BD256" s="66"/>
      <c r="BE256" s="66">
        <f t="shared" si="221"/>
        <v>172839</v>
      </c>
      <c r="BF256" s="66"/>
      <c r="BG256" s="144">
        <f t="shared" si="222"/>
        <v>9.1795698684877206E-2</v>
      </c>
      <c r="BH256" s="66"/>
      <c r="BI256" s="170"/>
      <c r="BJ256" s="66"/>
      <c r="BK256" s="66">
        <f t="shared" si="223"/>
        <v>12288223</v>
      </c>
      <c r="BL256" s="66"/>
      <c r="BM256" s="144">
        <f t="shared" si="224"/>
        <v>9.7705827766960282E-2</v>
      </c>
      <c r="BN256" s="65">
        <f t="shared" si="225"/>
        <v>724857.11336032394</v>
      </c>
      <c r="BO256" s="66"/>
      <c r="BP256" s="66">
        <f t="shared" si="226"/>
        <v>11976509</v>
      </c>
      <c r="BQ256" s="66"/>
      <c r="BR256" s="435">
        <f t="shared" si="227"/>
        <v>6.689303283991635E-2</v>
      </c>
      <c r="BS256" s="66"/>
      <c r="BT256" s="75"/>
      <c r="BU256" s="170"/>
      <c r="BV256" s="1"/>
      <c r="BW256" s="61">
        <f t="shared" si="186"/>
        <v>247</v>
      </c>
    </row>
    <row r="257" spans="2:75" x14ac:dyDescent="0.3">
      <c r="B257" s="347">
        <f t="shared" si="161"/>
        <v>44157</v>
      </c>
      <c r="C257" s="61"/>
      <c r="D257" s="17">
        <v>136627</v>
      </c>
      <c r="E257" s="16"/>
      <c r="F257" s="16"/>
      <c r="G257" s="16"/>
      <c r="H257" s="16">
        <f t="shared" si="208"/>
        <v>13020114</v>
      </c>
      <c r="I257" s="16"/>
      <c r="J257" s="436">
        <f t="shared" si="209"/>
        <v>1.0604815295734765E-2</v>
      </c>
      <c r="K257" s="16"/>
      <c r="L257" s="16"/>
      <c r="M257" s="16"/>
      <c r="N257" s="16">
        <f t="shared" si="228"/>
        <v>1199009</v>
      </c>
      <c r="O257" s="16">
        <f t="shared" si="210"/>
        <v>52500.459677419356</v>
      </c>
      <c r="P257" s="41"/>
      <c r="Q257" s="17">
        <f t="shared" si="229"/>
        <v>1199009</v>
      </c>
      <c r="R257" s="16"/>
      <c r="S257" s="60">
        <f t="shared" si="230"/>
        <v>0.14757689856032344</v>
      </c>
      <c r="T257" s="16"/>
      <c r="U257" s="41"/>
      <c r="V257" s="10">
        <f t="shared" si="109"/>
        <v>149</v>
      </c>
      <c r="W257" s="34">
        <v>866</v>
      </c>
      <c r="X257" s="33"/>
      <c r="Y257" s="33"/>
      <c r="Z257" s="33"/>
      <c r="AA257" s="33">
        <f t="shared" si="211"/>
        <v>264496</v>
      </c>
      <c r="AB257" s="33"/>
      <c r="AC257" s="46">
        <f t="shared" si="212"/>
        <v>2.0314415065797425E-2</v>
      </c>
      <c r="AD257" s="33"/>
      <c r="AE257" s="33">
        <f t="shared" si="213"/>
        <v>1066.516129032258</v>
      </c>
      <c r="AF257" s="50"/>
      <c r="AG257" s="33">
        <f t="shared" si="214"/>
        <v>10707</v>
      </c>
      <c r="AH257" s="33">
        <f>SUM(D228:D909)</f>
        <v>1218784753.060914</v>
      </c>
      <c r="AI257" s="213">
        <f t="shared" si="215"/>
        <v>0.35858393604872479</v>
      </c>
      <c r="AJ257" s="50"/>
      <c r="AK257" s="10"/>
      <c r="AL257" s="23">
        <f t="shared" si="216"/>
        <v>48693</v>
      </c>
      <c r="AM257" s="24"/>
      <c r="AN257" s="24"/>
      <c r="AO257" s="24">
        <v>178263</v>
      </c>
      <c r="AP257" s="24">
        <v>7452540</v>
      </c>
      <c r="AQ257" s="24"/>
      <c r="AR257" s="461">
        <f t="shared" si="217"/>
        <v>6.5767161314921824E-3</v>
      </c>
      <c r="AS257" s="25"/>
      <c r="AT257" s="25"/>
      <c r="AU257" s="24"/>
      <c r="AV257" s="298">
        <f t="shared" si="218"/>
        <v>0.57238669338839887</v>
      </c>
      <c r="AW257" s="298"/>
      <c r="AX257" s="24">
        <f t="shared" si="219"/>
        <v>30050.564516129034</v>
      </c>
      <c r="AY257" s="308"/>
      <c r="AZ257" s="10"/>
      <c r="BA257" s="65">
        <f t="shared" si="220"/>
        <v>1632877</v>
      </c>
      <c r="BB257" s="66"/>
      <c r="BC257" s="66">
        <v>180672584</v>
      </c>
      <c r="BD257" s="66"/>
      <c r="BE257" s="66">
        <f t="shared" si="221"/>
        <v>136627</v>
      </c>
      <c r="BF257" s="66"/>
      <c r="BG257" s="144">
        <f t="shared" si="222"/>
        <v>8.3672560762384426E-2</v>
      </c>
      <c r="BH257" s="66"/>
      <c r="BI257" s="170"/>
      <c r="BJ257" s="66"/>
      <c r="BK257" s="66">
        <f t="shared" si="223"/>
        <v>12516740</v>
      </c>
      <c r="BL257" s="66"/>
      <c r="BM257" s="144">
        <f t="shared" si="224"/>
        <v>9.5792434771354198E-2</v>
      </c>
      <c r="BN257" s="65">
        <f t="shared" si="225"/>
        <v>728518.48387096776</v>
      </c>
      <c r="BO257" s="66"/>
      <c r="BP257" s="66">
        <f t="shared" si="226"/>
        <v>12113136</v>
      </c>
      <c r="BQ257" s="66"/>
      <c r="BR257" s="435">
        <f t="shared" si="227"/>
        <v>6.7044682329887972E-2</v>
      </c>
      <c r="BS257" s="66"/>
      <c r="BT257" s="75"/>
      <c r="BU257" s="170"/>
      <c r="BV257" s="1"/>
      <c r="BW257" s="61">
        <f t="shared" si="186"/>
        <v>248</v>
      </c>
    </row>
    <row r="258" spans="2:75" x14ac:dyDescent="0.3">
      <c r="B258" s="158">
        <f t="shared" si="161"/>
        <v>44158</v>
      </c>
      <c r="C258" s="61"/>
      <c r="D258" s="17">
        <v>172300</v>
      </c>
      <c r="E258" s="16"/>
      <c r="F258" s="16"/>
      <c r="G258" s="16"/>
      <c r="H258" s="16">
        <f t="shared" si="208"/>
        <v>13192414</v>
      </c>
      <c r="I258" s="16"/>
      <c r="J258" s="436">
        <f t="shared" si="209"/>
        <v>1.323337107493836E-2</v>
      </c>
      <c r="K258" s="16"/>
      <c r="L258" s="16"/>
      <c r="M258" s="16"/>
      <c r="N258" s="16">
        <f t="shared" si="228"/>
        <v>1209160</v>
      </c>
      <c r="O258" s="16">
        <f t="shared" si="210"/>
        <v>52981.582329317273</v>
      </c>
      <c r="P258" s="41"/>
      <c r="Q258" s="17">
        <f t="shared" si="229"/>
        <v>1209160</v>
      </c>
      <c r="R258" s="16"/>
      <c r="S258" s="60">
        <f t="shared" si="230"/>
        <v>0.1182693072456852</v>
      </c>
      <c r="T258" s="16"/>
      <c r="U258" s="41"/>
      <c r="V258" s="10">
        <f t="shared" si="109"/>
        <v>150</v>
      </c>
      <c r="W258" s="34">
        <v>972</v>
      </c>
      <c r="X258" s="33"/>
      <c r="Y258" s="33"/>
      <c r="Z258" s="33"/>
      <c r="AA258" s="33">
        <f t="shared" si="211"/>
        <v>265468</v>
      </c>
      <c r="AB258" s="33"/>
      <c r="AC258" s="46">
        <f t="shared" si="212"/>
        <v>2.01227766199575E-2</v>
      </c>
      <c r="AD258" s="33"/>
      <c r="AE258" s="33">
        <f t="shared" si="213"/>
        <v>1066.136546184739</v>
      </c>
      <c r="AF258" s="50"/>
      <c r="AG258" s="33">
        <f t="shared" si="214"/>
        <v>10940</v>
      </c>
      <c r="AH258" s="33">
        <f>SUM(D229:D910)</f>
        <v>1218705304.060914</v>
      </c>
      <c r="AI258" s="213">
        <f t="shared" si="215"/>
        <v>0.37109913522997867</v>
      </c>
      <c r="AJ258" s="50"/>
      <c r="AK258" s="10"/>
      <c r="AL258" s="23">
        <f t="shared" si="216"/>
        <v>96474</v>
      </c>
      <c r="AM258" s="24"/>
      <c r="AN258" s="24"/>
      <c r="AO258" s="24">
        <v>178263</v>
      </c>
      <c r="AP258" s="24">
        <v>7549014</v>
      </c>
      <c r="AQ258" s="24"/>
      <c r="AR258" s="461">
        <f t="shared" si="217"/>
        <v>1.2945116698467905E-2</v>
      </c>
      <c r="AS258" s="25"/>
      <c r="AT258" s="25"/>
      <c r="AU258" s="24"/>
      <c r="AV258" s="298">
        <f t="shared" si="218"/>
        <v>0.57222385531563824</v>
      </c>
      <c r="AW258" s="298"/>
      <c r="AX258" s="24">
        <f t="shared" si="219"/>
        <v>30317.325301204819</v>
      </c>
      <c r="AY258" s="308"/>
      <c r="AZ258" s="10"/>
      <c r="BA258" s="65">
        <f t="shared" si="220"/>
        <v>1957711</v>
      </c>
      <c r="BB258" s="66"/>
      <c r="BC258" s="66">
        <v>182630295</v>
      </c>
      <c r="BD258" s="66"/>
      <c r="BE258" s="66">
        <f t="shared" si="221"/>
        <v>172300</v>
      </c>
      <c r="BF258" s="66"/>
      <c r="BG258" s="144">
        <f t="shared" si="222"/>
        <v>8.8010947478969065E-2</v>
      </c>
      <c r="BH258" s="66"/>
      <c r="BI258" s="170"/>
      <c r="BJ258" s="66"/>
      <c r="BK258" s="66">
        <f t="shared" si="223"/>
        <v>12494291</v>
      </c>
      <c r="BL258" s="66"/>
      <c r="BM258" s="144">
        <f t="shared" si="224"/>
        <v>9.6776999991436088E-2</v>
      </c>
      <c r="BN258" s="65">
        <f t="shared" si="225"/>
        <v>733455</v>
      </c>
      <c r="BO258" s="66"/>
      <c r="BP258" s="66">
        <f t="shared" si="226"/>
        <v>12285436</v>
      </c>
      <c r="BQ258" s="66"/>
      <c r="BR258" s="435">
        <f t="shared" si="227"/>
        <v>6.7269430846618294E-2</v>
      </c>
      <c r="BS258" s="66"/>
      <c r="BT258" s="75"/>
      <c r="BU258" s="170"/>
      <c r="BV258" s="1"/>
      <c r="BW258" s="61">
        <f t="shared" si="186"/>
        <v>249</v>
      </c>
    </row>
    <row r="259" spans="2:75" x14ac:dyDescent="0.3">
      <c r="B259" s="158">
        <f t="shared" si="161"/>
        <v>44159</v>
      </c>
      <c r="C259" s="61"/>
      <c r="D259" s="17">
        <v>177082</v>
      </c>
      <c r="E259" s="16"/>
      <c r="F259" s="16"/>
      <c r="G259" s="16"/>
      <c r="H259" s="16">
        <f t="shared" si="208"/>
        <v>13369496</v>
      </c>
      <c r="I259" s="16"/>
      <c r="J259" s="436">
        <f t="shared" si="209"/>
        <v>1.3423017197610687E-2</v>
      </c>
      <c r="K259" s="16"/>
      <c r="L259" s="16"/>
      <c r="M259" s="16"/>
      <c r="N259" s="16">
        <f t="shared" si="228"/>
        <v>1228981</v>
      </c>
      <c r="O259" s="16">
        <f t="shared" si="210"/>
        <v>53477.983999999997</v>
      </c>
      <c r="P259" s="41"/>
      <c r="Q259" s="17">
        <f t="shared" si="229"/>
        <v>1228981</v>
      </c>
      <c r="R259" s="16"/>
      <c r="S259" s="60">
        <f t="shared" si="230"/>
        <v>0.11433185297483149</v>
      </c>
      <c r="T259" s="16"/>
      <c r="U259" s="41"/>
      <c r="V259" s="10">
        <f t="shared" si="109"/>
        <v>151</v>
      </c>
      <c r="W259" s="34">
        <v>2216</v>
      </c>
      <c r="X259" s="33"/>
      <c r="Y259" s="33"/>
      <c r="Z259" s="33"/>
      <c r="AA259" s="33">
        <f t="shared" si="211"/>
        <v>267684</v>
      </c>
      <c r="AB259" s="33"/>
      <c r="AC259" s="46">
        <f t="shared" si="212"/>
        <v>2.0021996341522522E-2</v>
      </c>
      <c r="AD259" s="33"/>
      <c r="AE259" s="33">
        <f t="shared" si="213"/>
        <v>1070.7360000000001</v>
      </c>
      <c r="AF259" s="50"/>
      <c r="AG259" s="33">
        <f t="shared" si="214"/>
        <v>11541</v>
      </c>
      <c r="AH259" s="33">
        <f>SUM(D230:D911)</f>
        <v>1218644415.060914</v>
      </c>
      <c r="AI259" s="213">
        <f t="shared" si="215"/>
        <v>0.39924830261881666</v>
      </c>
      <c r="AJ259" s="50"/>
      <c r="AK259" s="10"/>
      <c r="AL259" s="23">
        <f t="shared" si="216"/>
        <v>87992</v>
      </c>
      <c r="AM259" s="24"/>
      <c r="AN259" s="24"/>
      <c r="AO259" s="24">
        <v>178263</v>
      </c>
      <c r="AP259" s="24">
        <v>7637006</v>
      </c>
      <c r="AQ259" s="24"/>
      <c r="AR259" s="461">
        <f t="shared" si="217"/>
        <v>1.165609177569415E-2</v>
      </c>
      <c r="AS259" s="25"/>
      <c r="AT259" s="25"/>
      <c r="AU259" s="24"/>
      <c r="AV259" s="298">
        <f t="shared" si="218"/>
        <v>0.57122617038069345</v>
      </c>
      <c r="AW259" s="298"/>
      <c r="AX259" s="24">
        <f t="shared" si="219"/>
        <v>30548.024000000001</v>
      </c>
      <c r="AY259" s="308"/>
      <c r="AZ259" s="10"/>
      <c r="BA259" s="65">
        <f t="shared" si="220"/>
        <v>1731520</v>
      </c>
      <c r="BB259" s="66"/>
      <c r="BC259" s="66">
        <v>184361815</v>
      </c>
      <c r="BD259" s="66"/>
      <c r="BE259" s="66">
        <f t="shared" si="221"/>
        <v>177082</v>
      </c>
      <c r="BF259" s="66"/>
      <c r="BG259" s="144">
        <f t="shared" si="222"/>
        <v>0.10226968212899649</v>
      </c>
      <c r="BH259" s="66"/>
      <c r="BI259" s="170"/>
      <c r="BJ259" s="66"/>
      <c r="BK259" s="66">
        <f t="shared" si="223"/>
        <v>12670124</v>
      </c>
      <c r="BL259" s="66"/>
      <c r="BM259" s="144">
        <f t="shared" si="224"/>
        <v>9.6998340347734566E-2</v>
      </c>
      <c r="BN259" s="65">
        <f t="shared" si="225"/>
        <v>737447.26</v>
      </c>
      <c r="BO259" s="66"/>
      <c r="BP259" s="66">
        <f t="shared" si="226"/>
        <v>12462518</v>
      </c>
      <c r="BQ259" s="66"/>
      <c r="BR259" s="435">
        <f t="shared" si="227"/>
        <v>6.7598152035984238E-2</v>
      </c>
      <c r="BS259" s="66"/>
      <c r="BT259" s="75"/>
      <c r="BU259" s="170"/>
      <c r="BV259" s="1"/>
      <c r="BW259" s="61">
        <f t="shared" si="186"/>
        <v>250</v>
      </c>
    </row>
    <row r="260" spans="2:75" x14ac:dyDescent="0.3">
      <c r="B260" s="158">
        <f t="shared" si="161"/>
        <v>44160</v>
      </c>
      <c r="C260" s="61"/>
      <c r="D260" s="17">
        <v>180903</v>
      </c>
      <c r="E260" s="16"/>
      <c r="F260" s="16"/>
      <c r="G260" s="16"/>
      <c r="H260" s="16">
        <f t="shared" si="208"/>
        <v>13550399</v>
      </c>
      <c r="I260" s="16"/>
      <c r="J260" s="436">
        <f t="shared" si="209"/>
        <v>1.35310261508736E-2</v>
      </c>
      <c r="K260" s="16"/>
      <c r="L260" s="16"/>
      <c r="M260" s="16"/>
      <c r="N260" s="16">
        <f t="shared" si="228"/>
        <v>1236116</v>
      </c>
      <c r="O260" s="16">
        <f t="shared" si="210"/>
        <v>53985.653386454185</v>
      </c>
      <c r="P260" s="41"/>
      <c r="Q260" s="17">
        <f t="shared" si="229"/>
        <v>1236116</v>
      </c>
      <c r="R260" s="16"/>
      <c r="S260" s="60">
        <f t="shared" si="230"/>
        <v>9.0291669753772438E-2</v>
      </c>
      <c r="T260" s="16"/>
      <c r="U260" s="41"/>
      <c r="V260" s="10">
        <f t="shared" si="109"/>
        <v>152</v>
      </c>
      <c r="W260" s="34">
        <v>2302</v>
      </c>
      <c r="X260" s="33"/>
      <c r="Y260" s="33"/>
      <c r="Z260" s="33"/>
      <c r="AA260" s="33">
        <f t="shared" si="211"/>
        <v>269986</v>
      </c>
      <c r="AB260" s="33"/>
      <c r="AC260" s="46">
        <f t="shared" si="212"/>
        <v>1.9924579342645188E-2</v>
      </c>
      <c r="AD260" s="33"/>
      <c r="AE260" s="33">
        <f t="shared" si="213"/>
        <v>1075.6414342629482</v>
      </c>
      <c r="AF260" s="50"/>
      <c r="AG260" s="33">
        <f t="shared" si="214"/>
        <v>11879</v>
      </c>
      <c r="AH260" s="33">
        <f>SUM(D231:D912)</f>
        <v>1218574574.060914</v>
      </c>
      <c r="AI260" s="213">
        <f t="shared" si="215"/>
        <v>0.35884237016700982</v>
      </c>
      <c r="AJ260" s="50"/>
      <c r="AK260" s="10"/>
      <c r="AL260" s="23">
        <f t="shared" si="216"/>
        <v>168274</v>
      </c>
      <c r="AM260" s="24"/>
      <c r="AN260" s="24"/>
      <c r="AO260" s="24">
        <v>178263</v>
      </c>
      <c r="AP260" s="24">
        <v>7805280</v>
      </c>
      <c r="AQ260" s="24"/>
      <c r="AR260" s="461">
        <f t="shared" si="217"/>
        <v>2.2034027470974882E-2</v>
      </c>
      <c r="AS260" s="25"/>
      <c r="AT260" s="25"/>
      <c r="AU260" s="24"/>
      <c r="AV260" s="298">
        <f t="shared" si="218"/>
        <v>0.57601846262977197</v>
      </c>
      <c r="AW260" s="298"/>
      <c r="AX260" s="24">
        <f t="shared" si="219"/>
        <v>31096.733067729085</v>
      </c>
      <c r="AY260" s="308"/>
      <c r="AZ260" s="10"/>
      <c r="BA260" s="65">
        <f t="shared" si="220"/>
        <v>1743927</v>
      </c>
      <c r="BB260" s="66"/>
      <c r="BC260" s="66">
        <v>186105742</v>
      </c>
      <c r="BD260" s="66"/>
      <c r="BE260" s="66">
        <f t="shared" si="221"/>
        <v>180903</v>
      </c>
      <c r="BF260" s="66"/>
      <c r="BG260" s="144">
        <f t="shared" si="222"/>
        <v>0.10373312644393945</v>
      </c>
      <c r="BH260" s="66"/>
      <c r="BI260" s="170"/>
      <c r="BJ260" s="66"/>
      <c r="BK260" s="66">
        <f t="shared" si="223"/>
        <v>12869913</v>
      </c>
      <c r="BL260" s="66"/>
      <c r="BM260" s="144">
        <f t="shared" si="224"/>
        <v>9.6046958514793376E-2</v>
      </c>
      <c r="BN260" s="65">
        <f t="shared" si="225"/>
        <v>741457.13944223104</v>
      </c>
      <c r="BO260" s="66"/>
      <c r="BP260" s="66">
        <f t="shared" si="226"/>
        <v>12643421</v>
      </c>
      <c r="BQ260" s="66"/>
      <c r="BR260" s="435">
        <f t="shared" si="227"/>
        <v>6.793675930751239E-2</v>
      </c>
      <c r="BS260" s="66"/>
      <c r="BT260" s="75"/>
      <c r="BU260" s="170"/>
      <c r="BV260" s="1"/>
      <c r="BW260" s="61">
        <f t="shared" si="186"/>
        <v>251</v>
      </c>
    </row>
    <row r="261" spans="2:75" x14ac:dyDescent="0.3">
      <c r="B261" s="158">
        <f t="shared" si="161"/>
        <v>44161</v>
      </c>
      <c r="C261" s="61"/>
      <c r="D261" s="17">
        <v>108063</v>
      </c>
      <c r="E261" s="16"/>
      <c r="F261" s="16"/>
      <c r="G261" s="16"/>
      <c r="H261" s="16">
        <f t="shared" si="208"/>
        <v>13658462</v>
      </c>
      <c r="I261" s="16"/>
      <c r="J261" s="436">
        <f t="shared" si="209"/>
        <v>7.9748943186101016E-3</v>
      </c>
      <c r="K261" s="16"/>
      <c r="L261" s="16"/>
      <c r="M261" s="16"/>
      <c r="N261" s="16">
        <f t="shared" si="228"/>
        <v>1151993</v>
      </c>
      <c r="O261" s="16">
        <f t="shared" si="210"/>
        <v>54200.246031746028</v>
      </c>
      <c r="P261" s="41"/>
      <c r="Q261" s="17">
        <f t="shared" si="229"/>
        <v>1151993</v>
      </c>
      <c r="R261" s="16"/>
      <c r="S261" s="60">
        <f t="shared" si="230"/>
        <v>-1.0649325442526707E-2</v>
      </c>
      <c r="T261" s="16"/>
      <c r="U261" s="41"/>
      <c r="V261" s="10">
        <f t="shared" si="109"/>
        <v>153</v>
      </c>
      <c r="W261" s="34">
        <v>1306</v>
      </c>
      <c r="X261" s="33"/>
      <c r="Y261" s="33"/>
      <c r="Z261" s="33"/>
      <c r="AA261" s="33">
        <f t="shared" si="211"/>
        <v>271292</v>
      </c>
      <c r="AB261" s="33"/>
      <c r="AC261" s="46">
        <f t="shared" si="212"/>
        <v>1.9862558463756754E-2</v>
      </c>
      <c r="AD261" s="33"/>
      <c r="AE261" s="33">
        <f t="shared" si="213"/>
        <v>1076.5555555555557</v>
      </c>
      <c r="AF261" s="50"/>
      <c r="AG261" s="33">
        <f t="shared" si="214"/>
        <v>11120</v>
      </c>
      <c r="AH261" s="33">
        <f>SUM(D232:D913)</f>
        <v>1218499502.060914</v>
      </c>
      <c r="AI261" s="213">
        <f t="shared" si="215"/>
        <v>0.15628574399500883</v>
      </c>
      <c r="AJ261" s="50"/>
      <c r="AK261" s="10"/>
      <c r="AL261" s="23">
        <f t="shared" si="216"/>
        <v>41592</v>
      </c>
      <c r="AM261" s="24"/>
      <c r="AN261" s="24"/>
      <c r="AO261" s="24">
        <v>178263</v>
      </c>
      <c r="AP261" s="24">
        <v>7846872</v>
      </c>
      <c r="AQ261" s="24"/>
      <c r="AR261" s="461">
        <f t="shared" si="217"/>
        <v>5.3287005719205461E-3</v>
      </c>
      <c r="AS261" s="25"/>
      <c r="AT261" s="25"/>
      <c r="AU261" s="24"/>
      <c r="AV261" s="298">
        <f t="shared" si="218"/>
        <v>0.57450626578600139</v>
      </c>
      <c r="AW261" s="298"/>
      <c r="AX261" s="24">
        <f t="shared" si="219"/>
        <v>31138.380952380954</v>
      </c>
      <c r="AY261" s="308"/>
      <c r="AZ261" s="10"/>
      <c r="BA261" s="65">
        <f t="shared" si="220"/>
        <v>1036887</v>
      </c>
      <c r="BB261" s="66"/>
      <c r="BC261" s="66">
        <v>187142629</v>
      </c>
      <c r="BD261" s="66"/>
      <c r="BE261" s="66">
        <f t="shared" si="221"/>
        <v>108063</v>
      </c>
      <c r="BF261" s="66"/>
      <c r="BG261" s="144">
        <f t="shared" si="222"/>
        <v>0.10421868535337023</v>
      </c>
      <c r="BH261" s="66"/>
      <c r="BI261" s="170"/>
      <c r="BJ261" s="66"/>
      <c r="BK261" s="66">
        <f t="shared" si="223"/>
        <v>12158384</v>
      </c>
      <c r="BL261" s="66"/>
      <c r="BM261" s="144">
        <f t="shared" si="224"/>
        <v>9.4748858071927983E-2</v>
      </c>
      <c r="BN261" s="65">
        <f t="shared" si="225"/>
        <v>742629.48015873018</v>
      </c>
      <c r="BO261" s="66"/>
      <c r="BP261" s="66">
        <f t="shared" si="226"/>
        <v>12751484</v>
      </c>
      <c r="BQ261" s="66"/>
      <c r="BR261" s="435">
        <f t="shared" si="227"/>
        <v>6.8137783829038762E-2</v>
      </c>
      <c r="BS261" s="66"/>
      <c r="BT261" s="75"/>
      <c r="BU261" s="170"/>
      <c r="BV261" s="1"/>
      <c r="BW261" s="61">
        <f t="shared" si="186"/>
        <v>252</v>
      </c>
    </row>
    <row r="262" spans="2:75" x14ac:dyDescent="0.3">
      <c r="B262" s="158">
        <f t="shared" si="161"/>
        <v>44162</v>
      </c>
      <c r="C262" s="61"/>
      <c r="D262" s="17">
        <v>164012</v>
      </c>
      <c r="E262" s="16"/>
      <c r="F262" s="16"/>
      <c r="G262" s="16"/>
      <c r="H262" s="16">
        <f t="shared" ref="H262:H293" si="231">+H261+D262</f>
        <v>13822474</v>
      </c>
      <c r="I262" s="16"/>
      <c r="J262" s="436">
        <f t="shared" ref="J262:J293" si="232">+D262/H261</f>
        <v>1.2008087001303661E-2</v>
      </c>
      <c r="K262" s="16"/>
      <c r="L262" s="16"/>
      <c r="M262" s="16"/>
      <c r="N262" s="16">
        <f t="shared" si="228"/>
        <v>1111826</v>
      </c>
      <c r="O262" s="16">
        <f t="shared" ref="O262:O293" si="233">+H262/BW262</f>
        <v>54634.28458498024</v>
      </c>
      <c r="P262" s="41"/>
      <c r="Q262" s="17">
        <f t="shared" si="229"/>
        <v>1111826</v>
      </c>
      <c r="R262" s="16"/>
      <c r="S262" s="60">
        <f t="shared" si="230"/>
        <v>-6.1785839356311364E-2</v>
      </c>
      <c r="T262" s="16"/>
      <c r="U262" s="41"/>
      <c r="V262" s="10">
        <f t="shared" si="109"/>
        <v>154</v>
      </c>
      <c r="W262" s="34">
        <v>1364</v>
      </c>
      <c r="X262" s="33"/>
      <c r="Y262" s="33"/>
      <c r="Z262" s="33"/>
      <c r="AA262" s="33">
        <f t="shared" ref="AA262:AA293" si="234">+AA261+W262</f>
        <v>272656</v>
      </c>
      <c r="AB262" s="33"/>
      <c r="AC262" s="46">
        <f t="shared" ref="AC262:AC293" si="235">+AA262/H262</f>
        <v>1.9725557089128907E-2</v>
      </c>
      <c r="AD262" s="33"/>
      <c r="AE262" s="33">
        <f t="shared" ref="AE262:AE293" si="236">+AA262/BW262</f>
        <v>1077.691699604743</v>
      </c>
      <c r="AF262" s="50"/>
      <c r="AG262" s="33">
        <f t="shared" ref="AG262:AG293" si="237">SUM(W256:W262)</f>
        <v>10486</v>
      </c>
      <c r="AH262" s="33">
        <f>SUM(D233:D914)</f>
        <v>1218417921.060914</v>
      </c>
      <c r="AI262" s="213">
        <f t="shared" ref="AI262:AI293" si="238">+(AG262-AG255)/AG255</f>
        <v>2.6027397260273973E-2</v>
      </c>
      <c r="AJ262" s="50"/>
      <c r="AK262" s="10"/>
      <c r="AL262" s="23">
        <f t="shared" ref="AL262:AL293" si="239">+AP262-AP261</f>
        <v>98710</v>
      </c>
      <c r="AM262" s="24"/>
      <c r="AN262" s="24"/>
      <c r="AO262" s="24">
        <v>178263</v>
      </c>
      <c r="AP262" s="24">
        <v>7945582</v>
      </c>
      <c r="AQ262" s="24"/>
      <c r="AR262" s="461">
        <f t="shared" ref="AR262:AR293" si="240">+AL262/AP261</f>
        <v>1.2579534877082231E-2</v>
      </c>
      <c r="AS262" s="25"/>
      <c r="AT262" s="25"/>
      <c r="AU262" s="24"/>
      <c r="AV262" s="298">
        <f t="shared" ref="AV262:AV293" si="241">+AP262/H262</f>
        <v>0.57483067068890847</v>
      </c>
      <c r="AW262" s="298"/>
      <c r="AX262" s="24">
        <f t="shared" ref="AX262:AX293" si="242">+AP262/BW262</f>
        <v>31405.462450592884</v>
      </c>
      <c r="AY262" s="308"/>
      <c r="AZ262" s="10"/>
      <c r="BA262" s="65">
        <f t="shared" ref="BA262:BA293" si="243">+BC262-BC261</f>
        <v>2146376</v>
      </c>
      <c r="BB262" s="66"/>
      <c r="BC262" s="66">
        <v>189289005</v>
      </c>
      <c r="BD262" s="66"/>
      <c r="BE262" s="66">
        <f t="shared" ref="BE262:BE293" si="244">+D262</f>
        <v>164012</v>
      </c>
      <c r="BF262" s="66"/>
      <c r="BG262" s="144">
        <f t="shared" ref="BG262:BG293" si="245">+BE262/BA262</f>
        <v>7.6413452256268236E-2</v>
      </c>
      <c r="BH262" s="66"/>
      <c r="BI262" s="170"/>
      <c r="BJ262" s="66"/>
      <c r="BK262" s="66">
        <f t="shared" ref="BK262:BK293" si="246">SUM(BA256:BA262)</f>
        <v>12132164</v>
      </c>
      <c r="BL262" s="66"/>
      <c r="BM262" s="144">
        <f t="shared" ref="BM262:BM293" si="247">+Q262/BK262</f>
        <v>9.1642842942116512E-2</v>
      </c>
      <c r="BN262" s="65">
        <f t="shared" ref="BN262:BN293" si="248">+BC262/BW262</f>
        <v>748177.88537549402</v>
      </c>
      <c r="BO262" s="66"/>
      <c r="BP262" s="66">
        <f t="shared" ref="BP262:BP293" si="249">+BP261+BE262</f>
        <v>12915496</v>
      </c>
      <c r="BQ262" s="66"/>
      <c r="BR262" s="435">
        <f t="shared" ref="BR262:BR297" si="250">+BP262/BC262</f>
        <v>6.823162285627736E-2</v>
      </c>
      <c r="BS262" s="66"/>
      <c r="BT262" s="75"/>
      <c r="BU262" s="170"/>
      <c r="BV262" s="1"/>
      <c r="BW262" s="61">
        <f t="shared" si="186"/>
        <v>253</v>
      </c>
    </row>
    <row r="263" spans="2:75" x14ac:dyDescent="0.3">
      <c r="B263" s="158">
        <f t="shared" si="161"/>
        <v>44163</v>
      </c>
      <c r="C263" s="61"/>
      <c r="D263" s="17">
        <v>143373</v>
      </c>
      <c r="E263" s="16"/>
      <c r="F263" s="16"/>
      <c r="G263" s="16"/>
      <c r="H263" s="16">
        <f t="shared" si="231"/>
        <v>13965847</v>
      </c>
      <c r="I263" s="16"/>
      <c r="J263" s="436">
        <f t="shared" si="232"/>
        <v>1.0372455755749658E-2</v>
      </c>
      <c r="K263" s="16"/>
      <c r="L263" s="16"/>
      <c r="M263" s="16"/>
      <c r="N263" s="16">
        <f t="shared" si="228"/>
        <v>1082360</v>
      </c>
      <c r="O263" s="16">
        <f t="shared" si="233"/>
        <v>54983.649606299216</v>
      </c>
      <c r="P263" s="41"/>
      <c r="Q263" s="17">
        <f t="shared" si="229"/>
        <v>1082360</v>
      </c>
      <c r="R263" s="16"/>
      <c r="S263" s="60">
        <f t="shared" si="230"/>
        <v>-9.8507368208883492E-2</v>
      </c>
      <c r="T263" s="16"/>
      <c r="U263" s="41"/>
      <c r="V263" s="10">
        <f t="shared" si="109"/>
        <v>155</v>
      </c>
      <c r="W263" s="34">
        <v>1216</v>
      </c>
      <c r="X263" s="33"/>
      <c r="Y263" s="33"/>
      <c r="Z263" s="33"/>
      <c r="AA263" s="33">
        <f t="shared" si="234"/>
        <v>273872</v>
      </c>
      <c r="AB263" s="33"/>
      <c r="AC263" s="46">
        <f t="shared" si="235"/>
        <v>1.9610124613279812E-2</v>
      </c>
      <c r="AD263" s="33"/>
      <c r="AE263" s="33">
        <f t="shared" si="236"/>
        <v>1078.2362204724409</v>
      </c>
      <c r="AF263" s="50"/>
      <c r="AG263" s="33">
        <f t="shared" si="237"/>
        <v>10242</v>
      </c>
      <c r="AH263" s="33">
        <f>SUM(D234:D915)</f>
        <v>1218326391.060914</v>
      </c>
      <c r="AI263" s="213">
        <f t="shared" si="238"/>
        <v>-1.708253358925144E-2</v>
      </c>
      <c r="AJ263" s="50"/>
      <c r="AK263" s="10"/>
      <c r="AL263" s="23">
        <f t="shared" si="239"/>
        <v>95657</v>
      </c>
      <c r="AM263" s="24"/>
      <c r="AN263" s="24"/>
      <c r="AO263" s="24">
        <v>178263</v>
      </c>
      <c r="AP263" s="24">
        <v>8041239</v>
      </c>
      <c r="AQ263" s="24"/>
      <c r="AR263" s="461">
        <f t="shared" si="240"/>
        <v>1.203901740615099E-2</v>
      </c>
      <c r="AS263" s="25"/>
      <c r="AT263" s="25"/>
      <c r="AU263" s="24"/>
      <c r="AV263" s="298">
        <f t="shared" si="241"/>
        <v>0.57577882673353076</v>
      </c>
      <c r="AW263" s="298"/>
      <c r="AX263" s="24">
        <f t="shared" si="242"/>
        <v>31658.421259842518</v>
      </c>
      <c r="AY263" s="308"/>
      <c r="AZ263" s="10"/>
      <c r="BA263" s="65">
        <f t="shared" si="243"/>
        <v>1744219</v>
      </c>
      <c r="BB263" s="66"/>
      <c r="BC263" s="66">
        <v>191033224</v>
      </c>
      <c r="BD263" s="66"/>
      <c r="BE263" s="66">
        <f t="shared" si="244"/>
        <v>143373</v>
      </c>
      <c r="BF263" s="66"/>
      <c r="BG263" s="144">
        <f t="shared" si="245"/>
        <v>8.2198966987517053E-2</v>
      </c>
      <c r="BH263" s="66"/>
      <c r="BI263" s="170"/>
      <c r="BJ263" s="66"/>
      <c r="BK263" s="66">
        <f t="shared" si="246"/>
        <v>11993517</v>
      </c>
      <c r="BL263" s="66"/>
      <c r="BM263" s="144">
        <f t="shared" si="247"/>
        <v>9.0245421755770217E-2</v>
      </c>
      <c r="BN263" s="65">
        <f t="shared" si="248"/>
        <v>752099.30708661419</v>
      </c>
      <c r="BO263" s="66"/>
      <c r="BP263" s="66">
        <f t="shared" si="249"/>
        <v>13058869</v>
      </c>
      <c r="BQ263" s="66"/>
      <c r="BR263" s="435">
        <f t="shared" si="250"/>
        <v>6.8359150971560839E-2</v>
      </c>
      <c r="BS263" s="66"/>
      <c r="BT263" s="75"/>
      <c r="BU263" s="170"/>
      <c r="BV263" s="1"/>
      <c r="BW263" s="61">
        <f t="shared" si="186"/>
        <v>254</v>
      </c>
    </row>
    <row r="264" spans="2:75" x14ac:dyDescent="0.3">
      <c r="B264" s="347">
        <f t="shared" si="161"/>
        <v>44164</v>
      </c>
      <c r="C264" s="61"/>
      <c r="D264" s="17">
        <v>138188</v>
      </c>
      <c r="E264" s="16"/>
      <c r="F264" s="16"/>
      <c r="G264" s="16"/>
      <c r="H264" s="16">
        <f t="shared" si="231"/>
        <v>14104035</v>
      </c>
      <c r="I264" s="16"/>
      <c r="J264" s="436">
        <f t="shared" si="232"/>
        <v>9.8947095725737226E-3</v>
      </c>
      <c r="K264" s="16"/>
      <c r="L264" s="16"/>
      <c r="M264" s="16"/>
      <c r="N264" s="16">
        <f t="shared" si="228"/>
        <v>1083921</v>
      </c>
      <c r="O264" s="16">
        <f t="shared" si="233"/>
        <v>55309.941176470587</v>
      </c>
      <c r="P264" s="41"/>
      <c r="Q264" s="17">
        <f t="shared" si="229"/>
        <v>1083921</v>
      </c>
      <c r="R264" s="16"/>
      <c r="S264" s="60">
        <f t="shared" si="230"/>
        <v>-9.5985935051363255E-2</v>
      </c>
      <c r="T264" s="16"/>
      <c r="U264" s="41"/>
      <c r="V264" s="10">
        <f t="shared" si="109"/>
        <v>156</v>
      </c>
      <c r="W264" s="34">
        <v>819</v>
      </c>
      <c r="X264" s="33"/>
      <c r="Y264" s="33"/>
      <c r="Z264" s="33"/>
      <c r="AA264" s="33">
        <f t="shared" si="234"/>
        <v>274691</v>
      </c>
      <c r="AB264" s="33"/>
      <c r="AC264" s="46">
        <f t="shared" si="235"/>
        <v>1.947605773808701E-2</v>
      </c>
      <c r="AD264" s="33"/>
      <c r="AE264" s="33">
        <f t="shared" si="236"/>
        <v>1077.2196078431373</v>
      </c>
      <c r="AF264" s="50"/>
      <c r="AG264" s="33">
        <f t="shared" si="237"/>
        <v>10195</v>
      </c>
      <c r="AH264" s="33">
        <f>SUM(D235:D916)</f>
        <v>1218224930.060914</v>
      </c>
      <c r="AI264" s="213">
        <f t="shared" si="238"/>
        <v>-4.7819183711590552E-2</v>
      </c>
      <c r="AJ264" s="50"/>
      <c r="AK264" s="10"/>
      <c r="AL264" s="23">
        <f t="shared" si="239"/>
        <v>65964</v>
      </c>
      <c r="AM264" s="24"/>
      <c r="AN264" s="24"/>
      <c r="AO264" s="24">
        <v>178263</v>
      </c>
      <c r="AP264" s="24">
        <v>8107203</v>
      </c>
      <c r="AQ264" s="24"/>
      <c r="AR264" s="461">
        <f t="shared" si="240"/>
        <v>8.2032134600153028E-3</v>
      </c>
      <c r="AS264" s="25"/>
      <c r="AT264" s="25"/>
      <c r="AU264" s="24"/>
      <c r="AV264" s="298">
        <f t="shared" si="241"/>
        <v>0.57481444139921656</v>
      </c>
      <c r="AW264" s="298"/>
      <c r="AX264" s="24">
        <f t="shared" si="242"/>
        <v>31792.952941176471</v>
      </c>
      <c r="AY264" s="308"/>
      <c r="AZ264" s="10"/>
      <c r="BA264" s="65">
        <f t="shared" si="243"/>
        <v>1238144</v>
      </c>
      <c r="BB264" s="66"/>
      <c r="BC264" s="66">
        <v>192271368</v>
      </c>
      <c r="BD264" s="66"/>
      <c r="BE264" s="66">
        <f t="shared" si="244"/>
        <v>138188</v>
      </c>
      <c r="BF264" s="66"/>
      <c r="BG264" s="144">
        <f t="shared" si="245"/>
        <v>0.11160898893828182</v>
      </c>
      <c r="BH264" s="66"/>
      <c r="BI264" s="170"/>
      <c r="BJ264" s="66"/>
      <c r="BK264" s="66">
        <f t="shared" si="246"/>
        <v>11598784</v>
      </c>
      <c r="BL264" s="66"/>
      <c r="BM264" s="144">
        <f t="shared" si="247"/>
        <v>9.3451261787442549E-2</v>
      </c>
      <c r="BN264" s="65">
        <f t="shared" si="248"/>
        <v>754005.36470588238</v>
      </c>
      <c r="BO264" s="66"/>
      <c r="BP264" s="66">
        <f t="shared" si="249"/>
        <v>13197057</v>
      </c>
      <c r="BQ264" s="66"/>
      <c r="BR264" s="435">
        <f t="shared" si="250"/>
        <v>6.8637661120713511E-2</v>
      </c>
      <c r="BS264" s="66"/>
      <c r="BT264" s="75"/>
      <c r="BU264" s="170"/>
      <c r="BV264" s="1"/>
      <c r="BW264" s="61">
        <f t="shared" si="186"/>
        <v>255</v>
      </c>
    </row>
    <row r="265" spans="2:75" x14ac:dyDescent="0.3">
      <c r="B265" s="158">
        <f t="shared" si="161"/>
        <v>44165</v>
      </c>
      <c r="C265" s="61"/>
      <c r="D265" s="17">
        <v>161568</v>
      </c>
      <c r="E265" s="16"/>
      <c r="F265" s="16"/>
      <c r="G265" s="16"/>
      <c r="H265" s="16">
        <f t="shared" si="231"/>
        <v>14265603</v>
      </c>
      <c r="I265" s="16"/>
      <c r="J265" s="436">
        <f t="shared" si="232"/>
        <v>1.1455445197065947E-2</v>
      </c>
      <c r="K265" s="16"/>
      <c r="L265" s="16"/>
      <c r="M265" s="16"/>
      <c r="N265" s="16">
        <f t="shared" si="228"/>
        <v>1073189</v>
      </c>
      <c r="O265" s="16">
        <f t="shared" si="233"/>
        <v>55725.01171875</v>
      </c>
      <c r="P265" s="41"/>
      <c r="Q265" s="17">
        <f t="shared" si="229"/>
        <v>1073189</v>
      </c>
      <c r="R265" s="16"/>
      <c r="S265" s="60">
        <f t="shared" si="230"/>
        <v>-0.1124507922855536</v>
      </c>
      <c r="T265" s="16"/>
      <c r="U265" s="41"/>
      <c r="V265" s="10">
        <f t="shared" si="109"/>
        <v>157</v>
      </c>
      <c r="W265" s="34">
        <v>1238</v>
      </c>
      <c r="X265" s="33"/>
      <c r="Y265" s="33"/>
      <c r="Z265" s="33"/>
      <c r="AA265" s="33">
        <f t="shared" si="234"/>
        <v>275929</v>
      </c>
      <c r="AB265" s="33"/>
      <c r="AC265" s="46">
        <f t="shared" si="235"/>
        <v>1.9342259839980124E-2</v>
      </c>
      <c r="AD265" s="33"/>
      <c r="AE265" s="33">
        <f t="shared" si="236"/>
        <v>1077.84765625</v>
      </c>
      <c r="AF265" s="50"/>
      <c r="AG265" s="33">
        <f t="shared" si="237"/>
        <v>10461</v>
      </c>
      <c r="AH265" s="33">
        <f>SUM(D236:D917)</f>
        <v>1218138637.060914</v>
      </c>
      <c r="AI265" s="213">
        <f t="shared" si="238"/>
        <v>-4.3784277879341867E-2</v>
      </c>
      <c r="AJ265" s="50"/>
      <c r="AK265" s="10"/>
      <c r="AL265" s="23">
        <f t="shared" si="239"/>
        <v>115676</v>
      </c>
      <c r="AM265" s="24"/>
      <c r="AN265" s="24"/>
      <c r="AO265" s="24">
        <v>178263</v>
      </c>
      <c r="AP265" s="24">
        <v>8222879</v>
      </c>
      <c r="AQ265" s="24"/>
      <c r="AR265" s="461">
        <f t="shared" si="240"/>
        <v>1.4268299436932811E-2</v>
      </c>
      <c r="AS265" s="25"/>
      <c r="AT265" s="25"/>
      <c r="AU265" s="24"/>
      <c r="AV265" s="298">
        <f t="shared" si="241"/>
        <v>0.57641299845509508</v>
      </c>
      <c r="AW265" s="298"/>
      <c r="AX265" s="24">
        <f t="shared" si="242"/>
        <v>32120.62109375</v>
      </c>
      <c r="AY265" s="308"/>
      <c r="AZ265" s="10"/>
      <c r="BA265" s="65">
        <f t="shared" si="243"/>
        <v>2637381</v>
      </c>
      <c r="BB265" s="66"/>
      <c r="BC265" s="66">
        <v>194908749</v>
      </c>
      <c r="BD265" s="66"/>
      <c r="BE265" s="66">
        <f t="shared" si="244"/>
        <v>161568</v>
      </c>
      <c r="BF265" s="66"/>
      <c r="BG265" s="144">
        <f t="shared" si="245"/>
        <v>6.1260773471864705E-2</v>
      </c>
      <c r="BH265" s="66"/>
      <c r="BI265" s="170"/>
      <c r="BJ265" s="66"/>
      <c r="BK265" s="66">
        <f t="shared" si="246"/>
        <v>12278454</v>
      </c>
      <c r="BL265" s="66"/>
      <c r="BM265" s="144">
        <f t="shared" si="247"/>
        <v>8.7404244866658293E-2</v>
      </c>
      <c r="BN265" s="65">
        <f t="shared" si="248"/>
        <v>761362.30078125</v>
      </c>
      <c r="BO265" s="66"/>
      <c r="BP265" s="66">
        <f t="shared" si="249"/>
        <v>13358625</v>
      </c>
      <c r="BQ265" s="66"/>
      <c r="BR265" s="435">
        <f t="shared" si="250"/>
        <v>6.8537841777436062E-2</v>
      </c>
      <c r="BS265" s="66"/>
      <c r="BT265" s="75"/>
      <c r="BU265" s="170"/>
      <c r="BV265" s="1"/>
      <c r="BW265" s="61">
        <f t="shared" si="186"/>
        <v>256</v>
      </c>
    </row>
    <row r="266" spans="2:75" x14ac:dyDescent="0.3">
      <c r="B266" s="158">
        <f t="shared" si="161"/>
        <v>44166</v>
      </c>
      <c r="C266" s="61"/>
      <c r="D266" s="17">
        <v>182276</v>
      </c>
      <c r="E266" s="16"/>
      <c r="F266" s="16"/>
      <c r="G266" s="16"/>
      <c r="H266" s="16">
        <f t="shared" si="231"/>
        <v>14447879</v>
      </c>
      <c r="I266" s="16"/>
      <c r="J266" s="436">
        <f t="shared" si="232"/>
        <v>1.2777307766100037E-2</v>
      </c>
      <c r="K266" s="16"/>
      <c r="L266" s="16"/>
      <c r="M266" s="16"/>
      <c r="N266" s="16">
        <f t="shared" si="228"/>
        <v>1078383</v>
      </c>
      <c r="O266" s="16">
        <f t="shared" si="233"/>
        <v>56217.428015564205</v>
      </c>
      <c r="P266" s="41"/>
      <c r="Q266" s="17">
        <f t="shared" si="229"/>
        <v>1078383</v>
      </c>
      <c r="R266" s="16"/>
      <c r="S266" s="60">
        <f t="shared" si="230"/>
        <v>-0.12253891638682779</v>
      </c>
      <c r="T266" s="16"/>
      <c r="U266" s="41"/>
      <c r="V266" s="10">
        <f t="shared" si="109"/>
        <v>158</v>
      </c>
      <c r="W266" s="34">
        <v>2614</v>
      </c>
      <c r="X266" s="33"/>
      <c r="Y266" s="33"/>
      <c r="Z266" s="33"/>
      <c r="AA266" s="33">
        <f t="shared" si="234"/>
        <v>278543</v>
      </c>
      <c r="AB266" s="33"/>
      <c r="AC266" s="46">
        <f t="shared" si="235"/>
        <v>1.9279162014022959E-2</v>
      </c>
      <c r="AD266" s="33"/>
      <c r="AE266" s="33">
        <f t="shared" si="236"/>
        <v>1083.8249027237355</v>
      </c>
      <c r="AF266" s="50"/>
      <c r="AG266" s="33">
        <f t="shared" si="237"/>
        <v>10859</v>
      </c>
      <c r="AH266" s="33">
        <f>SUM(D237:D918)</f>
        <v>1218067316.060914</v>
      </c>
      <c r="AI266" s="213">
        <f t="shared" si="238"/>
        <v>-5.9093666060133436E-2</v>
      </c>
      <c r="AJ266" s="50"/>
      <c r="AK266" s="10"/>
      <c r="AL266" s="23">
        <f t="shared" si="239"/>
        <v>110376</v>
      </c>
      <c r="AM266" s="24"/>
      <c r="AN266" s="24"/>
      <c r="AO266" s="24">
        <v>178263</v>
      </c>
      <c r="AP266" s="24">
        <v>8333255</v>
      </c>
      <c r="AQ266" s="24"/>
      <c r="AR266" s="461">
        <f t="shared" si="240"/>
        <v>1.3423035897767679E-2</v>
      </c>
      <c r="AS266" s="25"/>
      <c r="AT266" s="25"/>
      <c r="AU266" s="24"/>
      <c r="AV266" s="298">
        <f t="shared" si="241"/>
        <v>0.57678050875149223</v>
      </c>
      <c r="AW266" s="298"/>
      <c r="AX266" s="24">
        <f t="shared" si="242"/>
        <v>32425.116731517508</v>
      </c>
      <c r="AY266" s="308"/>
      <c r="AZ266" s="10"/>
      <c r="BA266" s="65">
        <f t="shared" si="243"/>
        <v>1298299</v>
      </c>
      <c r="BB266" s="66"/>
      <c r="BC266" s="66">
        <v>196207048</v>
      </c>
      <c r="BD266" s="66"/>
      <c r="BE266" s="66">
        <f t="shared" si="244"/>
        <v>182276</v>
      </c>
      <c r="BF266" s="66"/>
      <c r="BG266" s="144">
        <f t="shared" si="245"/>
        <v>0.14039601047216396</v>
      </c>
      <c r="BH266" s="66"/>
      <c r="BI266" s="170"/>
      <c r="BJ266" s="66"/>
      <c r="BK266" s="66">
        <f t="shared" si="246"/>
        <v>11845233</v>
      </c>
      <c r="BL266" s="66"/>
      <c r="BM266" s="144">
        <f t="shared" si="247"/>
        <v>9.1039408004891076E-2</v>
      </c>
      <c r="BN266" s="65">
        <f t="shared" si="248"/>
        <v>763451.54863813228</v>
      </c>
      <c r="BO266" s="66"/>
      <c r="BP266" s="66">
        <f t="shared" si="249"/>
        <v>13540901</v>
      </c>
      <c r="BQ266" s="66"/>
      <c r="BR266" s="435">
        <f t="shared" si="250"/>
        <v>6.901332616756968E-2</v>
      </c>
      <c r="BS266" s="66"/>
      <c r="BT266" s="75"/>
      <c r="BU266" s="170"/>
      <c r="BV266" s="1"/>
      <c r="BW266" s="61">
        <f t="shared" si="186"/>
        <v>257</v>
      </c>
    </row>
    <row r="267" spans="2:75" x14ac:dyDescent="0.3">
      <c r="B267" s="158">
        <f t="shared" si="161"/>
        <v>44167</v>
      </c>
      <c r="C267" s="61"/>
      <c r="D267" s="17">
        <v>203737</v>
      </c>
      <c r="E267" s="16"/>
      <c r="F267" s="16"/>
      <c r="G267" s="16"/>
      <c r="H267" s="16">
        <f t="shared" si="231"/>
        <v>14651616</v>
      </c>
      <c r="I267" s="16"/>
      <c r="J267" s="436">
        <f t="shared" si="232"/>
        <v>1.4101516215632758E-2</v>
      </c>
      <c r="K267" s="16"/>
      <c r="L267" s="16"/>
      <c r="M267" s="16"/>
      <c r="N267" s="16">
        <f t="shared" si="228"/>
        <v>1101217</v>
      </c>
      <c r="O267" s="16">
        <f t="shared" si="233"/>
        <v>56789.20930232558</v>
      </c>
      <c r="P267" s="41"/>
      <c r="Q267" s="17">
        <f t="shared" si="229"/>
        <v>1101217</v>
      </c>
      <c r="R267" s="16"/>
      <c r="S267" s="60">
        <f t="shared" si="230"/>
        <v>-0.10913134366030372</v>
      </c>
      <c r="T267" s="16"/>
      <c r="U267" s="41"/>
      <c r="V267" s="10">
        <f t="shared" si="109"/>
        <v>159</v>
      </c>
      <c r="W267" s="34">
        <v>2833</v>
      </c>
      <c r="X267" s="33"/>
      <c r="Y267" s="33"/>
      <c r="Z267" s="33"/>
      <c r="AA267" s="33">
        <f t="shared" si="234"/>
        <v>281376</v>
      </c>
      <c r="AB267" s="33"/>
      <c r="AC267" s="46">
        <f t="shared" si="235"/>
        <v>1.9204434514254264E-2</v>
      </c>
      <c r="AD267" s="33"/>
      <c r="AE267" s="33">
        <f t="shared" si="236"/>
        <v>1090.6046511627908</v>
      </c>
      <c r="AF267" s="50"/>
      <c r="AG267" s="33">
        <f t="shared" si="237"/>
        <v>11390</v>
      </c>
      <c r="AH267" s="33">
        <f>SUM(D238:D919)</f>
        <v>1217978411.060914</v>
      </c>
      <c r="AI267" s="213">
        <f t="shared" si="238"/>
        <v>-4.1165081235794258E-2</v>
      </c>
      <c r="AJ267" s="50"/>
      <c r="AK267" s="10"/>
      <c r="AL267" s="23">
        <f t="shared" si="239"/>
        <v>129179</v>
      </c>
      <c r="AM267" s="24"/>
      <c r="AN267" s="24"/>
      <c r="AO267" s="24">
        <v>178263</v>
      </c>
      <c r="AP267" s="24">
        <v>8462434</v>
      </c>
      <c r="AQ267" s="24"/>
      <c r="AR267" s="461">
        <f t="shared" si="240"/>
        <v>1.5501625715281724E-2</v>
      </c>
      <c r="AS267" s="25"/>
      <c r="AT267" s="25"/>
      <c r="AU267" s="24"/>
      <c r="AV267" s="298">
        <f t="shared" si="241"/>
        <v>0.57757683521053238</v>
      </c>
      <c r="AW267" s="298"/>
      <c r="AX267" s="24">
        <f t="shared" si="242"/>
        <v>32800.131782945733</v>
      </c>
      <c r="AY267" s="308"/>
      <c r="AZ267" s="10"/>
      <c r="BA267" s="65">
        <f t="shared" si="243"/>
        <v>3699465</v>
      </c>
      <c r="BB267" s="66"/>
      <c r="BC267" s="66">
        <v>199906513</v>
      </c>
      <c r="BD267" s="66"/>
      <c r="BE267" s="66">
        <f t="shared" si="244"/>
        <v>203737</v>
      </c>
      <c r="BF267" s="66"/>
      <c r="BG267" s="144">
        <f t="shared" si="245"/>
        <v>5.5072017170050266E-2</v>
      </c>
      <c r="BH267" s="66"/>
      <c r="BI267" s="170"/>
      <c r="BJ267" s="66"/>
      <c r="BK267" s="66">
        <f t="shared" si="246"/>
        <v>13800771</v>
      </c>
      <c r="BL267" s="66"/>
      <c r="BM267" s="144">
        <f t="shared" si="247"/>
        <v>7.9793875284214194E-2</v>
      </c>
      <c r="BN267" s="65">
        <f t="shared" si="248"/>
        <v>774831.44573643408</v>
      </c>
      <c r="BO267" s="66"/>
      <c r="BP267" s="66">
        <f t="shared" si="249"/>
        <v>13744638</v>
      </c>
      <c r="BQ267" s="66"/>
      <c r="BR267" s="435">
        <f t="shared" si="250"/>
        <v>6.8755328647046129E-2</v>
      </c>
      <c r="BS267" s="66"/>
      <c r="BT267" s="75"/>
      <c r="BU267" s="170"/>
      <c r="BV267" s="1"/>
      <c r="BW267" s="61">
        <f t="shared" si="186"/>
        <v>258</v>
      </c>
    </row>
    <row r="268" spans="2:75" x14ac:dyDescent="0.3">
      <c r="B268" s="158">
        <f t="shared" si="161"/>
        <v>44168</v>
      </c>
      <c r="C268" s="61"/>
      <c r="D268" s="17">
        <v>218576</v>
      </c>
      <c r="E268" s="16"/>
      <c r="F268" s="16"/>
      <c r="G268" s="16"/>
      <c r="H268" s="16">
        <f t="shared" si="231"/>
        <v>14870192</v>
      </c>
      <c r="I268" s="16"/>
      <c r="J268" s="436">
        <f t="shared" si="232"/>
        <v>1.4918217894872484E-2</v>
      </c>
      <c r="K268" s="16"/>
      <c r="L268" s="16"/>
      <c r="M268" s="16"/>
      <c r="N268" s="16">
        <f t="shared" ref="N268:N299" si="251">SUM(D262:D268)</f>
        <v>1211730</v>
      </c>
      <c r="O268" s="16">
        <f t="shared" si="233"/>
        <v>57413.868725868728</v>
      </c>
      <c r="P268" s="41"/>
      <c r="Q268" s="17">
        <f t="shared" si="229"/>
        <v>1211730</v>
      </c>
      <c r="R268" s="16"/>
      <c r="S268" s="60">
        <f t="shared" si="230"/>
        <v>5.1855349815493668E-2</v>
      </c>
      <c r="T268" s="16"/>
      <c r="U268" s="41"/>
      <c r="V268" s="10">
        <f t="shared" si="109"/>
        <v>160</v>
      </c>
      <c r="W268" s="34">
        <v>2918</v>
      </c>
      <c r="X268" s="33"/>
      <c r="Y268" s="33"/>
      <c r="Z268" s="33"/>
      <c r="AA268" s="33">
        <f t="shared" si="234"/>
        <v>284294</v>
      </c>
      <c r="AB268" s="33"/>
      <c r="AC268" s="46">
        <f t="shared" si="235"/>
        <v>1.9118381255601811E-2</v>
      </c>
      <c r="AD268" s="33"/>
      <c r="AE268" s="33">
        <f t="shared" si="236"/>
        <v>1097.6602316602316</v>
      </c>
      <c r="AF268" s="50"/>
      <c r="AG268" s="33">
        <f t="shared" si="237"/>
        <v>13002</v>
      </c>
      <c r="AH268" s="33">
        <f>SUM(D239:D920)</f>
        <v>1217883944.060914</v>
      </c>
      <c r="AI268" s="213">
        <f t="shared" si="238"/>
        <v>0.16924460431654675</v>
      </c>
      <c r="AJ268" s="50"/>
      <c r="AK268" s="10"/>
      <c r="AL268" s="23">
        <f t="shared" si="239"/>
        <v>98993</v>
      </c>
      <c r="AM268" s="24"/>
      <c r="AN268" s="24"/>
      <c r="AO268" s="24">
        <v>178263</v>
      </c>
      <c r="AP268" s="24">
        <v>8561427</v>
      </c>
      <c r="AQ268" s="24"/>
      <c r="AR268" s="461">
        <f t="shared" si="240"/>
        <v>1.1697934660406214E-2</v>
      </c>
      <c r="AS268" s="25"/>
      <c r="AT268" s="25"/>
      <c r="AU268" s="24"/>
      <c r="AV268" s="298">
        <f t="shared" si="241"/>
        <v>0.57574421365911077</v>
      </c>
      <c r="AW268" s="298"/>
      <c r="AX268" s="24">
        <f t="shared" si="242"/>
        <v>33055.7027027027</v>
      </c>
      <c r="AY268" s="308"/>
      <c r="AZ268" s="10"/>
      <c r="BA268" s="65">
        <f t="shared" si="243"/>
        <v>1862950</v>
      </c>
      <c r="BB268" s="66"/>
      <c r="BC268" s="66">
        <v>201769463</v>
      </c>
      <c r="BD268" s="66"/>
      <c r="BE268" s="66">
        <f t="shared" si="244"/>
        <v>218576</v>
      </c>
      <c r="BF268" s="66"/>
      <c r="BG268" s="144">
        <f t="shared" si="245"/>
        <v>0.11732789393166752</v>
      </c>
      <c r="BH268" s="66"/>
      <c r="BI268" s="170"/>
      <c r="BJ268" s="66"/>
      <c r="BK268" s="66">
        <f t="shared" si="246"/>
        <v>14626834</v>
      </c>
      <c r="BL268" s="66"/>
      <c r="BM268" s="144">
        <f t="shared" si="247"/>
        <v>8.2842944686457781E-2</v>
      </c>
      <c r="BN268" s="65">
        <f t="shared" si="248"/>
        <v>779032.67567567562</v>
      </c>
      <c r="BO268" s="66"/>
      <c r="BP268" s="66">
        <f t="shared" si="249"/>
        <v>13963214</v>
      </c>
      <c r="BQ268" s="66"/>
      <c r="BR268" s="435">
        <f t="shared" si="250"/>
        <v>6.9203802163065681E-2</v>
      </c>
      <c r="BS268" s="66"/>
      <c r="BT268" s="75"/>
      <c r="BU268" s="170"/>
      <c r="BV268" s="1"/>
      <c r="BW268" s="61">
        <f t="shared" si="186"/>
        <v>259</v>
      </c>
    </row>
    <row r="269" spans="2:75" x14ac:dyDescent="0.3">
      <c r="B269" s="158">
        <f t="shared" si="161"/>
        <v>44169</v>
      </c>
      <c r="C269" s="61"/>
      <c r="D269" s="17">
        <v>235272</v>
      </c>
      <c r="E269" s="16"/>
      <c r="F269" s="16"/>
      <c r="G269" s="16"/>
      <c r="H269" s="16">
        <f t="shared" si="231"/>
        <v>15105464</v>
      </c>
      <c r="I269" s="16"/>
      <c r="J269" s="436">
        <f t="shared" si="232"/>
        <v>1.5821719047070811E-2</v>
      </c>
      <c r="K269" s="16"/>
      <c r="L269" s="16"/>
      <c r="M269" s="16"/>
      <c r="N269" s="16">
        <f t="shared" si="251"/>
        <v>1282990</v>
      </c>
      <c r="O269" s="16">
        <f t="shared" si="233"/>
        <v>58097.938461538462</v>
      </c>
      <c r="P269" s="41"/>
      <c r="Q269" s="17">
        <f t="shared" ref="Q269:Q300" si="252">SUM(D263:D269)</f>
        <v>1282990</v>
      </c>
      <c r="R269" s="16"/>
      <c r="S269" s="60">
        <f t="shared" ref="S269:S300" si="253">+(Q269-Q262)/Q262</f>
        <v>0.1539485495032496</v>
      </c>
      <c r="T269" s="16"/>
      <c r="U269" s="41"/>
      <c r="V269" s="10">
        <f t="shared" si="109"/>
        <v>161</v>
      </c>
      <c r="W269" s="34">
        <v>2718</v>
      </c>
      <c r="X269" s="33"/>
      <c r="Y269" s="33"/>
      <c r="Z269" s="33"/>
      <c r="AA269" s="33">
        <f t="shared" si="234"/>
        <v>287012</v>
      </c>
      <c r="AB269" s="33"/>
      <c r="AC269" s="46">
        <f t="shared" si="235"/>
        <v>1.9000541790705667E-2</v>
      </c>
      <c r="AD269" s="33"/>
      <c r="AE269" s="33">
        <f t="shared" si="236"/>
        <v>1103.8923076923077</v>
      </c>
      <c r="AF269" s="50"/>
      <c r="AG269" s="33">
        <f t="shared" si="237"/>
        <v>14356</v>
      </c>
      <c r="AH269" s="33">
        <f>SUM(D240:D921)</f>
        <v>1217775555.060914</v>
      </c>
      <c r="AI269" s="213">
        <f t="shared" si="238"/>
        <v>0.36906351325576958</v>
      </c>
      <c r="AJ269" s="50"/>
      <c r="AK269" s="10"/>
      <c r="AL269" s="23">
        <f t="shared" si="239"/>
        <v>97455</v>
      </c>
      <c r="AM269" s="24"/>
      <c r="AN269" s="24"/>
      <c r="AO269" s="24">
        <v>178263</v>
      </c>
      <c r="AP269" s="24">
        <v>8658882</v>
      </c>
      <c r="AQ269" s="24"/>
      <c r="AR269" s="461">
        <f t="shared" si="240"/>
        <v>1.1383032291229021E-2</v>
      </c>
      <c r="AS269" s="25"/>
      <c r="AT269" s="25"/>
      <c r="AU269" s="24"/>
      <c r="AV269" s="298">
        <f t="shared" si="241"/>
        <v>0.57322846885074175</v>
      </c>
      <c r="AW269" s="298"/>
      <c r="AX269" s="24">
        <f t="shared" si="242"/>
        <v>33303.392307692309</v>
      </c>
      <c r="AY269" s="308"/>
      <c r="AZ269" s="10"/>
      <c r="BA269" s="65">
        <f t="shared" si="243"/>
        <v>2114538</v>
      </c>
      <c r="BB269" s="66"/>
      <c r="BC269" s="66">
        <v>203884001</v>
      </c>
      <c r="BD269" s="66"/>
      <c r="BE269" s="66">
        <f t="shared" si="244"/>
        <v>235272</v>
      </c>
      <c r="BF269" s="66"/>
      <c r="BG269" s="144">
        <f t="shared" si="245"/>
        <v>0.11126402079319454</v>
      </c>
      <c r="BH269" s="66"/>
      <c r="BI269" s="170"/>
      <c r="BJ269" s="66"/>
      <c r="BK269" s="66">
        <f t="shared" si="246"/>
        <v>14594996</v>
      </c>
      <c r="BL269" s="66"/>
      <c r="BM269" s="144">
        <f t="shared" si="247"/>
        <v>8.7906156329196669E-2</v>
      </c>
      <c r="BN269" s="65">
        <f t="shared" si="248"/>
        <v>784169.2346153846</v>
      </c>
      <c r="BO269" s="66"/>
      <c r="BP269" s="66">
        <f t="shared" si="249"/>
        <v>14198486</v>
      </c>
      <c r="BQ269" s="66"/>
      <c r="BR269" s="435">
        <f t="shared" si="250"/>
        <v>6.9640020454572113E-2</v>
      </c>
      <c r="BS269" s="66"/>
      <c r="BT269" s="75"/>
      <c r="BU269" s="170"/>
      <c r="BV269" s="1"/>
      <c r="BW269" s="61">
        <f t="shared" si="186"/>
        <v>260</v>
      </c>
    </row>
    <row r="270" spans="2:75" x14ac:dyDescent="0.3">
      <c r="B270" s="158">
        <f t="shared" si="161"/>
        <v>44170</v>
      </c>
      <c r="C270" s="61"/>
      <c r="D270" s="17">
        <v>212483</v>
      </c>
      <c r="E270" s="16"/>
      <c r="F270" s="16"/>
      <c r="G270" s="16"/>
      <c r="H270" s="16">
        <f t="shared" si="231"/>
        <v>15317947</v>
      </c>
      <c r="I270" s="16"/>
      <c r="J270" s="436">
        <f t="shared" si="232"/>
        <v>1.4066631783042216E-2</v>
      </c>
      <c r="K270" s="16"/>
      <c r="L270" s="16"/>
      <c r="M270" s="16"/>
      <c r="N270" s="16">
        <f t="shared" si="251"/>
        <v>1352100</v>
      </c>
      <c r="O270" s="16">
        <f t="shared" si="233"/>
        <v>58689.452107279692</v>
      </c>
      <c r="P270" s="41"/>
      <c r="Q270" s="17">
        <f t="shared" si="252"/>
        <v>1352100</v>
      </c>
      <c r="R270" s="16"/>
      <c r="S270" s="60">
        <f t="shared" si="253"/>
        <v>0.24921467903470196</v>
      </c>
      <c r="T270" s="16"/>
      <c r="U270" s="41"/>
      <c r="V270" s="10">
        <f t="shared" si="109"/>
        <v>162</v>
      </c>
      <c r="W270" s="34">
        <v>2266</v>
      </c>
      <c r="X270" s="33"/>
      <c r="Y270" s="33"/>
      <c r="Z270" s="33"/>
      <c r="AA270" s="33">
        <f t="shared" si="234"/>
        <v>289278</v>
      </c>
      <c r="AB270" s="33"/>
      <c r="AC270" s="46">
        <f t="shared" si="235"/>
        <v>1.8884906704534229E-2</v>
      </c>
      <c r="AD270" s="33"/>
      <c r="AE270" s="33">
        <f t="shared" si="236"/>
        <v>1108.344827586207</v>
      </c>
      <c r="AF270" s="50"/>
      <c r="AG270" s="33">
        <f t="shared" si="237"/>
        <v>15406</v>
      </c>
      <c r="AH270" s="33">
        <f>SUM(D241:D922)</f>
        <v>1217657236.060914</v>
      </c>
      <c r="AI270" s="213">
        <f t="shared" si="238"/>
        <v>0.50419839875024408</v>
      </c>
      <c r="AJ270" s="50"/>
      <c r="AK270" s="10"/>
      <c r="AL270" s="23">
        <f t="shared" si="239"/>
        <v>130467</v>
      </c>
      <c r="AM270" s="24"/>
      <c r="AN270" s="24"/>
      <c r="AO270" s="24">
        <v>178263</v>
      </c>
      <c r="AP270" s="24">
        <v>8789349</v>
      </c>
      <c r="AQ270" s="24"/>
      <c r="AR270" s="461">
        <f t="shared" si="240"/>
        <v>1.5067418634414928E-2</v>
      </c>
      <c r="AS270" s="25"/>
      <c r="AT270" s="25"/>
      <c r="AU270" s="24"/>
      <c r="AV270" s="298">
        <f t="shared" si="241"/>
        <v>0.5737941905661379</v>
      </c>
      <c r="AW270" s="298"/>
      <c r="AX270" s="24">
        <f t="shared" si="242"/>
        <v>33675.666666666664</v>
      </c>
      <c r="AY270" s="308"/>
      <c r="AZ270" s="10"/>
      <c r="BA270" s="65">
        <f t="shared" si="243"/>
        <v>1966240</v>
      </c>
      <c r="BB270" s="66"/>
      <c r="BC270" s="66">
        <v>205850241</v>
      </c>
      <c r="BD270" s="66"/>
      <c r="BE270" s="66">
        <f t="shared" si="244"/>
        <v>212483</v>
      </c>
      <c r="BF270" s="66"/>
      <c r="BG270" s="144">
        <f t="shared" si="245"/>
        <v>0.10806564814061356</v>
      </c>
      <c r="BH270" s="66"/>
      <c r="BI270" s="170"/>
      <c r="BJ270" s="66"/>
      <c r="BK270" s="66">
        <f t="shared" si="246"/>
        <v>14817017</v>
      </c>
      <c r="BL270" s="66"/>
      <c r="BM270" s="144">
        <f t="shared" si="247"/>
        <v>9.1253185442116996E-2</v>
      </c>
      <c r="BN270" s="65">
        <f t="shared" si="248"/>
        <v>788698.24137931038</v>
      </c>
      <c r="BO270" s="66"/>
      <c r="BP270" s="66">
        <f t="shared" si="249"/>
        <v>14410969</v>
      </c>
      <c r="BQ270" s="66"/>
      <c r="BR270" s="435">
        <f t="shared" si="250"/>
        <v>7.0007054303132921E-2</v>
      </c>
      <c r="BS270" s="66"/>
      <c r="BT270" s="75"/>
      <c r="BU270" s="170"/>
      <c r="BV270" s="1"/>
      <c r="BW270" s="61">
        <f t="shared" si="186"/>
        <v>261</v>
      </c>
    </row>
    <row r="271" spans="2:75" x14ac:dyDescent="0.3">
      <c r="B271" s="347">
        <f t="shared" si="161"/>
        <v>44171</v>
      </c>
      <c r="C271" s="61"/>
      <c r="D271" s="17">
        <v>182779</v>
      </c>
      <c r="E271" s="16"/>
      <c r="F271" s="16"/>
      <c r="G271" s="16"/>
      <c r="H271" s="16">
        <f t="shared" si="231"/>
        <v>15500726</v>
      </c>
      <c r="I271" s="16"/>
      <c r="J271" s="436">
        <f t="shared" si="232"/>
        <v>1.1932343152773672E-2</v>
      </c>
      <c r="K271" s="16"/>
      <c r="L271" s="16"/>
      <c r="M271" s="16"/>
      <c r="N271" s="16">
        <f t="shared" si="251"/>
        <v>1396691</v>
      </c>
      <c r="O271" s="16">
        <f t="shared" si="233"/>
        <v>59163.076335877864</v>
      </c>
      <c r="P271" s="41"/>
      <c r="Q271" s="17">
        <f t="shared" si="252"/>
        <v>1396691</v>
      </c>
      <c r="R271" s="16"/>
      <c r="S271" s="60">
        <f t="shared" si="253"/>
        <v>0.2885542396539969</v>
      </c>
      <c r="T271" s="16"/>
      <c r="U271" s="41"/>
      <c r="V271" s="10">
        <f t="shared" si="109"/>
        <v>163</v>
      </c>
      <c r="W271" s="34">
        <v>1092</v>
      </c>
      <c r="X271" s="33"/>
      <c r="Y271" s="33"/>
      <c r="Z271" s="33"/>
      <c r="AA271" s="33">
        <f t="shared" si="234"/>
        <v>290370</v>
      </c>
      <c r="AB271" s="33"/>
      <c r="AC271" s="46">
        <f t="shared" si="235"/>
        <v>1.8732670972959588E-2</v>
      </c>
      <c r="AD271" s="33"/>
      <c r="AE271" s="33">
        <f t="shared" si="236"/>
        <v>1108.2824427480916</v>
      </c>
      <c r="AF271" s="50"/>
      <c r="AG271" s="33">
        <f t="shared" si="237"/>
        <v>15679</v>
      </c>
      <c r="AH271" s="33">
        <f>SUM(D242:D923)</f>
        <v>1217524695.060914</v>
      </c>
      <c r="AI271" s="213">
        <f t="shared" si="238"/>
        <v>0.5379107405590976</v>
      </c>
      <c r="AJ271" s="50"/>
      <c r="AK271" s="10"/>
      <c r="AL271" s="23">
        <f t="shared" si="239"/>
        <v>67757</v>
      </c>
      <c r="AM271" s="24"/>
      <c r="AN271" s="24"/>
      <c r="AO271" s="24">
        <v>178263</v>
      </c>
      <c r="AP271" s="24">
        <v>8857106</v>
      </c>
      <c r="AQ271" s="24"/>
      <c r="AR271" s="461">
        <f t="shared" si="240"/>
        <v>7.708989596385352E-3</v>
      </c>
      <c r="AS271" s="25"/>
      <c r="AT271" s="25"/>
      <c r="AU271" s="24"/>
      <c r="AV271" s="298">
        <f t="shared" si="241"/>
        <v>0.57139942993637849</v>
      </c>
      <c r="AW271" s="298"/>
      <c r="AX271" s="24">
        <f t="shared" si="242"/>
        <v>33805.748091603054</v>
      </c>
      <c r="AY271" s="308"/>
      <c r="AZ271" s="10"/>
      <c r="BA271" s="65">
        <f t="shared" si="243"/>
        <v>1610100</v>
      </c>
      <c r="BB271" s="66"/>
      <c r="BC271" s="66">
        <v>207460341</v>
      </c>
      <c r="BD271" s="66"/>
      <c r="BE271" s="66">
        <f t="shared" si="244"/>
        <v>182779</v>
      </c>
      <c r="BF271" s="66"/>
      <c r="BG271" s="144">
        <f t="shared" si="245"/>
        <v>0.11352027824358736</v>
      </c>
      <c r="BH271" s="66"/>
      <c r="BI271" s="170"/>
      <c r="BJ271" s="66"/>
      <c r="BK271" s="66">
        <f t="shared" si="246"/>
        <v>15188973</v>
      </c>
      <c r="BL271" s="66"/>
      <c r="BM271" s="144">
        <f t="shared" si="247"/>
        <v>9.1954274986202164E-2</v>
      </c>
      <c r="BN271" s="65">
        <f t="shared" si="248"/>
        <v>791833.36259541987</v>
      </c>
      <c r="BO271" s="66"/>
      <c r="BP271" s="66">
        <f t="shared" si="249"/>
        <v>14593748</v>
      </c>
      <c r="BQ271" s="66"/>
      <c r="BR271" s="435">
        <f t="shared" si="250"/>
        <v>7.0344760495693964E-2</v>
      </c>
      <c r="BS271" s="66"/>
      <c r="BT271" s="75"/>
      <c r="BU271" s="170"/>
      <c r="BV271" s="1"/>
      <c r="BW271" s="61">
        <f t="shared" si="186"/>
        <v>262</v>
      </c>
    </row>
    <row r="272" spans="2:75" x14ac:dyDescent="0.3">
      <c r="B272" s="158">
        <f t="shared" si="161"/>
        <v>44172</v>
      </c>
      <c r="C272" s="61"/>
      <c r="D272" s="17">
        <v>200085</v>
      </c>
      <c r="E272" s="16"/>
      <c r="F272" s="16"/>
      <c r="G272" s="16"/>
      <c r="H272" s="16">
        <f t="shared" si="231"/>
        <v>15700811</v>
      </c>
      <c r="I272" s="16"/>
      <c r="J272" s="436">
        <f t="shared" si="232"/>
        <v>1.29081050784331E-2</v>
      </c>
      <c r="K272" s="16"/>
      <c r="L272" s="16"/>
      <c r="M272" s="16"/>
      <c r="N272" s="16">
        <f t="shared" si="251"/>
        <v>1435208</v>
      </c>
      <c r="O272" s="16">
        <f t="shared" si="233"/>
        <v>59698.901140684407</v>
      </c>
      <c r="P272" s="41"/>
      <c r="Q272" s="17">
        <f t="shared" si="252"/>
        <v>1435208</v>
      </c>
      <c r="R272" s="16"/>
      <c r="S272" s="60">
        <f t="shared" si="253"/>
        <v>0.33733014408459272</v>
      </c>
      <c r="T272" s="16"/>
      <c r="U272" s="41"/>
      <c r="V272" s="10">
        <f t="shared" si="109"/>
        <v>164</v>
      </c>
      <c r="W272" s="34">
        <v>1538</v>
      </c>
      <c r="X272" s="33"/>
      <c r="Y272" s="33"/>
      <c r="Z272" s="33"/>
      <c r="AA272" s="33">
        <f t="shared" si="234"/>
        <v>291908</v>
      </c>
      <c r="AB272" s="33"/>
      <c r="AC272" s="46">
        <f t="shared" si="235"/>
        <v>1.8591905857601877E-2</v>
      </c>
      <c r="AD272" s="33"/>
      <c r="AE272" s="33">
        <f t="shared" si="236"/>
        <v>1109.916349809886</v>
      </c>
      <c r="AF272" s="50"/>
      <c r="AG272" s="33">
        <f t="shared" si="237"/>
        <v>15979</v>
      </c>
      <c r="AH272" s="33">
        <f>SUM(D243:D924)</f>
        <v>1217400305.060914</v>
      </c>
      <c r="AI272" s="213">
        <f t="shared" si="238"/>
        <v>0.52748303221489345</v>
      </c>
      <c r="AJ272" s="50"/>
      <c r="AK272" s="10"/>
      <c r="AL272" s="23">
        <f t="shared" si="239"/>
        <v>126535</v>
      </c>
      <c r="AM272" s="24"/>
      <c r="AN272" s="24"/>
      <c r="AO272" s="24">
        <v>178263</v>
      </c>
      <c r="AP272" s="24">
        <v>8983641</v>
      </c>
      <c r="AQ272" s="24"/>
      <c r="AR272" s="461">
        <f t="shared" si="240"/>
        <v>1.4286269126732818E-2</v>
      </c>
      <c r="AS272" s="25"/>
      <c r="AT272" s="25"/>
      <c r="AU272" s="24"/>
      <c r="AV272" s="298">
        <f t="shared" si="241"/>
        <v>0.57217687672311957</v>
      </c>
      <c r="AW272" s="298"/>
      <c r="AX272" s="24">
        <f t="shared" si="242"/>
        <v>34158.330798479088</v>
      </c>
      <c r="AY272" s="308"/>
      <c r="AZ272" s="10"/>
      <c r="BA272" s="65">
        <f t="shared" si="243"/>
        <v>2038932</v>
      </c>
      <c r="BB272" s="66"/>
      <c r="BC272" s="66">
        <v>209499273</v>
      </c>
      <c r="BD272" s="66"/>
      <c r="BE272" s="66">
        <f t="shared" si="244"/>
        <v>200085</v>
      </c>
      <c r="BF272" s="66"/>
      <c r="BG272" s="144">
        <f t="shared" si="245"/>
        <v>9.813225747597272E-2</v>
      </c>
      <c r="BH272" s="66"/>
      <c r="BI272" s="170"/>
      <c r="BJ272" s="66"/>
      <c r="BK272" s="66">
        <f t="shared" si="246"/>
        <v>14590524</v>
      </c>
      <c r="BL272" s="66"/>
      <c r="BM272" s="144">
        <f t="shared" si="247"/>
        <v>9.8365761229685794E-2</v>
      </c>
      <c r="BN272" s="65">
        <f t="shared" si="248"/>
        <v>796575.18250950566</v>
      </c>
      <c r="BO272" s="66"/>
      <c r="BP272" s="66">
        <f t="shared" si="249"/>
        <v>14793833</v>
      </c>
      <c r="BQ272" s="66"/>
      <c r="BR272" s="435">
        <f t="shared" si="250"/>
        <v>7.0615199700478193E-2</v>
      </c>
      <c r="BS272" s="66"/>
      <c r="BT272" s="75"/>
      <c r="BU272" s="170"/>
      <c r="BV272" s="1"/>
      <c r="BW272" s="61">
        <f t="shared" si="186"/>
        <v>263</v>
      </c>
    </row>
    <row r="273" spans="2:75" x14ac:dyDescent="0.3">
      <c r="B273" s="158">
        <f t="shared" si="161"/>
        <v>44173</v>
      </c>
      <c r="C273" s="61"/>
      <c r="D273" s="17">
        <v>209756</v>
      </c>
      <c r="E273" s="16"/>
      <c r="F273" s="16"/>
      <c r="G273" s="16"/>
      <c r="H273" s="16">
        <f t="shared" si="231"/>
        <v>15910567</v>
      </c>
      <c r="I273" s="16"/>
      <c r="J273" s="436">
        <f t="shared" si="232"/>
        <v>1.3359564674716485E-2</v>
      </c>
      <c r="K273" s="16"/>
      <c r="L273" s="16"/>
      <c r="M273" s="16"/>
      <c r="N273" s="16">
        <f t="shared" si="251"/>
        <v>1462688</v>
      </c>
      <c r="O273" s="16">
        <f t="shared" si="233"/>
        <v>60267.29924242424</v>
      </c>
      <c r="P273" s="41"/>
      <c r="Q273" s="17">
        <f t="shared" si="252"/>
        <v>1462688</v>
      </c>
      <c r="R273" s="16"/>
      <c r="S273" s="60">
        <f t="shared" si="253"/>
        <v>0.3563715303375517</v>
      </c>
      <c r="T273" s="16"/>
      <c r="U273" s="41"/>
      <c r="V273" s="10">
        <f t="shared" si="109"/>
        <v>165</v>
      </c>
      <c r="W273" s="34">
        <v>2960</v>
      </c>
      <c r="X273" s="33"/>
      <c r="Y273" s="33"/>
      <c r="Z273" s="33"/>
      <c r="AA273" s="33">
        <f t="shared" si="234"/>
        <v>294868</v>
      </c>
      <c r="AB273" s="33"/>
      <c r="AC273" s="46">
        <f t="shared" si="235"/>
        <v>1.853284047011021E-2</v>
      </c>
      <c r="AD273" s="33"/>
      <c r="AE273" s="33">
        <f t="shared" si="236"/>
        <v>1116.9242424242425</v>
      </c>
      <c r="AF273" s="50"/>
      <c r="AG273" s="33">
        <f t="shared" si="237"/>
        <v>16325</v>
      </c>
      <c r="AH273" s="33">
        <f>SUM(D244:D925)</f>
        <v>1217297579.060914</v>
      </c>
      <c r="AI273" s="213">
        <f t="shared" si="238"/>
        <v>0.5033612671516714</v>
      </c>
      <c r="AJ273" s="50"/>
      <c r="AK273" s="10"/>
      <c r="AL273" s="23">
        <f t="shared" si="239"/>
        <v>104467</v>
      </c>
      <c r="AM273" s="24"/>
      <c r="AN273" s="24"/>
      <c r="AO273" s="24">
        <v>178263</v>
      </c>
      <c r="AP273" s="24">
        <v>9088108</v>
      </c>
      <c r="AQ273" s="24"/>
      <c r="AR273" s="461">
        <f t="shared" si="240"/>
        <v>1.1628581329106985E-2</v>
      </c>
      <c r="AS273" s="25"/>
      <c r="AT273" s="25"/>
      <c r="AU273" s="24"/>
      <c r="AV273" s="298">
        <f t="shared" si="241"/>
        <v>0.57119950533503927</v>
      </c>
      <c r="AW273" s="298"/>
      <c r="AX273" s="24">
        <f t="shared" si="242"/>
        <v>34424.651515151512</v>
      </c>
      <c r="AY273" s="308"/>
      <c r="AZ273" s="10"/>
      <c r="BA273" s="65">
        <f t="shared" si="243"/>
        <v>1699673</v>
      </c>
      <c r="BB273" s="66"/>
      <c r="BC273" s="66">
        <v>211198946</v>
      </c>
      <c r="BD273" s="66"/>
      <c r="BE273" s="66">
        <f t="shared" si="244"/>
        <v>209756</v>
      </c>
      <c r="BF273" s="66"/>
      <c r="BG273" s="144">
        <f t="shared" si="245"/>
        <v>0.12340962055642468</v>
      </c>
      <c r="BH273" s="66"/>
      <c r="BI273" s="170"/>
      <c r="BJ273" s="66"/>
      <c r="BK273" s="66">
        <f t="shared" si="246"/>
        <v>14991898</v>
      </c>
      <c r="BL273" s="66"/>
      <c r="BM273" s="144">
        <f t="shared" si="247"/>
        <v>9.7565231567077096E-2</v>
      </c>
      <c r="BN273" s="65">
        <f t="shared" si="248"/>
        <v>799996.00757575757</v>
      </c>
      <c r="BO273" s="66"/>
      <c r="BP273" s="66">
        <f t="shared" si="249"/>
        <v>15003589</v>
      </c>
      <c r="BQ273" s="66"/>
      <c r="BR273" s="435">
        <f t="shared" si="250"/>
        <v>7.1040075171587266E-2</v>
      </c>
      <c r="BS273" s="66"/>
      <c r="BT273" s="75"/>
      <c r="BU273" s="170"/>
      <c r="BV273" s="1"/>
      <c r="BW273" s="61">
        <f t="shared" si="186"/>
        <v>264</v>
      </c>
    </row>
    <row r="274" spans="2:75" x14ac:dyDescent="0.3">
      <c r="B274" s="158">
        <f t="shared" si="161"/>
        <v>44174</v>
      </c>
      <c r="C274" s="61"/>
      <c r="D274" s="17">
        <v>226953</v>
      </c>
      <c r="E274" s="16"/>
      <c r="F274" s="16"/>
      <c r="G274" s="16"/>
      <c r="H274" s="16">
        <f t="shared" si="231"/>
        <v>16137520</v>
      </c>
      <c r="I274" s="16"/>
      <c r="J274" s="436">
        <f t="shared" si="232"/>
        <v>1.4264293660936157E-2</v>
      </c>
      <c r="K274" s="16"/>
      <c r="L274" s="16"/>
      <c r="M274" s="16"/>
      <c r="N274" s="16">
        <f t="shared" si="251"/>
        <v>1485904</v>
      </c>
      <c r="O274" s="16">
        <f t="shared" si="233"/>
        <v>60896.301886792455</v>
      </c>
      <c r="P274" s="41"/>
      <c r="Q274" s="17">
        <f t="shared" si="252"/>
        <v>1485904</v>
      </c>
      <c r="R274" s="16"/>
      <c r="S274" s="60">
        <f t="shared" si="253"/>
        <v>0.34932896967627636</v>
      </c>
      <c r="T274" s="16"/>
      <c r="U274" s="41"/>
      <c r="V274" s="10">
        <f t="shared" si="109"/>
        <v>166</v>
      </c>
      <c r="W274" s="34">
        <v>3265</v>
      </c>
      <c r="X274" s="33"/>
      <c r="Y274" s="33"/>
      <c r="Z274" s="33"/>
      <c r="AA274" s="33">
        <f t="shared" si="234"/>
        <v>298133</v>
      </c>
      <c r="AB274" s="33"/>
      <c r="AC274" s="46">
        <f t="shared" si="235"/>
        <v>1.8474523966507866E-2</v>
      </c>
      <c r="AD274" s="33"/>
      <c r="AE274" s="33">
        <f t="shared" si="236"/>
        <v>1125.0301886792454</v>
      </c>
      <c r="AF274" s="50"/>
      <c r="AG274" s="33">
        <f t="shared" si="237"/>
        <v>16757</v>
      </c>
      <c r="AH274" s="33">
        <f>SUM(D245:D926)</f>
        <v>1217171890.060914</v>
      </c>
      <c r="AI274" s="213">
        <f t="shared" si="238"/>
        <v>0.47120280948200177</v>
      </c>
      <c r="AJ274" s="50"/>
      <c r="AK274" s="10"/>
      <c r="AL274" s="23">
        <f t="shared" si="239"/>
        <v>139425</v>
      </c>
      <c r="AM274" s="24"/>
      <c r="AN274" s="24"/>
      <c r="AO274" s="24">
        <v>178263</v>
      </c>
      <c r="AP274" s="24">
        <v>9227533</v>
      </c>
      <c r="AQ274" s="24"/>
      <c r="AR274" s="461">
        <f t="shared" si="240"/>
        <v>1.5341477015898138E-2</v>
      </c>
      <c r="AS274" s="25"/>
      <c r="AT274" s="25"/>
      <c r="AU274" s="24"/>
      <c r="AV274" s="298">
        <f t="shared" si="241"/>
        <v>0.57180613873755071</v>
      </c>
      <c r="AW274" s="298"/>
      <c r="AX274" s="24">
        <f t="shared" si="242"/>
        <v>34820.879245283017</v>
      </c>
      <c r="AY274" s="308"/>
      <c r="AZ274" s="10"/>
      <c r="BA274" s="65">
        <f t="shared" si="243"/>
        <v>1915218</v>
      </c>
      <c r="BB274" s="66"/>
      <c r="BC274" s="66">
        <v>213114164</v>
      </c>
      <c r="BD274" s="66"/>
      <c r="BE274" s="66">
        <f t="shared" si="244"/>
        <v>226953</v>
      </c>
      <c r="BF274" s="66"/>
      <c r="BG274" s="144">
        <f t="shared" si="245"/>
        <v>0.11849982612945367</v>
      </c>
      <c r="BH274" s="66"/>
      <c r="BI274" s="170"/>
      <c r="BJ274" s="66"/>
      <c r="BK274" s="66">
        <f t="shared" si="246"/>
        <v>13207651</v>
      </c>
      <c r="BL274" s="66"/>
      <c r="BM274" s="144">
        <f t="shared" si="247"/>
        <v>0.11250327556353511</v>
      </c>
      <c r="BN274" s="65">
        <f t="shared" si="248"/>
        <v>804204.39245283022</v>
      </c>
      <c r="BO274" s="66"/>
      <c r="BP274" s="66">
        <f t="shared" si="249"/>
        <v>15230542</v>
      </c>
      <c r="BQ274" s="66"/>
      <c r="BR274" s="435">
        <f t="shared" si="250"/>
        <v>7.1466587270098109E-2</v>
      </c>
      <c r="BS274" s="66"/>
      <c r="BT274" s="75"/>
      <c r="BU274" s="170"/>
      <c r="BV274" s="1"/>
      <c r="BW274" s="61">
        <f t="shared" si="186"/>
        <v>265</v>
      </c>
    </row>
    <row r="275" spans="2:75" x14ac:dyDescent="0.3">
      <c r="B275" s="158">
        <f t="shared" si="161"/>
        <v>44175</v>
      </c>
      <c r="C275" s="61"/>
      <c r="D275" s="17">
        <v>227314</v>
      </c>
      <c r="E275" s="16"/>
      <c r="F275" s="16"/>
      <c r="G275" s="16"/>
      <c r="H275" s="16">
        <f t="shared" si="231"/>
        <v>16364834</v>
      </c>
      <c r="I275" s="16"/>
      <c r="J275" s="436">
        <f t="shared" si="232"/>
        <v>1.408605535423039E-2</v>
      </c>
      <c r="K275" s="16"/>
      <c r="L275" s="16"/>
      <c r="M275" s="16"/>
      <c r="N275" s="16">
        <f t="shared" si="251"/>
        <v>1494642</v>
      </c>
      <c r="O275" s="16">
        <f t="shared" si="233"/>
        <v>61521.932330827069</v>
      </c>
      <c r="P275" s="41"/>
      <c r="Q275" s="17">
        <f t="shared" si="252"/>
        <v>1494642</v>
      </c>
      <c r="R275" s="16"/>
      <c r="S275" s="60">
        <f t="shared" si="253"/>
        <v>0.23347775494540862</v>
      </c>
      <c r="T275" s="16"/>
      <c r="U275" s="41"/>
      <c r="V275" s="10">
        <f t="shared" si="109"/>
        <v>167</v>
      </c>
      <c r="W275" s="34">
        <v>3107</v>
      </c>
      <c r="X275" s="33"/>
      <c r="Y275" s="33"/>
      <c r="Z275" s="33"/>
      <c r="AA275" s="33">
        <f t="shared" si="234"/>
        <v>301240</v>
      </c>
      <c r="AB275" s="33"/>
      <c r="AC275" s="46">
        <f t="shared" si="235"/>
        <v>1.8407763867326732E-2</v>
      </c>
      <c r="AD275" s="33"/>
      <c r="AE275" s="33">
        <f t="shared" si="236"/>
        <v>1132.4812030075188</v>
      </c>
      <c r="AF275" s="50"/>
      <c r="AG275" s="33">
        <f t="shared" si="237"/>
        <v>16946</v>
      </c>
      <c r="AH275" s="33">
        <f>SUM(D246:D927)</f>
        <v>1217036237.060914</v>
      </c>
      <c r="AI275" s="213">
        <f t="shared" si="238"/>
        <v>0.30333794800799879</v>
      </c>
      <c r="AJ275" s="50"/>
      <c r="AK275" s="10"/>
      <c r="AL275" s="23">
        <f t="shared" si="239"/>
        <v>105643</v>
      </c>
      <c r="AM275" s="24"/>
      <c r="AN275" s="24"/>
      <c r="AO275" s="24">
        <v>178263</v>
      </c>
      <c r="AP275" s="24">
        <v>9333176</v>
      </c>
      <c r="AQ275" s="24"/>
      <c r="AR275" s="461">
        <f t="shared" si="240"/>
        <v>1.144867214238085E-2</v>
      </c>
      <c r="AS275" s="25"/>
      <c r="AT275" s="25"/>
      <c r="AU275" s="24"/>
      <c r="AV275" s="298">
        <f t="shared" si="241"/>
        <v>0.5703190145405691</v>
      </c>
      <c r="AW275" s="298"/>
      <c r="AX275" s="24">
        <f t="shared" si="242"/>
        <v>35087.12781954887</v>
      </c>
      <c r="AY275" s="308"/>
      <c r="AZ275" s="10"/>
      <c r="BA275" s="65">
        <f t="shared" si="243"/>
        <v>2007280</v>
      </c>
      <c r="BB275" s="66"/>
      <c r="BC275" s="66">
        <v>215121444</v>
      </c>
      <c r="BD275" s="66"/>
      <c r="BE275" s="66">
        <f t="shared" si="244"/>
        <v>227314</v>
      </c>
      <c r="BF275" s="66"/>
      <c r="BG275" s="144">
        <f t="shared" si="245"/>
        <v>0.11324478896815592</v>
      </c>
      <c r="BH275" s="66"/>
      <c r="BI275" s="170"/>
      <c r="BJ275" s="66"/>
      <c r="BK275" s="66">
        <f t="shared" si="246"/>
        <v>13351981</v>
      </c>
      <c r="BL275" s="66"/>
      <c r="BM275" s="144">
        <f t="shared" si="247"/>
        <v>0.11194159128896304</v>
      </c>
      <c r="BN275" s="65">
        <f t="shared" si="248"/>
        <v>808727.23308270681</v>
      </c>
      <c r="BO275" s="66"/>
      <c r="BP275" s="66">
        <f t="shared" si="249"/>
        <v>15457856</v>
      </c>
      <c r="BQ275" s="66"/>
      <c r="BR275" s="435">
        <f t="shared" si="250"/>
        <v>7.1856416136738099E-2</v>
      </c>
      <c r="BS275" s="66"/>
      <c r="BT275" s="75"/>
      <c r="BU275" s="170"/>
      <c r="BV275" s="1"/>
      <c r="BW275" s="61">
        <f t="shared" si="186"/>
        <v>266</v>
      </c>
    </row>
    <row r="276" spans="2:75" x14ac:dyDescent="0.3">
      <c r="B276" s="158">
        <f t="shared" si="161"/>
        <v>44176</v>
      </c>
      <c r="C276" s="61"/>
      <c r="D276" s="17">
        <v>246761</v>
      </c>
      <c r="E276" s="16"/>
      <c r="F276" s="16"/>
      <c r="G276" s="16"/>
      <c r="H276" s="16">
        <f t="shared" si="231"/>
        <v>16611595</v>
      </c>
      <c r="I276" s="16"/>
      <c r="J276" s="436">
        <f t="shared" si="232"/>
        <v>1.5078735293006944E-2</v>
      </c>
      <c r="K276" s="16"/>
      <c r="L276" s="16"/>
      <c r="M276" s="16"/>
      <c r="N276" s="16">
        <f t="shared" si="251"/>
        <v>1506131</v>
      </c>
      <c r="O276" s="16">
        <f t="shared" si="233"/>
        <v>62215.711610486891</v>
      </c>
      <c r="P276" s="41"/>
      <c r="Q276" s="17">
        <f t="shared" si="252"/>
        <v>1506131</v>
      </c>
      <c r="R276" s="16"/>
      <c r="S276" s="60">
        <f t="shared" si="253"/>
        <v>0.17392263384749687</v>
      </c>
      <c r="T276" s="16"/>
      <c r="U276" s="41"/>
      <c r="V276" s="10">
        <f t="shared" si="109"/>
        <v>168</v>
      </c>
      <c r="W276" s="34">
        <v>3031</v>
      </c>
      <c r="X276" s="33"/>
      <c r="Y276" s="33"/>
      <c r="Z276" s="33"/>
      <c r="AA276" s="33">
        <f t="shared" si="234"/>
        <v>304271</v>
      </c>
      <c r="AB276" s="33"/>
      <c r="AC276" s="46">
        <f t="shared" si="235"/>
        <v>1.8316784149866403E-2</v>
      </c>
      <c r="AD276" s="33"/>
      <c r="AE276" s="33">
        <f t="shared" si="236"/>
        <v>1139.5917602996255</v>
      </c>
      <c r="AF276" s="50"/>
      <c r="AG276" s="33">
        <f t="shared" si="237"/>
        <v>17259</v>
      </c>
      <c r="AH276" s="33">
        <f>SUM(D247:D928)</f>
        <v>1216893331.060914</v>
      </c>
      <c r="AI276" s="213">
        <f t="shared" si="238"/>
        <v>0.20221510169963777</v>
      </c>
      <c r="AJ276" s="50"/>
      <c r="AK276" s="10"/>
      <c r="AL276" s="23">
        <f t="shared" si="239"/>
        <v>174300</v>
      </c>
      <c r="AM276" s="24"/>
      <c r="AN276" s="24"/>
      <c r="AO276" s="24">
        <v>178263</v>
      </c>
      <c r="AP276" s="24">
        <v>9507476</v>
      </c>
      <c r="AQ276" s="24"/>
      <c r="AR276" s="461">
        <f t="shared" si="240"/>
        <v>1.8675314812449696E-2</v>
      </c>
      <c r="AS276" s="25"/>
      <c r="AT276" s="25"/>
      <c r="AU276" s="24"/>
      <c r="AV276" s="298">
        <f t="shared" si="241"/>
        <v>0.57233974221018513</v>
      </c>
      <c r="AW276" s="298"/>
      <c r="AX276" s="24">
        <f t="shared" si="242"/>
        <v>35608.52434456929</v>
      </c>
      <c r="AY276" s="308"/>
      <c r="AZ276" s="10"/>
      <c r="BA276" s="65">
        <f t="shared" si="243"/>
        <v>2071253</v>
      </c>
      <c r="BB276" s="66"/>
      <c r="BC276" s="66">
        <v>217192697</v>
      </c>
      <c r="BD276" s="66"/>
      <c r="BE276" s="66">
        <f t="shared" si="244"/>
        <v>246761</v>
      </c>
      <c r="BF276" s="66"/>
      <c r="BG276" s="144">
        <f t="shared" si="245"/>
        <v>0.11913609781132484</v>
      </c>
      <c r="BH276" s="66"/>
      <c r="BI276" s="170"/>
      <c r="BJ276" s="66"/>
      <c r="BK276" s="66">
        <f t="shared" si="246"/>
        <v>13308696</v>
      </c>
      <c r="BL276" s="66"/>
      <c r="BM276" s="144">
        <f t="shared" si="247"/>
        <v>0.11316893856467981</v>
      </c>
      <c r="BN276" s="65">
        <f t="shared" si="248"/>
        <v>813455.79400749062</v>
      </c>
      <c r="BO276" s="66"/>
      <c r="BP276" s="66">
        <f t="shared" si="249"/>
        <v>15704617</v>
      </c>
      <c r="BQ276" s="66"/>
      <c r="BR276" s="435">
        <f t="shared" si="250"/>
        <v>7.2307297698872439E-2</v>
      </c>
      <c r="BS276" s="66"/>
      <c r="BT276" s="75"/>
      <c r="BU276" s="170"/>
      <c r="BV276" s="1"/>
      <c r="BW276" s="61">
        <f t="shared" si="186"/>
        <v>267</v>
      </c>
    </row>
    <row r="277" spans="2:75" x14ac:dyDescent="0.3">
      <c r="B277" s="158">
        <f t="shared" si="161"/>
        <v>44177</v>
      </c>
      <c r="C277" s="61"/>
      <c r="D277" s="17">
        <v>220298</v>
      </c>
      <c r="E277" s="16"/>
      <c r="F277" s="16"/>
      <c r="G277" s="16"/>
      <c r="H277" s="16">
        <f t="shared" si="231"/>
        <v>16831893</v>
      </c>
      <c r="I277" s="16"/>
      <c r="J277" s="436">
        <f t="shared" si="232"/>
        <v>1.3261700637416215E-2</v>
      </c>
      <c r="K277" s="16"/>
      <c r="L277" s="16"/>
      <c r="M277" s="16"/>
      <c r="N277" s="16">
        <f t="shared" si="251"/>
        <v>1513946</v>
      </c>
      <c r="O277" s="16">
        <f t="shared" si="233"/>
        <v>62805.570895522389</v>
      </c>
      <c r="P277" s="41"/>
      <c r="Q277" s="17">
        <f t="shared" si="252"/>
        <v>1513946</v>
      </c>
      <c r="R277" s="16"/>
      <c r="S277" s="60">
        <f t="shared" si="253"/>
        <v>0.11969972635160121</v>
      </c>
      <c r="T277" s="16"/>
      <c r="U277" s="41"/>
      <c r="V277" s="10">
        <f t="shared" si="109"/>
        <v>169</v>
      </c>
      <c r="W277" s="34">
        <v>2307</v>
      </c>
      <c r="X277" s="33"/>
      <c r="Y277" s="33"/>
      <c r="Z277" s="33"/>
      <c r="AA277" s="33">
        <f t="shared" si="234"/>
        <v>306578</v>
      </c>
      <c r="AB277" s="33"/>
      <c r="AC277" s="46">
        <f t="shared" si="235"/>
        <v>1.8214112934296815E-2</v>
      </c>
      <c r="AD277" s="33"/>
      <c r="AE277" s="33">
        <f t="shared" si="236"/>
        <v>1143.9477611940299</v>
      </c>
      <c r="AF277" s="50"/>
      <c r="AG277" s="33">
        <f t="shared" si="237"/>
        <v>17300</v>
      </c>
      <c r="AH277" s="33">
        <f>SUM(D248:D929)</f>
        <v>1216731790.060914</v>
      </c>
      <c r="AI277" s="213">
        <f t="shared" si="238"/>
        <v>0.12293911463066338</v>
      </c>
      <c r="AJ277" s="50"/>
      <c r="AK277" s="10"/>
      <c r="AL277" s="23">
        <f t="shared" si="239"/>
        <v>136849</v>
      </c>
      <c r="AM277" s="24"/>
      <c r="AN277" s="24"/>
      <c r="AO277" s="24">
        <v>178263</v>
      </c>
      <c r="AP277" s="24">
        <v>9644325</v>
      </c>
      <c r="AQ277" s="24"/>
      <c r="AR277" s="461">
        <f t="shared" si="240"/>
        <v>1.4393830707540045E-2</v>
      </c>
      <c r="AS277" s="25"/>
      <c r="AT277" s="25"/>
      <c r="AU277" s="24"/>
      <c r="AV277" s="298">
        <f t="shared" si="241"/>
        <v>0.57297922461840745</v>
      </c>
      <c r="AW277" s="298"/>
      <c r="AX277" s="24">
        <f t="shared" si="242"/>
        <v>35986.287313432833</v>
      </c>
      <c r="AY277" s="308"/>
      <c r="AZ277" s="10"/>
      <c r="BA277" s="65">
        <f t="shared" si="243"/>
        <v>2312375</v>
      </c>
      <c r="BB277" s="66"/>
      <c r="BC277" s="66">
        <v>219505072</v>
      </c>
      <c r="BD277" s="66"/>
      <c r="BE277" s="66">
        <f t="shared" si="244"/>
        <v>220298</v>
      </c>
      <c r="BF277" s="66"/>
      <c r="BG277" s="144">
        <f t="shared" si="245"/>
        <v>9.5269149683766693E-2</v>
      </c>
      <c r="BH277" s="66"/>
      <c r="BI277" s="170"/>
      <c r="BJ277" s="66"/>
      <c r="BK277" s="66">
        <f t="shared" si="246"/>
        <v>13654831</v>
      </c>
      <c r="BL277" s="66"/>
      <c r="BM277" s="144">
        <f t="shared" si="247"/>
        <v>0.11087255492213709</v>
      </c>
      <c r="BN277" s="65">
        <f t="shared" si="248"/>
        <v>819048.77611940296</v>
      </c>
      <c r="BO277" s="66"/>
      <c r="BP277" s="66">
        <f t="shared" si="249"/>
        <v>15924915</v>
      </c>
      <c r="BQ277" s="66"/>
      <c r="BR277" s="435">
        <f t="shared" si="250"/>
        <v>7.2549189205067657E-2</v>
      </c>
      <c r="BS277" s="66"/>
      <c r="BT277" s="75"/>
      <c r="BU277" s="170"/>
      <c r="BV277" s="1"/>
      <c r="BW277" s="61">
        <f t="shared" si="186"/>
        <v>268</v>
      </c>
    </row>
    <row r="278" spans="2:75" x14ac:dyDescent="0.3">
      <c r="B278" s="347">
        <f t="shared" si="161"/>
        <v>44178</v>
      </c>
      <c r="C278" s="61"/>
      <c r="D278" s="17">
        <v>187901</v>
      </c>
      <c r="E278" s="16"/>
      <c r="F278" s="16"/>
      <c r="G278" s="16"/>
      <c r="H278" s="16">
        <f t="shared" si="231"/>
        <v>17019794</v>
      </c>
      <c r="I278" s="16"/>
      <c r="J278" s="436">
        <f t="shared" si="232"/>
        <v>1.1163390831916529E-2</v>
      </c>
      <c r="K278" s="16"/>
      <c r="L278" s="16"/>
      <c r="M278" s="16"/>
      <c r="N278" s="16">
        <f t="shared" si="251"/>
        <v>1519068</v>
      </c>
      <c r="O278" s="16">
        <f t="shared" si="233"/>
        <v>63270.60966542751</v>
      </c>
      <c r="P278" s="41"/>
      <c r="Q278" s="17">
        <f t="shared" si="252"/>
        <v>1519068</v>
      </c>
      <c r="R278" s="16"/>
      <c r="S278" s="60">
        <f t="shared" si="253"/>
        <v>8.7619237182741214E-2</v>
      </c>
      <c r="T278" s="16"/>
      <c r="U278" s="41"/>
      <c r="V278" s="10">
        <f t="shared" si="109"/>
        <v>170</v>
      </c>
      <c r="W278" s="34">
        <v>1379</v>
      </c>
      <c r="X278" s="33"/>
      <c r="Y278" s="33"/>
      <c r="Z278" s="33"/>
      <c r="AA278" s="33">
        <f t="shared" si="234"/>
        <v>307957</v>
      </c>
      <c r="AB278" s="33"/>
      <c r="AC278" s="46">
        <f t="shared" si="235"/>
        <v>1.8094049786971569E-2</v>
      </c>
      <c r="AD278" s="33"/>
      <c r="AE278" s="33">
        <f t="shared" si="236"/>
        <v>1144.8215613382899</v>
      </c>
      <c r="AF278" s="50"/>
      <c r="AG278" s="33">
        <f t="shared" si="237"/>
        <v>17587</v>
      </c>
      <c r="AH278" s="33">
        <f>SUM(D249:D930)</f>
        <v>1216548263.060914</v>
      </c>
      <c r="AI278" s="213">
        <f t="shared" si="238"/>
        <v>0.12169143440270426</v>
      </c>
      <c r="AJ278" s="50"/>
      <c r="AK278" s="10"/>
      <c r="AL278" s="23">
        <f t="shared" si="239"/>
        <v>80114</v>
      </c>
      <c r="AM278" s="24"/>
      <c r="AN278" s="24"/>
      <c r="AO278" s="24">
        <v>178263</v>
      </c>
      <c r="AP278" s="24">
        <v>9724439</v>
      </c>
      <c r="AQ278" s="24"/>
      <c r="AR278" s="461">
        <f t="shared" si="240"/>
        <v>8.3068540307382841E-3</v>
      </c>
      <c r="AS278" s="25"/>
      <c r="AT278" s="25"/>
      <c r="AU278" s="24"/>
      <c r="AV278" s="298">
        <f t="shared" si="241"/>
        <v>0.57136055818301912</v>
      </c>
      <c r="AW278" s="298"/>
      <c r="AX278" s="24">
        <f t="shared" si="242"/>
        <v>36150.33085501859</v>
      </c>
      <c r="AY278" s="308"/>
      <c r="AZ278" s="10"/>
      <c r="BA278" s="65">
        <f t="shared" si="243"/>
        <v>1690558</v>
      </c>
      <c r="BB278" s="66"/>
      <c r="BC278" s="66">
        <v>221195630</v>
      </c>
      <c r="BD278" s="66"/>
      <c r="BE278" s="66">
        <f t="shared" si="244"/>
        <v>187901</v>
      </c>
      <c r="BF278" s="66"/>
      <c r="BG278" s="144">
        <f t="shared" si="245"/>
        <v>0.11114732532098869</v>
      </c>
      <c r="BH278" s="66"/>
      <c r="BI278" s="170"/>
      <c r="BJ278" s="66"/>
      <c r="BK278" s="66">
        <f t="shared" si="246"/>
        <v>13735289</v>
      </c>
      <c r="BL278" s="66"/>
      <c r="BM278" s="144">
        <f t="shared" si="247"/>
        <v>0.11059599838052188</v>
      </c>
      <c r="BN278" s="65">
        <f t="shared" si="248"/>
        <v>822288.58736059477</v>
      </c>
      <c r="BO278" s="66"/>
      <c r="BP278" s="66">
        <f t="shared" si="249"/>
        <v>16112816</v>
      </c>
      <c r="BQ278" s="66"/>
      <c r="BR278" s="435">
        <f t="shared" si="250"/>
        <v>7.2844187744577057E-2</v>
      </c>
      <c r="BS278" s="66"/>
      <c r="BT278" s="75"/>
      <c r="BU278" s="170"/>
      <c r="BV278" s="1"/>
      <c r="BW278" s="61">
        <f t="shared" si="186"/>
        <v>269</v>
      </c>
    </row>
    <row r="279" spans="2:75" x14ac:dyDescent="0.3">
      <c r="B279" s="158">
        <f t="shared" si="161"/>
        <v>44179</v>
      </c>
      <c r="C279" s="61"/>
      <c r="D279" s="17">
        <v>199732</v>
      </c>
      <c r="E279" s="16"/>
      <c r="F279" s="16"/>
      <c r="G279" s="16"/>
      <c r="H279" s="16">
        <f t="shared" si="231"/>
        <v>17219526</v>
      </c>
      <c r="I279" s="16"/>
      <c r="J279" s="436">
        <f t="shared" si="232"/>
        <v>1.1735277171979872E-2</v>
      </c>
      <c r="K279" s="16"/>
      <c r="L279" s="16"/>
      <c r="M279" s="16"/>
      <c r="N279" s="16">
        <f t="shared" si="251"/>
        <v>1518715</v>
      </c>
      <c r="O279" s="16">
        <f t="shared" si="233"/>
        <v>63776.022222222222</v>
      </c>
      <c r="P279" s="41"/>
      <c r="Q279" s="17">
        <f t="shared" si="252"/>
        <v>1518715</v>
      </c>
      <c r="R279" s="16"/>
      <c r="S279" s="60">
        <f t="shared" si="253"/>
        <v>5.8184597633235045E-2</v>
      </c>
      <c r="T279" s="16"/>
      <c r="U279" s="41"/>
      <c r="V279" s="10">
        <f t="shared" si="109"/>
        <v>171</v>
      </c>
      <c r="W279" s="34">
        <v>1622</v>
      </c>
      <c r="X279" s="33"/>
      <c r="Y279" s="33"/>
      <c r="Z279" s="33"/>
      <c r="AA279" s="33">
        <f t="shared" si="234"/>
        <v>309579</v>
      </c>
      <c r="AB279" s="33"/>
      <c r="AC279" s="46">
        <f t="shared" si="235"/>
        <v>1.7978369439437532E-2</v>
      </c>
      <c r="AD279" s="33"/>
      <c r="AE279" s="33">
        <f t="shared" si="236"/>
        <v>1146.588888888889</v>
      </c>
      <c r="AF279" s="50"/>
      <c r="AG279" s="33">
        <f t="shared" si="237"/>
        <v>17671</v>
      </c>
      <c r="AH279" s="33">
        <f>SUM(D250:D931)</f>
        <v>1216391010.060914</v>
      </c>
      <c r="AI279" s="213">
        <f t="shared" si="238"/>
        <v>0.10588897928531198</v>
      </c>
      <c r="AJ279" s="50"/>
      <c r="AK279" s="10"/>
      <c r="AL279" s="23">
        <f t="shared" si="239"/>
        <v>148685</v>
      </c>
      <c r="AM279" s="24"/>
      <c r="AN279" s="24"/>
      <c r="AO279" s="24">
        <v>178263</v>
      </c>
      <c r="AP279" s="24">
        <v>9873124</v>
      </c>
      <c r="AQ279" s="24"/>
      <c r="AR279" s="461">
        <f t="shared" si="240"/>
        <v>1.5289828030182513E-2</v>
      </c>
      <c r="AS279" s="25"/>
      <c r="AT279" s="25"/>
      <c r="AU279" s="24"/>
      <c r="AV279" s="298">
        <f t="shared" si="241"/>
        <v>0.5733679312659361</v>
      </c>
      <c r="AW279" s="298"/>
      <c r="AX279" s="24">
        <f t="shared" si="242"/>
        <v>36567.125925925924</v>
      </c>
      <c r="AY279" s="308"/>
      <c r="AZ279" s="10"/>
      <c r="BA279" s="65">
        <f t="shared" si="243"/>
        <v>1989576</v>
      </c>
      <c r="BB279" s="66"/>
      <c r="BC279" s="66">
        <v>223185206</v>
      </c>
      <c r="BD279" s="66"/>
      <c r="BE279" s="66">
        <f t="shared" si="244"/>
        <v>199732</v>
      </c>
      <c r="BF279" s="66"/>
      <c r="BG279" s="144">
        <f t="shared" si="245"/>
        <v>0.10038922865977475</v>
      </c>
      <c r="BH279" s="66"/>
      <c r="BI279" s="170"/>
      <c r="BJ279" s="66"/>
      <c r="BK279" s="66">
        <f t="shared" si="246"/>
        <v>13685933</v>
      </c>
      <c r="BL279" s="66"/>
      <c r="BM279" s="144">
        <f t="shared" si="247"/>
        <v>0.11096905121484958</v>
      </c>
      <c r="BN279" s="65">
        <f t="shared" si="248"/>
        <v>826611.87407407409</v>
      </c>
      <c r="BO279" s="66"/>
      <c r="BP279" s="66">
        <f t="shared" si="249"/>
        <v>16312548</v>
      </c>
      <c r="BQ279" s="66"/>
      <c r="BR279" s="435">
        <f t="shared" si="250"/>
        <v>7.3089736960432763E-2</v>
      </c>
      <c r="BS279" s="66"/>
      <c r="BT279" s="75"/>
      <c r="BU279" s="170"/>
      <c r="BV279" s="1"/>
      <c r="BW279" s="61">
        <f t="shared" si="186"/>
        <v>270</v>
      </c>
    </row>
    <row r="280" spans="2:75" x14ac:dyDescent="0.3">
      <c r="B280" s="158">
        <f t="shared" si="161"/>
        <v>44180</v>
      </c>
      <c r="C280" s="61"/>
      <c r="D280" s="17">
        <v>200035</v>
      </c>
      <c r="E280" s="16"/>
      <c r="F280" s="16"/>
      <c r="G280" s="16"/>
      <c r="H280" s="16">
        <f t="shared" si="231"/>
        <v>17419561</v>
      </c>
      <c r="I280" s="16"/>
      <c r="J280" s="436">
        <f t="shared" si="232"/>
        <v>1.1616754142942146E-2</v>
      </c>
      <c r="K280" s="16"/>
      <c r="L280" s="16"/>
      <c r="M280" s="16"/>
      <c r="N280" s="16">
        <f t="shared" si="251"/>
        <v>1508994</v>
      </c>
      <c r="O280" s="16">
        <f t="shared" si="233"/>
        <v>64278.822878228784</v>
      </c>
      <c r="P280" s="41"/>
      <c r="Q280" s="17">
        <f t="shared" si="252"/>
        <v>1508994</v>
      </c>
      <c r="R280" s="16"/>
      <c r="S280" s="60">
        <f t="shared" si="253"/>
        <v>3.1658152661401477E-2</v>
      </c>
      <c r="T280" s="16"/>
      <c r="U280" s="41"/>
      <c r="V280" s="10">
        <f t="shared" si="109"/>
        <v>172</v>
      </c>
      <c r="W280" s="34">
        <v>2981</v>
      </c>
      <c r="X280" s="33"/>
      <c r="Y280" s="33"/>
      <c r="Z280" s="33"/>
      <c r="AA280" s="33">
        <f t="shared" si="234"/>
        <v>312560</v>
      </c>
      <c r="AB280" s="33"/>
      <c r="AC280" s="46">
        <f t="shared" si="235"/>
        <v>1.794304689997641E-2</v>
      </c>
      <c r="AD280" s="33"/>
      <c r="AE280" s="33">
        <f t="shared" si="236"/>
        <v>1153.3579335793358</v>
      </c>
      <c r="AF280" s="50"/>
      <c r="AG280" s="33">
        <f t="shared" si="237"/>
        <v>17692</v>
      </c>
      <c r="AH280" s="33">
        <f>SUM(D251:D932)</f>
        <v>1216252761.060914</v>
      </c>
      <c r="AI280" s="213">
        <f t="shared" si="238"/>
        <v>8.3736600306278719E-2</v>
      </c>
      <c r="AJ280" s="50"/>
      <c r="AK280" s="10"/>
      <c r="AL280" s="23">
        <f t="shared" si="239"/>
        <v>134832</v>
      </c>
      <c r="AM280" s="24"/>
      <c r="AN280" s="24"/>
      <c r="AO280" s="24">
        <v>178263</v>
      </c>
      <c r="AP280" s="24">
        <v>10007956</v>
      </c>
      <c r="AQ280" s="24"/>
      <c r="AR280" s="461">
        <f t="shared" si="240"/>
        <v>1.3656467800870322E-2</v>
      </c>
      <c r="AS280" s="25"/>
      <c r="AT280" s="25"/>
      <c r="AU280" s="24"/>
      <c r="AV280" s="298">
        <f t="shared" si="241"/>
        <v>0.57452400780938162</v>
      </c>
      <c r="AW280" s="298"/>
      <c r="AX280" s="24">
        <f t="shared" si="242"/>
        <v>36929.72693726937</v>
      </c>
      <c r="AY280" s="308"/>
      <c r="AZ280" s="10"/>
      <c r="BA280" s="65">
        <f t="shared" si="243"/>
        <v>1753436</v>
      </c>
      <c r="BB280" s="66"/>
      <c r="BC280" s="66">
        <v>224938642</v>
      </c>
      <c r="BD280" s="66"/>
      <c r="BE280" s="66">
        <f t="shared" si="244"/>
        <v>200035</v>
      </c>
      <c r="BF280" s="66"/>
      <c r="BG280" s="144">
        <f t="shared" si="245"/>
        <v>0.11408172297135453</v>
      </c>
      <c r="BH280" s="66"/>
      <c r="BI280" s="170"/>
      <c r="BJ280" s="66"/>
      <c r="BK280" s="66">
        <f t="shared" si="246"/>
        <v>13739696</v>
      </c>
      <c r="BL280" s="66"/>
      <c r="BM280" s="144">
        <f t="shared" si="247"/>
        <v>0.1098273207791497</v>
      </c>
      <c r="BN280" s="65">
        <f t="shared" si="248"/>
        <v>830031.88929889305</v>
      </c>
      <c r="BO280" s="66"/>
      <c r="BP280" s="66">
        <f t="shared" si="249"/>
        <v>16512583</v>
      </c>
      <c r="BQ280" s="66"/>
      <c r="BR280" s="435">
        <f t="shared" si="250"/>
        <v>7.3409276650652139E-2</v>
      </c>
      <c r="BS280" s="66"/>
      <c r="BT280" s="75"/>
      <c r="BU280" s="170"/>
      <c r="BV280" s="1"/>
      <c r="BW280" s="61">
        <f t="shared" si="186"/>
        <v>271</v>
      </c>
    </row>
    <row r="281" spans="2:75" x14ac:dyDescent="0.3">
      <c r="B281" s="158">
        <f t="shared" si="161"/>
        <v>44181</v>
      </c>
      <c r="C281" s="61"/>
      <c r="D281" s="17">
        <v>250173</v>
      </c>
      <c r="E281" s="16"/>
      <c r="F281" s="16"/>
      <c r="G281" s="16"/>
      <c r="H281" s="16">
        <f t="shared" si="231"/>
        <v>17669734</v>
      </c>
      <c r="I281" s="16"/>
      <c r="J281" s="436">
        <f t="shared" si="232"/>
        <v>1.4361613360979648E-2</v>
      </c>
      <c r="K281" s="16"/>
      <c r="L281" s="16"/>
      <c r="M281" s="16"/>
      <c r="N281" s="16">
        <f t="shared" si="251"/>
        <v>1532214</v>
      </c>
      <c r="O281" s="16">
        <f t="shared" si="233"/>
        <v>64962.257352941175</v>
      </c>
      <c r="P281" s="41"/>
      <c r="Q281" s="17">
        <f t="shared" si="252"/>
        <v>1532214</v>
      </c>
      <c r="R281" s="16"/>
      <c r="S281" s="60">
        <f t="shared" si="253"/>
        <v>3.1166212622080566E-2</v>
      </c>
      <c r="T281" s="16"/>
      <c r="U281" s="41"/>
      <c r="V281" s="10">
        <f t="shared" si="109"/>
        <v>173</v>
      </c>
      <c r="W281" s="34">
        <v>3561</v>
      </c>
      <c r="X281" s="33"/>
      <c r="Y281" s="33"/>
      <c r="Z281" s="33"/>
      <c r="AA281" s="33">
        <f t="shared" si="234"/>
        <v>316121</v>
      </c>
      <c r="AB281" s="33"/>
      <c r="AC281" s="46">
        <f t="shared" si="235"/>
        <v>1.7890535307435868E-2</v>
      </c>
      <c r="AD281" s="33"/>
      <c r="AE281" s="33">
        <f t="shared" si="236"/>
        <v>1162.2095588235295</v>
      </c>
      <c r="AF281" s="50"/>
      <c r="AG281" s="33">
        <f t="shared" si="237"/>
        <v>17988</v>
      </c>
      <c r="AH281" s="33">
        <f>SUM(D252:D933)</f>
        <v>1216090612.060914</v>
      </c>
      <c r="AI281" s="213">
        <f t="shared" si="238"/>
        <v>7.3461836844303879E-2</v>
      </c>
      <c r="AJ281" s="50"/>
      <c r="AK281" s="10"/>
      <c r="AL281" s="23">
        <f t="shared" si="239"/>
        <v>162832</v>
      </c>
      <c r="AM281" s="24"/>
      <c r="AN281" s="24"/>
      <c r="AO281" s="24">
        <v>178263</v>
      </c>
      <c r="AP281" s="24">
        <v>10170788</v>
      </c>
      <c r="AQ281" s="24"/>
      <c r="AR281" s="461">
        <f t="shared" si="240"/>
        <v>1.627025538481584E-2</v>
      </c>
      <c r="AS281" s="25"/>
      <c r="AT281" s="25"/>
      <c r="AU281" s="24"/>
      <c r="AV281" s="298">
        <f t="shared" si="241"/>
        <v>0.5756050430640326</v>
      </c>
      <c r="AW281" s="298"/>
      <c r="AX281" s="24">
        <f t="shared" si="242"/>
        <v>37392.602941176468</v>
      </c>
      <c r="AY281" s="308"/>
      <c r="AZ281" s="10"/>
      <c r="BA281" s="65">
        <f t="shared" si="243"/>
        <v>1784514</v>
      </c>
      <c r="BB281" s="66"/>
      <c r="BC281" s="66">
        <v>226723156</v>
      </c>
      <c r="BD281" s="66"/>
      <c r="BE281" s="66">
        <f t="shared" si="244"/>
        <v>250173</v>
      </c>
      <c r="BF281" s="66"/>
      <c r="BG281" s="144">
        <f t="shared" si="245"/>
        <v>0.1401911108570737</v>
      </c>
      <c r="BH281" s="66"/>
      <c r="BI281" s="170"/>
      <c r="BJ281" s="66"/>
      <c r="BK281" s="66">
        <f t="shared" si="246"/>
        <v>13608992</v>
      </c>
      <c r="BL281" s="66"/>
      <c r="BM281" s="144">
        <f t="shared" si="247"/>
        <v>0.11258835334755138</v>
      </c>
      <c r="BN281" s="65">
        <f t="shared" si="248"/>
        <v>833541.01470588241</v>
      </c>
      <c r="BO281" s="66"/>
      <c r="BP281" s="66">
        <f t="shared" si="249"/>
        <v>16762756</v>
      </c>
      <c r="BQ281" s="66"/>
      <c r="BR281" s="435">
        <f t="shared" si="250"/>
        <v>7.393490940995899E-2</v>
      </c>
      <c r="BS281" s="66"/>
      <c r="BT281" s="75"/>
      <c r="BU281" s="170"/>
      <c r="BV281" s="1"/>
      <c r="BW281" s="61">
        <f t="shared" si="186"/>
        <v>272</v>
      </c>
    </row>
    <row r="282" spans="2:75" x14ac:dyDescent="0.3">
      <c r="B282" s="158">
        <f t="shared" si="161"/>
        <v>44182</v>
      </c>
      <c r="C282" s="61"/>
      <c r="D282" s="17">
        <v>237872</v>
      </c>
      <c r="E282" s="16"/>
      <c r="F282" s="16"/>
      <c r="G282" s="16"/>
      <c r="H282" s="16">
        <f t="shared" si="231"/>
        <v>17907606</v>
      </c>
      <c r="I282" s="16"/>
      <c r="J282" s="436">
        <f t="shared" si="232"/>
        <v>1.3462115502134893E-2</v>
      </c>
      <c r="K282" s="16"/>
      <c r="L282" s="16"/>
      <c r="M282" s="16"/>
      <c r="N282" s="16">
        <f t="shared" si="251"/>
        <v>1542772</v>
      </c>
      <c r="O282" s="16">
        <f t="shared" si="233"/>
        <v>65595.626373626379</v>
      </c>
      <c r="P282" s="41"/>
      <c r="Q282" s="17">
        <f t="shared" si="252"/>
        <v>1542772</v>
      </c>
      <c r="R282" s="16"/>
      <c r="S282" s="60">
        <f t="shared" si="253"/>
        <v>3.220169110730195E-2</v>
      </c>
      <c r="T282" s="16"/>
      <c r="U282" s="41"/>
      <c r="V282" s="10">
        <f t="shared" si="109"/>
        <v>174</v>
      </c>
      <c r="W282" s="34">
        <v>3400</v>
      </c>
      <c r="X282" s="33"/>
      <c r="Y282" s="33"/>
      <c r="Z282" s="33"/>
      <c r="AA282" s="33">
        <f t="shared" si="234"/>
        <v>319521</v>
      </c>
      <c r="AB282" s="33"/>
      <c r="AC282" s="46">
        <f t="shared" si="235"/>
        <v>1.784275352048733E-2</v>
      </c>
      <c r="AD282" s="33"/>
      <c r="AE282" s="33">
        <f t="shared" si="236"/>
        <v>1170.4065934065934</v>
      </c>
      <c r="AF282" s="50"/>
      <c r="AG282" s="33">
        <f t="shared" si="237"/>
        <v>18281</v>
      </c>
      <c r="AH282" s="33">
        <f>SUM(D253:D934)</f>
        <v>1215933351.060914</v>
      </c>
      <c r="AI282" s="213">
        <f t="shared" si="238"/>
        <v>7.8779653015460874E-2</v>
      </c>
      <c r="AJ282" s="50"/>
      <c r="AK282" s="10"/>
      <c r="AL282" s="23">
        <f t="shared" si="239"/>
        <v>120817</v>
      </c>
      <c r="AM282" s="24"/>
      <c r="AN282" s="24"/>
      <c r="AO282" s="24">
        <v>178263</v>
      </c>
      <c r="AP282" s="24">
        <v>10291605</v>
      </c>
      <c r="AQ282" s="24"/>
      <c r="AR282" s="461">
        <f t="shared" si="240"/>
        <v>1.187882394166509E-2</v>
      </c>
      <c r="AS282" s="25"/>
      <c r="AT282" s="25"/>
      <c r="AU282" s="24"/>
      <c r="AV282" s="298">
        <f t="shared" si="241"/>
        <v>0.57470579819547063</v>
      </c>
      <c r="AW282" s="298"/>
      <c r="AX282" s="24">
        <f t="shared" si="242"/>
        <v>37698.18681318681</v>
      </c>
      <c r="AY282" s="308"/>
      <c r="AZ282" s="10"/>
      <c r="BA282" s="65">
        <f t="shared" si="243"/>
        <v>1885917</v>
      </c>
      <c r="BB282" s="66"/>
      <c r="BC282" s="66">
        <v>228609073</v>
      </c>
      <c r="BD282" s="66"/>
      <c r="BE282" s="66">
        <f t="shared" si="244"/>
        <v>237872</v>
      </c>
      <c r="BF282" s="66"/>
      <c r="BG282" s="144">
        <f t="shared" si="245"/>
        <v>0.12613068337577954</v>
      </c>
      <c r="BH282" s="66"/>
      <c r="BI282" s="170"/>
      <c r="BJ282" s="66"/>
      <c r="BK282" s="66">
        <f t="shared" si="246"/>
        <v>13487629</v>
      </c>
      <c r="BL282" s="66"/>
      <c r="BM282" s="144">
        <f t="shared" si="247"/>
        <v>0.11438422572269745</v>
      </c>
      <c r="BN282" s="65">
        <f t="shared" si="248"/>
        <v>837395.87179487175</v>
      </c>
      <c r="BO282" s="66"/>
      <c r="BP282" s="66">
        <f t="shared" si="249"/>
        <v>17000628</v>
      </c>
      <c r="BQ282" s="66"/>
      <c r="BR282" s="435">
        <f t="shared" si="250"/>
        <v>7.4365499920469036E-2</v>
      </c>
      <c r="BS282" s="66"/>
      <c r="BT282" s="75"/>
      <c r="BU282" s="170"/>
      <c r="BV282" s="1"/>
      <c r="BW282" s="61">
        <f t="shared" si="186"/>
        <v>273</v>
      </c>
    </row>
    <row r="283" spans="2:75" x14ac:dyDescent="0.3">
      <c r="B283" s="158">
        <f t="shared" si="161"/>
        <v>44183</v>
      </c>
      <c r="C283" s="61"/>
      <c r="D283" s="17">
        <v>254680</v>
      </c>
      <c r="E283" s="16"/>
      <c r="F283" s="16"/>
      <c r="G283" s="16"/>
      <c r="H283" s="16">
        <f t="shared" si="231"/>
        <v>18162286</v>
      </c>
      <c r="I283" s="16"/>
      <c r="J283" s="436">
        <f t="shared" si="232"/>
        <v>1.4221889849486302E-2</v>
      </c>
      <c r="K283" s="16"/>
      <c r="L283" s="16"/>
      <c r="M283" s="16"/>
      <c r="N283" s="16">
        <f t="shared" si="251"/>
        <v>1550691</v>
      </c>
      <c r="O283" s="16">
        <f t="shared" si="233"/>
        <v>66285.715328467151</v>
      </c>
      <c r="P283" s="41"/>
      <c r="Q283" s="17">
        <f t="shared" si="252"/>
        <v>1550691</v>
      </c>
      <c r="R283" s="16"/>
      <c r="S283" s="60">
        <f t="shared" si="253"/>
        <v>2.9585739885839943E-2</v>
      </c>
      <c r="T283" s="16"/>
      <c r="U283" s="41"/>
      <c r="V283" s="10">
        <f t="shared" si="109"/>
        <v>175</v>
      </c>
      <c r="W283" s="34">
        <v>2794</v>
      </c>
      <c r="X283" s="33"/>
      <c r="Y283" s="33"/>
      <c r="Z283" s="33"/>
      <c r="AA283" s="33">
        <f t="shared" si="234"/>
        <v>322315</v>
      </c>
      <c r="AB283" s="33"/>
      <c r="AC283" s="46">
        <f t="shared" si="235"/>
        <v>1.7746389413755514E-2</v>
      </c>
      <c r="AD283" s="33"/>
      <c r="AE283" s="33">
        <f t="shared" si="236"/>
        <v>1176.3321167883212</v>
      </c>
      <c r="AF283" s="50"/>
      <c r="AG283" s="33">
        <f t="shared" si="237"/>
        <v>18044</v>
      </c>
      <c r="AH283" s="33">
        <f>SUM(D254:D935)</f>
        <v>1215759583.060914</v>
      </c>
      <c r="AI283" s="213">
        <f t="shared" si="238"/>
        <v>4.5483515846804566E-2</v>
      </c>
      <c r="AJ283" s="50"/>
      <c r="AK283" s="10"/>
      <c r="AL283" s="23">
        <f t="shared" si="239"/>
        <v>102681</v>
      </c>
      <c r="AM283" s="24"/>
      <c r="AN283" s="24"/>
      <c r="AO283" s="24">
        <v>178263</v>
      </c>
      <c r="AP283" s="24">
        <v>10394286</v>
      </c>
      <c r="AQ283" s="24"/>
      <c r="AR283" s="461">
        <f t="shared" si="240"/>
        <v>9.9771609967541502E-3</v>
      </c>
      <c r="AS283" s="25"/>
      <c r="AT283" s="25"/>
      <c r="AU283" s="24"/>
      <c r="AV283" s="298">
        <f t="shared" si="241"/>
        <v>0.57230053529605251</v>
      </c>
      <c r="AW283" s="298"/>
      <c r="AX283" s="24">
        <f t="shared" si="242"/>
        <v>37935.350364963502</v>
      </c>
      <c r="AY283" s="308"/>
      <c r="AZ283" s="10"/>
      <c r="BA283" s="65">
        <f t="shared" si="243"/>
        <v>2207096</v>
      </c>
      <c r="BB283" s="66"/>
      <c r="BC283" s="66">
        <v>230816169</v>
      </c>
      <c r="BD283" s="66"/>
      <c r="BE283" s="66">
        <f t="shared" si="244"/>
        <v>254680</v>
      </c>
      <c r="BF283" s="66"/>
      <c r="BG283" s="144">
        <f t="shared" si="245"/>
        <v>0.11539144649802274</v>
      </c>
      <c r="BH283" s="66"/>
      <c r="BI283" s="170"/>
      <c r="BJ283" s="66"/>
      <c r="BK283" s="66">
        <f t="shared" si="246"/>
        <v>13623472</v>
      </c>
      <c r="BL283" s="66"/>
      <c r="BM283" s="144">
        <f t="shared" si="247"/>
        <v>0.11382494858872981</v>
      </c>
      <c r="BN283" s="65">
        <f t="shared" si="248"/>
        <v>842394.77737226279</v>
      </c>
      <c r="BO283" s="66"/>
      <c r="BP283" s="66">
        <f t="shared" si="249"/>
        <v>17255308</v>
      </c>
      <c r="BQ283" s="66"/>
      <c r="BR283" s="435">
        <f t="shared" si="250"/>
        <v>7.4757795672451346E-2</v>
      </c>
      <c r="BS283" s="66"/>
      <c r="BT283" s="75"/>
      <c r="BU283" s="170"/>
      <c r="BV283" s="1"/>
      <c r="BW283" s="61">
        <f t="shared" si="186"/>
        <v>274</v>
      </c>
    </row>
    <row r="284" spans="2:75" x14ac:dyDescent="0.3">
      <c r="B284" s="158">
        <f t="shared" si="161"/>
        <v>44184</v>
      </c>
      <c r="C284" s="61"/>
      <c r="D284" s="17">
        <v>189650</v>
      </c>
      <c r="E284" s="16"/>
      <c r="F284" s="16"/>
      <c r="G284" s="16"/>
      <c r="H284" s="16">
        <f t="shared" si="231"/>
        <v>18351936</v>
      </c>
      <c r="I284" s="16"/>
      <c r="J284" s="436">
        <f t="shared" si="232"/>
        <v>1.044196749241808E-2</v>
      </c>
      <c r="K284" s="16"/>
      <c r="L284" s="16"/>
      <c r="M284" s="16"/>
      <c r="N284" s="16">
        <f t="shared" si="251"/>
        <v>1520043</v>
      </c>
      <c r="O284" s="16">
        <f t="shared" si="233"/>
        <v>66734.312727272729</v>
      </c>
      <c r="P284" s="41"/>
      <c r="Q284" s="17">
        <f t="shared" si="252"/>
        <v>1520043</v>
      </c>
      <c r="R284" s="16"/>
      <c r="S284" s="60">
        <f t="shared" si="253"/>
        <v>4.0272242206789407E-3</v>
      </c>
      <c r="T284" s="16"/>
      <c r="U284" s="41"/>
      <c r="V284" s="10">
        <f t="shared" si="109"/>
        <v>176</v>
      </c>
      <c r="W284" s="34">
        <v>2559</v>
      </c>
      <c r="X284" s="33"/>
      <c r="Y284" s="33"/>
      <c r="Z284" s="33"/>
      <c r="AA284" s="33">
        <f t="shared" si="234"/>
        <v>324874</v>
      </c>
      <c r="AB284" s="33"/>
      <c r="AC284" s="46">
        <f t="shared" si="235"/>
        <v>1.7702437497602433E-2</v>
      </c>
      <c r="AD284" s="33"/>
      <c r="AE284" s="33">
        <f t="shared" si="236"/>
        <v>1181.3599999999999</v>
      </c>
      <c r="AF284" s="50"/>
      <c r="AG284" s="33">
        <f t="shared" si="237"/>
        <v>18296</v>
      </c>
      <c r="AH284" s="33">
        <f>SUM(D255:D936)</f>
        <v>1215567397.060914</v>
      </c>
      <c r="AI284" s="213">
        <f t="shared" si="238"/>
        <v>5.7572254335260115E-2</v>
      </c>
      <c r="AJ284" s="50"/>
      <c r="AK284" s="10"/>
      <c r="AL284" s="23">
        <f t="shared" si="239"/>
        <v>151159</v>
      </c>
      <c r="AM284" s="24"/>
      <c r="AN284" s="24"/>
      <c r="AO284" s="24">
        <v>178263</v>
      </c>
      <c r="AP284" s="24">
        <v>10545445</v>
      </c>
      <c r="AQ284" s="24"/>
      <c r="AR284" s="461">
        <f t="shared" si="240"/>
        <v>1.4542509220931577E-2</v>
      </c>
      <c r="AS284" s="25"/>
      <c r="AT284" s="25"/>
      <c r="AU284" s="24"/>
      <c r="AV284" s="298">
        <f t="shared" si="241"/>
        <v>0.57462302614830396</v>
      </c>
      <c r="AW284" s="298"/>
      <c r="AX284" s="24">
        <f t="shared" si="242"/>
        <v>38347.072727272731</v>
      </c>
      <c r="AY284" s="308"/>
      <c r="AZ284" s="10"/>
      <c r="BA284" s="65">
        <f t="shared" si="243"/>
        <v>1780784</v>
      </c>
      <c r="BB284" s="66"/>
      <c r="BC284" s="66">
        <v>232596953</v>
      </c>
      <c r="BD284" s="66"/>
      <c r="BE284" s="66">
        <f t="shared" si="244"/>
        <v>189650</v>
      </c>
      <c r="BF284" s="66"/>
      <c r="BG284" s="144">
        <f t="shared" si="245"/>
        <v>0.10649803681973782</v>
      </c>
      <c r="BH284" s="66"/>
      <c r="BI284" s="170"/>
      <c r="BJ284" s="66"/>
      <c r="BK284" s="66">
        <f t="shared" si="246"/>
        <v>13091881</v>
      </c>
      <c r="BL284" s="66"/>
      <c r="BM284" s="144">
        <f t="shared" si="247"/>
        <v>0.11610577578577135</v>
      </c>
      <c r="BN284" s="65">
        <f t="shared" si="248"/>
        <v>845807.10181818181</v>
      </c>
      <c r="BO284" s="66"/>
      <c r="BP284" s="66">
        <f t="shared" si="249"/>
        <v>17444958</v>
      </c>
      <c r="BQ284" s="66"/>
      <c r="BR284" s="435">
        <f t="shared" si="250"/>
        <v>7.5000801923660626E-2</v>
      </c>
      <c r="BS284" s="66"/>
      <c r="BT284" s="75"/>
      <c r="BU284" s="170"/>
      <c r="BV284" s="1"/>
      <c r="BW284" s="61">
        <f t="shared" si="186"/>
        <v>275</v>
      </c>
    </row>
    <row r="285" spans="2:75" x14ac:dyDescent="0.3">
      <c r="B285" s="347">
        <f t="shared" si="161"/>
        <v>44185</v>
      </c>
      <c r="C285" s="61"/>
      <c r="D285" s="17">
        <v>188280</v>
      </c>
      <c r="E285" s="16"/>
      <c r="F285" s="16"/>
      <c r="G285" s="16"/>
      <c r="H285" s="16">
        <f t="shared" si="231"/>
        <v>18540216</v>
      </c>
      <c r="I285" s="16"/>
      <c r="J285" s="436">
        <f t="shared" si="232"/>
        <v>1.0259408053733404E-2</v>
      </c>
      <c r="K285" s="16"/>
      <c r="L285" s="16"/>
      <c r="M285" s="16"/>
      <c r="N285" s="16">
        <f t="shared" si="251"/>
        <v>1520422</v>
      </c>
      <c r="O285" s="16">
        <f t="shared" si="233"/>
        <v>67174.695652173919</v>
      </c>
      <c r="P285" s="41"/>
      <c r="Q285" s="17">
        <f t="shared" si="252"/>
        <v>1520422</v>
      </c>
      <c r="R285" s="16"/>
      <c r="S285" s="60">
        <f t="shared" si="253"/>
        <v>8.9133600339155327E-4</v>
      </c>
      <c r="T285" s="16"/>
      <c r="U285" s="41"/>
      <c r="V285" s="10">
        <f t="shared" si="109"/>
        <v>177</v>
      </c>
      <c r="W285" s="34">
        <v>1458</v>
      </c>
      <c r="X285" s="33"/>
      <c r="Y285" s="33"/>
      <c r="Z285" s="33"/>
      <c r="AA285" s="33">
        <f t="shared" si="234"/>
        <v>326332</v>
      </c>
      <c r="AB285" s="33"/>
      <c r="AC285" s="46">
        <f t="shared" si="235"/>
        <v>1.7601305184362471E-2</v>
      </c>
      <c r="AD285" s="33"/>
      <c r="AE285" s="33">
        <f t="shared" si="236"/>
        <v>1182.3623188405797</v>
      </c>
      <c r="AF285" s="50"/>
      <c r="AG285" s="33">
        <f t="shared" si="237"/>
        <v>18375</v>
      </c>
      <c r="AH285" s="33">
        <f>SUM(D256:D937)</f>
        <v>1215363218.060914</v>
      </c>
      <c r="AI285" s="213">
        <f t="shared" si="238"/>
        <v>4.4805822482515495E-2</v>
      </c>
      <c r="AJ285" s="50"/>
      <c r="AK285" s="10"/>
      <c r="AL285" s="23">
        <f t="shared" si="239"/>
        <v>76637</v>
      </c>
      <c r="AM285" s="24"/>
      <c r="AN285" s="24"/>
      <c r="AO285" s="24">
        <v>178263</v>
      </c>
      <c r="AP285" s="24">
        <v>10622082</v>
      </c>
      <c r="AQ285" s="24"/>
      <c r="AR285" s="461">
        <f t="shared" si="240"/>
        <v>7.2673083023049286E-3</v>
      </c>
      <c r="AS285" s="25"/>
      <c r="AT285" s="25"/>
      <c r="AU285" s="24"/>
      <c r="AV285" s="298">
        <f t="shared" si="241"/>
        <v>0.57292115690561529</v>
      </c>
      <c r="AW285" s="298"/>
      <c r="AX285" s="24">
        <f t="shared" si="242"/>
        <v>38485.804347826088</v>
      </c>
      <c r="AY285" s="308"/>
      <c r="AZ285" s="10"/>
      <c r="BA285" s="65">
        <f t="shared" si="243"/>
        <v>1620242</v>
      </c>
      <c r="BB285" s="66"/>
      <c r="BC285" s="66">
        <v>234217195</v>
      </c>
      <c r="BD285" s="66"/>
      <c r="BE285" s="66">
        <f t="shared" si="244"/>
        <v>188280</v>
      </c>
      <c r="BF285" s="66"/>
      <c r="BG285" s="144">
        <f t="shared" si="245"/>
        <v>0.11620486322413566</v>
      </c>
      <c r="BH285" s="66"/>
      <c r="BI285" s="170"/>
      <c r="BJ285" s="66"/>
      <c r="BK285" s="66">
        <f t="shared" si="246"/>
        <v>13021565</v>
      </c>
      <c r="BL285" s="66"/>
      <c r="BM285" s="144">
        <f t="shared" si="247"/>
        <v>0.11676184851820806</v>
      </c>
      <c r="BN285" s="65">
        <f t="shared" si="248"/>
        <v>848613.02536231885</v>
      </c>
      <c r="BO285" s="66"/>
      <c r="BP285" s="66">
        <f t="shared" si="249"/>
        <v>17633238</v>
      </c>
      <c r="BQ285" s="66"/>
      <c r="BR285" s="435">
        <f t="shared" si="250"/>
        <v>7.5285838855682644E-2</v>
      </c>
      <c r="BS285" s="66"/>
      <c r="BT285" s="75"/>
      <c r="BU285" s="170"/>
      <c r="BV285" s="1"/>
      <c r="BW285" s="61">
        <f t="shared" si="186"/>
        <v>276</v>
      </c>
    </row>
    <row r="286" spans="2:75" x14ac:dyDescent="0.3">
      <c r="B286" s="158">
        <f t="shared" si="161"/>
        <v>44186</v>
      </c>
      <c r="C286" s="61"/>
      <c r="D286" s="17">
        <v>200109</v>
      </c>
      <c r="E286" s="16"/>
      <c r="F286" s="16"/>
      <c r="G286" s="16"/>
      <c r="H286" s="16">
        <f t="shared" si="231"/>
        <v>18740325</v>
      </c>
      <c r="I286" s="16"/>
      <c r="J286" s="436">
        <f t="shared" si="232"/>
        <v>1.0793239949308035E-2</v>
      </c>
      <c r="K286" s="16"/>
      <c r="L286" s="16"/>
      <c r="M286" s="16"/>
      <c r="N286" s="16">
        <f t="shared" si="251"/>
        <v>1520799</v>
      </c>
      <c r="O286" s="16">
        <f t="shared" si="233"/>
        <v>67654.602888086636</v>
      </c>
      <c r="P286" s="41"/>
      <c r="Q286" s="17">
        <f t="shared" si="252"/>
        <v>1520799</v>
      </c>
      <c r="R286" s="16"/>
      <c r="S286" s="60">
        <f t="shared" si="253"/>
        <v>1.3722126929674098E-3</v>
      </c>
      <c r="T286" s="16"/>
      <c r="U286" s="41"/>
      <c r="V286" s="10">
        <f t="shared" si="109"/>
        <v>178</v>
      </c>
      <c r="W286" s="34">
        <v>1841</v>
      </c>
      <c r="X286" s="33"/>
      <c r="Y286" s="33"/>
      <c r="Z286" s="33"/>
      <c r="AA286" s="33">
        <f t="shared" si="234"/>
        <v>328173</v>
      </c>
      <c r="AB286" s="33"/>
      <c r="AC286" s="46">
        <f t="shared" si="235"/>
        <v>1.75115959835275E-2</v>
      </c>
      <c r="AD286" s="33"/>
      <c r="AE286" s="33">
        <f t="shared" si="236"/>
        <v>1184.7400722021662</v>
      </c>
      <c r="AF286" s="50"/>
      <c r="AG286" s="33">
        <f t="shared" si="237"/>
        <v>18594</v>
      </c>
      <c r="AH286" s="33">
        <f>SUM(D257:D938)</f>
        <v>1215190379.060914</v>
      </c>
      <c r="AI286" s="213">
        <f t="shared" si="238"/>
        <v>5.2232471280629279E-2</v>
      </c>
      <c r="AJ286" s="50"/>
      <c r="AK286" s="10"/>
      <c r="AL286" s="23">
        <f t="shared" si="239"/>
        <v>180414</v>
      </c>
      <c r="AM286" s="24"/>
      <c r="AN286" s="24"/>
      <c r="AO286" s="24">
        <v>178263</v>
      </c>
      <c r="AP286" s="24">
        <v>10802496</v>
      </c>
      <c r="AQ286" s="24"/>
      <c r="AR286" s="461">
        <f t="shared" si="240"/>
        <v>1.6984805803607995E-2</v>
      </c>
      <c r="AS286" s="25"/>
      <c r="AT286" s="25"/>
      <c r="AU286" s="24"/>
      <c r="AV286" s="298">
        <f t="shared" si="241"/>
        <v>0.5764305581680147</v>
      </c>
      <c r="AW286" s="298"/>
      <c r="AX286" s="24">
        <f t="shared" si="242"/>
        <v>38998.180505415163</v>
      </c>
      <c r="AY286" s="308"/>
      <c r="AZ286" s="10"/>
      <c r="BA286" s="65">
        <f t="shared" si="243"/>
        <v>2403372</v>
      </c>
      <c r="BB286" s="66"/>
      <c r="BC286" s="66">
        <v>236620567</v>
      </c>
      <c r="BD286" s="66"/>
      <c r="BE286" s="66">
        <f t="shared" si="244"/>
        <v>200109</v>
      </c>
      <c r="BF286" s="66"/>
      <c r="BG286" s="144">
        <f t="shared" si="245"/>
        <v>8.3261767217060037E-2</v>
      </c>
      <c r="BH286" s="66"/>
      <c r="BI286" s="170"/>
      <c r="BJ286" s="66"/>
      <c r="BK286" s="66">
        <f t="shared" si="246"/>
        <v>13435361</v>
      </c>
      <c r="BL286" s="66"/>
      <c r="BM286" s="144">
        <f t="shared" si="247"/>
        <v>0.11319375787520708</v>
      </c>
      <c r="BN286" s="65">
        <f t="shared" si="248"/>
        <v>854225.87364620937</v>
      </c>
      <c r="BO286" s="66"/>
      <c r="BP286" s="66">
        <f t="shared" si="249"/>
        <v>17833347</v>
      </c>
      <c r="BQ286" s="66"/>
      <c r="BR286" s="435">
        <f t="shared" si="250"/>
        <v>7.536685092974188E-2</v>
      </c>
      <c r="BS286" s="66"/>
      <c r="BT286" s="75"/>
      <c r="BU286" s="170"/>
      <c r="BV286" s="1"/>
      <c r="BW286" s="61">
        <f t="shared" si="186"/>
        <v>277</v>
      </c>
    </row>
    <row r="287" spans="2:75" x14ac:dyDescent="0.3">
      <c r="B287" s="158">
        <f t="shared" si="161"/>
        <v>44187</v>
      </c>
      <c r="C287" s="61"/>
      <c r="D287" s="17">
        <v>199080</v>
      </c>
      <c r="E287" s="16"/>
      <c r="F287" s="16"/>
      <c r="G287" s="16"/>
      <c r="H287" s="16">
        <f t="shared" si="231"/>
        <v>18939405</v>
      </c>
      <c r="I287" s="16"/>
      <c r="J287" s="436">
        <f t="shared" si="232"/>
        <v>1.0623081510059191E-2</v>
      </c>
      <c r="K287" s="16"/>
      <c r="L287" s="16"/>
      <c r="M287" s="16"/>
      <c r="N287" s="16">
        <f t="shared" si="251"/>
        <v>1519844</v>
      </c>
      <c r="O287" s="16">
        <f t="shared" si="233"/>
        <v>68127.356115107919</v>
      </c>
      <c r="P287" s="41"/>
      <c r="Q287" s="17">
        <f t="shared" si="252"/>
        <v>1519844</v>
      </c>
      <c r="R287" s="16"/>
      <c r="S287" s="60">
        <f t="shared" si="253"/>
        <v>7.1902207695988185E-3</v>
      </c>
      <c r="T287" s="16"/>
      <c r="U287" s="41"/>
      <c r="V287" s="10">
        <f t="shared" si="109"/>
        <v>179</v>
      </c>
      <c r="W287" s="34">
        <v>3376</v>
      </c>
      <c r="X287" s="33"/>
      <c r="Y287" s="33"/>
      <c r="Z287" s="33"/>
      <c r="AA287" s="33">
        <f t="shared" si="234"/>
        <v>331549</v>
      </c>
      <c r="AB287" s="33"/>
      <c r="AC287" s="46">
        <f t="shared" si="235"/>
        <v>1.7505776976626246E-2</v>
      </c>
      <c r="AD287" s="33"/>
      <c r="AE287" s="33">
        <f t="shared" si="236"/>
        <v>1192.6223021582734</v>
      </c>
      <c r="AF287" s="50"/>
      <c r="AG287" s="33">
        <f t="shared" si="237"/>
        <v>18989</v>
      </c>
      <c r="AH287" s="33">
        <f>SUM(D258:D939)</f>
        <v>1215053752.060914</v>
      </c>
      <c r="AI287" s="213">
        <f t="shared" si="238"/>
        <v>7.3309970608184491E-2</v>
      </c>
      <c r="AJ287" s="50"/>
      <c r="AK287" s="10"/>
      <c r="AL287" s="23">
        <f t="shared" si="239"/>
        <v>142601</v>
      </c>
      <c r="AM287" s="24"/>
      <c r="AN287" s="24"/>
      <c r="AO287" s="24">
        <v>178263</v>
      </c>
      <c r="AP287" s="24">
        <v>10945097</v>
      </c>
      <c r="AQ287" s="24"/>
      <c r="AR287" s="461">
        <f t="shared" si="240"/>
        <v>1.3200745457346154E-2</v>
      </c>
      <c r="AS287" s="25"/>
      <c r="AT287" s="25"/>
      <c r="AU287" s="24"/>
      <c r="AV287" s="298">
        <f t="shared" si="241"/>
        <v>0.57790078410594203</v>
      </c>
      <c r="AW287" s="298"/>
      <c r="AX287" s="24">
        <f t="shared" si="242"/>
        <v>39370.852517985615</v>
      </c>
      <c r="AY287" s="308"/>
      <c r="AZ287" s="10"/>
      <c r="BA287" s="65">
        <f t="shared" si="243"/>
        <v>1768330</v>
      </c>
      <c r="BB287" s="66"/>
      <c r="BC287" s="66">
        <v>238388897</v>
      </c>
      <c r="BD287" s="66"/>
      <c r="BE287" s="66">
        <f t="shared" si="244"/>
        <v>199080</v>
      </c>
      <c r="BF287" s="66"/>
      <c r="BG287" s="144">
        <f t="shared" si="245"/>
        <v>0.11258079657077581</v>
      </c>
      <c r="BH287" s="66"/>
      <c r="BI287" s="170"/>
      <c r="BJ287" s="66"/>
      <c r="BK287" s="66">
        <f t="shared" si="246"/>
        <v>13450255</v>
      </c>
      <c r="BL287" s="66"/>
      <c r="BM287" s="144">
        <f t="shared" si="247"/>
        <v>0.11299741157323782</v>
      </c>
      <c r="BN287" s="65">
        <f t="shared" si="248"/>
        <v>857514.01798561146</v>
      </c>
      <c r="BO287" s="66"/>
      <c r="BP287" s="66">
        <f t="shared" si="249"/>
        <v>18032427</v>
      </c>
      <c r="BQ287" s="66"/>
      <c r="BR287" s="435">
        <f t="shared" si="250"/>
        <v>7.5642897915669291E-2</v>
      </c>
      <c r="BS287" s="66"/>
      <c r="BT287" s="75"/>
      <c r="BU287" s="170"/>
      <c r="BV287" s="1"/>
      <c r="BW287" s="61">
        <f t="shared" si="186"/>
        <v>278</v>
      </c>
    </row>
    <row r="288" spans="2:75" x14ac:dyDescent="0.3">
      <c r="B288" s="158">
        <f t="shared" si="161"/>
        <v>44188</v>
      </c>
      <c r="C288" s="61"/>
      <c r="D288" s="17">
        <v>232342</v>
      </c>
      <c r="E288" s="16"/>
      <c r="F288" s="16"/>
      <c r="G288" s="16"/>
      <c r="H288" s="16">
        <f t="shared" si="231"/>
        <v>19171747</v>
      </c>
      <c r="I288" s="16"/>
      <c r="J288" s="436">
        <f t="shared" si="232"/>
        <v>1.2267650435692145E-2</v>
      </c>
      <c r="K288" s="16"/>
      <c r="L288" s="16"/>
      <c r="M288" s="16"/>
      <c r="N288" s="16">
        <f t="shared" si="251"/>
        <v>1502013</v>
      </c>
      <c r="O288" s="16">
        <f t="shared" si="233"/>
        <v>68715.939068100357</v>
      </c>
      <c r="P288" s="41"/>
      <c r="Q288" s="17">
        <f t="shared" si="252"/>
        <v>1502013</v>
      </c>
      <c r="R288" s="16"/>
      <c r="S288" s="60">
        <f t="shared" si="253"/>
        <v>-1.9710693153828382E-2</v>
      </c>
      <c r="T288" s="16"/>
      <c r="U288" s="41"/>
      <c r="V288" s="10">
        <f t="shared" si="109"/>
        <v>180</v>
      </c>
      <c r="W288" s="34">
        <v>3401</v>
      </c>
      <c r="X288" s="33"/>
      <c r="Y288" s="33"/>
      <c r="Z288" s="33"/>
      <c r="AA288" s="33">
        <f t="shared" si="234"/>
        <v>334950</v>
      </c>
      <c r="AB288" s="33"/>
      <c r="AC288" s="46">
        <f t="shared" si="235"/>
        <v>1.747102128981777E-2</v>
      </c>
      <c r="AD288" s="33"/>
      <c r="AE288" s="33">
        <f t="shared" si="236"/>
        <v>1200.5376344086021</v>
      </c>
      <c r="AF288" s="50"/>
      <c r="AG288" s="33">
        <f t="shared" si="237"/>
        <v>18829</v>
      </c>
      <c r="AH288" s="33">
        <f>SUM(D259:D940)</f>
        <v>1214881452.060914</v>
      </c>
      <c r="AI288" s="213">
        <f t="shared" si="238"/>
        <v>4.6753391149655328E-2</v>
      </c>
      <c r="AJ288" s="50"/>
      <c r="AK288" s="10"/>
      <c r="AL288" s="23">
        <f t="shared" si="239"/>
        <v>156769</v>
      </c>
      <c r="AM288" s="24"/>
      <c r="AN288" s="24"/>
      <c r="AO288" s="24">
        <v>178263</v>
      </c>
      <c r="AP288" s="24">
        <v>11101866</v>
      </c>
      <c r="AQ288" s="24"/>
      <c r="AR288" s="461">
        <f t="shared" si="240"/>
        <v>1.4323217053261382E-2</v>
      </c>
      <c r="AS288" s="25"/>
      <c r="AT288" s="25"/>
      <c r="AU288" s="24"/>
      <c r="AV288" s="298">
        <f t="shared" si="241"/>
        <v>0.57907430136648474</v>
      </c>
      <c r="AW288" s="298"/>
      <c r="AX288" s="24">
        <f t="shared" si="242"/>
        <v>39791.634408602149</v>
      </c>
      <c r="AY288" s="308"/>
      <c r="AZ288" s="10"/>
      <c r="BA288" s="65">
        <f t="shared" si="243"/>
        <v>1746852</v>
      </c>
      <c r="BB288" s="66"/>
      <c r="BC288" s="66">
        <v>240135749</v>
      </c>
      <c r="BD288" s="66"/>
      <c r="BE288" s="66">
        <f t="shared" si="244"/>
        <v>232342</v>
      </c>
      <c r="BF288" s="66"/>
      <c r="BG288" s="144">
        <f t="shared" si="245"/>
        <v>0.13300611614492813</v>
      </c>
      <c r="BH288" s="66"/>
      <c r="BI288" s="170"/>
      <c r="BJ288" s="66"/>
      <c r="BK288" s="66">
        <f t="shared" si="246"/>
        <v>13412593</v>
      </c>
      <c r="BL288" s="66"/>
      <c r="BM288" s="144">
        <f t="shared" si="247"/>
        <v>0.11198528129497407</v>
      </c>
      <c r="BN288" s="65">
        <f t="shared" si="248"/>
        <v>860701.60931899643</v>
      </c>
      <c r="BO288" s="66"/>
      <c r="BP288" s="66">
        <f t="shared" si="249"/>
        <v>18264769</v>
      </c>
      <c r="BQ288" s="66"/>
      <c r="BR288" s="435">
        <f t="shared" si="250"/>
        <v>7.6060182942607177E-2</v>
      </c>
      <c r="BS288" s="66"/>
      <c r="BT288" s="75"/>
      <c r="BU288" s="170"/>
      <c r="BV288" s="1"/>
      <c r="BW288" s="61">
        <f t="shared" si="186"/>
        <v>279</v>
      </c>
    </row>
    <row r="289" spans="2:75" x14ac:dyDescent="0.3">
      <c r="B289" s="158">
        <f t="shared" si="161"/>
        <v>44189</v>
      </c>
      <c r="C289" s="61"/>
      <c r="D289" s="17">
        <v>193030</v>
      </c>
      <c r="E289" s="16"/>
      <c r="F289" s="16"/>
      <c r="G289" s="16"/>
      <c r="H289" s="16">
        <f t="shared" si="231"/>
        <v>19364777</v>
      </c>
      <c r="I289" s="16"/>
      <c r="J289" s="436">
        <f t="shared" si="232"/>
        <v>1.0068461679574637E-2</v>
      </c>
      <c r="K289" s="16"/>
      <c r="L289" s="16"/>
      <c r="M289" s="16"/>
      <c r="N289" s="16">
        <f t="shared" si="251"/>
        <v>1457171</v>
      </c>
      <c r="O289" s="16">
        <f t="shared" si="233"/>
        <v>69159.917857142864</v>
      </c>
      <c r="P289" s="41"/>
      <c r="Q289" s="17">
        <f t="shared" si="252"/>
        <v>1457171</v>
      </c>
      <c r="R289" s="16"/>
      <c r="S289" s="60">
        <f t="shared" si="253"/>
        <v>-5.5485191590202571E-2</v>
      </c>
      <c r="T289" s="16"/>
      <c r="U289" s="41"/>
      <c r="V289" s="10">
        <f t="shared" si="109"/>
        <v>181</v>
      </c>
      <c r="W289" s="34">
        <v>2835</v>
      </c>
      <c r="X289" s="33"/>
      <c r="Y289" s="33"/>
      <c r="Z289" s="33"/>
      <c r="AA289" s="33">
        <f t="shared" si="234"/>
        <v>337785</v>
      </c>
      <c r="AB289" s="33"/>
      <c r="AC289" s="46">
        <f t="shared" si="235"/>
        <v>1.7443268259686132E-2</v>
      </c>
      <c r="AD289" s="33"/>
      <c r="AE289" s="33">
        <f t="shared" si="236"/>
        <v>1206.375</v>
      </c>
      <c r="AF289" s="50"/>
      <c r="AG289" s="33">
        <f t="shared" si="237"/>
        <v>18264</v>
      </c>
      <c r="AH289" s="33">
        <f>SUM(D260:D941)</f>
        <v>1214704370.060914</v>
      </c>
      <c r="AI289" s="213">
        <f t="shared" si="238"/>
        <v>-9.2992724686833327E-4</v>
      </c>
      <c r="AJ289" s="50"/>
      <c r="AK289" s="10"/>
      <c r="AL289" s="23">
        <f t="shared" si="239"/>
        <v>117257</v>
      </c>
      <c r="AM289" s="24"/>
      <c r="AN289" s="24"/>
      <c r="AO289" s="24">
        <v>178263</v>
      </c>
      <c r="AP289" s="24">
        <v>11219123</v>
      </c>
      <c r="AQ289" s="24"/>
      <c r="AR289" s="461">
        <f t="shared" si="240"/>
        <v>1.056191814961557E-2</v>
      </c>
      <c r="AS289" s="25"/>
      <c r="AT289" s="25"/>
      <c r="AU289" s="24"/>
      <c r="AV289" s="298">
        <f t="shared" si="241"/>
        <v>0.57935720096337795</v>
      </c>
      <c r="AW289" s="298"/>
      <c r="AX289" s="24">
        <f t="shared" si="242"/>
        <v>40068.296428571426</v>
      </c>
      <c r="AY289" s="308"/>
      <c r="AZ289" s="10"/>
      <c r="BA289" s="65">
        <f t="shared" si="243"/>
        <v>1932743</v>
      </c>
      <c r="BB289" s="66"/>
      <c r="BC289" s="66">
        <v>242068492</v>
      </c>
      <c r="BD289" s="66"/>
      <c r="BE289" s="66">
        <f t="shared" si="244"/>
        <v>193030</v>
      </c>
      <c r="BF289" s="66"/>
      <c r="BG289" s="144">
        <f t="shared" si="245"/>
        <v>9.9873599335245297E-2</v>
      </c>
      <c r="BH289" s="66"/>
      <c r="BI289" s="170"/>
      <c r="BJ289" s="66"/>
      <c r="BK289" s="66">
        <f t="shared" si="246"/>
        <v>13459419</v>
      </c>
      <c r="BL289" s="66"/>
      <c r="BM289" s="144">
        <f t="shared" si="247"/>
        <v>0.10826403427963718</v>
      </c>
      <c r="BN289" s="65">
        <f t="shared" si="248"/>
        <v>864530.32857142854</v>
      </c>
      <c r="BO289" s="66"/>
      <c r="BP289" s="66">
        <f t="shared" si="249"/>
        <v>18457799</v>
      </c>
      <c r="BQ289" s="66"/>
      <c r="BR289" s="435">
        <f t="shared" si="250"/>
        <v>7.6250315964293283E-2</v>
      </c>
      <c r="BS289" s="66"/>
      <c r="BT289" s="75"/>
      <c r="BU289" s="170"/>
      <c r="BV289" s="1"/>
      <c r="BW289" s="61">
        <f t="shared" si="186"/>
        <v>280</v>
      </c>
    </row>
    <row r="290" spans="2:75" x14ac:dyDescent="0.3">
      <c r="B290" s="158">
        <f t="shared" si="161"/>
        <v>44190</v>
      </c>
      <c r="C290" s="61"/>
      <c r="D290" s="17">
        <v>98840</v>
      </c>
      <c r="E290" s="16"/>
      <c r="F290" s="16"/>
      <c r="G290" s="16"/>
      <c r="H290" s="16">
        <f t="shared" si="231"/>
        <v>19463617</v>
      </c>
      <c r="I290" s="16"/>
      <c r="J290" s="436">
        <f t="shared" si="232"/>
        <v>5.1041124821628462E-3</v>
      </c>
      <c r="K290" s="16"/>
      <c r="L290" s="16"/>
      <c r="M290" s="16"/>
      <c r="N290" s="16">
        <f t="shared" si="251"/>
        <v>1301331</v>
      </c>
      <c r="O290" s="16">
        <f t="shared" si="233"/>
        <v>69265.540925266905</v>
      </c>
      <c r="P290" s="41"/>
      <c r="Q290" s="17">
        <f t="shared" si="252"/>
        <v>1301331</v>
      </c>
      <c r="R290" s="16"/>
      <c r="S290" s="60">
        <f t="shared" si="253"/>
        <v>-0.160805731122448</v>
      </c>
      <c r="T290" s="16"/>
      <c r="U290" s="41"/>
      <c r="V290" s="10">
        <f t="shared" si="109"/>
        <v>182</v>
      </c>
      <c r="W290" s="34">
        <v>1197</v>
      </c>
      <c r="X290" s="33"/>
      <c r="Y290" s="33"/>
      <c r="Z290" s="33"/>
      <c r="AA290" s="33">
        <f t="shared" si="234"/>
        <v>338982</v>
      </c>
      <c r="AB290" s="33"/>
      <c r="AC290" s="46">
        <f t="shared" si="235"/>
        <v>1.7416187340718838E-2</v>
      </c>
      <c r="AD290" s="33"/>
      <c r="AE290" s="33">
        <f t="shared" si="236"/>
        <v>1206.3416370106761</v>
      </c>
      <c r="AF290" s="50"/>
      <c r="AG290" s="33">
        <f t="shared" si="237"/>
        <v>16667</v>
      </c>
      <c r="AH290" s="33">
        <f>SUM(D261:D942)</f>
        <v>1214523467.060914</v>
      </c>
      <c r="AI290" s="213">
        <f t="shared" si="238"/>
        <v>-7.6313455996453117E-2</v>
      </c>
      <c r="AJ290" s="50"/>
      <c r="AK290" s="10"/>
      <c r="AL290" s="23">
        <f t="shared" si="239"/>
        <v>38588</v>
      </c>
      <c r="AM290" s="24"/>
      <c r="AN290" s="24"/>
      <c r="AO290" s="24">
        <v>178263</v>
      </c>
      <c r="AP290" s="24">
        <v>11257711</v>
      </c>
      <c r="AQ290" s="24"/>
      <c r="AR290" s="461">
        <f t="shared" si="240"/>
        <v>3.4394845301187978E-3</v>
      </c>
      <c r="AS290" s="25"/>
      <c r="AT290" s="25"/>
      <c r="AU290" s="24"/>
      <c r="AV290" s="298">
        <f t="shared" si="241"/>
        <v>0.57839768425365135</v>
      </c>
      <c r="AW290" s="298"/>
      <c r="AX290" s="24">
        <f t="shared" si="242"/>
        <v>40063.028469750891</v>
      </c>
      <c r="AY290" s="308"/>
      <c r="AZ290" s="10"/>
      <c r="BA290" s="65">
        <f t="shared" si="243"/>
        <v>1097555</v>
      </c>
      <c r="BB290" s="66"/>
      <c r="BC290" s="66">
        <v>243166047</v>
      </c>
      <c r="BD290" s="66"/>
      <c r="BE290" s="66">
        <f t="shared" si="244"/>
        <v>98840</v>
      </c>
      <c r="BF290" s="66"/>
      <c r="BG290" s="144">
        <f t="shared" si="245"/>
        <v>9.0054712520101499E-2</v>
      </c>
      <c r="BH290" s="66"/>
      <c r="BI290" s="170"/>
      <c r="BJ290" s="66"/>
      <c r="BK290" s="66">
        <f t="shared" si="246"/>
        <v>12349878</v>
      </c>
      <c r="BL290" s="66"/>
      <c r="BM290" s="144">
        <f t="shared" si="247"/>
        <v>0.10537197209559479</v>
      </c>
      <c r="BN290" s="65">
        <f t="shared" si="248"/>
        <v>865359.5978647687</v>
      </c>
      <c r="BO290" s="66"/>
      <c r="BP290" s="66">
        <f t="shared" si="249"/>
        <v>18556639</v>
      </c>
      <c r="BQ290" s="66"/>
      <c r="BR290" s="435">
        <f t="shared" si="250"/>
        <v>7.631262353004406E-2</v>
      </c>
      <c r="BS290" s="66"/>
      <c r="BT290" s="75"/>
      <c r="BU290" s="170"/>
      <c r="BV290" s="1"/>
      <c r="BW290" s="61">
        <f t="shared" si="186"/>
        <v>281</v>
      </c>
    </row>
    <row r="291" spans="2:75" x14ac:dyDescent="0.3">
      <c r="B291" s="158">
        <f t="shared" si="161"/>
        <v>44191</v>
      </c>
      <c r="C291" s="61"/>
      <c r="D291" s="17">
        <v>160604</v>
      </c>
      <c r="E291" s="16"/>
      <c r="F291" s="16"/>
      <c r="G291" s="16"/>
      <c r="H291" s="16">
        <f t="shared" si="231"/>
        <v>19624221</v>
      </c>
      <c r="I291" s="16"/>
      <c r="J291" s="436">
        <f t="shared" si="232"/>
        <v>8.2514981670673039E-3</v>
      </c>
      <c r="K291" s="16"/>
      <c r="L291" s="16"/>
      <c r="M291" s="16"/>
      <c r="N291" s="16">
        <f t="shared" si="251"/>
        <v>1272285</v>
      </c>
      <c r="O291" s="16">
        <f t="shared" si="233"/>
        <v>69589.436170212764</v>
      </c>
      <c r="P291" s="41"/>
      <c r="Q291" s="17">
        <f t="shared" si="252"/>
        <v>1272285</v>
      </c>
      <c r="R291" s="16"/>
      <c r="S291" s="60">
        <f t="shared" si="253"/>
        <v>-0.16299407319398201</v>
      </c>
      <c r="T291" s="16"/>
      <c r="U291" s="41"/>
      <c r="V291" s="10">
        <f t="shared" si="109"/>
        <v>183</v>
      </c>
      <c r="W291" s="34">
        <v>1408</v>
      </c>
      <c r="X291" s="33"/>
      <c r="Y291" s="33"/>
      <c r="Z291" s="33"/>
      <c r="AA291" s="33">
        <f t="shared" si="234"/>
        <v>340390</v>
      </c>
      <c r="AB291" s="33"/>
      <c r="AC291" s="46">
        <f t="shared" si="235"/>
        <v>1.7345401888818925E-2</v>
      </c>
      <c r="AD291" s="33"/>
      <c r="AE291" s="33">
        <f t="shared" si="236"/>
        <v>1207.0567375886526</v>
      </c>
      <c r="AF291" s="50"/>
      <c r="AG291" s="33">
        <f t="shared" si="237"/>
        <v>15516</v>
      </c>
      <c r="AH291" s="33">
        <f>SUM(D262:D943)</f>
        <v>1214415404.060914</v>
      </c>
      <c r="AI291" s="213">
        <f t="shared" si="238"/>
        <v>-0.1519457804984696</v>
      </c>
      <c r="AJ291" s="50"/>
      <c r="AK291" s="10"/>
      <c r="AL291" s="23">
        <f t="shared" si="239"/>
        <v>152790</v>
      </c>
      <c r="AM291" s="24"/>
      <c r="AN291" s="24"/>
      <c r="AO291" s="24">
        <v>178263</v>
      </c>
      <c r="AP291" s="24">
        <v>11410501</v>
      </c>
      <c r="AQ291" s="24"/>
      <c r="AR291" s="461">
        <f t="shared" si="240"/>
        <v>1.3572030761848479E-2</v>
      </c>
      <c r="AS291" s="25"/>
      <c r="AT291" s="25"/>
      <c r="AU291" s="24"/>
      <c r="AV291" s="298">
        <f t="shared" si="241"/>
        <v>0.58144988277496468</v>
      </c>
      <c r="AW291" s="298"/>
      <c r="AX291" s="24">
        <f t="shared" si="242"/>
        <v>40462.7695035461</v>
      </c>
      <c r="AY291" s="308"/>
      <c r="AZ291" s="10"/>
      <c r="BA291" s="65">
        <f t="shared" si="243"/>
        <v>2275459</v>
      </c>
      <c r="BB291" s="66"/>
      <c r="BC291" s="66">
        <v>245441506</v>
      </c>
      <c r="BD291" s="66"/>
      <c r="BE291" s="66">
        <f t="shared" si="244"/>
        <v>160604</v>
      </c>
      <c r="BF291" s="66"/>
      <c r="BG291" s="144">
        <f t="shared" si="245"/>
        <v>7.0580924551925564E-2</v>
      </c>
      <c r="BH291" s="66"/>
      <c r="BI291" s="170"/>
      <c r="BJ291" s="66"/>
      <c r="BK291" s="66">
        <f t="shared" si="246"/>
        <v>12844553</v>
      </c>
      <c r="BL291" s="66"/>
      <c r="BM291" s="144">
        <f t="shared" si="247"/>
        <v>9.9052493302024605E-2</v>
      </c>
      <c r="BN291" s="65">
        <f t="shared" si="248"/>
        <v>870359.95035460987</v>
      </c>
      <c r="BO291" s="66"/>
      <c r="BP291" s="66">
        <f t="shared" si="249"/>
        <v>18717243</v>
      </c>
      <c r="BQ291" s="66"/>
      <c r="BR291" s="435">
        <f t="shared" si="250"/>
        <v>7.6259485630763693E-2</v>
      </c>
      <c r="BS291" s="66"/>
      <c r="BT291" s="75"/>
      <c r="BU291" s="170"/>
      <c r="BV291" s="1"/>
      <c r="BW291" s="61">
        <f t="shared" si="186"/>
        <v>282</v>
      </c>
    </row>
    <row r="292" spans="2:75" x14ac:dyDescent="0.3">
      <c r="B292" s="347">
        <f t="shared" si="161"/>
        <v>44192</v>
      </c>
      <c r="C292" s="61"/>
      <c r="D292" s="17">
        <v>127740</v>
      </c>
      <c r="E292" s="16"/>
      <c r="F292" s="16"/>
      <c r="G292" s="16"/>
      <c r="H292" s="16">
        <f t="shared" si="231"/>
        <v>19751961</v>
      </c>
      <c r="I292" s="16"/>
      <c r="J292" s="436">
        <f t="shared" si="232"/>
        <v>6.5093029680006152E-3</v>
      </c>
      <c r="K292" s="16"/>
      <c r="L292" s="16"/>
      <c r="M292" s="16"/>
      <c r="N292" s="16">
        <f t="shared" si="251"/>
        <v>1211745</v>
      </c>
      <c r="O292" s="16">
        <f t="shared" si="233"/>
        <v>69794.915194346293</v>
      </c>
      <c r="P292" s="41"/>
      <c r="Q292" s="17">
        <f t="shared" si="252"/>
        <v>1211745</v>
      </c>
      <c r="R292" s="16"/>
      <c r="S292" s="60">
        <f t="shared" si="253"/>
        <v>-0.20302060875204384</v>
      </c>
      <c r="T292" s="16"/>
      <c r="U292" s="41"/>
      <c r="V292" s="10">
        <f t="shared" si="109"/>
        <v>184</v>
      </c>
      <c r="W292" s="34">
        <v>1215</v>
      </c>
      <c r="X292" s="33"/>
      <c r="Y292" s="33"/>
      <c r="Z292" s="33"/>
      <c r="AA292" s="33">
        <f t="shared" si="234"/>
        <v>341605</v>
      </c>
      <c r="AB292" s="33"/>
      <c r="AC292" s="46">
        <f t="shared" si="235"/>
        <v>1.7294738481915796E-2</v>
      </c>
      <c r="AD292" s="33"/>
      <c r="AE292" s="33">
        <f t="shared" si="236"/>
        <v>1207.0848056537102</v>
      </c>
      <c r="AF292" s="50"/>
      <c r="AG292" s="33">
        <f t="shared" si="237"/>
        <v>15273</v>
      </c>
      <c r="AH292" s="33">
        <f>SUM(D263:D944)</f>
        <v>1214251392.060914</v>
      </c>
      <c r="AI292" s="213">
        <f t="shared" si="238"/>
        <v>-0.16881632653061224</v>
      </c>
      <c r="AJ292" s="50"/>
      <c r="AK292" s="10"/>
      <c r="AL292" s="23">
        <f t="shared" si="239"/>
        <v>85374</v>
      </c>
      <c r="AM292" s="24"/>
      <c r="AN292" s="24"/>
      <c r="AO292" s="24">
        <v>178263</v>
      </c>
      <c r="AP292" s="24">
        <v>11495875</v>
      </c>
      <c r="AQ292" s="24"/>
      <c r="AR292" s="461">
        <f t="shared" si="240"/>
        <v>7.4820553453349686E-3</v>
      </c>
      <c r="AS292" s="25"/>
      <c r="AT292" s="25"/>
      <c r="AU292" s="24"/>
      <c r="AV292" s="298">
        <f t="shared" si="241"/>
        <v>0.58201183163534997</v>
      </c>
      <c r="AW292" s="298"/>
      <c r="AX292" s="24">
        <f t="shared" si="242"/>
        <v>40621.466431095403</v>
      </c>
      <c r="AY292" s="308"/>
      <c r="AZ292" s="10"/>
      <c r="BA292" s="65">
        <f t="shared" si="243"/>
        <v>1268467</v>
      </c>
      <c r="BB292" s="66"/>
      <c r="BC292" s="66">
        <v>246709973</v>
      </c>
      <c r="BD292" s="66"/>
      <c r="BE292" s="66">
        <f t="shared" si="244"/>
        <v>127740</v>
      </c>
      <c r="BF292" s="66"/>
      <c r="BG292" s="144">
        <f t="shared" si="245"/>
        <v>0.10070423590050037</v>
      </c>
      <c r="BH292" s="66"/>
      <c r="BI292" s="170"/>
      <c r="BJ292" s="66"/>
      <c r="BK292" s="66">
        <f t="shared" si="246"/>
        <v>12492778</v>
      </c>
      <c r="BL292" s="66"/>
      <c r="BM292" s="144">
        <f t="shared" si="247"/>
        <v>9.6995640201082575E-2</v>
      </c>
      <c r="BN292" s="65">
        <f t="shared" si="248"/>
        <v>871766.68904593645</v>
      </c>
      <c r="BO292" s="66"/>
      <c r="BP292" s="66">
        <f t="shared" si="249"/>
        <v>18844983</v>
      </c>
      <c r="BQ292" s="66"/>
      <c r="BR292" s="435">
        <f t="shared" si="250"/>
        <v>7.6385169074620257E-2</v>
      </c>
      <c r="BS292" s="66"/>
      <c r="BT292" s="75"/>
      <c r="BU292" s="170"/>
      <c r="BV292" s="1"/>
      <c r="BW292" s="61">
        <f t="shared" si="186"/>
        <v>283</v>
      </c>
    </row>
    <row r="293" spans="2:75" x14ac:dyDescent="0.3">
      <c r="B293" s="158">
        <f t="shared" si="161"/>
        <v>44193</v>
      </c>
      <c r="C293" s="61"/>
      <c r="D293" s="17">
        <v>186391</v>
      </c>
      <c r="E293" s="16"/>
      <c r="F293" s="16"/>
      <c r="G293" s="16"/>
      <c r="H293" s="16">
        <f t="shared" si="231"/>
        <v>19938352</v>
      </c>
      <c r="I293" s="16"/>
      <c r="J293" s="436">
        <f t="shared" si="232"/>
        <v>9.4365820183626332E-3</v>
      </c>
      <c r="K293" s="16"/>
      <c r="L293" s="16"/>
      <c r="M293" s="16"/>
      <c r="N293" s="16">
        <f t="shared" si="251"/>
        <v>1198027</v>
      </c>
      <c r="O293" s="16">
        <f t="shared" si="233"/>
        <v>70205.464788732395</v>
      </c>
      <c r="P293" s="41"/>
      <c r="Q293" s="17">
        <f t="shared" si="252"/>
        <v>1198027</v>
      </c>
      <c r="R293" s="16"/>
      <c r="S293" s="60">
        <f t="shared" si="253"/>
        <v>-0.21223843519097527</v>
      </c>
      <c r="T293" s="16"/>
      <c r="U293" s="41"/>
      <c r="V293" s="10">
        <f t="shared" si="109"/>
        <v>185</v>
      </c>
      <c r="W293" s="34">
        <v>1966</v>
      </c>
      <c r="X293" s="33"/>
      <c r="Y293" s="33"/>
      <c r="Z293" s="33"/>
      <c r="AA293" s="33">
        <f t="shared" si="234"/>
        <v>343571</v>
      </c>
      <c r="AB293" s="33"/>
      <c r="AC293" s="46">
        <f t="shared" si="235"/>
        <v>1.7231664883837941E-2</v>
      </c>
      <c r="AD293" s="33"/>
      <c r="AE293" s="33">
        <f t="shared" si="236"/>
        <v>1209.7570422535211</v>
      </c>
      <c r="AF293" s="50"/>
      <c r="AG293" s="33">
        <f t="shared" si="237"/>
        <v>15398</v>
      </c>
      <c r="AH293" s="33">
        <f>SUM(D264:D945)</f>
        <v>1214108019.060914</v>
      </c>
      <c r="AI293" s="213">
        <f t="shared" si="238"/>
        <v>-0.17188340324835968</v>
      </c>
      <c r="AJ293" s="50"/>
      <c r="AK293" s="10"/>
      <c r="AL293" s="23">
        <f t="shared" si="239"/>
        <v>200944</v>
      </c>
      <c r="AM293" s="24"/>
      <c r="AN293" s="24"/>
      <c r="AO293" s="24">
        <v>178263</v>
      </c>
      <c r="AP293" s="24">
        <v>11696819</v>
      </c>
      <c r="AQ293" s="24"/>
      <c r="AR293" s="461">
        <f t="shared" si="240"/>
        <v>1.7479661182815576E-2</v>
      </c>
      <c r="AS293" s="25"/>
      <c r="AT293" s="25"/>
      <c r="AU293" s="24"/>
      <c r="AV293" s="298">
        <f t="shared" si="241"/>
        <v>0.58664923761000909</v>
      </c>
      <c r="AW293" s="298"/>
      <c r="AX293" s="24">
        <f t="shared" si="242"/>
        <v>41185.982394366198</v>
      </c>
      <c r="AY293" s="308"/>
      <c r="AZ293" s="10"/>
      <c r="BA293" s="65">
        <f t="shared" si="243"/>
        <v>2405486</v>
      </c>
      <c r="BB293" s="66"/>
      <c r="BC293" s="66">
        <v>249115459</v>
      </c>
      <c r="BD293" s="66"/>
      <c r="BE293" s="66">
        <f t="shared" si="244"/>
        <v>186391</v>
      </c>
      <c r="BF293" s="66"/>
      <c r="BG293" s="144">
        <f t="shared" si="245"/>
        <v>7.7485797048912355E-2</v>
      </c>
      <c r="BH293" s="66"/>
      <c r="BI293" s="170"/>
      <c r="BJ293" s="66"/>
      <c r="BK293" s="66">
        <f t="shared" si="246"/>
        <v>12494892</v>
      </c>
      <c r="BL293" s="66"/>
      <c r="BM293" s="144">
        <f t="shared" si="247"/>
        <v>9.588134095116628E-2</v>
      </c>
      <c r="BN293" s="65">
        <f t="shared" si="248"/>
        <v>877167.10915492952</v>
      </c>
      <c r="BO293" s="66"/>
      <c r="BP293" s="66">
        <f t="shared" si="249"/>
        <v>19031374</v>
      </c>
      <c r="BQ293" s="66"/>
      <c r="BR293" s="435">
        <f t="shared" si="250"/>
        <v>7.6395796858194975E-2</v>
      </c>
      <c r="BS293" s="66"/>
      <c r="BT293" s="75"/>
      <c r="BU293" s="170"/>
      <c r="BV293" s="1"/>
      <c r="BW293" s="61">
        <f t="shared" si="186"/>
        <v>284</v>
      </c>
    </row>
    <row r="294" spans="2:75" x14ac:dyDescent="0.3">
      <c r="B294" s="158">
        <f t="shared" si="161"/>
        <v>44194</v>
      </c>
      <c r="C294" s="61"/>
      <c r="D294" s="17">
        <v>199622</v>
      </c>
      <c r="E294" s="16"/>
      <c r="F294" s="16"/>
      <c r="G294" s="16"/>
      <c r="H294" s="16">
        <f t="shared" ref="H294:H325" si="254">+H293+D294</f>
        <v>20137974</v>
      </c>
      <c r="I294" s="16"/>
      <c r="J294" s="436">
        <f t="shared" ref="J294:J325" si="255">+D294/H293</f>
        <v>1.0011960868180078E-2</v>
      </c>
      <c r="K294" s="16"/>
      <c r="L294" s="16"/>
      <c r="M294" s="16"/>
      <c r="N294" s="16">
        <f t="shared" si="251"/>
        <v>1198569</v>
      </c>
      <c r="O294" s="16">
        <f t="shared" ref="O294:O325" si="256">+H294/BW294</f>
        <v>70659.557894736849</v>
      </c>
      <c r="P294" s="41"/>
      <c r="Q294" s="17">
        <f t="shared" si="252"/>
        <v>1198569</v>
      </c>
      <c r="R294" s="16"/>
      <c r="S294" s="60">
        <f t="shared" si="253"/>
        <v>-0.21138682654272412</v>
      </c>
      <c r="T294" s="16"/>
      <c r="U294" s="41"/>
      <c r="V294" s="10">
        <f t="shared" si="109"/>
        <v>186</v>
      </c>
      <c r="W294" s="34">
        <v>3716</v>
      </c>
      <c r="X294" s="33"/>
      <c r="Y294" s="33"/>
      <c r="Z294" s="33"/>
      <c r="AA294" s="33">
        <f t="shared" ref="AA294:AA325" si="257">+AA293+W294</f>
        <v>347287</v>
      </c>
      <c r="AB294" s="33"/>
      <c r="AC294" s="46">
        <f t="shared" ref="AC294:AC325" si="258">+AA294/H294</f>
        <v>1.7245379301810599E-2</v>
      </c>
      <c r="AD294" s="33"/>
      <c r="AE294" s="33">
        <f t="shared" ref="AE294:AE325" si="259">+AA294/BW294</f>
        <v>1218.5508771929824</v>
      </c>
      <c r="AF294" s="50"/>
      <c r="AG294" s="33">
        <f t="shared" ref="AG294:AG325" si="260">SUM(W288:W294)</f>
        <v>15738</v>
      </c>
      <c r="AH294" s="33">
        <f>SUM(D265:D946)</f>
        <v>1213969831.060914</v>
      </c>
      <c r="AI294" s="213">
        <f t="shared" ref="AI294:AI325" si="261">+(AG294-AG287)/AG287</f>
        <v>-0.17120438148401707</v>
      </c>
      <c r="AJ294" s="50"/>
      <c r="AK294" s="10"/>
      <c r="AL294" s="23">
        <f t="shared" ref="AL294:AL325" si="262">+AP294-AP293</f>
        <v>147653</v>
      </c>
      <c r="AM294" s="24"/>
      <c r="AN294" s="24"/>
      <c r="AO294" s="24">
        <v>178263</v>
      </c>
      <c r="AP294" s="24">
        <v>11844472</v>
      </c>
      <c r="AQ294" s="24"/>
      <c r="AR294" s="461">
        <f t="shared" ref="AR294:AR325" si="263">+AL294/AP293</f>
        <v>1.2623346569695573E-2</v>
      </c>
      <c r="AS294" s="25"/>
      <c r="AT294" s="25"/>
      <c r="AU294" s="24"/>
      <c r="AV294" s="298">
        <f t="shared" ref="AV294:AV325" si="264">+AP294/H294</f>
        <v>0.58816601908414423</v>
      </c>
      <c r="AW294" s="298"/>
      <c r="AX294" s="24">
        <f t="shared" ref="AX294:AX325" si="265">+AP294/BW294</f>
        <v>41559.550877192982</v>
      </c>
      <c r="AY294" s="308"/>
      <c r="AZ294" s="10"/>
      <c r="BA294" s="65">
        <f t="shared" ref="BA294:BA325" si="266">+BC294-BC293</f>
        <v>1056787</v>
      </c>
      <c r="BB294" s="66"/>
      <c r="BC294" s="66">
        <v>250172246</v>
      </c>
      <c r="BD294" s="66"/>
      <c r="BE294" s="66">
        <f t="shared" ref="BE294:BE325" si="267">+D294</f>
        <v>199622</v>
      </c>
      <c r="BF294" s="66"/>
      <c r="BG294" s="144">
        <f t="shared" ref="BG294:BG325" si="268">+BE294/BA294</f>
        <v>0.18889520783279884</v>
      </c>
      <c r="BH294" s="66"/>
      <c r="BI294" s="170"/>
      <c r="BJ294" s="66"/>
      <c r="BK294" s="66">
        <f t="shared" ref="BK294:BK325" si="269">SUM(BA288:BA294)</f>
        <v>11783349</v>
      </c>
      <c r="BL294" s="66"/>
      <c r="BM294" s="144">
        <f t="shared" ref="BM294:BM325" si="270">+Q294/BK294</f>
        <v>0.101717177349156</v>
      </c>
      <c r="BN294" s="65">
        <f t="shared" ref="BN294:BN325" si="271">+BC294/BW294</f>
        <v>877797.35438596492</v>
      </c>
      <c r="BO294" s="66"/>
      <c r="BP294" s="66">
        <f t="shared" ref="BP294:BP325" si="272">+BP293+BE294</f>
        <v>19230996</v>
      </c>
      <c r="BQ294" s="66"/>
      <c r="BR294" s="435">
        <f t="shared" si="250"/>
        <v>7.6871021096400913E-2</v>
      </c>
      <c r="BS294" s="66"/>
      <c r="BT294" s="75"/>
      <c r="BU294" s="170"/>
      <c r="BV294" s="1"/>
      <c r="BW294" s="61">
        <f t="shared" si="186"/>
        <v>285</v>
      </c>
    </row>
    <row r="295" spans="2:75" x14ac:dyDescent="0.3">
      <c r="B295" s="158">
        <f t="shared" si="161"/>
        <v>44195</v>
      </c>
      <c r="C295" s="61"/>
      <c r="D295" s="17">
        <v>234775</v>
      </c>
      <c r="E295" s="16"/>
      <c r="F295" s="16"/>
      <c r="G295" s="16"/>
      <c r="H295" s="16">
        <f t="shared" si="254"/>
        <v>20372749</v>
      </c>
      <c r="I295" s="16"/>
      <c r="J295" s="436">
        <f t="shared" si="255"/>
        <v>1.165832272898952E-2</v>
      </c>
      <c r="K295" s="16"/>
      <c r="L295" s="16"/>
      <c r="M295" s="16"/>
      <c r="N295" s="16">
        <f t="shared" si="251"/>
        <v>1201002</v>
      </c>
      <c r="O295" s="16">
        <f t="shared" si="256"/>
        <v>71233.388111888111</v>
      </c>
      <c r="P295" s="41"/>
      <c r="Q295" s="17">
        <f t="shared" si="252"/>
        <v>1201002</v>
      </c>
      <c r="R295" s="16"/>
      <c r="S295" s="60">
        <f t="shared" si="253"/>
        <v>-0.20040505641429202</v>
      </c>
      <c r="T295" s="16"/>
      <c r="U295" s="41"/>
      <c r="V295" s="10">
        <f t="shared" si="109"/>
        <v>187</v>
      </c>
      <c r="W295" s="34">
        <v>3880</v>
      </c>
      <c r="X295" s="33"/>
      <c r="Y295" s="33"/>
      <c r="Z295" s="33"/>
      <c r="AA295" s="33">
        <f t="shared" si="257"/>
        <v>351167</v>
      </c>
      <c r="AB295" s="33"/>
      <c r="AC295" s="46">
        <f t="shared" si="258"/>
        <v>1.7237094512871091E-2</v>
      </c>
      <c r="AD295" s="33"/>
      <c r="AE295" s="33">
        <f t="shared" si="259"/>
        <v>1227.8566433566434</v>
      </c>
      <c r="AF295" s="50"/>
      <c r="AG295" s="33">
        <f t="shared" si="260"/>
        <v>16217</v>
      </c>
      <c r="AH295" s="33">
        <f>SUM(D266:D947)</f>
        <v>1213808263.060914</v>
      </c>
      <c r="AI295" s="213">
        <f t="shared" si="261"/>
        <v>-0.13872218386531415</v>
      </c>
      <c r="AJ295" s="50"/>
      <c r="AK295" s="10"/>
      <c r="AL295" s="23">
        <f t="shared" si="262"/>
        <v>154359</v>
      </c>
      <c r="AM295" s="24"/>
      <c r="AN295" s="24"/>
      <c r="AO295" s="24">
        <v>178263</v>
      </c>
      <c r="AP295" s="24">
        <v>11998831</v>
      </c>
      <c r="AQ295" s="24"/>
      <c r="AR295" s="461">
        <f t="shared" si="263"/>
        <v>1.303215542237763E-2</v>
      </c>
      <c r="AS295" s="25"/>
      <c r="AT295" s="25"/>
      <c r="AU295" s="24"/>
      <c r="AV295" s="298">
        <f t="shared" si="264"/>
        <v>0.58896474893987061</v>
      </c>
      <c r="AW295" s="298"/>
      <c r="AX295" s="24">
        <f t="shared" si="265"/>
        <v>41953.954545454544</v>
      </c>
      <c r="AY295" s="308"/>
      <c r="AZ295" s="10"/>
      <c r="BA295" s="65">
        <f t="shared" si="266"/>
        <v>1594963</v>
      </c>
      <c r="BB295" s="66"/>
      <c r="BC295" s="66">
        <v>251767209</v>
      </c>
      <c r="BD295" s="66"/>
      <c r="BE295" s="66">
        <f t="shared" si="267"/>
        <v>234775</v>
      </c>
      <c r="BF295" s="66"/>
      <c r="BG295" s="144">
        <f t="shared" si="268"/>
        <v>0.14719777198593323</v>
      </c>
      <c r="BH295" s="66"/>
      <c r="BI295" s="170"/>
      <c r="BJ295" s="66"/>
      <c r="BK295" s="66">
        <f t="shared" si="269"/>
        <v>11631460</v>
      </c>
      <c r="BL295" s="66"/>
      <c r="BM295" s="144">
        <f t="shared" si="270"/>
        <v>0.103254621517849</v>
      </c>
      <c r="BN295" s="65">
        <f t="shared" si="271"/>
        <v>880304.92657342658</v>
      </c>
      <c r="BO295" s="66"/>
      <c r="BP295" s="66">
        <f t="shared" si="272"/>
        <v>19465771</v>
      </c>
      <c r="BQ295" s="66"/>
      <c r="BR295" s="435">
        <f t="shared" si="250"/>
        <v>7.7316546016125559E-2</v>
      </c>
      <c r="BS295" s="66"/>
      <c r="BT295" s="75"/>
      <c r="BU295" s="170"/>
      <c r="BV295" s="1"/>
      <c r="BW295" s="61">
        <f t="shared" si="186"/>
        <v>286</v>
      </c>
    </row>
    <row r="296" spans="2:75" x14ac:dyDescent="0.3">
      <c r="B296" s="158">
        <f t="shared" si="161"/>
        <v>44196</v>
      </c>
      <c r="C296" s="61"/>
      <c r="D296" s="17">
        <v>228413</v>
      </c>
      <c r="E296" s="16"/>
      <c r="F296" s="16"/>
      <c r="G296" s="16"/>
      <c r="H296" s="16">
        <f t="shared" si="254"/>
        <v>20601162</v>
      </c>
      <c r="I296" s="16"/>
      <c r="J296" s="436">
        <f t="shared" si="255"/>
        <v>1.1211692639024808E-2</v>
      </c>
      <c r="K296" s="16"/>
      <c r="L296" s="16"/>
      <c r="M296" s="16"/>
      <c r="N296" s="16">
        <f t="shared" si="251"/>
        <v>1236385</v>
      </c>
      <c r="O296" s="16">
        <f t="shared" si="256"/>
        <v>71781.052264808357</v>
      </c>
      <c r="P296" s="41"/>
      <c r="Q296" s="17">
        <f t="shared" si="252"/>
        <v>1236385</v>
      </c>
      <c r="R296" s="16"/>
      <c r="S296" s="60">
        <f t="shared" si="253"/>
        <v>-0.15151687756618817</v>
      </c>
      <c r="T296" s="16"/>
      <c r="U296" s="41"/>
      <c r="V296" s="10">
        <f t="shared" si="109"/>
        <v>188</v>
      </c>
      <c r="W296" s="34">
        <v>3438</v>
      </c>
      <c r="X296" s="33"/>
      <c r="Y296" s="33"/>
      <c r="Z296" s="33"/>
      <c r="AA296" s="33">
        <f t="shared" si="257"/>
        <v>354605</v>
      </c>
      <c r="AB296" s="33"/>
      <c r="AC296" s="46">
        <f t="shared" si="258"/>
        <v>1.7212864012233871E-2</v>
      </c>
      <c r="AD296" s="33"/>
      <c r="AE296" s="33">
        <f t="shared" si="259"/>
        <v>1235.5574912891987</v>
      </c>
      <c r="AF296" s="50"/>
      <c r="AG296" s="33">
        <f t="shared" si="260"/>
        <v>16820</v>
      </c>
      <c r="AH296" s="33">
        <f>SUM(D267:D948)</f>
        <v>1213625987.060914</v>
      </c>
      <c r="AI296" s="213">
        <f t="shared" si="261"/>
        <v>-7.9062636881296541E-2</v>
      </c>
      <c r="AJ296" s="50"/>
      <c r="AK296" s="10"/>
      <c r="AL296" s="23">
        <f t="shared" si="262"/>
        <v>126975</v>
      </c>
      <c r="AM296" s="24"/>
      <c r="AN296" s="24"/>
      <c r="AO296" s="24">
        <v>178263</v>
      </c>
      <c r="AP296" s="24">
        <v>12125806</v>
      </c>
      <c r="AQ296" s="24"/>
      <c r="AR296" s="461">
        <f t="shared" si="263"/>
        <v>1.0582280890530087E-2</v>
      </c>
      <c r="AS296" s="25"/>
      <c r="AT296" s="25"/>
      <c r="AU296" s="24"/>
      <c r="AV296" s="298">
        <f t="shared" si="264"/>
        <v>0.58859815771556967</v>
      </c>
      <c r="AW296" s="298"/>
      <c r="AX296" s="24">
        <f t="shared" si="265"/>
        <v>42250.195121951219</v>
      </c>
      <c r="AY296" s="308"/>
      <c r="AZ296" s="10"/>
      <c r="BA296" s="65">
        <f t="shared" si="266"/>
        <v>1775431</v>
      </c>
      <c r="BB296" s="66"/>
      <c r="BC296" s="66">
        <v>253542640</v>
      </c>
      <c r="BD296" s="66"/>
      <c r="BE296" s="66">
        <f t="shared" si="267"/>
        <v>228413</v>
      </c>
      <c r="BF296" s="66"/>
      <c r="BG296" s="144">
        <f t="shared" si="268"/>
        <v>0.12865214136736375</v>
      </c>
      <c r="BH296" s="66"/>
      <c r="BI296" s="170"/>
      <c r="BJ296" s="66"/>
      <c r="BK296" s="66">
        <f t="shared" si="269"/>
        <v>11474148</v>
      </c>
      <c r="BL296" s="66"/>
      <c r="BM296" s="144">
        <f t="shared" si="270"/>
        <v>0.10775397005511869</v>
      </c>
      <c r="BN296" s="65">
        <f t="shared" si="271"/>
        <v>883423.83275261323</v>
      </c>
      <c r="BO296" s="66"/>
      <c r="BP296" s="66">
        <f t="shared" si="272"/>
        <v>19694184</v>
      </c>
      <c r="BQ296" s="66"/>
      <c r="BR296" s="435">
        <f t="shared" si="250"/>
        <v>7.7676023251946891E-2</v>
      </c>
      <c r="BS296" s="66"/>
      <c r="BT296" s="75"/>
      <c r="BU296" s="170"/>
      <c r="BV296" s="1"/>
      <c r="BW296" s="61">
        <f t="shared" si="186"/>
        <v>287</v>
      </c>
    </row>
    <row r="297" spans="2:75" x14ac:dyDescent="0.3">
      <c r="B297" s="158">
        <f t="shared" si="161"/>
        <v>44197</v>
      </c>
      <c r="C297" s="61"/>
      <c r="D297" s="17">
        <v>166044</v>
      </c>
      <c r="E297" s="16"/>
      <c r="F297" s="16"/>
      <c r="G297" s="16"/>
      <c r="H297" s="16">
        <f t="shared" si="254"/>
        <v>20767206</v>
      </c>
      <c r="I297" s="16"/>
      <c r="J297" s="436">
        <f t="shared" si="255"/>
        <v>8.0599337066520806E-3</v>
      </c>
      <c r="K297" s="16"/>
      <c r="L297" s="16"/>
      <c r="M297" s="16"/>
      <c r="N297" s="16">
        <f t="shared" si="251"/>
        <v>1303589</v>
      </c>
      <c r="O297" s="16">
        <f t="shared" si="256"/>
        <v>72108.354166666672</v>
      </c>
      <c r="P297" s="41"/>
      <c r="Q297" s="17">
        <f t="shared" si="252"/>
        <v>1303589</v>
      </c>
      <c r="R297" s="16"/>
      <c r="S297" s="60">
        <f t="shared" si="253"/>
        <v>1.7351465537976118E-3</v>
      </c>
      <c r="T297" s="16"/>
      <c r="U297" s="41"/>
      <c r="V297" s="10">
        <f t="shared" si="109"/>
        <v>189</v>
      </c>
      <c r="W297" s="34">
        <v>2129</v>
      </c>
      <c r="X297" s="33"/>
      <c r="Y297" s="33"/>
      <c r="Z297" s="33"/>
      <c r="AA297" s="33">
        <f t="shared" si="257"/>
        <v>356734</v>
      </c>
      <c r="AB297" s="33"/>
      <c r="AC297" s="46">
        <f t="shared" si="258"/>
        <v>1.7177756121839406E-2</v>
      </c>
      <c r="AD297" s="33"/>
      <c r="AE297" s="33">
        <f t="shared" si="259"/>
        <v>1238.6597222222222</v>
      </c>
      <c r="AF297" s="50"/>
      <c r="AG297" s="33">
        <f t="shared" si="260"/>
        <v>17752</v>
      </c>
      <c r="AH297" s="33">
        <f>SUM(D268:D949)</f>
        <v>1213422250.060914</v>
      </c>
      <c r="AI297" s="213">
        <f t="shared" si="261"/>
        <v>6.5098698026039473E-2</v>
      </c>
      <c r="AJ297" s="50"/>
      <c r="AK297" s="10"/>
      <c r="AL297" s="23">
        <f t="shared" si="262"/>
        <v>50035</v>
      </c>
      <c r="AM297" s="24"/>
      <c r="AN297" s="24"/>
      <c r="AO297" s="24">
        <v>178263</v>
      </c>
      <c r="AP297" s="24">
        <v>12175841</v>
      </c>
      <c r="AQ297" s="24"/>
      <c r="AR297" s="461">
        <f t="shared" si="263"/>
        <v>4.1263236439705534E-3</v>
      </c>
      <c r="AS297" s="25"/>
      <c r="AT297" s="25"/>
      <c r="AU297" s="24"/>
      <c r="AV297" s="298">
        <f t="shared" si="264"/>
        <v>0.58630135416386775</v>
      </c>
      <c r="AW297" s="298"/>
      <c r="AX297" s="24">
        <f t="shared" si="265"/>
        <v>42277.225694444445</v>
      </c>
      <c r="AY297" s="308"/>
      <c r="AZ297" s="10"/>
      <c r="BA297" s="65">
        <f t="shared" si="266"/>
        <v>1140083</v>
      </c>
      <c r="BB297" s="66"/>
      <c r="BC297" s="66">
        <v>254682723</v>
      </c>
      <c r="BD297" s="66"/>
      <c r="BE297" s="66">
        <f t="shared" si="267"/>
        <v>166044</v>
      </c>
      <c r="BF297" s="66"/>
      <c r="BG297" s="144">
        <f t="shared" si="268"/>
        <v>0.14564202781727295</v>
      </c>
      <c r="BH297" s="66"/>
      <c r="BI297" s="170"/>
      <c r="BJ297" s="66"/>
      <c r="BK297" s="66">
        <f t="shared" si="269"/>
        <v>11516676</v>
      </c>
      <c r="BL297" s="66"/>
      <c r="BM297" s="144">
        <f t="shared" si="270"/>
        <v>0.11319142780434216</v>
      </c>
      <c r="BN297" s="65">
        <f t="shared" si="271"/>
        <v>884315.01041666663</v>
      </c>
      <c r="BO297" s="66"/>
      <c r="BP297" s="66">
        <f t="shared" si="272"/>
        <v>19860228</v>
      </c>
      <c r="BQ297" s="66"/>
      <c r="BR297" s="435">
        <f t="shared" si="250"/>
        <v>7.7980271948011173E-2</v>
      </c>
      <c r="BS297" s="66"/>
      <c r="BT297" s="75"/>
      <c r="BU297" s="170"/>
      <c r="BV297" s="1"/>
      <c r="BW297" s="61">
        <f t="shared" si="186"/>
        <v>288</v>
      </c>
    </row>
    <row r="298" spans="2:75" x14ac:dyDescent="0.3">
      <c r="B298" s="158">
        <f t="shared" si="161"/>
        <v>44198</v>
      </c>
      <c r="C298" s="61"/>
      <c r="D298" s="17">
        <v>232227</v>
      </c>
      <c r="E298" s="16"/>
      <c r="F298" s="16"/>
      <c r="G298" s="16"/>
      <c r="H298" s="16">
        <f t="shared" si="254"/>
        <v>20999433</v>
      </c>
      <c r="I298" s="16"/>
      <c r="J298" s="436">
        <f t="shared" si="255"/>
        <v>1.1182390158791702E-2</v>
      </c>
      <c r="K298" s="16"/>
      <c r="L298" s="16"/>
      <c r="M298" s="16"/>
      <c r="N298" s="16">
        <f t="shared" si="251"/>
        <v>1375212</v>
      </c>
      <c r="O298" s="16">
        <f t="shared" si="256"/>
        <v>72662.397923875425</v>
      </c>
      <c r="P298" s="41"/>
      <c r="Q298" s="17">
        <f t="shared" si="252"/>
        <v>1375212</v>
      </c>
      <c r="R298" s="16"/>
      <c r="S298" s="60">
        <f t="shared" si="253"/>
        <v>8.0899326801777902E-2</v>
      </c>
      <c r="T298" s="16"/>
      <c r="U298" s="41"/>
      <c r="V298" s="10">
        <f t="shared" si="109"/>
        <v>190</v>
      </c>
      <c r="W298" s="34">
        <v>2107</v>
      </c>
      <c r="X298" s="33"/>
      <c r="Y298" s="33"/>
      <c r="Z298" s="33"/>
      <c r="AA298" s="33">
        <f t="shared" si="257"/>
        <v>358841</v>
      </c>
      <c r="AB298" s="33"/>
      <c r="AC298" s="46">
        <f t="shared" si="258"/>
        <v>1.7088128046123911E-2</v>
      </c>
      <c r="AD298" s="33"/>
      <c r="AE298" s="33">
        <f t="shared" si="259"/>
        <v>1241.6643598615917</v>
      </c>
      <c r="AF298" s="50"/>
      <c r="AG298" s="33">
        <f t="shared" si="260"/>
        <v>18451</v>
      </c>
      <c r="AH298" s="33">
        <f>SUM(D269:D950)</f>
        <v>1213203674.060914</v>
      </c>
      <c r="AI298" s="213">
        <f t="shared" si="261"/>
        <v>0.18915957721062129</v>
      </c>
      <c r="AJ298" s="50"/>
      <c r="AK298" s="10"/>
      <c r="AL298" s="23">
        <f t="shared" si="262"/>
        <v>185546</v>
      </c>
      <c r="AM298" s="24"/>
      <c r="AN298" s="24"/>
      <c r="AO298" s="24">
        <v>178263</v>
      </c>
      <c r="AP298" s="24">
        <v>12361387</v>
      </c>
      <c r="AQ298" s="24"/>
      <c r="AR298" s="461">
        <f t="shared" si="263"/>
        <v>1.5238865224997599E-2</v>
      </c>
      <c r="AS298" s="25"/>
      <c r="AT298" s="25"/>
      <c r="AU298" s="24"/>
      <c r="AV298" s="298">
        <f t="shared" si="264"/>
        <v>0.58865336983146166</v>
      </c>
      <c r="AW298" s="298"/>
      <c r="AX298" s="24">
        <f t="shared" si="265"/>
        <v>42772.965397923872</v>
      </c>
      <c r="AY298" s="308"/>
      <c r="AZ298" s="10"/>
      <c r="BA298" s="65">
        <f t="shared" si="266"/>
        <v>2065910</v>
      </c>
      <c r="BB298" s="66"/>
      <c r="BC298" s="66">
        <v>256748633</v>
      </c>
      <c r="BD298" s="66"/>
      <c r="BE298" s="66">
        <f t="shared" si="267"/>
        <v>232227</v>
      </c>
      <c r="BF298" s="66"/>
      <c r="BG298" s="144">
        <f t="shared" si="268"/>
        <v>0.11240905944595844</v>
      </c>
      <c r="BH298" s="66"/>
      <c r="BI298" s="170"/>
      <c r="BJ298" s="66"/>
      <c r="BK298" s="66">
        <f t="shared" si="269"/>
        <v>11307127</v>
      </c>
      <c r="BL298" s="66"/>
      <c r="BM298" s="144">
        <f t="shared" si="270"/>
        <v>0.12162346810113657</v>
      </c>
      <c r="BN298" s="65">
        <f t="shared" si="271"/>
        <v>888403.57439446368</v>
      </c>
      <c r="BO298" s="66"/>
      <c r="BP298" s="66">
        <f t="shared" si="272"/>
        <v>20092455</v>
      </c>
      <c r="BQ298" s="66"/>
      <c r="BR298" s="435">
        <f t="shared" ref="BR298:BR304" si="273">+BP298/BC298</f>
        <v>7.8257300789601483E-2</v>
      </c>
      <c r="BS298" s="66"/>
      <c r="BT298" s="75"/>
      <c r="BU298" s="170"/>
      <c r="BV298" s="1"/>
      <c r="BW298" s="61">
        <f t="shared" si="186"/>
        <v>289</v>
      </c>
    </row>
    <row r="299" spans="2:75" x14ac:dyDescent="0.3">
      <c r="B299" s="347">
        <f t="shared" si="161"/>
        <v>44199</v>
      </c>
      <c r="C299" s="61"/>
      <c r="D299" s="17">
        <v>194337</v>
      </c>
      <c r="E299" s="16"/>
      <c r="F299" s="16"/>
      <c r="G299" s="16"/>
      <c r="H299" s="16">
        <f t="shared" si="254"/>
        <v>21193770</v>
      </c>
      <c r="I299" s="16"/>
      <c r="J299" s="436">
        <f t="shared" si="255"/>
        <v>9.2543927257464527E-3</v>
      </c>
      <c r="K299" s="16"/>
      <c r="L299" s="16"/>
      <c r="M299" s="16"/>
      <c r="N299" s="16">
        <f t="shared" si="251"/>
        <v>1441809</v>
      </c>
      <c r="O299" s="16">
        <f t="shared" si="256"/>
        <v>73081.965517241377</v>
      </c>
      <c r="P299" s="41"/>
      <c r="Q299" s="17">
        <f t="shared" si="252"/>
        <v>1441809</v>
      </c>
      <c r="R299" s="16"/>
      <c r="S299" s="60">
        <f t="shared" si="253"/>
        <v>0.18986172833393164</v>
      </c>
      <c r="T299" s="16"/>
      <c r="U299" s="41"/>
      <c r="V299" s="10">
        <f t="shared" si="109"/>
        <v>191</v>
      </c>
      <c r="W299" s="34">
        <v>1387</v>
      </c>
      <c r="X299" s="33"/>
      <c r="Y299" s="33"/>
      <c r="Z299" s="33"/>
      <c r="AA299" s="33">
        <f t="shared" si="257"/>
        <v>360228</v>
      </c>
      <c r="AB299" s="33"/>
      <c r="AC299" s="46">
        <f t="shared" si="258"/>
        <v>1.699688163078112E-2</v>
      </c>
      <c r="AD299" s="33"/>
      <c r="AE299" s="33">
        <f t="shared" si="259"/>
        <v>1242.1655172413793</v>
      </c>
      <c r="AF299" s="50"/>
      <c r="AG299" s="33">
        <f t="shared" si="260"/>
        <v>18623</v>
      </c>
      <c r="AH299" s="33">
        <f>SUM(D270:D951)</f>
        <v>1212968402.060914</v>
      </c>
      <c r="AI299" s="213">
        <f t="shared" si="261"/>
        <v>0.21934132128592942</v>
      </c>
      <c r="AJ299" s="50"/>
      <c r="AK299" s="10"/>
      <c r="AL299" s="23">
        <f t="shared" si="262"/>
        <v>75571</v>
      </c>
      <c r="AM299" s="24"/>
      <c r="AN299" s="24"/>
      <c r="AO299" s="24">
        <v>178263</v>
      </c>
      <c r="AP299" s="24">
        <v>12436958</v>
      </c>
      <c r="AQ299" s="24"/>
      <c r="AR299" s="461">
        <f t="shared" si="263"/>
        <v>6.1134725415521738E-3</v>
      </c>
      <c r="AS299" s="25"/>
      <c r="AT299" s="25"/>
      <c r="AU299" s="24"/>
      <c r="AV299" s="298">
        <f t="shared" si="264"/>
        <v>0.5868214102540511</v>
      </c>
      <c r="AW299" s="298"/>
      <c r="AX299" s="24">
        <f t="shared" si="265"/>
        <v>42886.062068965519</v>
      </c>
      <c r="AY299" s="308"/>
      <c r="AZ299" s="10"/>
      <c r="BA299" s="65">
        <f t="shared" si="266"/>
        <v>1421617</v>
      </c>
      <c r="BB299" s="66"/>
      <c r="BC299" s="66">
        <v>258170250</v>
      </c>
      <c r="BD299" s="66"/>
      <c r="BE299" s="66">
        <f t="shared" si="267"/>
        <v>194337</v>
      </c>
      <c r="BF299" s="66"/>
      <c r="BG299" s="144">
        <f t="shared" si="268"/>
        <v>0.13670137596835152</v>
      </c>
      <c r="BH299" s="66"/>
      <c r="BI299" s="170"/>
      <c r="BJ299" s="66"/>
      <c r="BK299" s="66">
        <f t="shared" si="269"/>
        <v>11460277</v>
      </c>
      <c r="BL299" s="66"/>
      <c r="BM299" s="144">
        <f t="shared" si="270"/>
        <v>0.12580926272549955</v>
      </c>
      <c r="BN299" s="65">
        <f t="shared" si="271"/>
        <v>890242.24137931038</v>
      </c>
      <c r="BO299" s="66"/>
      <c r="BP299" s="66">
        <f t="shared" si="272"/>
        <v>20286792</v>
      </c>
      <c r="BQ299" s="66"/>
      <c r="BR299" s="435">
        <f t="shared" si="273"/>
        <v>7.8579123659678063E-2</v>
      </c>
      <c r="BS299" s="66"/>
      <c r="BT299" s="75"/>
      <c r="BU299" s="170"/>
      <c r="BV299" s="1"/>
      <c r="BW299" s="61">
        <f t="shared" si="186"/>
        <v>290</v>
      </c>
    </row>
    <row r="300" spans="2:75" x14ac:dyDescent="0.3">
      <c r="B300" s="158">
        <f t="shared" si="161"/>
        <v>44200</v>
      </c>
      <c r="C300" s="61"/>
      <c r="D300" s="17">
        <v>190162</v>
      </c>
      <c r="E300" s="16"/>
      <c r="F300" s="16"/>
      <c r="G300" s="16"/>
      <c r="H300" s="16">
        <f t="shared" si="254"/>
        <v>21383932</v>
      </c>
      <c r="I300" s="16"/>
      <c r="J300" s="436">
        <f t="shared" si="255"/>
        <v>8.9725424027910089E-3</v>
      </c>
      <c r="K300" s="16"/>
      <c r="L300" s="16"/>
      <c r="M300" s="16"/>
      <c r="N300" s="16">
        <f t="shared" ref="N300:N331" si="274">SUM(D294:D300)</f>
        <v>1445580</v>
      </c>
      <c r="O300" s="16">
        <f t="shared" si="256"/>
        <v>73484.302405498282</v>
      </c>
      <c r="P300" s="41"/>
      <c r="Q300" s="17">
        <f t="shared" si="252"/>
        <v>1445580</v>
      </c>
      <c r="R300" s="16"/>
      <c r="S300" s="60">
        <f t="shared" si="253"/>
        <v>0.20663390724916883</v>
      </c>
      <c r="T300" s="16"/>
      <c r="U300" s="41"/>
      <c r="V300" s="10">
        <f t="shared" si="109"/>
        <v>192</v>
      </c>
      <c r="W300" s="34">
        <v>1985</v>
      </c>
      <c r="X300" s="33"/>
      <c r="Y300" s="33"/>
      <c r="Z300" s="33"/>
      <c r="AA300" s="33">
        <f t="shared" si="257"/>
        <v>362213</v>
      </c>
      <c r="AB300" s="33"/>
      <c r="AC300" s="46">
        <f t="shared" si="258"/>
        <v>1.6938559288347907E-2</v>
      </c>
      <c r="AD300" s="33"/>
      <c r="AE300" s="33">
        <f t="shared" si="259"/>
        <v>1244.7182130584192</v>
      </c>
      <c r="AF300" s="50"/>
      <c r="AG300" s="33">
        <f t="shared" si="260"/>
        <v>18642</v>
      </c>
      <c r="AH300" s="33">
        <f>SUM(D271:D952)</f>
        <v>1212755919.060914</v>
      </c>
      <c r="AI300" s="213">
        <f t="shared" si="261"/>
        <v>0.21067671126120274</v>
      </c>
      <c r="AJ300" s="50"/>
      <c r="AK300" s="10"/>
      <c r="AL300" s="23">
        <f t="shared" si="262"/>
        <v>299554</v>
      </c>
      <c r="AM300" s="24"/>
      <c r="AN300" s="24"/>
      <c r="AO300" s="24">
        <v>178263</v>
      </c>
      <c r="AP300" s="24">
        <v>12736512</v>
      </c>
      <c r="AQ300" s="24"/>
      <c r="AR300" s="461">
        <f t="shared" si="263"/>
        <v>2.4085793326631803E-2</v>
      </c>
      <c r="AS300" s="25"/>
      <c r="AT300" s="25"/>
      <c r="AU300" s="24"/>
      <c r="AV300" s="298">
        <f t="shared" si="264"/>
        <v>0.59561132162223485</v>
      </c>
      <c r="AW300" s="298"/>
      <c r="AX300" s="24">
        <f t="shared" si="265"/>
        <v>43768.082474226801</v>
      </c>
      <c r="AY300" s="308"/>
      <c r="AZ300" s="10"/>
      <c r="BA300" s="65">
        <f t="shared" si="266"/>
        <v>2058691</v>
      </c>
      <c r="BB300" s="66"/>
      <c r="BC300" s="66">
        <v>260228941</v>
      </c>
      <c r="BD300" s="66"/>
      <c r="BE300" s="66">
        <f t="shared" si="267"/>
        <v>190162</v>
      </c>
      <c r="BF300" s="66"/>
      <c r="BG300" s="144">
        <f t="shared" si="268"/>
        <v>9.237034601113038E-2</v>
      </c>
      <c r="BH300" s="66"/>
      <c r="BI300" s="170"/>
      <c r="BJ300" s="66"/>
      <c r="BK300" s="66">
        <f t="shared" si="269"/>
        <v>11113482</v>
      </c>
      <c r="BL300" s="66"/>
      <c r="BM300" s="144">
        <f t="shared" si="270"/>
        <v>0.13007444471498672</v>
      </c>
      <c r="BN300" s="65">
        <f t="shared" si="271"/>
        <v>894257.52920962195</v>
      </c>
      <c r="BO300" s="66"/>
      <c r="BP300" s="66">
        <f t="shared" si="272"/>
        <v>20476954</v>
      </c>
      <c r="BQ300" s="66"/>
      <c r="BR300" s="435">
        <f t="shared" si="273"/>
        <v>7.8688227071561576E-2</v>
      </c>
      <c r="BS300" s="66"/>
      <c r="BT300" s="75"/>
      <c r="BU300" s="170"/>
      <c r="BV300" s="1"/>
      <c r="BW300" s="61">
        <f t="shared" si="186"/>
        <v>291</v>
      </c>
    </row>
    <row r="301" spans="2:75" x14ac:dyDescent="0.3">
      <c r="B301" s="158">
        <f t="shared" si="161"/>
        <v>44201</v>
      </c>
      <c r="C301" s="61"/>
      <c r="D301" s="17">
        <v>234711</v>
      </c>
      <c r="E301" s="16"/>
      <c r="F301" s="16"/>
      <c r="G301" s="16"/>
      <c r="H301" s="16">
        <f t="shared" si="254"/>
        <v>21618643</v>
      </c>
      <c r="I301" s="16"/>
      <c r="J301" s="436">
        <f t="shared" si="255"/>
        <v>1.0976045004258337E-2</v>
      </c>
      <c r="K301" s="16"/>
      <c r="L301" s="16"/>
      <c r="M301" s="16"/>
      <c r="N301" s="16">
        <f t="shared" si="274"/>
        <v>1480669</v>
      </c>
      <c r="O301" s="16">
        <f t="shared" si="256"/>
        <v>74036.448630136991</v>
      </c>
      <c r="P301" s="41"/>
      <c r="Q301" s="17">
        <f t="shared" ref="Q301:Q332" si="275">SUM(D295:D301)</f>
        <v>1480669</v>
      </c>
      <c r="R301" s="16"/>
      <c r="S301" s="60">
        <f t="shared" ref="S301:S332" si="276">+(Q301-Q294)/Q294</f>
        <v>0.23536400490918755</v>
      </c>
      <c r="T301" s="16"/>
      <c r="U301" s="41"/>
      <c r="V301" s="10">
        <f t="shared" si="109"/>
        <v>193</v>
      </c>
      <c r="W301" s="34">
        <v>3769</v>
      </c>
      <c r="X301" s="33">
        <v>3769</v>
      </c>
      <c r="Y301" s="33"/>
      <c r="Z301" s="33"/>
      <c r="AA301" s="33">
        <f t="shared" si="257"/>
        <v>365982</v>
      </c>
      <c r="AB301" s="33"/>
      <c r="AC301" s="46">
        <f t="shared" si="258"/>
        <v>1.6928999660154431E-2</v>
      </c>
      <c r="AD301" s="33"/>
      <c r="AE301" s="33">
        <f t="shared" si="259"/>
        <v>1253.3630136986301</v>
      </c>
      <c r="AF301" s="50"/>
      <c r="AG301" s="33">
        <f t="shared" si="260"/>
        <v>18695</v>
      </c>
      <c r="AH301" s="33">
        <f>SUM(D272:D953)</f>
        <v>1212573140.060914</v>
      </c>
      <c r="AI301" s="213">
        <f t="shared" si="261"/>
        <v>0.18788918541110688</v>
      </c>
      <c r="AJ301" s="50"/>
      <c r="AK301" s="10"/>
      <c r="AL301" s="23">
        <f t="shared" si="262"/>
        <v>128730</v>
      </c>
      <c r="AM301" s="24"/>
      <c r="AN301" s="24"/>
      <c r="AO301" s="24">
        <v>178263</v>
      </c>
      <c r="AP301" s="24">
        <v>12865242</v>
      </c>
      <c r="AQ301" s="24"/>
      <c r="AR301" s="461">
        <f t="shared" si="263"/>
        <v>1.0107162777375785E-2</v>
      </c>
      <c r="AS301" s="25"/>
      <c r="AT301" s="25"/>
      <c r="AU301" s="24"/>
      <c r="AV301" s="298">
        <f t="shared" si="264"/>
        <v>0.59509942414054384</v>
      </c>
      <c r="AW301" s="298"/>
      <c r="AX301" s="24">
        <f t="shared" si="265"/>
        <v>44059.047945205479</v>
      </c>
      <c r="AY301" s="308"/>
      <c r="AZ301" s="10"/>
      <c r="BA301" s="65">
        <f t="shared" si="266"/>
        <v>1648514</v>
      </c>
      <c r="BB301" s="66"/>
      <c r="BC301" s="66">
        <v>261877455</v>
      </c>
      <c r="BD301" s="66"/>
      <c r="BE301" s="66">
        <f t="shared" si="267"/>
        <v>234711</v>
      </c>
      <c r="BF301" s="66"/>
      <c r="BG301" s="144">
        <f t="shared" si="268"/>
        <v>0.14237731678347895</v>
      </c>
      <c r="BH301" s="66"/>
      <c r="BI301" s="170"/>
      <c r="BJ301" s="66"/>
      <c r="BK301" s="66">
        <f t="shared" si="269"/>
        <v>11705209</v>
      </c>
      <c r="BL301" s="66"/>
      <c r="BM301" s="144">
        <f t="shared" si="270"/>
        <v>0.12649658797207294</v>
      </c>
      <c r="BN301" s="65">
        <f t="shared" si="271"/>
        <v>896840.59931506845</v>
      </c>
      <c r="BO301" s="66"/>
      <c r="BP301" s="66">
        <f t="shared" si="272"/>
        <v>20711665</v>
      </c>
      <c r="BQ301" s="66"/>
      <c r="BR301" s="435">
        <f t="shared" si="273"/>
        <v>7.9089148777621965E-2</v>
      </c>
      <c r="BS301" s="66"/>
      <c r="BT301" s="75"/>
      <c r="BU301" s="170"/>
      <c r="BV301" s="1"/>
      <c r="BW301" s="61">
        <f t="shared" si="186"/>
        <v>292</v>
      </c>
    </row>
    <row r="302" spans="2:75" x14ac:dyDescent="0.3">
      <c r="B302" s="158">
        <f t="shared" si="161"/>
        <v>44202</v>
      </c>
      <c r="C302" s="61"/>
      <c r="D302" s="17">
        <v>260973</v>
      </c>
      <c r="E302" s="16"/>
      <c r="F302" s="16"/>
      <c r="G302" s="16"/>
      <c r="H302" s="16">
        <f t="shared" si="254"/>
        <v>21879616</v>
      </c>
      <c r="I302" s="16"/>
      <c r="J302" s="436">
        <f t="shared" si="255"/>
        <v>1.2071664257557702E-2</v>
      </c>
      <c r="K302" s="16"/>
      <c r="L302" s="16"/>
      <c r="M302" s="16"/>
      <c r="N302" s="16">
        <f t="shared" si="274"/>
        <v>1506867</v>
      </c>
      <c r="O302" s="16">
        <f t="shared" si="256"/>
        <v>74674.457337883956</v>
      </c>
      <c r="P302" s="41"/>
      <c r="Q302" s="17">
        <f t="shared" si="275"/>
        <v>1506867</v>
      </c>
      <c r="R302" s="16"/>
      <c r="S302" s="60">
        <f t="shared" si="276"/>
        <v>0.25467484650316985</v>
      </c>
      <c r="T302" s="16"/>
      <c r="U302" s="41"/>
      <c r="V302" s="10">
        <f t="shared" si="109"/>
        <v>194</v>
      </c>
      <c r="W302" s="34">
        <v>4100</v>
      </c>
      <c r="X302" s="33">
        <v>3769</v>
      </c>
      <c r="Y302" s="33"/>
      <c r="Z302" s="33"/>
      <c r="AA302" s="33">
        <f t="shared" si="257"/>
        <v>370082</v>
      </c>
      <c r="AB302" s="33"/>
      <c r="AC302" s="46">
        <f t="shared" si="258"/>
        <v>1.6914465043627824E-2</v>
      </c>
      <c r="AD302" s="33"/>
      <c r="AE302" s="33">
        <f t="shared" si="259"/>
        <v>1263.0784982935154</v>
      </c>
      <c r="AF302" s="50"/>
      <c r="AG302" s="33">
        <f t="shared" si="260"/>
        <v>18915</v>
      </c>
      <c r="AH302" s="33">
        <f>SUM(D273:D954)</f>
        <v>1212373055.060914</v>
      </c>
      <c r="AI302" s="213">
        <f t="shared" si="261"/>
        <v>0.16636862551643336</v>
      </c>
      <c r="AJ302" s="50"/>
      <c r="AK302" s="10"/>
      <c r="AL302" s="23">
        <f t="shared" si="262"/>
        <v>158900</v>
      </c>
      <c r="AM302" s="24"/>
      <c r="AN302" s="24"/>
      <c r="AO302" s="24">
        <v>178263</v>
      </c>
      <c r="AP302" s="24">
        <v>13024142</v>
      </c>
      <c r="AQ302" s="24"/>
      <c r="AR302" s="461">
        <f t="shared" si="263"/>
        <v>1.2351108513932346E-2</v>
      </c>
      <c r="AS302" s="25"/>
      <c r="AT302" s="25"/>
      <c r="AU302" s="24"/>
      <c r="AV302" s="298">
        <f t="shared" si="264"/>
        <v>0.59526373771824881</v>
      </c>
      <c r="AW302" s="298"/>
      <c r="AX302" s="24">
        <f t="shared" si="265"/>
        <v>44450.996587030713</v>
      </c>
      <c r="AY302" s="308"/>
      <c r="AZ302" s="10"/>
      <c r="BA302" s="65">
        <f t="shared" si="266"/>
        <v>1658563</v>
      </c>
      <c r="BB302" s="66"/>
      <c r="BC302" s="66">
        <v>263536018</v>
      </c>
      <c r="BD302" s="66"/>
      <c r="BE302" s="66">
        <f t="shared" si="267"/>
        <v>260973</v>
      </c>
      <c r="BF302" s="66"/>
      <c r="BG302" s="144">
        <f t="shared" si="268"/>
        <v>0.15734886163504191</v>
      </c>
      <c r="BH302" s="66"/>
      <c r="BI302" s="170"/>
      <c r="BJ302" s="66"/>
      <c r="BK302" s="66">
        <f t="shared" si="269"/>
        <v>11768809</v>
      </c>
      <c r="BL302" s="66"/>
      <c r="BM302" s="144">
        <f t="shared" si="270"/>
        <v>0.12803903946440121</v>
      </c>
      <c r="BN302" s="65">
        <f t="shared" si="271"/>
        <v>899440.33447098976</v>
      </c>
      <c r="BO302" s="66"/>
      <c r="BP302" s="66">
        <f t="shared" si="272"/>
        <v>20972638</v>
      </c>
      <c r="BQ302" s="66"/>
      <c r="BR302" s="435">
        <f t="shared" si="273"/>
        <v>7.9581676004530047E-2</v>
      </c>
      <c r="BS302" s="66"/>
      <c r="BT302" s="75"/>
      <c r="BU302" s="170"/>
      <c r="BV302" s="1"/>
      <c r="BW302" s="61">
        <f t="shared" si="186"/>
        <v>293</v>
      </c>
    </row>
    <row r="303" spans="2:75" x14ac:dyDescent="0.3">
      <c r="B303" s="158">
        <f t="shared" si="161"/>
        <v>44203</v>
      </c>
      <c r="C303" s="61"/>
      <c r="D303" s="17">
        <v>274190</v>
      </c>
      <c r="E303" s="16"/>
      <c r="F303" s="16"/>
      <c r="G303" s="16"/>
      <c r="H303" s="16">
        <f t="shared" si="254"/>
        <v>22153806</v>
      </c>
      <c r="I303" s="16"/>
      <c r="J303" s="436">
        <f t="shared" si="255"/>
        <v>1.2531755584741525E-2</v>
      </c>
      <c r="K303" s="16"/>
      <c r="L303" s="16"/>
      <c r="M303" s="16"/>
      <c r="N303" s="16">
        <f t="shared" si="274"/>
        <v>1552644</v>
      </c>
      <c r="O303" s="16">
        <f t="shared" si="256"/>
        <v>75353.081632653062</v>
      </c>
      <c r="P303" s="41"/>
      <c r="Q303" s="17">
        <f t="shared" si="275"/>
        <v>1552644</v>
      </c>
      <c r="R303" s="16"/>
      <c r="S303" s="60">
        <f t="shared" si="276"/>
        <v>0.25579330063046707</v>
      </c>
      <c r="T303" s="16"/>
      <c r="U303" s="41"/>
      <c r="V303" s="10">
        <f t="shared" si="109"/>
        <v>195</v>
      </c>
      <c r="W303" s="34">
        <v>4134</v>
      </c>
      <c r="X303" s="33">
        <v>3769</v>
      </c>
      <c r="Y303" s="33"/>
      <c r="Z303" s="33"/>
      <c r="AA303" s="33">
        <f t="shared" si="257"/>
        <v>374216</v>
      </c>
      <c r="AB303" s="33"/>
      <c r="AC303" s="46">
        <f t="shared" si="258"/>
        <v>1.6891725060696118E-2</v>
      </c>
      <c r="AD303" s="33"/>
      <c r="AE303" s="33">
        <f t="shared" si="259"/>
        <v>1272.843537414966</v>
      </c>
      <c r="AF303" s="50"/>
      <c r="AG303" s="33">
        <f t="shared" si="260"/>
        <v>19611</v>
      </c>
      <c r="AH303" s="33">
        <f>SUM(D274:D955)</f>
        <v>1212163299.060914</v>
      </c>
      <c r="AI303" s="213">
        <f t="shared" si="261"/>
        <v>0.16593341260404282</v>
      </c>
      <c r="AJ303" s="50"/>
      <c r="AK303" s="10"/>
      <c r="AL303" s="23">
        <f t="shared" si="262"/>
        <v>119175</v>
      </c>
      <c r="AM303" s="24"/>
      <c r="AN303" s="24"/>
      <c r="AO303" s="24">
        <v>178263</v>
      </c>
      <c r="AP303" s="24">
        <v>13143317</v>
      </c>
      <c r="AQ303" s="24"/>
      <c r="AR303" s="461">
        <f t="shared" si="263"/>
        <v>9.1503148537538971E-3</v>
      </c>
      <c r="AS303" s="25"/>
      <c r="AT303" s="25"/>
      <c r="AU303" s="24"/>
      <c r="AV303" s="298">
        <f t="shared" si="264"/>
        <v>0.59327580100683375</v>
      </c>
      <c r="AW303" s="298"/>
      <c r="AX303" s="24">
        <f t="shared" si="265"/>
        <v>44705.159863945577</v>
      </c>
      <c r="AY303" s="308"/>
      <c r="AZ303" s="10"/>
      <c r="BA303" s="65">
        <f t="shared" si="266"/>
        <v>1908845</v>
      </c>
      <c r="BB303" s="66"/>
      <c r="BC303" s="66">
        <v>265444863</v>
      </c>
      <c r="BD303" s="66"/>
      <c r="BE303" s="66">
        <f t="shared" si="267"/>
        <v>274190</v>
      </c>
      <c r="BF303" s="66"/>
      <c r="BG303" s="144">
        <f t="shared" si="268"/>
        <v>0.14364183576979797</v>
      </c>
      <c r="BH303" s="66"/>
      <c r="BI303" s="170"/>
      <c r="BJ303" s="66"/>
      <c r="BK303" s="66">
        <f t="shared" si="269"/>
        <v>11902223</v>
      </c>
      <c r="BL303" s="66"/>
      <c r="BM303" s="144">
        <f t="shared" si="270"/>
        <v>0.13044991679285459</v>
      </c>
      <c r="BN303" s="65">
        <f t="shared" si="271"/>
        <v>902873.68367346935</v>
      </c>
      <c r="BO303" s="66"/>
      <c r="BP303" s="66">
        <f t="shared" si="272"/>
        <v>21246828</v>
      </c>
      <c r="BQ303" s="66"/>
      <c r="BR303" s="435">
        <f t="shared" si="273"/>
        <v>8.0042340092300074E-2</v>
      </c>
      <c r="BS303" s="66"/>
      <c r="BT303" s="75"/>
      <c r="BU303" s="170"/>
      <c r="BV303" s="1"/>
      <c r="BW303" s="61">
        <f t="shared" si="186"/>
        <v>294</v>
      </c>
    </row>
    <row r="304" spans="2:75" x14ac:dyDescent="0.3">
      <c r="B304" s="158">
        <f t="shared" si="161"/>
        <v>44204</v>
      </c>
      <c r="C304" s="61"/>
      <c r="D304" s="17">
        <v>306449</v>
      </c>
      <c r="E304" s="16"/>
      <c r="F304" s="16"/>
      <c r="G304" s="16"/>
      <c r="H304" s="16">
        <f t="shared" si="254"/>
        <v>22460255</v>
      </c>
      <c r="I304" s="16"/>
      <c r="J304" s="436">
        <f t="shared" si="255"/>
        <v>1.3832792433047397E-2</v>
      </c>
      <c r="K304" s="16"/>
      <c r="L304" s="16"/>
      <c r="M304" s="16"/>
      <c r="N304" s="16">
        <f t="shared" si="274"/>
        <v>1693049</v>
      </c>
      <c r="O304" s="16">
        <f t="shared" si="256"/>
        <v>76136.457627118638</v>
      </c>
      <c r="P304" s="41"/>
      <c r="Q304" s="17">
        <f t="shared" si="275"/>
        <v>1693049</v>
      </c>
      <c r="R304" s="16"/>
      <c r="S304" s="60">
        <f t="shared" si="276"/>
        <v>0.29875980849792383</v>
      </c>
      <c r="T304" s="16"/>
      <c r="U304" s="41"/>
      <c r="V304" s="10">
        <f t="shared" si="109"/>
        <v>196</v>
      </c>
      <c r="W304" s="34">
        <v>3969</v>
      </c>
      <c r="X304" s="33">
        <v>3769</v>
      </c>
      <c r="Y304" s="33"/>
      <c r="Z304" s="33"/>
      <c r="AA304" s="33">
        <f t="shared" si="257"/>
        <v>378185</v>
      </c>
      <c r="AB304" s="33"/>
      <c r="AC304" s="46">
        <f t="shared" si="258"/>
        <v>1.6837965552928942E-2</v>
      </c>
      <c r="AD304" s="33"/>
      <c r="AE304" s="33">
        <f t="shared" si="259"/>
        <v>1281.9830508474577</v>
      </c>
      <c r="AF304" s="50"/>
      <c r="AG304" s="33">
        <f t="shared" si="260"/>
        <v>21451</v>
      </c>
      <c r="AH304" s="33">
        <f>SUM(D275:D956)</f>
        <v>1211936346.060914</v>
      </c>
      <c r="AI304" s="213">
        <f t="shared" si="261"/>
        <v>0.20837088778729157</v>
      </c>
      <c r="AJ304" s="50"/>
      <c r="AK304" s="10"/>
      <c r="AL304" s="23">
        <f t="shared" si="262"/>
        <v>116632</v>
      </c>
      <c r="AM304" s="24"/>
      <c r="AN304" s="24"/>
      <c r="AO304" s="24">
        <v>178263</v>
      </c>
      <c r="AP304" s="24">
        <v>13259949</v>
      </c>
      <c r="AQ304" s="24"/>
      <c r="AR304" s="461">
        <f t="shared" si="263"/>
        <v>8.8738634242786652E-3</v>
      </c>
      <c r="AS304" s="25"/>
      <c r="AT304" s="25"/>
      <c r="AU304" s="24"/>
      <c r="AV304" s="298">
        <f t="shared" si="264"/>
        <v>0.59037392941442557</v>
      </c>
      <c r="AW304" s="298"/>
      <c r="AX304" s="24">
        <f t="shared" si="265"/>
        <v>44948.979661016951</v>
      </c>
      <c r="AY304" s="308"/>
      <c r="AZ304" s="10"/>
      <c r="BA304" s="65">
        <f t="shared" si="266"/>
        <v>2068185</v>
      </c>
      <c r="BB304" s="66"/>
      <c r="BC304" s="66">
        <v>267513048</v>
      </c>
      <c r="BD304" s="66"/>
      <c r="BE304" s="66">
        <f t="shared" si="267"/>
        <v>306449</v>
      </c>
      <c r="BF304" s="66"/>
      <c r="BG304" s="144">
        <f t="shared" si="268"/>
        <v>0.14817291489881224</v>
      </c>
      <c r="BH304" s="66"/>
      <c r="BI304" s="170"/>
      <c r="BJ304" s="66"/>
      <c r="BK304" s="66">
        <f t="shared" si="269"/>
        <v>12830325</v>
      </c>
      <c r="BL304" s="66"/>
      <c r="BM304" s="144">
        <f t="shared" si="270"/>
        <v>0.13195682884104651</v>
      </c>
      <c r="BN304" s="65">
        <f t="shared" si="271"/>
        <v>906823.89152542374</v>
      </c>
      <c r="BO304" s="66"/>
      <c r="BP304" s="66">
        <f t="shared" si="272"/>
        <v>21553277</v>
      </c>
      <c r="BQ304" s="66"/>
      <c r="BR304" s="435">
        <f t="shared" si="273"/>
        <v>8.0569068167471225E-2</v>
      </c>
      <c r="BS304" s="66"/>
      <c r="BT304" s="75"/>
      <c r="BU304" s="170"/>
      <c r="BV304" s="1"/>
      <c r="BW304" s="61">
        <f t="shared" si="186"/>
        <v>295</v>
      </c>
    </row>
    <row r="305" spans="2:75" x14ac:dyDescent="0.3">
      <c r="B305" s="158">
        <f t="shared" si="161"/>
        <v>44205</v>
      </c>
      <c r="C305" s="61"/>
      <c r="D305" s="17">
        <v>249694</v>
      </c>
      <c r="E305" s="16"/>
      <c r="F305" s="16"/>
      <c r="G305" s="16"/>
      <c r="H305" s="16">
        <f t="shared" si="254"/>
        <v>22709949</v>
      </c>
      <c r="I305" s="16"/>
      <c r="J305" s="436">
        <f t="shared" si="255"/>
        <v>1.1117148937089094E-2</v>
      </c>
      <c r="K305" s="16"/>
      <c r="L305" s="16"/>
      <c r="M305" s="16"/>
      <c r="N305" s="16">
        <f t="shared" si="274"/>
        <v>1710516</v>
      </c>
      <c r="O305" s="16">
        <f t="shared" si="256"/>
        <v>76722.80067567568</v>
      </c>
      <c r="P305" s="41"/>
      <c r="Q305" s="17">
        <f t="shared" si="275"/>
        <v>1710516</v>
      </c>
      <c r="R305" s="16"/>
      <c r="S305" s="60">
        <f t="shared" si="276"/>
        <v>0.24381986195582936</v>
      </c>
      <c r="T305" s="16"/>
      <c r="U305" s="41"/>
      <c r="V305" s="10">
        <f t="shared" si="109"/>
        <v>197</v>
      </c>
      <c r="W305" s="34">
        <v>3238</v>
      </c>
      <c r="X305" s="33">
        <v>3769</v>
      </c>
      <c r="Y305" s="33"/>
      <c r="Z305" s="33"/>
      <c r="AA305" s="33">
        <f t="shared" si="257"/>
        <v>381423</v>
      </c>
      <c r="AB305" s="33"/>
      <c r="AC305" s="46">
        <f t="shared" si="258"/>
        <v>1.6795414203704288E-2</v>
      </c>
      <c r="AD305" s="33"/>
      <c r="AE305" s="33">
        <f t="shared" si="259"/>
        <v>1288.5912162162163</v>
      </c>
      <c r="AF305" s="50"/>
      <c r="AG305" s="33">
        <f t="shared" si="260"/>
        <v>22582</v>
      </c>
      <c r="AH305" s="33">
        <f>SUM(D276:D957)</f>
        <v>1211709032.060914</v>
      </c>
      <c r="AI305" s="213">
        <f t="shared" si="261"/>
        <v>0.22389030404856106</v>
      </c>
      <c r="AJ305" s="50"/>
      <c r="AK305" s="10"/>
      <c r="AL305" s="23">
        <f t="shared" si="262"/>
        <v>133139</v>
      </c>
      <c r="AM305" s="24"/>
      <c r="AN305" s="24"/>
      <c r="AO305" s="24">
        <v>178263</v>
      </c>
      <c r="AP305" s="24">
        <v>13393088</v>
      </c>
      <c r="AQ305" s="24"/>
      <c r="AR305" s="461">
        <f t="shared" si="263"/>
        <v>1.004068718514679E-2</v>
      </c>
      <c r="AS305" s="25"/>
      <c r="AT305" s="25"/>
      <c r="AU305" s="24"/>
      <c r="AV305" s="298">
        <f t="shared" si="264"/>
        <v>0.58974540189412139</v>
      </c>
      <c r="AW305" s="298"/>
      <c r="AX305" s="24">
        <f t="shared" si="265"/>
        <v>45246.91891891892</v>
      </c>
      <c r="AY305" s="308"/>
      <c r="AZ305" s="10"/>
      <c r="BA305" s="65">
        <f t="shared" si="266"/>
        <v>2006776</v>
      </c>
      <c r="BB305" s="66"/>
      <c r="BC305" s="66">
        <v>269519824</v>
      </c>
      <c r="BD305" s="66"/>
      <c r="BE305" s="66">
        <f t="shared" si="267"/>
        <v>249694</v>
      </c>
      <c r="BF305" s="66"/>
      <c r="BG305" s="144">
        <f t="shared" si="268"/>
        <v>0.12442544658696336</v>
      </c>
      <c r="BH305" s="66"/>
      <c r="BI305" s="170"/>
      <c r="BJ305" s="66"/>
      <c r="BK305" s="66">
        <f t="shared" si="269"/>
        <v>12771191</v>
      </c>
      <c r="BL305" s="66"/>
      <c r="BM305" s="144">
        <f t="shared" si="270"/>
        <v>0.13393551157444908</v>
      </c>
      <c r="BN305" s="65">
        <f t="shared" si="271"/>
        <v>910539.94594594592</v>
      </c>
      <c r="BO305" s="66"/>
      <c r="BP305" s="66">
        <f t="shared" si="272"/>
        <v>21802971</v>
      </c>
      <c r="BQ305" s="66"/>
      <c r="BR305" s="435">
        <f t="shared" ref="BR305:BR336" si="277">+BP305/BC305</f>
        <v>8.0895611597015582E-2</v>
      </c>
      <c r="BS305" s="66"/>
      <c r="BT305" s="75"/>
      <c r="BU305" s="170"/>
      <c r="BV305" s="1"/>
      <c r="BW305" s="61">
        <f t="shared" si="186"/>
        <v>296</v>
      </c>
    </row>
    <row r="306" spans="2:75" x14ac:dyDescent="0.3">
      <c r="B306" s="347">
        <f t="shared" si="161"/>
        <v>44206</v>
      </c>
      <c r="C306" s="61"/>
      <c r="D306" s="17">
        <v>220827</v>
      </c>
      <c r="E306" s="16"/>
      <c r="F306" s="16"/>
      <c r="G306" s="16"/>
      <c r="H306" s="16">
        <f t="shared" si="254"/>
        <v>22930776</v>
      </c>
      <c r="I306" s="16"/>
      <c r="J306" s="436">
        <f t="shared" si="255"/>
        <v>9.7237999081371783E-3</v>
      </c>
      <c r="K306" s="16"/>
      <c r="L306" s="16"/>
      <c r="M306" s="16"/>
      <c r="N306" s="16">
        <f t="shared" si="274"/>
        <v>1737006</v>
      </c>
      <c r="O306" s="16">
        <f t="shared" si="256"/>
        <v>77208</v>
      </c>
      <c r="P306" s="41"/>
      <c r="Q306" s="17">
        <f t="shared" si="275"/>
        <v>1737006</v>
      </c>
      <c r="R306" s="16"/>
      <c r="S306" s="60">
        <f t="shared" si="276"/>
        <v>0.20474071114828662</v>
      </c>
      <c r="T306" s="16"/>
      <c r="U306" s="41"/>
      <c r="V306" s="10">
        <f t="shared" si="109"/>
        <v>198</v>
      </c>
      <c r="W306" s="34">
        <v>1862</v>
      </c>
      <c r="X306" s="33">
        <v>3769</v>
      </c>
      <c r="Y306" s="33"/>
      <c r="Z306" s="33">
        <f>SUM(W300:W306)</f>
        <v>23057</v>
      </c>
      <c r="AA306" s="33">
        <f t="shared" si="257"/>
        <v>383285</v>
      </c>
      <c r="AB306" s="33"/>
      <c r="AC306" s="46">
        <f t="shared" si="258"/>
        <v>1.6714872623586747E-2</v>
      </c>
      <c r="AD306" s="33"/>
      <c r="AE306" s="33">
        <f t="shared" si="259"/>
        <v>1290.5218855218855</v>
      </c>
      <c r="AF306" s="50"/>
      <c r="AG306" s="33">
        <f t="shared" si="260"/>
        <v>23057</v>
      </c>
      <c r="AH306" s="33">
        <f>SUM(D277:D958)</f>
        <v>1211462271.060914</v>
      </c>
      <c r="AI306" s="213">
        <f t="shared" si="261"/>
        <v>0.23809268109327175</v>
      </c>
      <c r="AJ306" s="50"/>
      <c r="AK306" s="10"/>
      <c r="AL306" s="23">
        <f t="shared" si="262"/>
        <v>97912</v>
      </c>
      <c r="AM306" s="24"/>
      <c r="AN306" s="24"/>
      <c r="AO306" s="24">
        <v>178263</v>
      </c>
      <c r="AP306" s="24">
        <v>13491000</v>
      </c>
      <c r="AQ306" s="24"/>
      <c r="AR306" s="461">
        <f t="shared" si="263"/>
        <v>7.3106366507858381E-3</v>
      </c>
      <c r="AS306" s="25"/>
      <c r="AT306" s="25"/>
      <c r="AU306" s="24"/>
      <c r="AV306" s="298">
        <f t="shared" si="264"/>
        <v>0.58833595513732284</v>
      </c>
      <c r="AW306" s="298"/>
      <c r="AX306" s="24">
        <f t="shared" si="265"/>
        <v>45424.242424242424</v>
      </c>
      <c r="AY306" s="308"/>
      <c r="AZ306" s="10"/>
      <c r="BA306" s="65">
        <f t="shared" si="266"/>
        <v>1480176</v>
      </c>
      <c r="BB306" s="66"/>
      <c r="BC306" s="66">
        <v>271000000</v>
      </c>
      <c r="BD306" s="66"/>
      <c r="BE306" s="66">
        <f t="shared" si="267"/>
        <v>220827</v>
      </c>
      <c r="BF306" s="66"/>
      <c r="BG306" s="144">
        <f t="shared" si="268"/>
        <v>0.14918969095567014</v>
      </c>
      <c r="BH306" s="66"/>
      <c r="BI306" s="170"/>
      <c r="BJ306" s="66"/>
      <c r="BK306" s="66">
        <f t="shared" si="269"/>
        <v>12829750</v>
      </c>
      <c r="BL306" s="66"/>
      <c r="BM306" s="144">
        <f t="shared" si="270"/>
        <v>0.13538892028293614</v>
      </c>
      <c r="BN306" s="65">
        <f t="shared" si="271"/>
        <v>912457.91245791246</v>
      </c>
      <c r="BO306" s="66"/>
      <c r="BP306" s="66">
        <f t="shared" si="272"/>
        <v>22023798</v>
      </c>
      <c r="BQ306" s="66"/>
      <c r="BR306" s="435">
        <f t="shared" si="277"/>
        <v>8.1268627306273059E-2</v>
      </c>
      <c r="BS306" s="66"/>
      <c r="BT306" s="75"/>
      <c r="BU306" s="170"/>
      <c r="BV306" s="1"/>
      <c r="BW306" s="61">
        <f t="shared" si="186"/>
        <v>297</v>
      </c>
    </row>
    <row r="307" spans="2:75" x14ac:dyDescent="0.3">
      <c r="B307" s="158">
        <f t="shared" si="161"/>
        <v>44207</v>
      </c>
      <c r="C307" s="61"/>
      <c r="D307" s="17">
        <v>214683</v>
      </c>
      <c r="E307" s="16"/>
      <c r="F307" s="16"/>
      <c r="G307" s="16"/>
      <c r="H307" s="16">
        <f t="shared" si="254"/>
        <v>23145459</v>
      </c>
      <c r="I307" s="16"/>
      <c r="J307" s="436">
        <f t="shared" si="255"/>
        <v>9.3622213221218505E-3</v>
      </c>
      <c r="K307" s="16"/>
      <c r="L307" s="16"/>
      <c r="M307" s="16"/>
      <c r="N307" s="16">
        <f t="shared" si="274"/>
        <v>1761527</v>
      </c>
      <c r="O307" s="16">
        <f t="shared" si="256"/>
        <v>77669.325503355707</v>
      </c>
      <c r="P307" s="41"/>
      <c r="Q307" s="17">
        <f t="shared" si="275"/>
        <v>1761527</v>
      </c>
      <c r="R307" s="16"/>
      <c r="S307" s="60">
        <f t="shared" si="276"/>
        <v>0.21856071611394734</v>
      </c>
      <c r="T307" s="16"/>
      <c r="U307" s="41"/>
      <c r="V307" s="10">
        <f t="shared" si="109"/>
        <v>199</v>
      </c>
      <c r="W307" s="34">
        <v>1964</v>
      </c>
      <c r="X307" s="33">
        <v>3769</v>
      </c>
      <c r="Y307" s="33"/>
      <c r="Z307" s="33"/>
      <c r="AA307" s="33">
        <f t="shared" si="257"/>
        <v>385249</v>
      </c>
      <c r="AB307" s="33"/>
      <c r="AC307" s="46">
        <f t="shared" si="258"/>
        <v>1.6644690433661308E-2</v>
      </c>
      <c r="AD307" s="33"/>
      <c r="AE307" s="33">
        <f t="shared" si="259"/>
        <v>1292.7818791946308</v>
      </c>
      <c r="AF307" s="50"/>
      <c r="AG307" s="33">
        <f t="shared" si="260"/>
        <v>23036</v>
      </c>
      <c r="AH307" s="33">
        <f>SUM(D278:D959)</f>
        <v>1211241973.060914</v>
      </c>
      <c r="AI307" s="213">
        <f t="shared" si="261"/>
        <v>0.23570432357043236</v>
      </c>
      <c r="AJ307" s="50"/>
      <c r="AK307" s="10"/>
      <c r="AL307" s="23">
        <f t="shared" si="262"/>
        <v>189461</v>
      </c>
      <c r="AM307" s="24"/>
      <c r="AN307" s="24"/>
      <c r="AO307" s="24">
        <v>178263</v>
      </c>
      <c r="AP307" s="24">
        <v>13680461</v>
      </c>
      <c r="AQ307" s="24"/>
      <c r="AR307" s="461">
        <f t="shared" si="263"/>
        <v>1.4043510488473797E-2</v>
      </c>
      <c r="AS307" s="25"/>
      <c r="AT307" s="25"/>
      <c r="AU307" s="24"/>
      <c r="AV307" s="298">
        <f t="shared" si="264"/>
        <v>0.59106457988152228</v>
      </c>
      <c r="AW307" s="298"/>
      <c r="AX307" s="24">
        <f t="shared" si="265"/>
        <v>45907.587248322146</v>
      </c>
      <c r="AY307" s="308"/>
      <c r="AZ307" s="10"/>
      <c r="BA307" s="65">
        <f t="shared" si="266"/>
        <v>2397007</v>
      </c>
      <c r="BB307" s="66"/>
      <c r="BC307" s="66">
        <v>273397007</v>
      </c>
      <c r="BD307" s="66"/>
      <c r="BE307" s="66">
        <f t="shared" si="267"/>
        <v>214683</v>
      </c>
      <c r="BF307" s="66"/>
      <c r="BG307" s="144">
        <f t="shared" si="268"/>
        <v>8.9562942452817207E-2</v>
      </c>
      <c r="BH307" s="66"/>
      <c r="BI307" s="170"/>
      <c r="BJ307" s="66"/>
      <c r="BK307" s="66">
        <f t="shared" si="269"/>
        <v>13168066</v>
      </c>
      <c r="BL307" s="66"/>
      <c r="BM307" s="144">
        <f t="shared" si="270"/>
        <v>0.13377264360613017</v>
      </c>
      <c r="BN307" s="65">
        <f t="shared" si="271"/>
        <v>917439.62080536911</v>
      </c>
      <c r="BO307" s="66"/>
      <c r="BP307" s="66">
        <f t="shared" si="272"/>
        <v>22238481</v>
      </c>
      <c r="BQ307" s="66"/>
      <c r="BR307" s="435">
        <f t="shared" si="277"/>
        <v>8.1341347676128731E-2</v>
      </c>
      <c r="BS307" s="66"/>
      <c r="BT307" s="75"/>
      <c r="BU307" s="170"/>
      <c r="BV307" s="1"/>
      <c r="BW307" s="61">
        <f t="shared" si="186"/>
        <v>298</v>
      </c>
    </row>
    <row r="308" spans="2:75" x14ac:dyDescent="0.3">
      <c r="B308" s="158">
        <f t="shared" si="161"/>
        <v>44208</v>
      </c>
      <c r="C308" s="61"/>
      <c r="D308" s="17">
        <v>223628</v>
      </c>
      <c r="E308" s="16"/>
      <c r="F308" s="16"/>
      <c r="G308" s="16"/>
      <c r="H308" s="16">
        <f t="shared" si="254"/>
        <v>23369087</v>
      </c>
      <c r="I308" s="16"/>
      <c r="J308" s="436">
        <f t="shared" si="255"/>
        <v>9.6618520289444253E-3</v>
      </c>
      <c r="K308" s="16"/>
      <c r="L308" s="16"/>
      <c r="M308" s="16"/>
      <c r="N308" s="16">
        <f t="shared" si="274"/>
        <v>1750444</v>
      </c>
      <c r="O308" s="16">
        <f t="shared" si="256"/>
        <v>78157.481605351175</v>
      </c>
      <c r="P308" s="41"/>
      <c r="Q308" s="17">
        <f t="shared" si="275"/>
        <v>1750444</v>
      </c>
      <c r="R308" s="16"/>
      <c r="S308" s="60">
        <f t="shared" si="276"/>
        <v>0.18219804696390618</v>
      </c>
      <c r="T308" s="16"/>
      <c r="U308" s="41"/>
      <c r="V308" s="10">
        <f t="shared" si="109"/>
        <v>200</v>
      </c>
      <c r="W308" s="34">
        <v>4281</v>
      </c>
      <c r="X308" s="33">
        <v>3769</v>
      </c>
      <c r="Y308" s="33"/>
      <c r="Z308" s="33"/>
      <c r="AA308" s="33">
        <f t="shared" si="257"/>
        <v>389530</v>
      </c>
      <c r="AB308" s="33"/>
      <c r="AC308" s="46">
        <f t="shared" si="258"/>
        <v>1.6668601558974042E-2</v>
      </c>
      <c r="AD308" s="33"/>
      <c r="AE308" s="33">
        <f t="shared" si="259"/>
        <v>1302.7759197324415</v>
      </c>
      <c r="AF308" s="50"/>
      <c r="AG308" s="33">
        <f t="shared" si="260"/>
        <v>23548</v>
      </c>
      <c r="AH308" s="33">
        <f>SUM(D279:D960)</f>
        <v>1211054072.060914</v>
      </c>
      <c r="AI308" s="213">
        <f t="shared" si="261"/>
        <v>0.25958812516715701</v>
      </c>
      <c r="AJ308" s="50"/>
      <c r="AK308" s="10"/>
      <c r="AL308" s="23">
        <f t="shared" si="262"/>
        <v>136412</v>
      </c>
      <c r="AM308" s="24"/>
      <c r="AN308" s="24"/>
      <c r="AO308" s="24">
        <v>178263</v>
      </c>
      <c r="AP308" s="24">
        <v>13816873</v>
      </c>
      <c r="AQ308" s="24"/>
      <c r="AR308" s="461">
        <f t="shared" si="263"/>
        <v>9.9713014057055526E-3</v>
      </c>
      <c r="AS308" s="25"/>
      <c r="AT308" s="25"/>
      <c r="AU308" s="24"/>
      <c r="AV308" s="298">
        <f t="shared" si="264"/>
        <v>0.59124573416154425</v>
      </c>
      <c r="AW308" s="298"/>
      <c r="AX308" s="24">
        <f t="shared" si="265"/>
        <v>46210.277591973245</v>
      </c>
      <c r="AY308" s="308"/>
      <c r="AZ308" s="10"/>
      <c r="BA308" s="65">
        <f t="shared" si="266"/>
        <v>2207858</v>
      </c>
      <c r="BB308" s="66"/>
      <c r="BC308" s="66">
        <v>275604865</v>
      </c>
      <c r="BD308" s="66"/>
      <c r="BE308" s="66">
        <f t="shared" si="267"/>
        <v>223628</v>
      </c>
      <c r="BF308" s="66"/>
      <c r="BG308" s="144">
        <f t="shared" si="268"/>
        <v>0.10128731104989541</v>
      </c>
      <c r="BH308" s="66"/>
      <c r="BI308" s="170"/>
      <c r="BJ308" s="66"/>
      <c r="BK308" s="66">
        <f t="shared" si="269"/>
        <v>13727410</v>
      </c>
      <c r="BL308" s="66"/>
      <c r="BM308" s="144">
        <f t="shared" si="270"/>
        <v>0.12751451293434085</v>
      </c>
      <c r="BN308" s="65">
        <f t="shared" si="271"/>
        <v>921755.40133779263</v>
      </c>
      <c r="BO308" s="66"/>
      <c r="BP308" s="66">
        <f t="shared" si="272"/>
        <v>22462109</v>
      </c>
      <c r="BQ308" s="66"/>
      <c r="BR308" s="435">
        <f t="shared" si="277"/>
        <v>8.1501133878750659E-2</v>
      </c>
      <c r="BS308" s="66"/>
      <c r="BT308" s="75"/>
      <c r="BU308" s="170"/>
      <c r="BV308" s="1"/>
      <c r="BW308" s="61">
        <f t="shared" si="186"/>
        <v>299</v>
      </c>
    </row>
    <row r="309" spans="2:75" x14ac:dyDescent="0.3">
      <c r="B309" s="158">
        <f t="shared" si="161"/>
        <v>44209</v>
      </c>
      <c r="C309" s="61"/>
      <c r="D309" s="17">
        <v>238073</v>
      </c>
      <c r="E309" s="16"/>
      <c r="F309" s="16"/>
      <c r="G309" s="16"/>
      <c r="H309" s="16">
        <f t="shared" si="254"/>
        <v>23607160</v>
      </c>
      <c r="I309" s="16"/>
      <c r="J309" s="436">
        <f t="shared" si="255"/>
        <v>1.0187518237233658E-2</v>
      </c>
      <c r="K309" s="16"/>
      <c r="L309" s="16"/>
      <c r="M309" s="16"/>
      <c r="N309" s="16">
        <f t="shared" si="274"/>
        <v>1727544</v>
      </c>
      <c r="O309" s="16">
        <f t="shared" si="256"/>
        <v>78690.53333333334</v>
      </c>
      <c r="P309" s="41"/>
      <c r="Q309" s="17">
        <f t="shared" si="275"/>
        <v>1727544</v>
      </c>
      <c r="R309" s="16"/>
      <c r="S309" s="60">
        <f t="shared" si="276"/>
        <v>0.14644756305632814</v>
      </c>
      <c r="T309" s="16"/>
      <c r="U309" s="41"/>
      <c r="V309" s="10">
        <f t="shared" si="109"/>
        <v>201</v>
      </c>
      <c r="W309" s="34">
        <v>4095</v>
      </c>
      <c r="X309" s="33">
        <v>3769</v>
      </c>
      <c r="Y309" s="33"/>
      <c r="Z309" s="33"/>
      <c r="AA309" s="33">
        <f t="shared" si="257"/>
        <v>393625</v>
      </c>
      <c r="AB309" s="33"/>
      <c r="AC309" s="46">
        <f t="shared" si="258"/>
        <v>1.6673966711794219E-2</v>
      </c>
      <c r="AD309" s="33"/>
      <c r="AE309" s="33">
        <f t="shared" si="259"/>
        <v>1312.0833333333333</v>
      </c>
      <c r="AF309" s="50"/>
      <c r="AG309" s="33">
        <f t="shared" si="260"/>
        <v>23543</v>
      </c>
      <c r="AH309" s="33">
        <f>SUM(D280:D961)</f>
        <v>1210854340.060914</v>
      </c>
      <c r="AI309" s="213">
        <f t="shared" si="261"/>
        <v>0.24467353951890033</v>
      </c>
      <c r="AJ309" s="50"/>
      <c r="AK309" s="10"/>
      <c r="AL309" s="23">
        <f t="shared" si="262"/>
        <v>158190</v>
      </c>
      <c r="AM309" s="24"/>
      <c r="AN309" s="24"/>
      <c r="AO309" s="24">
        <v>178263</v>
      </c>
      <c r="AP309" s="24">
        <v>13975063</v>
      </c>
      <c r="AQ309" s="24"/>
      <c r="AR309" s="461">
        <f t="shared" si="263"/>
        <v>1.144904494671117E-2</v>
      </c>
      <c r="AS309" s="25"/>
      <c r="AT309" s="25"/>
      <c r="AU309" s="24"/>
      <c r="AV309" s="298">
        <f t="shared" si="264"/>
        <v>0.59198408448962092</v>
      </c>
      <c r="AW309" s="298"/>
      <c r="AX309" s="24">
        <f t="shared" si="265"/>
        <v>46583.543333333335</v>
      </c>
      <c r="AY309" s="308"/>
      <c r="AZ309" s="10"/>
      <c r="BA309" s="65">
        <f t="shared" si="266"/>
        <v>1844464</v>
      </c>
      <c r="BB309" s="66"/>
      <c r="BC309" s="66">
        <v>277449329</v>
      </c>
      <c r="BD309" s="66"/>
      <c r="BE309" s="66">
        <f t="shared" si="267"/>
        <v>238073</v>
      </c>
      <c r="BF309" s="66"/>
      <c r="BG309" s="144">
        <f t="shared" si="268"/>
        <v>0.12907435439238715</v>
      </c>
      <c r="BH309" s="66"/>
      <c r="BI309" s="170"/>
      <c r="BJ309" s="66"/>
      <c r="BK309" s="66">
        <f t="shared" si="269"/>
        <v>13913311</v>
      </c>
      <c r="BL309" s="66"/>
      <c r="BM309" s="144">
        <f t="shared" si="270"/>
        <v>0.12416483754298312</v>
      </c>
      <c r="BN309" s="65">
        <f t="shared" si="271"/>
        <v>924831.09666666668</v>
      </c>
      <c r="BO309" s="66"/>
      <c r="BP309" s="66">
        <f t="shared" si="272"/>
        <v>22700182</v>
      </c>
      <c r="BQ309" s="66"/>
      <c r="BR309" s="435">
        <f t="shared" si="277"/>
        <v>8.181739736699814E-2</v>
      </c>
      <c r="BS309" s="66"/>
      <c r="BT309" s="75"/>
      <c r="BU309" s="170"/>
      <c r="BV309" s="1"/>
      <c r="BW309" s="61">
        <f t="shared" si="186"/>
        <v>300</v>
      </c>
    </row>
    <row r="310" spans="2:75" x14ac:dyDescent="0.3">
      <c r="B310" s="158">
        <f t="shared" si="161"/>
        <v>44210</v>
      </c>
      <c r="C310" s="61"/>
      <c r="D310" s="17">
        <v>234419</v>
      </c>
      <c r="E310" s="16"/>
      <c r="F310" s="16"/>
      <c r="G310" s="16"/>
      <c r="H310" s="16">
        <f t="shared" si="254"/>
        <v>23841579</v>
      </c>
      <c r="I310" s="16"/>
      <c r="J310" s="436">
        <f t="shared" si="255"/>
        <v>9.9299958148290606E-3</v>
      </c>
      <c r="K310" s="16"/>
      <c r="L310" s="16"/>
      <c r="M310" s="16"/>
      <c r="N310" s="16">
        <f t="shared" si="274"/>
        <v>1687773</v>
      </c>
      <c r="O310" s="16">
        <f t="shared" si="256"/>
        <v>79207.903654485053</v>
      </c>
      <c r="P310" s="41"/>
      <c r="Q310" s="17">
        <f t="shared" si="275"/>
        <v>1687773</v>
      </c>
      <c r="R310" s="16"/>
      <c r="S310" s="60">
        <f t="shared" si="276"/>
        <v>8.7031541035807305E-2</v>
      </c>
      <c r="T310" s="16"/>
      <c r="U310" s="41"/>
      <c r="V310" s="10">
        <f t="shared" si="109"/>
        <v>202</v>
      </c>
      <c r="W310" s="34">
        <v>4142</v>
      </c>
      <c r="X310" s="33">
        <v>3769</v>
      </c>
      <c r="Y310" s="33"/>
      <c r="Z310" s="33"/>
      <c r="AA310" s="33">
        <f t="shared" si="257"/>
        <v>397767</v>
      </c>
      <c r="AB310" s="33"/>
      <c r="AC310" s="46">
        <f t="shared" si="258"/>
        <v>1.668375236388496E-2</v>
      </c>
      <c r="AD310" s="33"/>
      <c r="AE310" s="33">
        <f t="shared" si="259"/>
        <v>1321.4850498338869</v>
      </c>
      <c r="AF310" s="50"/>
      <c r="AG310" s="33">
        <f t="shared" si="260"/>
        <v>23551</v>
      </c>
      <c r="AH310" s="33">
        <f>SUM(D281:D962)</f>
        <v>1210654305.060914</v>
      </c>
      <c r="AI310" s="213">
        <f t="shared" si="261"/>
        <v>0.2009076538677273</v>
      </c>
      <c r="AJ310" s="50"/>
      <c r="AK310" s="10"/>
      <c r="AL310" s="23">
        <f t="shared" si="262"/>
        <v>137080</v>
      </c>
      <c r="AM310" s="24"/>
      <c r="AN310" s="24"/>
      <c r="AO310" s="24">
        <v>178263</v>
      </c>
      <c r="AP310" s="24">
        <v>14112143</v>
      </c>
      <c r="AQ310" s="24"/>
      <c r="AR310" s="461">
        <f t="shared" si="263"/>
        <v>9.8089003248142785E-3</v>
      </c>
      <c r="AS310" s="25"/>
      <c r="AT310" s="25"/>
      <c r="AU310" s="24"/>
      <c r="AV310" s="298">
        <f t="shared" si="264"/>
        <v>0.59191310273535158</v>
      </c>
      <c r="AW310" s="298"/>
      <c r="AX310" s="24">
        <f t="shared" si="265"/>
        <v>46884.196013289038</v>
      </c>
      <c r="AY310" s="308"/>
      <c r="AZ310" s="10"/>
      <c r="BA310" s="65">
        <f t="shared" si="266"/>
        <v>2024424</v>
      </c>
      <c r="BB310" s="66"/>
      <c r="BC310" s="66">
        <v>279473753</v>
      </c>
      <c r="BD310" s="66"/>
      <c r="BE310" s="66">
        <f t="shared" si="267"/>
        <v>234419</v>
      </c>
      <c r="BF310" s="66"/>
      <c r="BG310" s="144">
        <f t="shared" si="268"/>
        <v>0.1157954064958724</v>
      </c>
      <c r="BH310" s="66"/>
      <c r="BI310" s="170"/>
      <c r="BJ310" s="66"/>
      <c r="BK310" s="66">
        <f t="shared" si="269"/>
        <v>14028890</v>
      </c>
      <c r="BL310" s="66"/>
      <c r="BM310" s="144">
        <f t="shared" si="270"/>
        <v>0.12030695229629713</v>
      </c>
      <c r="BN310" s="65">
        <f t="shared" si="271"/>
        <v>928484.22923588043</v>
      </c>
      <c r="BO310" s="66"/>
      <c r="BP310" s="66">
        <f t="shared" si="272"/>
        <v>22934601</v>
      </c>
      <c r="BQ310" s="66"/>
      <c r="BR310" s="435">
        <f t="shared" si="277"/>
        <v>8.206352386873339E-2</v>
      </c>
      <c r="BS310" s="66"/>
      <c r="BT310" s="75"/>
      <c r="BU310" s="170"/>
      <c r="BV310" s="1"/>
      <c r="BW310" s="61">
        <f t="shared" si="186"/>
        <v>301</v>
      </c>
    </row>
    <row r="311" spans="2:75" x14ac:dyDescent="0.3">
      <c r="B311" s="158">
        <f t="shared" si="161"/>
        <v>44211</v>
      </c>
      <c r="C311" s="61"/>
      <c r="D311" s="17">
        <v>248806</v>
      </c>
      <c r="E311" s="16"/>
      <c r="F311" s="16"/>
      <c r="G311" s="16"/>
      <c r="H311" s="16">
        <f t="shared" si="254"/>
        <v>24090385</v>
      </c>
      <c r="I311" s="16"/>
      <c r="J311" s="436">
        <f t="shared" si="255"/>
        <v>1.0435802091799373E-2</v>
      </c>
      <c r="K311" s="16"/>
      <c r="L311" s="16"/>
      <c r="M311" s="16"/>
      <c r="N311" s="16">
        <f t="shared" si="274"/>
        <v>1630130</v>
      </c>
      <c r="O311" s="16">
        <f t="shared" si="256"/>
        <v>79769.486754966885</v>
      </c>
      <c r="P311" s="41"/>
      <c r="Q311" s="17">
        <f t="shared" si="275"/>
        <v>1630130</v>
      </c>
      <c r="R311" s="16"/>
      <c r="S311" s="60">
        <f t="shared" si="276"/>
        <v>-3.7163129950757483E-2</v>
      </c>
      <c r="T311" s="16"/>
      <c r="U311" s="41"/>
      <c r="V311" s="10">
        <f t="shared" si="109"/>
        <v>203</v>
      </c>
      <c r="W311" s="34">
        <v>3817</v>
      </c>
      <c r="X311" s="33">
        <v>3769</v>
      </c>
      <c r="Y311" s="33"/>
      <c r="Z311" s="33"/>
      <c r="AA311" s="33">
        <f t="shared" si="257"/>
        <v>401584</v>
      </c>
      <c r="AB311" s="33"/>
      <c r="AC311" s="46">
        <f t="shared" si="258"/>
        <v>1.666988717697953E-2</v>
      </c>
      <c r="AD311" s="33"/>
      <c r="AE311" s="33">
        <f t="shared" si="259"/>
        <v>1329.7483443708609</v>
      </c>
      <c r="AF311" s="50"/>
      <c r="AG311" s="33">
        <f t="shared" si="260"/>
        <v>23399</v>
      </c>
      <c r="AH311" s="33">
        <f>SUM(D282:D963)</f>
        <v>1210404132.060914</v>
      </c>
      <c r="AI311" s="213">
        <f t="shared" si="261"/>
        <v>9.0811617174024514E-2</v>
      </c>
      <c r="AJ311" s="50"/>
      <c r="AK311" s="10"/>
      <c r="AL311" s="23">
        <f t="shared" si="262"/>
        <v>116826</v>
      </c>
      <c r="AM311" s="24"/>
      <c r="AN311" s="24"/>
      <c r="AO311" s="24">
        <v>178263</v>
      </c>
      <c r="AP311" s="24">
        <v>14228969</v>
      </c>
      <c r="AQ311" s="24"/>
      <c r="AR311" s="461">
        <f t="shared" si="263"/>
        <v>8.2784025076843397E-3</v>
      </c>
      <c r="AS311" s="25"/>
      <c r="AT311" s="25"/>
      <c r="AU311" s="24"/>
      <c r="AV311" s="298">
        <f t="shared" si="264"/>
        <v>0.59064929846492698</v>
      </c>
      <c r="AW311" s="298"/>
      <c r="AX311" s="24">
        <f t="shared" si="265"/>
        <v>47115.791390728475</v>
      </c>
      <c r="AY311" s="308"/>
      <c r="AZ311" s="10"/>
      <c r="BA311" s="65">
        <f t="shared" si="266"/>
        <v>2336132</v>
      </c>
      <c r="BB311" s="66"/>
      <c r="BC311" s="66">
        <v>281809885</v>
      </c>
      <c r="BD311" s="66"/>
      <c r="BE311" s="66">
        <f t="shared" si="267"/>
        <v>248806</v>
      </c>
      <c r="BF311" s="66"/>
      <c r="BG311" s="144">
        <f t="shared" si="268"/>
        <v>0.10650339963666437</v>
      </c>
      <c r="BH311" s="66"/>
      <c r="BI311" s="170"/>
      <c r="BJ311" s="66"/>
      <c r="BK311" s="66">
        <f t="shared" si="269"/>
        <v>14296837</v>
      </c>
      <c r="BL311" s="66"/>
      <c r="BM311" s="144">
        <f t="shared" si="270"/>
        <v>0.11402032491522425</v>
      </c>
      <c r="BN311" s="65">
        <f t="shared" si="271"/>
        <v>933145.31456953648</v>
      </c>
      <c r="BO311" s="66"/>
      <c r="BP311" s="66">
        <f t="shared" si="272"/>
        <v>23183407</v>
      </c>
      <c r="BQ311" s="66"/>
      <c r="BR311" s="435">
        <f t="shared" si="277"/>
        <v>8.2266124199298407E-2</v>
      </c>
      <c r="BS311" s="66"/>
      <c r="BT311" s="75"/>
      <c r="BU311" s="170"/>
      <c r="BV311" s="1"/>
      <c r="BW311" s="61">
        <f t="shared" si="186"/>
        <v>302</v>
      </c>
    </row>
    <row r="312" spans="2:75" x14ac:dyDescent="0.3">
      <c r="B312" s="158">
        <f t="shared" si="161"/>
        <v>44212</v>
      </c>
      <c r="C312" s="61"/>
      <c r="D312" s="17">
        <v>202767</v>
      </c>
      <c r="E312" s="16"/>
      <c r="F312" s="16"/>
      <c r="G312" s="16"/>
      <c r="H312" s="16">
        <f t="shared" si="254"/>
        <v>24293152</v>
      </c>
      <c r="I312" s="16"/>
      <c r="J312" s="436">
        <f t="shared" si="255"/>
        <v>8.4169265040803624E-3</v>
      </c>
      <c r="K312" s="16"/>
      <c r="L312" s="16"/>
      <c r="M312" s="16"/>
      <c r="N312" s="16">
        <f t="shared" si="274"/>
        <v>1583203</v>
      </c>
      <c r="O312" s="16">
        <f t="shared" si="256"/>
        <v>80175.419141914186</v>
      </c>
      <c r="P312" s="41"/>
      <c r="Q312" s="17">
        <f t="shared" si="275"/>
        <v>1583203</v>
      </c>
      <c r="R312" s="16"/>
      <c r="S312" s="60">
        <f t="shared" si="276"/>
        <v>-7.4429587329203586E-2</v>
      </c>
      <c r="T312" s="16"/>
      <c r="U312" s="41"/>
      <c r="V312" s="10">
        <f t="shared" si="109"/>
        <v>204</v>
      </c>
      <c r="W312" s="34">
        <v>3377</v>
      </c>
      <c r="X312" s="33">
        <v>3377</v>
      </c>
      <c r="Y312" s="33"/>
      <c r="Z312" s="33"/>
      <c r="AA312" s="33">
        <f t="shared" si="257"/>
        <v>404961</v>
      </c>
      <c r="AB312" s="33"/>
      <c r="AC312" s="46">
        <f t="shared" si="258"/>
        <v>1.6669759444966219E-2</v>
      </c>
      <c r="AD312" s="33"/>
      <c r="AE312" s="33">
        <f t="shared" si="259"/>
        <v>1336.5049504950496</v>
      </c>
      <c r="AF312" s="50"/>
      <c r="AG312" s="33">
        <f t="shared" si="260"/>
        <v>23538</v>
      </c>
      <c r="AH312" s="33">
        <f>SUM(D283:D964)</f>
        <v>1210166260.060914</v>
      </c>
      <c r="AI312" s="213">
        <f t="shared" si="261"/>
        <v>4.2334602780975998E-2</v>
      </c>
      <c r="AJ312" s="50"/>
      <c r="AK312" s="10"/>
      <c r="AL312" s="23">
        <f t="shared" si="262"/>
        <v>114675</v>
      </c>
      <c r="AM312" s="24"/>
      <c r="AN312" s="24"/>
      <c r="AO312" s="24">
        <v>178263</v>
      </c>
      <c r="AP312" s="24">
        <v>14343644</v>
      </c>
      <c r="AQ312" s="24"/>
      <c r="AR312" s="461">
        <f t="shared" si="263"/>
        <v>8.0592627617643974E-3</v>
      </c>
      <c r="AS312" s="25"/>
      <c r="AT312" s="25"/>
      <c r="AU312" s="24"/>
      <c r="AV312" s="298">
        <f t="shared" si="264"/>
        <v>0.5904398078931874</v>
      </c>
      <c r="AW312" s="298"/>
      <c r="AX312" s="24">
        <f t="shared" si="265"/>
        <v>47338.75907590759</v>
      </c>
      <c r="AY312" s="308"/>
      <c r="AZ312" s="10"/>
      <c r="BA312" s="65">
        <f t="shared" si="266"/>
        <v>1943241</v>
      </c>
      <c r="BB312" s="66"/>
      <c r="BC312" s="66">
        <v>283753126</v>
      </c>
      <c r="BD312" s="66"/>
      <c r="BE312" s="66">
        <f t="shared" si="267"/>
        <v>202767</v>
      </c>
      <c r="BF312" s="66"/>
      <c r="BG312" s="144">
        <f t="shared" si="268"/>
        <v>0.10434475188615308</v>
      </c>
      <c r="BH312" s="66"/>
      <c r="BI312" s="170"/>
      <c r="BJ312" s="66"/>
      <c r="BK312" s="66">
        <f t="shared" si="269"/>
        <v>14233302</v>
      </c>
      <c r="BL312" s="66"/>
      <c r="BM312" s="144">
        <f t="shared" si="270"/>
        <v>0.11123230575730073</v>
      </c>
      <c r="BN312" s="65">
        <f t="shared" si="271"/>
        <v>936478.96369636967</v>
      </c>
      <c r="BO312" s="66"/>
      <c r="BP312" s="66">
        <f t="shared" si="272"/>
        <v>23386174</v>
      </c>
      <c r="BQ312" s="66"/>
      <c r="BR312" s="435">
        <f t="shared" si="277"/>
        <v>8.2417326390969881E-2</v>
      </c>
      <c r="BS312" s="66"/>
      <c r="BT312" s="75"/>
      <c r="BU312" s="170"/>
      <c r="BV312" s="1"/>
      <c r="BW312" s="61">
        <f t="shared" si="186"/>
        <v>303</v>
      </c>
    </row>
    <row r="313" spans="2:75" x14ac:dyDescent="0.3">
      <c r="B313" s="347">
        <f t="shared" si="161"/>
        <v>44213</v>
      </c>
      <c r="C313" s="61"/>
      <c r="D313" s="17">
        <v>174560</v>
      </c>
      <c r="E313" s="16"/>
      <c r="F313" s="16"/>
      <c r="G313" s="16"/>
      <c r="H313" s="16">
        <f t="shared" si="254"/>
        <v>24467712</v>
      </c>
      <c r="I313" s="16"/>
      <c r="J313" s="436">
        <f t="shared" si="255"/>
        <v>7.1855640634858747E-3</v>
      </c>
      <c r="K313" s="16"/>
      <c r="L313" s="16"/>
      <c r="M313" s="16"/>
      <c r="N313" s="16">
        <f t="shared" si="274"/>
        <v>1536936</v>
      </c>
      <c r="O313" s="16">
        <f t="shared" si="256"/>
        <v>80485.894736842107</v>
      </c>
      <c r="P313" s="41"/>
      <c r="Q313" s="17">
        <f t="shared" si="275"/>
        <v>1536936</v>
      </c>
      <c r="R313" s="16"/>
      <c r="S313" s="60">
        <f t="shared" si="276"/>
        <v>-0.11518094928860349</v>
      </c>
      <c r="T313" s="16"/>
      <c r="U313" s="41"/>
      <c r="V313" s="10">
        <f t="shared" si="109"/>
        <v>205</v>
      </c>
      <c r="W313" s="34">
        <v>1846</v>
      </c>
      <c r="X313" s="33">
        <v>3377</v>
      </c>
      <c r="Y313" s="33"/>
      <c r="Z313" s="33"/>
      <c r="AA313" s="33">
        <f t="shared" si="257"/>
        <v>406807</v>
      </c>
      <c r="AB313" s="33"/>
      <c r="AC313" s="46">
        <f t="shared" si="258"/>
        <v>1.6626278746455739E-2</v>
      </c>
      <c r="AD313" s="33"/>
      <c r="AE313" s="33">
        <f t="shared" si="259"/>
        <v>1338.1809210526317</v>
      </c>
      <c r="AF313" s="50"/>
      <c r="AG313" s="33">
        <f t="shared" si="260"/>
        <v>23522</v>
      </c>
      <c r="AH313" s="33">
        <f>SUM(D284:D965)</f>
        <v>1209911580.060914</v>
      </c>
      <c r="AI313" s="213">
        <f t="shared" si="261"/>
        <v>2.0167411198334564E-2</v>
      </c>
      <c r="AJ313" s="50"/>
      <c r="AK313" s="10"/>
      <c r="AL313" s="23">
        <f t="shared" si="262"/>
        <v>84707</v>
      </c>
      <c r="AM313" s="24"/>
      <c r="AN313" s="24"/>
      <c r="AO313" s="24">
        <v>178263</v>
      </c>
      <c r="AP313" s="24">
        <v>14428351</v>
      </c>
      <c r="AQ313" s="24"/>
      <c r="AR313" s="461">
        <f t="shared" si="263"/>
        <v>5.9055425525061829E-3</v>
      </c>
      <c r="AS313" s="25"/>
      <c r="AT313" s="25"/>
      <c r="AU313" s="24"/>
      <c r="AV313" s="298">
        <f t="shared" si="264"/>
        <v>0.58968942416847148</v>
      </c>
      <c r="AW313" s="298"/>
      <c r="AX313" s="24">
        <f t="shared" si="265"/>
        <v>47461.680921052633</v>
      </c>
      <c r="AY313" s="308"/>
      <c r="AZ313" s="10"/>
      <c r="BA313" s="65">
        <f t="shared" si="266"/>
        <v>1940413</v>
      </c>
      <c r="BB313" s="66"/>
      <c r="BC313" s="66">
        <v>285693539</v>
      </c>
      <c r="BD313" s="66"/>
      <c r="BE313" s="66">
        <f t="shared" si="267"/>
        <v>174560</v>
      </c>
      <c r="BF313" s="66"/>
      <c r="BG313" s="144">
        <f t="shared" si="268"/>
        <v>8.9960230115959855E-2</v>
      </c>
      <c r="BH313" s="66"/>
      <c r="BI313" s="170"/>
      <c r="BJ313" s="66"/>
      <c r="BK313" s="66">
        <f t="shared" si="269"/>
        <v>14693539</v>
      </c>
      <c r="BL313" s="66"/>
      <c r="BM313" s="144">
        <f t="shared" si="270"/>
        <v>0.10459944333356314</v>
      </c>
      <c r="BN313" s="65">
        <f t="shared" si="271"/>
        <v>939781.37828947371</v>
      </c>
      <c r="BO313" s="66"/>
      <c r="BP313" s="66">
        <f t="shared" si="272"/>
        <v>23560734</v>
      </c>
      <c r="BQ313" s="66"/>
      <c r="BR313" s="435">
        <f t="shared" si="277"/>
        <v>8.2468557330587722E-2</v>
      </c>
      <c r="BS313" s="66"/>
      <c r="BT313" s="75"/>
      <c r="BU313" s="170"/>
      <c r="BV313" s="1"/>
      <c r="BW313" s="61">
        <f t="shared" si="186"/>
        <v>304</v>
      </c>
    </row>
    <row r="314" spans="2:75" x14ac:dyDescent="0.3">
      <c r="B314" s="158">
        <f t="shared" si="161"/>
        <v>44214</v>
      </c>
      <c r="C314" s="61"/>
      <c r="D314" s="17">
        <v>149328</v>
      </c>
      <c r="E314" s="16"/>
      <c r="F314" s="16"/>
      <c r="G314" s="16"/>
      <c r="H314" s="16">
        <f t="shared" si="254"/>
        <v>24617040</v>
      </c>
      <c r="I314" s="16"/>
      <c r="J314" s="436">
        <f t="shared" si="255"/>
        <v>6.1030634985404439E-3</v>
      </c>
      <c r="K314" s="16"/>
      <c r="L314" s="16"/>
      <c r="M314" s="16"/>
      <c r="N314" s="16">
        <f t="shared" si="274"/>
        <v>1471581</v>
      </c>
      <c r="O314" s="16">
        <f t="shared" si="256"/>
        <v>80711.606557377047</v>
      </c>
      <c r="P314" s="41"/>
      <c r="Q314" s="17">
        <f t="shared" si="275"/>
        <v>1471581</v>
      </c>
      <c r="R314" s="16"/>
      <c r="S314" s="60">
        <f t="shared" si="276"/>
        <v>-0.16459923691206549</v>
      </c>
      <c r="T314" s="16"/>
      <c r="U314" s="41"/>
      <c r="V314" s="10">
        <f t="shared" si="109"/>
        <v>206</v>
      </c>
      <c r="W314" s="34">
        <v>1502</v>
      </c>
      <c r="X314" s="33">
        <v>3377</v>
      </c>
      <c r="Y314" s="33"/>
      <c r="Z314" s="33"/>
      <c r="AA314" s="33">
        <f t="shared" si="257"/>
        <v>408309</v>
      </c>
      <c r="AB314" s="33"/>
      <c r="AC314" s="46">
        <f t="shared" si="258"/>
        <v>1.6586437687065546E-2</v>
      </c>
      <c r="AD314" s="33"/>
      <c r="AE314" s="33">
        <f t="shared" si="259"/>
        <v>1338.7180327868853</v>
      </c>
      <c r="AF314" s="50"/>
      <c r="AG314" s="33">
        <f t="shared" si="260"/>
        <v>23060</v>
      </c>
      <c r="AH314" s="33">
        <f>SUM(D285:D966)</f>
        <v>1209721930.060914</v>
      </c>
      <c r="AI314" s="213">
        <f t="shared" si="261"/>
        <v>1.0418475429762111E-3</v>
      </c>
      <c r="AJ314" s="50"/>
      <c r="AK314" s="10"/>
      <c r="AL314" s="23">
        <f t="shared" si="262"/>
        <v>116960</v>
      </c>
      <c r="AM314" s="24"/>
      <c r="AN314" s="24"/>
      <c r="AO314" s="24">
        <v>178263</v>
      </c>
      <c r="AP314" s="24">
        <v>14545311</v>
      </c>
      <c r="AQ314" s="24"/>
      <c r="AR314" s="461">
        <f t="shared" si="263"/>
        <v>8.1062624550788925E-3</v>
      </c>
      <c r="AS314" s="25"/>
      <c r="AT314" s="25"/>
      <c r="AU314" s="24"/>
      <c r="AV314" s="298">
        <f t="shared" si="264"/>
        <v>0.5908635238030242</v>
      </c>
      <c r="AW314" s="298"/>
      <c r="AX314" s="24">
        <f t="shared" si="265"/>
        <v>47689.54426229508</v>
      </c>
      <c r="AY314" s="308"/>
      <c r="AZ314" s="10"/>
      <c r="BA314" s="65">
        <f t="shared" si="266"/>
        <v>2081676</v>
      </c>
      <c r="BB314" s="66"/>
      <c r="BC314" s="66">
        <v>287775215</v>
      </c>
      <c r="BD314" s="66"/>
      <c r="BE314" s="66">
        <f t="shared" si="267"/>
        <v>149328</v>
      </c>
      <c r="BF314" s="66"/>
      <c r="BG314" s="144">
        <f t="shared" si="268"/>
        <v>7.1734506234399587E-2</v>
      </c>
      <c r="BH314" s="66"/>
      <c r="BI314" s="170"/>
      <c r="BJ314" s="66"/>
      <c r="BK314" s="66">
        <f t="shared" si="269"/>
        <v>14378208</v>
      </c>
      <c r="BL314" s="66"/>
      <c r="BM314" s="144">
        <f t="shared" si="270"/>
        <v>0.1023480116576419</v>
      </c>
      <c r="BN314" s="65">
        <f t="shared" si="271"/>
        <v>943525.29508196726</v>
      </c>
      <c r="BO314" s="66"/>
      <c r="BP314" s="66">
        <f t="shared" si="272"/>
        <v>23710062</v>
      </c>
      <c r="BQ314" s="66"/>
      <c r="BR314" s="435">
        <f t="shared" si="277"/>
        <v>8.2390910558437072E-2</v>
      </c>
      <c r="BS314" s="66"/>
      <c r="BT314" s="75"/>
      <c r="BU314" s="170"/>
      <c r="BV314" s="1"/>
      <c r="BW314" s="61">
        <f t="shared" si="186"/>
        <v>305</v>
      </c>
    </row>
    <row r="315" spans="2:75" x14ac:dyDescent="0.3">
      <c r="B315" s="158">
        <f t="shared" si="161"/>
        <v>44215</v>
      </c>
      <c r="C315" s="61"/>
      <c r="D315" s="17">
        <v>174378</v>
      </c>
      <c r="E315" s="16"/>
      <c r="F315" s="16"/>
      <c r="G315" s="16"/>
      <c r="H315" s="16">
        <f t="shared" si="254"/>
        <v>24791418</v>
      </c>
      <c r="I315" s="16"/>
      <c r="J315" s="436">
        <f t="shared" si="255"/>
        <v>7.0836298758908461E-3</v>
      </c>
      <c r="K315" s="16"/>
      <c r="L315" s="16"/>
      <c r="M315" s="16"/>
      <c r="N315" s="16">
        <f t="shared" si="274"/>
        <v>1422331</v>
      </c>
      <c r="O315" s="16">
        <f t="shared" si="256"/>
        <v>81017.705882352937</v>
      </c>
      <c r="P315" s="41"/>
      <c r="Q315" s="17">
        <f t="shared" si="275"/>
        <v>1422331</v>
      </c>
      <c r="R315" s="16"/>
      <c r="S315" s="60">
        <f t="shared" si="276"/>
        <v>-0.18744558523437482</v>
      </c>
      <c r="T315" s="16"/>
      <c r="U315" s="41"/>
      <c r="V315" s="10">
        <f t="shared" si="109"/>
        <v>207</v>
      </c>
      <c r="W315" s="34">
        <v>2802</v>
      </c>
      <c r="X315" s="33">
        <v>3377</v>
      </c>
      <c r="Y315" s="33"/>
      <c r="Z315" s="33"/>
      <c r="AA315" s="33">
        <f t="shared" si="257"/>
        <v>411111</v>
      </c>
      <c r="AB315" s="33"/>
      <c r="AC315" s="46">
        <f t="shared" si="258"/>
        <v>1.6582794901041965E-2</v>
      </c>
      <c r="AD315" s="33"/>
      <c r="AE315" s="33">
        <f t="shared" si="259"/>
        <v>1343.5</v>
      </c>
      <c r="AF315" s="50"/>
      <c r="AG315" s="33">
        <f t="shared" si="260"/>
        <v>21581</v>
      </c>
      <c r="AH315" s="33">
        <f>SUM(D286:D967)</f>
        <v>1209533650.060914</v>
      </c>
      <c r="AI315" s="213">
        <f t="shared" si="261"/>
        <v>-8.3531510107015455E-2</v>
      </c>
      <c r="AJ315" s="50"/>
      <c r="AK315" s="10"/>
      <c r="AL315" s="23">
        <f t="shared" si="262"/>
        <v>241575</v>
      </c>
      <c r="AM315" s="24"/>
      <c r="AN315" s="24"/>
      <c r="AO315" s="24">
        <v>178263</v>
      </c>
      <c r="AP315" s="24">
        <v>14786886</v>
      </c>
      <c r="AQ315" s="24"/>
      <c r="AR315" s="461">
        <f t="shared" si="263"/>
        <v>1.6608445154593119E-2</v>
      </c>
      <c r="AS315" s="25"/>
      <c r="AT315" s="25"/>
      <c r="AU315" s="24"/>
      <c r="AV315" s="298">
        <f t="shared" si="264"/>
        <v>0.59645180441070378</v>
      </c>
      <c r="AW315" s="298"/>
      <c r="AX315" s="24">
        <f t="shared" si="265"/>
        <v>48323.156862745098</v>
      </c>
      <c r="AY315" s="308"/>
      <c r="AZ315" s="10"/>
      <c r="BA315" s="65">
        <f t="shared" si="266"/>
        <v>2023737</v>
      </c>
      <c r="BB315" s="66"/>
      <c r="BC315" s="66">
        <v>289798952</v>
      </c>
      <c r="BD315" s="66"/>
      <c r="BE315" s="66">
        <f t="shared" si="267"/>
        <v>174378</v>
      </c>
      <c r="BF315" s="66"/>
      <c r="BG315" s="144">
        <f t="shared" si="268"/>
        <v>8.6166334854776094E-2</v>
      </c>
      <c r="BH315" s="66"/>
      <c r="BI315" s="170"/>
      <c r="BJ315" s="66"/>
      <c r="BK315" s="66">
        <f t="shared" si="269"/>
        <v>14194087</v>
      </c>
      <c r="BL315" s="66"/>
      <c r="BM315" s="144">
        <f t="shared" si="270"/>
        <v>0.1002058815054466</v>
      </c>
      <c r="BN315" s="65">
        <f t="shared" si="271"/>
        <v>947055.39869281044</v>
      </c>
      <c r="BO315" s="66"/>
      <c r="BP315" s="66">
        <f t="shared" si="272"/>
        <v>23884440</v>
      </c>
      <c r="BQ315" s="66"/>
      <c r="BR315" s="435">
        <f t="shared" si="277"/>
        <v>8.2417275270201804E-2</v>
      </c>
      <c r="BS315" s="66"/>
      <c r="BT315" s="75"/>
      <c r="BU315" s="170"/>
      <c r="BV315" s="1"/>
      <c r="BW315" s="61">
        <f t="shared" si="186"/>
        <v>306</v>
      </c>
    </row>
    <row r="316" spans="2:75" x14ac:dyDescent="0.3">
      <c r="B316" s="158">
        <f t="shared" si="161"/>
        <v>44216</v>
      </c>
      <c r="C316" s="61"/>
      <c r="D316" s="17">
        <v>190081</v>
      </c>
      <c r="E316" s="16"/>
      <c r="F316" s="16"/>
      <c r="G316" s="16"/>
      <c r="H316" s="16">
        <f t="shared" si="254"/>
        <v>24981499</v>
      </c>
      <c r="I316" s="16"/>
      <c r="J316" s="436">
        <f t="shared" si="255"/>
        <v>7.6672096771552159E-3</v>
      </c>
      <c r="K316" s="16"/>
      <c r="L316" s="16"/>
      <c r="M316" s="16"/>
      <c r="N316" s="16">
        <f t="shared" si="274"/>
        <v>1374339</v>
      </c>
      <c r="O316" s="16">
        <f t="shared" si="256"/>
        <v>81372.96091205212</v>
      </c>
      <c r="P316" s="41"/>
      <c r="Q316" s="17">
        <f t="shared" si="275"/>
        <v>1374339</v>
      </c>
      <c r="R316" s="16"/>
      <c r="S316" s="60">
        <f t="shared" si="276"/>
        <v>-0.20445499506814299</v>
      </c>
      <c r="T316" s="16"/>
      <c r="U316" s="41"/>
      <c r="V316" s="10">
        <f t="shared" si="109"/>
        <v>208</v>
      </c>
      <c r="W316" s="34">
        <v>4394</v>
      </c>
      <c r="X316" s="33">
        <v>3377</v>
      </c>
      <c r="Y316" s="33"/>
      <c r="Z316" s="33"/>
      <c r="AA316" s="33">
        <f t="shared" si="257"/>
        <v>415505</v>
      </c>
      <c r="AB316" s="33"/>
      <c r="AC316" s="46">
        <f t="shared" si="258"/>
        <v>1.6632508721754449E-2</v>
      </c>
      <c r="AD316" s="33"/>
      <c r="AE316" s="33">
        <f t="shared" si="259"/>
        <v>1353.4364820846906</v>
      </c>
      <c r="AF316" s="50"/>
      <c r="AG316" s="33">
        <f t="shared" si="260"/>
        <v>21880</v>
      </c>
      <c r="AH316" s="33">
        <f>SUM(D287:D968)</f>
        <v>1209333541.060914</v>
      </c>
      <c r="AI316" s="213">
        <f t="shared" si="261"/>
        <v>-7.0636707301533361E-2</v>
      </c>
      <c r="AJ316" s="50"/>
      <c r="AK316" s="10"/>
      <c r="AL316" s="23">
        <f t="shared" si="262"/>
        <v>186664</v>
      </c>
      <c r="AM316" s="24"/>
      <c r="AN316" s="24"/>
      <c r="AO316" s="24">
        <v>178263</v>
      </c>
      <c r="AP316" s="24">
        <v>14973550</v>
      </c>
      <c r="AQ316" s="24"/>
      <c r="AR316" s="461">
        <f t="shared" si="263"/>
        <v>1.2623617981500634E-2</v>
      </c>
      <c r="AS316" s="25"/>
      <c r="AT316" s="25"/>
      <c r="AU316" s="24"/>
      <c r="AV316" s="298">
        <f t="shared" si="264"/>
        <v>0.59938556929670228</v>
      </c>
      <c r="AW316" s="298"/>
      <c r="AX316" s="24">
        <f t="shared" si="265"/>
        <v>48773.778501628665</v>
      </c>
      <c r="AY316" s="308"/>
      <c r="AZ316" s="10"/>
      <c r="BA316" s="65">
        <f t="shared" si="266"/>
        <v>1779241</v>
      </c>
      <c r="BB316" s="66"/>
      <c r="BC316" s="66">
        <v>291578193</v>
      </c>
      <c r="BD316" s="66"/>
      <c r="BE316" s="66">
        <f t="shared" si="267"/>
        <v>190081</v>
      </c>
      <c r="BF316" s="66"/>
      <c r="BG316" s="144">
        <f t="shared" si="268"/>
        <v>0.10683263256635835</v>
      </c>
      <c r="BH316" s="66"/>
      <c r="BI316" s="170"/>
      <c r="BJ316" s="66"/>
      <c r="BK316" s="66">
        <f t="shared" si="269"/>
        <v>14128864</v>
      </c>
      <c r="BL316" s="66"/>
      <c r="BM316" s="144">
        <f t="shared" si="270"/>
        <v>9.7271726870610406E-2</v>
      </c>
      <c r="BN316" s="65">
        <f t="shared" si="271"/>
        <v>949766.10097719869</v>
      </c>
      <c r="BO316" s="66"/>
      <c r="BP316" s="66">
        <f t="shared" si="272"/>
        <v>24074521</v>
      </c>
      <c r="BQ316" s="66"/>
      <c r="BR316" s="435">
        <f t="shared" si="277"/>
        <v>8.2566260365019822E-2</v>
      </c>
      <c r="BS316" s="66"/>
      <c r="BT316" s="75"/>
      <c r="BU316" s="170"/>
      <c r="BV316" s="1"/>
      <c r="BW316" s="61">
        <f t="shared" si="186"/>
        <v>307</v>
      </c>
    </row>
    <row r="317" spans="2:75" x14ac:dyDescent="0.3">
      <c r="B317" s="158">
        <f t="shared" si="161"/>
        <v>44217</v>
      </c>
      <c r="C317" s="61"/>
      <c r="D317" s="17">
        <v>193758</v>
      </c>
      <c r="E317" s="16"/>
      <c r="F317" s="16"/>
      <c r="G317" s="16"/>
      <c r="H317" s="16">
        <f t="shared" si="254"/>
        <v>25175257</v>
      </c>
      <c r="I317" s="16"/>
      <c r="J317" s="436">
        <f t="shared" si="255"/>
        <v>7.7560597944903147E-3</v>
      </c>
      <c r="K317" s="16"/>
      <c r="L317" s="16"/>
      <c r="M317" s="16"/>
      <c r="N317" s="16">
        <f t="shared" si="274"/>
        <v>1333678</v>
      </c>
      <c r="O317" s="16">
        <f t="shared" si="256"/>
        <v>81737.847402597399</v>
      </c>
      <c r="P317" s="41"/>
      <c r="Q317" s="17">
        <f t="shared" si="275"/>
        <v>1333678</v>
      </c>
      <c r="R317" s="16"/>
      <c r="S317" s="60">
        <f t="shared" si="276"/>
        <v>-0.20980013307476775</v>
      </c>
      <c r="T317" s="16"/>
      <c r="U317" s="41"/>
      <c r="V317" s="10">
        <f t="shared" si="109"/>
        <v>209</v>
      </c>
      <c r="W317" s="34">
        <v>4363</v>
      </c>
      <c r="X317" s="33">
        <v>3377</v>
      </c>
      <c r="Y317" s="33"/>
      <c r="Z317" s="33"/>
      <c r="AA317" s="33">
        <f t="shared" si="257"/>
        <v>419868</v>
      </c>
      <c r="AB317" s="33"/>
      <c r="AC317" s="46">
        <f t="shared" si="258"/>
        <v>1.6677803924702736E-2</v>
      </c>
      <c r="AD317" s="33"/>
      <c r="AE317" s="33">
        <f t="shared" si="259"/>
        <v>1363.2077922077922</v>
      </c>
      <c r="AF317" s="50"/>
      <c r="AG317" s="33">
        <f t="shared" si="260"/>
        <v>22101</v>
      </c>
      <c r="AH317" s="33">
        <f>SUM(D288:D969)</f>
        <v>1209134461.060914</v>
      </c>
      <c r="AI317" s="213">
        <f t="shared" si="261"/>
        <v>-6.1568510891257269E-2</v>
      </c>
      <c r="AJ317" s="50"/>
      <c r="AK317" s="10"/>
      <c r="AL317" s="23">
        <f t="shared" si="262"/>
        <v>127441</v>
      </c>
      <c r="AM317" s="24"/>
      <c r="AN317" s="24"/>
      <c r="AO317" s="24">
        <v>178263</v>
      </c>
      <c r="AP317" s="24">
        <v>15100991</v>
      </c>
      <c r="AQ317" s="24"/>
      <c r="AR317" s="461">
        <f t="shared" si="263"/>
        <v>8.5110745280845227E-3</v>
      </c>
      <c r="AS317" s="25"/>
      <c r="AT317" s="25"/>
      <c r="AU317" s="24"/>
      <c r="AV317" s="298">
        <f t="shared" si="264"/>
        <v>0.59983463128102332</v>
      </c>
      <c r="AW317" s="298"/>
      <c r="AX317" s="24">
        <f t="shared" si="265"/>
        <v>49029.191558441562</v>
      </c>
      <c r="AY317" s="308"/>
      <c r="AZ317" s="10"/>
      <c r="BA317" s="65">
        <f t="shared" si="266"/>
        <v>1984381</v>
      </c>
      <c r="BB317" s="66"/>
      <c r="BC317" s="66">
        <v>293562574</v>
      </c>
      <c r="BD317" s="66"/>
      <c r="BE317" s="66">
        <f t="shared" si="267"/>
        <v>193758</v>
      </c>
      <c r="BF317" s="66"/>
      <c r="BG317" s="144">
        <f t="shared" si="268"/>
        <v>9.7641531540566054E-2</v>
      </c>
      <c r="BH317" s="66"/>
      <c r="BI317" s="170"/>
      <c r="BJ317" s="66"/>
      <c r="BK317" s="66">
        <f t="shared" si="269"/>
        <v>14088821</v>
      </c>
      <c r="BL317" s="66"/>
      <c r="BM317" s="144">
        <f t="shared" si="270"/>
        <v>9.4662143837301926E-2</v>
      </c>
      <c r="BN317" s="65">
        <f t="shared" si="271"/>
        <v>953125.24025974027</v>
      </c>
      <c r="BO317" s="66"/>
      <c r="BP317" s="66">
        <f t="shared" si="272"/>
        <v>24268279</v>
      </c>
      <c r="BQ317" s="66"/>
      <c r="BR317" s="435">
        <f t="shared" si="277"/>
        <v>8.2668163960164756E-2</v>
      </c>
      <c r="BS317" s="66"/>
      <c r="BT317" s="75"/>
      <c r="BU317" s="170"/>
      <c r="BV317" s="1"/>
      <c r="BW317" s="61">
        <f t="shared" si="186"/>
        <v>308</v>
      </c>
    </row>
    <row r="318" spans="2:75" x14ac:dyDescent="0.3">
      <c r="B318" s="158">
        <f t="shared" si="161"/>
        <v>44218</v>
      </c>
      <c r="C318" s="61"/>
      <c r="D318" s="17">
        <v>192065</v>
      </c>
      <c r="E318" s="16"/>
      <c r="F318" s="16"/>
      <c r="G318" s="16"/>
      <c r="H318" s="16">
        <f t="shared" si="254"/>
        <v>25367322</v>
      </c>
      <c r="I318" s="16"/>
      <c r="J318" s="436">
        <f t="shared" si="255"/>
        <v>7.6291177484305323E-3</v>
      </c>
      <c r="K318" s="16"/>
      <c r="L318" s="16"/>
      <c r="M318" s="16"/>
      <c r="N318" s="16">
        <f t="shared" si="274"/>
        <v>1276937</v>
      </c>
      <c r="O318" s="16">
        <f t="shared" si="256"/>
        <v>82094.89320388349</v>
      </c>
      <c r="P318" s="41"/>
      <c r="Q318" s="17">
        <f t="shared" si="275"/>
        <v>1276937</v>
      </c>
      <c r="R318" s="16"/>
      <c r="S318" s="60">
        <f t="shared" si="276"/>
        <v>-0.21666554201198676</v>
      </c>
      <c r="T318" s="16"/>
      <c r="U318" s="41"/>
      <c r="V318" s="10">
        <f t="shared" si="109"/>
        <v>210</v>
      </c>
      <c r="W318" s="34">
        <v>3886</v>
      </c>
      <c r="X318" s="33">
        <v>3377</v>
      </c>
      <c r="Y318" s="33"/>
      <c r="Z318" s="33"/>
      <c r="AA318" s="33">
        <f t="shared" si="257"/>
        <v>423754</v>
      </c>
      <c r="AB318" s="33"/>
      <c r="AC318" s="46">
        <f t="shared" si="258"/>
        <v>1.6704719560070237E-2</v>
      </c>
      <c r="AD318" s="33"/>
      <c r="AE318" s="33">
        <f t="shared" si="259"/>
        <v>1371.3721682847897</v>
      </c>
      <c r="AF318" s="50"/>
      <c r="AG318" s="33">
        <f t="shared" si="260"/>
        <v>22170</v>
      </c>
      <c r="AH318" s="33">
        <f>SUM(D289:D970)</f>
        <v>1208902119.060914</v>
      </c>
      <c r="AI318" s="213">
        <f t="shared" si="261"/>
        <v>-5.2523612120176075E-2</v>
      </c>
      <c r="AJ318" s="50"/>
      <c r="AK318" s="10"/>
      <c r="AL318" s="23">
        <f t="shared" si="262"/>
        <v>121728</v>
      </c>
      <c r="AM318" s="24"/>
      <c r="AN318" s="24"/>
      <c r="AO318" s="24">
        <v>178263</v>
      </c>
      <c r="AP318" s="24">
        <v>15222719</v>
      </c>
      <c r="AQ318" s="24"/>
      <c r="AR318" s="461">
        <f t="shared" si="263"/>
        <v>8.0609279218827427E-3</v>
      </c>
      <c r="AS318" s="25"/>
      <c r="AT318" s="25"/>
      <c r="AU318" s="24"/>
      <c r="AV318" s="298">
        <f t="shared" si="264"/>
        <v>0.6000916848849871</v>
      </c>
      <c r="AW318" s="298"/>
      <c r="AX318" s="24">
        <f t="shared" si="265"/>
        <v>49264.462783171519</v>
      </c>
      <c r="AY318" s="308"/>
      <c r="AZ318" s="10"/>
      <c r="BA318" s="65">
        <f t="shared" si="266"/>
        <v>1977004</v>
      </c>
      <c r="BB318" s="66"/>
      <c r="BC318" s="66">
        <v>295539578</v>
      </c>
      <c r="BD318" s="66"/>
      <c r="BE318" s="66">
        <f t="shared" si="267"/>
        <v>192065</v>
      </c>
      <c r="BF318" s="66"/>
      <c r="BG318" s="144">
        <f t="shared" si="268"/>
        <v>9.7149525241223583E-2</v>
      </c>
      <c r="BH318" s="66"/>
      <c r="BI318" s="170"/>
      <c r="BJ318" s="66"/>
      <c r="BK318" s="66">
        <f t="shared" si="269"/>
        <v>13729693</v>
      </c>
      <c r="BL318" s="66"/>
      <c r="BM318" s="144">
        <f t="shared" si="270"/>
        <v>9.3005502745035884E-2</v>
      </c>
      <c r="BN318" s="65">
        <f t="shared" si="271"/>
        <v>956438.76375404536</v>
      </c>
      <c r="BO318" s="66"/>
      <c r="BP318" s="66">
        <f t="shared" si="272"/>
        <v>24460344</v>
      </c>
      <c r="BQ318" s="66"/>
      <c r="BR318" s="435">
        <f t="shared" si="277"/>
        <v>8.2765036634111999E-2</v>
      </c>
      <c r="BS318" s="66"/>
      <c r="BT318" s="75"/>
      <c r="BU318" s="170"/>
      <c r="BV318" s="1"/>
      <c r="BW318" s="61">
        <f t="shared" si="186"/>
        <v>309</v>
      </c>
    </row>
    <row r="319" spans="2:75" x14ac:dyDescent="0.3">
      <c r="B319" s="158">
        <f t="shared" si="161"/>
        <v>44219</v>
      </c>
      <c r="C319" s="61"/>
      <c r="D319" s="17">
        <v>173067</v>
      </c>
      <c r="E319" s="16"/>
      <c r="F319" s="16"/>
      <c r="G319" s="16"/>
      <c r="H319" s="16">
        <f t="shared" si="254"/>
        <v>25540389</v>
      </c>
      <c r="I319" s="16"/>
      <c r="J319" s="436">
        <f t="shared" si="255"/>
        <v>6.8224387264844118E-3</v>
      </c>
      <c r="K319" s="16"/>
      <c r="L319" s="16"/>
      <c r="M319" s="16"/>
      <c r="N319" s="16">
        <f t="shared" si="274"/>
        <v>1247237</v>
      </c>
      <c r="O319" s="16">
        <f t="shared" si="256"/>
        <v>82388.351612903221</v>
      </c>
      <c r="P319" s="41"/>
      <c r="Q319" s="17">
        <f t="shared" si="275"/>
        <v>1247237</v>
      </c>
      <c r="R319" s="16"/>
      <c r="S319" s="60">
        <f t="shared" si="276"/>
        <v>-0.21220652057885186</v>
      </c>
      <c r="T319" s="16"/>
      <c r="U319" s="41"/>
      <c r="V319" s="10">
        <f t="shared" si="109"/>
        <v>211</v>
      </c>
      <c r="W319" s="34">
        <v>3439</v>
      </c>
      <c r="X319" s="33">
        <v>3377</v>
      </c>
      <c r="Y319" s="33"/>
      <c r="Z319" s="33"/>
      <c r="AA319" s="33">
        <f t="shared" si="257"/>
        <v>427193</v>
      </c>
      <c r="AB319" s="33"/>
      <c r="AC319" s="46">
        <f t="shared" si="258"/>
        <v>1.6726174374243088E-2</v>
      </c>
      <c r="AD319" s="33"/>
      <c r="AE319" s="33">
        <f t="shared" si="259"/>
        <v>1378.0419354838709</v>
      </c>
      <c r="AF319" s="50"/>
      <c r="AG319" s="33">
        <f t="shared" si="260"/>
        <v>22232</v>
      </c>
      <c r="AH319" s="33">
        <f>SUM(D290:D971)</f>
        <v>1208709089.060914</v>
      </c>
      <c r="AI319" s="213">
        <f t="shared" si="261"/>
        <v>-5.548474806695556E-2</v>
      </c>
      <c r="AJ319" s="50"/>
      <c r="AK319" s="10"/>
      <c r="AL319" s="23">
        <f t="shared" si="262"/>
        <v>108328</v>
      </c>
      <c r="AM319" s="24"/>
      <c r="AN319" s="24"/>
      <c r="AO319" s="24">
        <v>178263</v>
      </c>
      <c r="AP319" s="24">
        <v>15331047</v>
      </c>
      <c r="AQ319" s="24"/>
      <c r="AR319" s="461">
        <f t="shared" si="263"/>
        <v>7.1162057185710382E-3</v>
      </c>
      <c r="AS319" s="25"/>
      <c r="AT319" s="25"/>
      <c r="AU319" s="24"/>
      <c r="AV319" s="298">
        <f t="shared" si="264"/>
        <v>0.60026677745589541</v>
      </c>
      <c r="AW319" s="298"/>
      <c r="AX319" s="24">
        <f t="shared" si="265"/>
        <v>49454.990322580648</v>
      </c>
      <c r="AY319" s="308"/>
      <c r="AZ319" s="10"/>
      <c r="BA319" s="65">
        <f t="shared" si="266"/>
        <v>1858102</v>
      </c>
      <c r="BB319" s="66"/>
      <c r="BC319" s="66">
        <v>297397680</v>
      </c>
      <c r="BD319" s="66"/>
      <c r="BE319" s="66">
        <f t="shared" si="267"/>
        <v>173067</v>
      </c>
      <c r="BF319" s="66"/>
      <c r="BG319" s="144">
        <f t="shared" si="268"/>
        <v>9.3141818909833793E-2</v>
      </c>
      <c r="BH319" s="66"/>
      <c r="BI319" s="170"/>
      <c r="BJ319" s="66"/>
      <c r="BK319" s="66">
        <f t="shared" si="269"/>
        <v>13644554</v>
      </c>
      <c r="BL319" s="66"/>
      <c r="BM319" s="144">
        <f t="shared" si="270"/>
        <v>9.1409143897264802E-2</v>
      </c>
      <c r="BN319" s="65">
        <f t="shared" si="271"/>
        <v>959347.3548387097</v>
      </c>
      <c r="BO319" s="66"/>
      <c r="BP319" s="66">
        <f t="shared" si="272"/>
        <v>24633411</v>
      </c>
      <c r="BQ319" s="66"/>
      <c r="BR319" s="435">
        <f t="shared" si="277"/>
        <v>8.28298694192907E-2</v>
      </c>
      <c r="BS319" s="66"/>
      <c r="BT319" s="75"/>
      <c r="BU319" s="170"/>
      <c r="BV319" s="1"/>
      <c r="BW319" s="61">
        <f t="shared" si="186"/>
        <v>310</v>
      </c>
    </row>
    <row r="320" spans="2:75" x14ac:dyDescent="0.3">
      <c r="B320" s="347">
        <f t="shared" si="161"/>
        <v>44220</v>
      </c>
      <c r="C320" s="61"/>
      <c r="D320" s="17">
        <v>135182</v>
      </c>
      <c r="E320" s="16"/>
      <c r="F320" s="16"/>
      <c r="G320" s="16"/>
      <c r="H320" s="16">
        <f t="shared" si="254"/>
        <v>25675571</v>
      </c>
      <c r="I320" s="16"/>
      <c r="J320" s="436">
        <f t="shared" si="255"/>
        <v>5.2928716160117999E-3</v>
      </c>
      <c r="K320" s="16"/>
      <c r="L320" s="16"/>
      <c r="M320" s="16"/>
      <c r="N320" s="16">
        <f t="shared" si="274"/>
        <v>1207859</v>
      </c>
      <c r="O320" s="16">
        <f t="shared" si="256"/>
        <v>82558.106109324755</v>
      </c>
      <c r="P320" s="41"/>
      <c r="Q320" s="17">
        <f t="shared" si="275"/>
        <v>1207859</v>
      </c>
      <c r="R320" s="16"/>
      <c r="S320" s="60">
        <f t="shared" si="276"/>
        <v>-0.21411236381996387</v>
      </c>
      <c r="T320" s="16"/>
      <c r="U320" s="41"/>
      <c r="V320" s="10">
        <f t="shared" si="109"/>
        <v>212</v>
      </c>
      <c r="W320" s="34">
        <v>1844</v>
      </c>
      <c r="X320" s="33">
        <v>3377</v>
      </c>
      <c r="Y320" s="33"/>
      <c r="Z320" s="33"/>
      <c r="AA320" s="33">
        <f t="shared" si="257"/>
        <v>429037</v>
      </c>
      <c r="AB320" s="33"/>
      <c r="AC320" s="46">
        <f t="shared" si="258"/>
        <v>1.6709930229010291E-2</v>
      </c>
      <c r="AD320" s="33"/>
      <c r="AE320" s="33">
        <f t="shared" si="259"/>
        <v>1379.5401929260449</v>
      </c>
      <c r="AF320" s="50"/>
      <c r="AG320" s="33">
        <f t="shared" si="260"/>
        <v>22230</v>
      </c>
      <c r="AH320" s="33">
        <f>SUM(D291:D972)</f>
        <v>1208610249.060914</v>
      </c>
      <c r="AI320" s="213">
        <f t="shared" si="261"/>
        <v>-5.492730210016155E-2</v>
      </c>
      <c r="AJ320" s="50"/>
      <c r="AK320" s="10"/>
      <c r="AL320" s="23">
        <f t="shared" si="262"/>
        <v>78592</v>
      </c>
      <c r="AM320" s="24"/>
      <c r="AN320" s="24"/>
      <c r="AO320" s="24">
        <v>178263</v>
      </c>
      <c r="AP320" s="24">
        <v>15409639</v>
      </c>
      <c r="AQ320" s="24"/>
      <c r="AR320" s="461">
        <f t="shared" si="263"/>
        <v>5.1263295977111026E-3</v>
      </c>
      <c r="AS320" s="25"/>
      <c r="AT320" s="25"/>
      <c r="AU320" s="24"/>
      <c r="AV320" s="298">
        <f t="shared" si="264"/>
        <v>0.6001673341558792</v>
      </c>
      <c r="AW320" s="298"/>
      <c r="AX320" s="24">
        <f t="shared" si="265"/>
        <v>49548.678456591639</v>
      </c>
      <c r="AY320" s="308"/>
      <c r="AZ320" s="10"/>
      <c r="BA320" s="65">
        <f t="shared" si="266"/>
        <v>1683887</v>
      </c>
      <c r="BB320" s="66"/>
      <c r="BC320" s="66">
        <v>299081567</v>
      </c>
      <c r="BD320" s="66"/>
      <c r="BE320" s="66">
        <f t="shared" si="267"/>
        <v>135182</v>
      </c>
      <c r="BF320" s="66"/>
      <c r="BG320" s="144">
        <f t="shared" si="268"/>
        <v>8.0279733735102179E-2</v>
      </c>
      <c r="BH320" s="66"/>
      <c r="BI320" s="170"/>
      <c r="BJ320" s="66"/>
      <c r="BK320" s="66">
        <f t="shared" si="269"/>
        <v>13388028</v>
      </c>
      <c r="BL320" s="66"/>
      <c r="BM320" s="144">
        <f t="shared" si="270"/>
        <v>9.0219336260724883E-2</v>
      </c>
      <c r="BN320" s="65">
        <f t="shared" si="271"/>
        <v>961677.06430868164</v>
      </c>
      <c r="BO320" s="66"/>
      <c r="BP320" s="66">
        <f t="shared" si="272"/>
        <v>24768593</v>
      </c>
      <c r="BQ320" s="66"/>
      <c r="BR320" s="435">
        <f t="shared" si="277"/>
        <v>8.281551166274316E-2</v>
      </c>
      <c r="BS320" s="66"/>
      <c r="BT320" s="75"/>
      <c r="BU320" s="170"/>
      <c r="BV320" s="1"/>
      <c r="BW320" s="61">
        <f t="shared" si="186"/>
        <v>311</v>
      </c>
    </row>
    <row r="321" spans="2:75" x14ac:dyDescent="0.3">
      <c r="B321" s="158">
        <f t="shared" si="161"/>
        <v>44221</v>
      </c>
      <c r="C321" s="61"/>
      <c r="D321" s="17">
        <v>152244</v>
      </c>
      <c r="E321" s="16"/>
      <c r="F321" s="16"/>
      <c r="G321" s="16"/>
      <c r="H321" s="16">
        <f t="shared" si="254"/>
        <v>25827815</v>
      </c>
      <c r="I321" s="16"/>
      <c r="J321" s="436">
        <f t="shared" si="255"/>
        <v>5.9295273316414265E-3</v>
      </c>
      <c r="K321" s="16"/>
      <c r="L321" s="16"/>
      <c r="M321" s="16"/>
      <c r="N321" s="16">
        <f t="shared" si="274"/>
        <v>1210775</v>
      </c>
      <c r="O321" s="16">
        <f t="shared" si="256"/>
        <v>82781.458333333328</v>
      </c>
      <c r="P321" s="41"/>
      <c r="Q321" s="17">
        <f t="shared" si="275"/>
        <v>1210775</v>
      </c>
      <c r="R321" s="16"/>
      <c r="S321" s="60">
        <f t="shared" si="276"/>
        <v>-0.17722843662700186</v>
      </c>
      <c r="T321" s="16"/>
      <c r="U321" s="41"/>
      <c r="V321" s="10">
        <f t="shared" si="109"/>
        <v>213</v>
      </c>
      <c r="W321" s="34">
        <v>1897</v>
      </c>
      <c r="X321" s="33">
        <v>3377</v>
      </c>
      <c r="Y321" s="33"/>
      <c r="Z321" s="33"/>
      <c r="AA321" s="33">
        <f t="shared" si="257"/>
        <v>430934</v>
      </c>
      <c r="AB321" s="33"/>
      <c r="AC321" s="46">
        <f t="shared" si="258"/>
        <v>1.6684880234739175E-2</v>
      </c>
      <c r="AD321" s="33"/>
      <c r="AE321" s="33">
        <f t="shared" si="259"/>
        <v>1381.198717948718</v>
      </c>
      <c r="AF321" s="50"/>
      <c r="AG321" s="33">
        <f t="shared" si="260"/>
        <v>22625</v>
      </c>
      <c r="AH321" s="33">
        <f>SUM(D292:D973)</f>
        <v>1208449645.060914</v>
      </c>
      <c r="AI321" s="213">
        <f t="shared" si="261"/>
        <v>-1.8863833477883781E-2</v>
      </c>
      <c r="AJ321" s="50"/>
      <c r="AK321" s="10"/>
      <c r="AL321" s="23">
        <f t="shared" si="262"/>
        <v>207721</v>
      </c>
      <c r="AM321" s="24"/>
      <c r="AN321" s="24"/>
      <c r="AO321" s="24">
        <v>178263</v>
      </c>
      <c r="AP321" s="24">
        <v>15617360</v>
      </c>
      <c r="AQ321" s="24"/>
      <c r="AR321" s="461">
        <f t="shared" si="263"/>
        <v>1.3479939406757031E-2</v>
      </c>
      <c r="AS321" s="25"/>
      <c r="AT321" s="25"/>
      <c r="AU321" s="24"/>
      <c r="AV321" s="298">
        <f t="shared" si="264"/>
        <v>0.60467213351187465</v>
      </c>
      <c r="AW321" s="298"/>
      <c r="AX321" s="24">
        <f t="shared" si="265"/>
        <v>50055.641025641024</v>
      </c>
      <c r="AY321" s="308"/>
      <c r="AZ321" s="10"/>
      <c r="BA321" s="65">
        <f t="shared" si="266"/>
        <v>2035643</v>
      </c>
      <c r="BB321" s="66"/>
      <c r="BC321" s="66">
        <v>301117210</v>
      </c>
      <c r="BD321" s="66"/>
      <c r="BE321" s="66">
        <f t="shared" si="267"/>
        <v>152244</v>
      </c>
      <c r="BF321" s="66"/>
      <c r="BG321" s="144">
        <f t="shared" si="268"/>
        <v>7.4789145247963415E-2</v>
      </c>
      <c r="BH321" s="66"/>
      <c r="BI321" s="170"/>
      <c r="BJ321" s="66"/>
      <c r="BK321" s="66">
        <f t="shared" si="269"/>
        <v>13341995</v>
      </c>
      <c r="BL321" s="66"/>
      <c r="BM321" s="144">
        <f t="shared" si="270"/>
        <v>9.0749172069094608E-2</v>
      </c>
      <c r="BN321" s="65">
        <f t="shared" si="271"/>
        <v>965119.26282051287</v>
      </c>
      <c r="BO321" s="66"/>
      <c r="BP321" s="66">
        <f t="shared" si="272"/>
        <v>24920837</v>
      </c>
      <c r="BQ321" s="66"/>
      <c r="BR321" s="435">
        <f t="shared" si="277"/>
        <v>8.2761251009200038E-2</v>
      </c>
      <c r="BS321" s="66"/>
      <c r="BT321" s="75"/>
      <c r="BU321" s="170"/>
      <c r="BV321" s="1"/>
      <c r="BW321" s="61">
        <f t="shared" si="186"/>
        <v>312</v>
      </c>
    </row>
    <row r="322" spans="2:75" x14ac:dyDescent="0.3">
      <c r="B322" s="158">
        <f t="shared" si="161"/>
        <v>44222</v>
      </c>
      <c r="C322" s="61"/>
      <c r="D322" s="17">
        <v>151727</v>
      </c>
      <c r="E322" s="16"/>
      <c r="F322" s="16"/>
      <c r="G322" s="16"/>
      <c r="H322" s="16">
        <f t="shared" si="254"/>
        <v>25979542</v>
      </c>
      <c r="I322" s="16"/>
      <c r="J322" s="436">
        <f t="shared" si="255"/>
        <v>5.8745581072189032E-3</v>
      </c>
      <c r="K322" s="16"/>
      <c r="L322" s="16"/>
      <c r="M322" s="16"/>
      <c r="N322" s="16">
        <f t="shared" si="274"/>
        <v>1188124</v>
      </c>
      <c r="O322" s="16">
        <f t="shared" si="256"/>
        <v>83001.731629392976</v>
      </c>
      <c r="P322" s="41"/>
      <c r="Q322" s="17">
        <f t="shared" si="275"/>
        <v>1188124</v>
      </c>
      <c r="R322" s="16"/>
      <c r="S322" s="60">
        <f t="shared" si="276"/>
        <v>-0.16466420263637649</v>
      </c>
      <c r="T322" s="16"/>
      <c r="U322" s="41"/>
      <c r="V322" s="10">
        <f t="shared" si="109"/>
        <v>214</v>
      </c>
      <c r="W322" s="34">
        <v>3912</v>
      </c>
      <c r="X322" s="33">
        <v>3377</v>
      </c>
      <c r="Y322" s="33"/>
      <c r="Z322" s="33"/>
      <c r="AA322" s="33">
        <f t="shared" si="257"/>
        <v>434846</v>
      </c>
      <c r="AB322" s="33"/>
      <c r="AC322" s="46">
        <f t="shared" si="258"/>
        <v>1.6738016397671675E-2</v>
      </c>
      <c r="AD322" s="33"/>
      <c r="AE322" s="33">
        <f t="shared" si="259"/>
        <v>1389.2843450479234</v>
      </c>
      <c r="AF322" s="50"/>
      <c r="AG322" s="33">
        <f t="shared" si="260"/>
        <v>23735</v>
      </c>
      <c r="AH322" s="33">
        <f>SUM(D293:D974)</f>
        <v>1208321905.060914</v>
      </c>
      <c r="AI322" s="213">
        <f t="shared" si="261"/>
        <v>9.9810018071451734E-2</v>
      </c>
      <c r="AJ322" s="50"/>
      <c r="AK322" s="10"/>
      <c r="AL322" s="23">
        <f t="shared" si="262"/>
        <v>125397</v>
      </c>
      <c r="AM322" s="24"/>
      <c r="AN322" s="24"/>
      <c r="AO322" s="24">
        <v>178263</v>
      </c>
      <c r="AP322" s="24">
        <v>15742757</v>
      </c>
      <c r="AQ322" s="24"/>
      <c r="AR322" s="461">
        <f t="shared" si="263"/>
        <v>8.0293340231639664E-3</v>
      </c>
      <c r="AS322" s="25"/>
      <c r="AT322" s="25"/>
      <c r="AU322" s="24"/>
      <c r="AV322" s="298">
        <f t="shared" si="264"/>
        <v>0.60596745700905741</v>
      </c>
      <c r="AW322" s="298"/>
      <c r="AX322" s="24">
        <f t="shared" si="265"/>
        <v>50296.348242811502</v>
      </c>
      <c r="AY322" s="308"/>
      <c r="AZ322" s="10"/>
      <c r="BA322" s="65">
        <f t="shared" si="266"/>
        <v>1294397</v>
      </c>
      <c r="BB322" s="66"/>
      <c r="BC322" s="66">
        <v>302411607</v>
      </c>
      <c r="BD322" s="66"/>
      <c r="BE322" s="66">
        <f t="shared" si="267"/>
        <v>151727</v>
      </c>
      <c r="BF322" s="66"/>
      <c r="BG322" s="144">
        <f t="shared" si="268"/>
        <v>0.11721828774325033</v>
      </c>
      <c r="BH322" s="66"/>
      <c r="BI322" s="170"/>
      <c r="BJ322" s="66"/>
      <c r="BK322" s="66">
        <f t="shared" si="269"/>
        <v>12612655</v>
      </c>
      <c r="BL322" s="66"/>
      <c r="BM322" s="144">
        <f t="shared" si="270"/>
        <v>9.4200943417543731E-2</v>
      </c>
      <c r="BN322" s="65">
        <f t="shared" si="271"/>
        <v>966171.26837060705</v>
      </c>
      <c r="BO322" s="66"/>
      <c r="BP322" s="66">
        <f t="shared" si="272"/>
        <v>25072564</v>
      </c>
      <c r="BQ322" s="66"/>
      <c r="BR322" s="435">
        <f t="shared" si="277"/>
        <v>8.2908735708679335E-2</v>
      </c>
      <c r="BS322" s="66"/>
      <c r="BT322" s="75"/>
      <c r="BU322" s="170"/>
      <c r="BV322" s="1"/>
      <c r="BW322" s="61">
        <f t="shared" si="186"/>
        <v>313</v>
      </c>
    </row>
    <row r="323" spans="2:75" x14ac:dyDescent="0.3">
      <c r="B323" s="158">
        <f t="shared" si="161"/>
        <v>44223</v>
      </c>
      <c r="C323" s="61"/>
      <c r="D323" s="17">
        <v>160031</v>
      </c>
      <c r="E323" s="16"/>
      <c r="F323" s="16"/>
      <c r="G323" s="16"/>
      <c r="H323" s="16">
        <f t="shared" si="254"/>
        <v>26139573</v>
      </c>
      <c r="I323" s="16"/>
      <c r="J323" s="436">
        <f t="shared" si="255"/>
        <v>6.1598853436292296E-3</v>
      </c>
      <c r="K323" s="16"/>
      <c r="L323" s="16"/>
      <c r="M323" s="16"/>
      <c r="N323" s="16">
        <f t="shared" si="274"/>
        <v>1158074</v>
      </c>
      <c r="O323" s="16">
        <f t="shared" si="256"/>
        <v>83247.047770700636</v>
      </c>
      <c r="P323" s="41"/>
      <c r="Q323" s="17">
        <f t="shared" si="275"/>
        <v>1158074</v>
      </c>
      <c r="R323" s="16"/>
      <c r="S323" s="60">
        <f t="shared" si="276"/>
        <v>-0.15735928326271756</v>
      </c>
      <c r="T323" s="16"/>
      <c r="U323" s="41"/>
      <c r="V323" s="10">
        <f t="shared" si="109"/>
        <v>215</v>
      </c>
      <c r="W323" s="34">
        <v>4198</v>
      </c>
      <c r="X323" s="33">
        <v>4256</v>
      </c>
      <c r="Y323" s="33"/>
      <c r="Z323" s="33"/>
      <c r="AA323" s="33">
        <f t="shared" si="257"/>
        <v>439044</v>
      </c>
      <c r="AB323" s="33"/>
      <c r="AC323" s="46">
        <f t="shared" si="258"/>
        <v>1.6796142767902138E-2</v>
      </c>
      <c r="AD323" s="33"/>
      <c r="AE323" s="33">
        <f t="shared" si="259"/>
        <v>1398.2292993630574</v>
      </c>
      <c r="AF323" s="50"/>
      <c r="AG323" s="33">
        <f t="shared" si="260"/>
        <v>23539</v>
      </c>
      <c r="AH323" s="33">
        <f>SUM(D294:D975)</f>
        <v>1208135514.060914</v>
      </c>
      <c r="AI323" s="213">
        <f t="shared" si="261"/>
        <v>7.5822669104204751E-2</v>
      </c>
      <c r="AJ323" s="50"/>
      <c r="AK323" s="10"/>
      <c r="AL323" s="23">
        <f t="shared" si="262"/>
        <v>200333</v>
      </c>
      <c r="AM323" s="24"/>
      <c r="AN323" s="24"/>
      <c r="AO323" s="24">
        <v>178263</v>
      </c>
      <c r="AP323" s="24">
        <v>15943090</v>
      </c>
      <c r="AQ323" s="24"/>
      <c r="AR323" s="461">
        <f t="shared" si="263"/>
        <v>1.2725407627139262E-2</v>
      </c>
      <c r="AS323" s="25"/>
      <c r="AT323" s="25"/>
      <c r="AU323" s="24"/>
      <c r="AV323" s="298">
        <f t="shared" si="264"/>
        <v>0.6099215928278553</v>
      </c>
      <c r="AW323" s="298"/>
      <c r="AX323" s="24">
        <f t="shared" si="265"/>
        <v>50774.171974522294</v>
      </c>
      <c r="AY323" s="308"/>
      <c r="AZ323" s="10"/>
      <c r="BA323" s="65">
        <f t="shared" si="266"/>
        <v>2002419</v>
      </c>
      <c r="BB323" s="66"/>
      <c r="BC323" s="66">
        <v>304414026</v>
      </c>
      <c r="BD323" s="66"/>
      <c r="BE323" s="66">
        <f t="shared" si="267"/>
        <v>160031</v>
      </c>
      <c r="BF323" s="66"/>
      <c r="BG323" s="144">
        <f t="shared" si="268"/>
        <v>7.9918838165239148E-2</v>
      </c>
      <c r="BH323" s="66"/>
      <c r="BI323" s="170"/>
      <c r="BJ323" s="66"/>
      <c r="BK323" s="66">
        <f t="shared" si="269"/>
        <v>12835833</v>
      </c>
      <c r="BL323" s="66"/>
      <c r="BM323" s="144">
        <f t="shared" si="270"/>
        <v>9.0221959104640898E-2</v>
      </c>
      <c r="BN323" s="65">
        <f t="shared" si="271"/>
        <v>969471.42038216558</v>
      </c>
      <c r="BO323" s="66"/>
      <c r="BP323" s="66">
        <f t="shared" si="272"/>
        <v>25232595</v>
      </c>
      <c r="BQ323" s="66"/>
      <c r="BR323" s="435">
        <f t="shared" si="277"/>
        <v>8.288906832433536E-2</v>
      </c>
      <c r="BS323" s="66"/>
      <c r="BT323" s="75"/>
      <c r="BU323" s="170"/>
      <c r="BV323" s="1"/>
      <c r="BW323" s="61">
        <f t="shared" si="186"/>
        <v>314</v>
      </c>
    </row>
    <row r="324" spans="2:75" x14ac:dyDescent="0.3">
      <c r="B324" s="158">
        <f t="shared" si="161"/>
        <v>44224</v>
      </c>
      <c r="C324" s="61"/>
      <c r="D324" s="17">
        <v>162633</v>
      </c>
      <c r="E324" s="16"/>
      <c r="F324" s="16"/>
      <c r="G324" s="16"/>
      <c r="H324" s="16">
        <f t="shared" si="254"/>
        <v>26302206</v>
      </c>
      <c r="I324" s="16"/>
      <c r="J324" s="436">
        <f t="shared" si="255"/>
        <v>6.2217160165546695E-3</v>
      </c>
      <c r="K324" s="16"/>
      <c r="L324" s="16"/>
      <c r="M324" s="16"/>
      <c r="N324" s="16">
        <f t="shared" si="274"/>
        <v>1126949</v>
      </c>
      <c r="O324" s="16">
        <f t="shared" si="256"/>
        <v>83499.066666666666</v>
      </c>
      <c r="P324" s="41"/>
      <c r="Q324" s="17">
        <f t="shared" si="275"/>
        <v>1126949</v>
      </c>
      <c r="R324" s="16"/>
      <c r="S324" s="60">
        <f t="shared" si="276"/>
        <v>-0.15500668077302018</v>
      </c>
      <c r="T324" s="16"/>
      <c r="U324" s="41"/>
      <c r="V324" s="10">
        <f t="shared" si="109"/>
        <v>216</v>
      </c>
      <c r="W324" s="34">
        <v>3919</v>
      </c>
      <c r="X324" s="33">
        <v>4256</v>
      </c>
      <c r="Y324" s="33"/>
      <c r="Z324" s="33"/>
      <c r="AA324" s="33">
        <f t="shared" si="257"/>
        <v>442963</v>
      </c>
      <c r="AB324" s="33"/>
      <c r="AC324" s="46">
        <f t="shared" si="258"/>
        <v>1.6841287000793775E-2</v>
      </c>
      <c r="AD324" s="33"/>
      <c r="AE324" s="33">
        <f t="shared" si="259"/>
        <v>1406.2317460317461</v>
      </c>
      <c r="AF324" s="50"/>
      <c r="AG324" s="33">
        <f t="shared" si="260"/>
        <v>23095</v>
      </c>
      <c r="AH324" s="33">
        <f>SUM(D295:D976)</f>
        <v>1207935892.060914</v>
      </c>
      <c r="AI324" s="213">
        <f t="shared" si="261"/>
        <v>4.4975340482331115E-2</v>
      </c>
      <c r="AJ324" s="50"/>
      <c r="AK324" s="10"/>
      <c r="AL324" s="23">
        <f t="shared" si="262"/>
        <v>127046</v>
      </c>
      <c r="AM324" s="24"/>
      <c r="AN324" s="24"/>
      <c r="AO324" s="24">
        <v>178263</v>
      </c>
      <c r="AP324" s="24">
        <v>16070136</v>
      </c>
      <c r="AQ324" s="24"/>
      <c r="AR324" s="461">
        <f t="shared" si="263"/>
        <v>7.9687187364557311E-3</v>
      </c>
      <c r="AS324" s="25"/>
      <c r="AT324" s="25"/>
      <c r="AU324" s="24"/>
      <c r="AV324" s="298">
        <f t="shared" si="264"/>
        <v>0.61098053904680083</v>
      </c>
      <c r="AW324" s="298"/>
      <c r="AX324" s="24">
        <f t="shared" si="265"/>
        <v>51016.304761904765</v>
      </c>
      <c r="AY324" s="308"/>
      <c r="AZ324" s="10"/>
      <c r="BA324" s="65">
        <f t="shared" si="266"/>
        <v>2038820</v>
      </c>
      <c r="BB324" s="66"/>
      <c r="BC324" s="66">
        <v>306452846</v>
      </c>
      <c r="BD324" s="66"/>
      <c r="BE324" s="66">
        <f t="shared" si="267"/>
        <v>162633</v>
      </c>
      <c r="BF324" s="66"/>
      <c r="BG324" s="144">
        <f t="shared" si="268"/>
        <v>7.9768199252508803E-2</v>
      </c>
      <c r="BH324" s="66"/>
      <c r="BI324" s="170"/>
      <c r="BJ324" s="66"/>
      <c r="BK324" s="66">
        <f t="shared" si="269"/>
        <v>12890272</v>
      </c>
      <c r="BL324" s="66"/>
      <c r="BM324" s="144">
        <f t="shared" si="270"/>
        <v>8.742631652768848E-2</v>
      </c>
      <c r="BN324" s="65">
        <f t="shared" si="271"/>
        <v>972866.17777777778</v>
      </c>
      <c r="BO324" s="66"/>
      <c r="BP324" s="66">
        <f t="shared" si="272"/>
        <v>25395228</v>
      </c>
      <c r="BQ324" s="66"/>
      <c r="BR324" s="435">
        <f t="shared" si="277"/>
        <v>8.2868305292227565E-2</v>
      </c>
      <c r="BS324" s="66"/>
      <c r="BT324" s="75"/>
      <c r="BU324" s="170"/>
      <c r="BV324" s="1"/>
      <c r="BW324" s="61">
        <f t="shared" si="186"/>
        <v>315</v>
      </c>
    </row>
    <row r="325" spans="2:75" x14ac:dyDescent="0.3">
      <c r="B325" s="158">
        <f t="shared" si="161"/>
        <v>44225</v>
      </c>
      <c r="C325" s="61"/>
      <c r="D325" s="17">
        <v>169033</v>
      </c>
      <c r="E325" s="16"/>
      <c r="F325" s="16"/>
      <c r="G325" s="16"/>
      <c r="H325" s="16">
        <f t="shared" si="254"/>
        <v>26471239</v>
      </c>
      <c r="I325" s="16"/>
      <c r="J325" s="436">
        <f t="shared" si="255"/>
        <v>6.4265712161177659E-3</v>
      </c>
      <c r="K325" s="16"/>
      <c r="L325" s="16"/>
      <c r="M325" s="16"/>
      <c r="N325" s="16">
        <f t="shared" si="274"/>
        <v>1103917</v>
      </c>
      <c r="O325" s="16">
        <f t="shared" si="256"/>
        <v>83769.743670886077</v>
      </c>
      <c r="P325" s="41"/>
      <c r="Q325" s="17">
        <f t="shared" si="275"/>
        <v>1103917</v>
      </c>
      <c r="R325" s="16"/>
      <c r="S325" s="60">
        <f t="shared" si="276"/>
        <v>-0.13549611296406949</v>
      </c>
      <c r="T325" s="16"/>
      <c r="U325" s="41"/>
      <c r="V325" s="10">
        <f t="shared" si="109"/>
        <v>217</v>
      </c>
      <c r="W325" s="34">
        <v>3652</v>
      </c>
      <c r="X325" s="33">
        <v>4256</v>
      </c>
      <c r="Y325" s="33"/>
      <c r="Z325" s="33"/>
      <c r="AA325" s="33">
        <f t="shared" si="257"/>
        <v>446615</v>
      </c>
      <c r="AB325" s="33"/>
      <c r="AC325" s="46">
        <f t="shared" si="258"/>
        <v>1.6871707440667964E-2</v>
      </c>
      <c r="AD325" s="33"/>
      <c r="AE325" s="33">
        <f t="shared" si="259"/>
        <v>1413.3386075949368</v>
      </c>
      <c r="AF325" s="50"/>
      <c r="AG325" s="33">
        <f t="shared" si="260"/>
        <v>22861</v>
      </c>
      <c r="AH325" s="33">
        <f>SUM(D296:D977)</f>
        <v>1207701117.060914</v>
      </c>
      <c r="AI325" s="213">
        <f t="shared" si="261"/>
        <v>3.1168245376635092E-2</v>
      </c>
      <c r="AJ325" s="50"/>
      <c r="AK325" s="10"/>
      <c r="AL325" s="23">
        <f t="shared" si="262"/>
        <v>129436</v>
      </c>
      <c r="AM325" s="24"/>
      <c r="AN325" s="24"/>
      <c r="AO325" s="24">
        <v>178263</v>
      </c>
      <c r="AP325" s="24">
        <v>16199572</v>
      </c>
      <c r="AQ325" s="24"/>
      <c r="AR325" s="461">
        <f t="shared" si="263"/>
        <v>8.0544433475858573E-3</v>
      </c>
      <c r="AS325" s="25"/>
      <c r="AT325" s="25"/>
      <c r="AU325" s="24"/>
      <c r="AV325" s="298">
        <f t="shared" si="264"/>
        <v>0.61196878619848505</v>
      </c>
      <c r="AW325" s="298"/>
      <c r="AX325" s="24">
        <f t="shared" si="265"/>
        <v>51264.468354430377</v>
      </c>
      <c r="AY325" s="308"/>
      <c r="AZ325" s="10"/>
      <c r="BA325" s="65">
        <f t="shared" si="266"/>
        <v>1943838</v>
      </c>
      <c r="BB325" s="66"/>
      <c r="BC325" s="66">
        <v>308396684</v>
      </c>
      <c r="BD325" s="66"/>
      <c r="BE325" s="66">
        <f t="shared" si="267"/>
        <v>169033</v>
      </c>
      <c r="BF325" s="66"/>
      <c r="BG325" s="144">
        <f t="shared" si="268"/>
        <v>8.6958378218761026E-2</v>
      </c>
      <c r="BH325" s="66"/>
      <c r="BI325" s="170"/>
      <c r="BJ325" s="66"/>
      <c r="BK325" s="66">
        <f t="shared" si="269"/>
        <v>12857106</v>
      </c>
      <c r="BL325" s="66"/>
      <c r="BM325" s="144">
        <f t="shared" si="270"/>
        <v>8.5860457244421873E-2</v>
      </c>
      <c r="BN325" s="65">
        <f t="shared" si="271"/>
        <v>975938.87341772148</v>
      </c>
      <c r="BO325" s="66"/>
      <c r="BP325" s="66">
        <f t="shared" si="272"/>
        <v>25564261</v>
      </c>
      <c r="BQ325" s="66"/>
      <c r="BR325" s="435">
        <f t="shared" si="277"/>
        <v>8.2894085203587986E-2</v>
      </c>
      <c r="BS325" s="66"/>
      <c r="BT325" s="75"/>
      <c r="BU325" s="170"/>
      <c r="BV325" s="1"/>
      <c r="BW325" s="61">
        <f t="shared" si="186"/>
        <v>316</v>
      </c>
    </row>
    <row r="326" spans="2:75" x14ac:dyDescent="0.3">
      <c r="B326" s="158">
        <f t="shared" si="161"/>
        <v>44226</v>
      </c>
      <c r="C326" s="61"/>
      <c r="D326" s="17">
        <v>140732</v>
      </c>
      <c r="E326" s="16"/>
      <c r="F326" s="16"/>
      <c r="G326" s="16"/>
      <c r="H326" s="16">
        <f t="shared" ref="H326:H357" si="278">+H325+D326</f>
        <v>26611971</v>
      </c>
      <c r="I326" s="16"/>
      <c r="J326" s="436">
        <f t="shared" ref="J326:J357" si="279">+D326/H325</f>
        <v>5.3164115211985358E-3</v>
      </c>
      <c r="K326" s="16"/>
      <c r="L326" s="16"/>
      <c r="M326" s="16"/>
      <c r="N326" s="16">
        <f t="shared" si="274"/>
        <v>1071582</v>
      </c>
      <c r="O326" s="16">
        <f t="shared" ref="O326:O357" si="280">+H326/BW326</f>
        <v>83949.435331230285</v>
      </c>
      <c r="P326" s="41"/>
      <c r="Q326" s="17">
        <f t="shared" si="275"/>
        <v>1071582</v>
      </c>
      <c r="R326" s="16"/>
      <c r="S326" s="60">
        <f t="shared" si="276"/>
        <v>-0.14083530235231956</v>
      </c>
      <c r="T326" s="16"/>
      <c r="U326" s="41"/>
      <c r="V326" s="10">
        <f t="shared" si="109"/>
        <v>218</v>
      </c>
      <c r="W326" s="34">
        <v>2889</v>
      </c>
      <c r="X326" s="33">
        <v>4256</v>
      </c>
      <c r="Y326" s="33"/>
      <c r="Z326" s="33"/>
      <c r="AA326" s="33">
        <f t="shared" ref="AA326:AA357" si="281">+AA325+W326</f>
        <v>449504</v>
      </c>
      <c r="AB326" s="33"/>
      <c r="AC326" s="46">
        <f t="shared" ref="AC326:AC357" si="282">+AA326/H326</f>
        <v>1.6891045011284585E-2</v>
      </c>
      <c r="AD326" s="33"/>
      <c r="AE326" s="33">
        <f t="shared" ref="AE326:AE357" si="283">+AA326/BW326</f>
        <v>1417.993690851735</v>
      </c>
      <c r="AF326" s="50"/>
      <c r="AG326" s="33">
        <f t="shared" ref="AG326:AG357" si="284">SUM(W320:W326)</f>
        <v>22311</v>
      </c>
      <c r="AH326" s="33">
        <f>SUM(D297:D978)</f>
        <v>1207472704.060914</v>
      </c>
      <c r="AI326" s="213">
        <f t="shared" ref="AI326:AI357" si="285">+(AG326-AG319)/AG319</f>
        <v>3.553436487945304E-3</v>
      </c>
      <c r="AJ326" s="50"/>
      <c r="AK326" s="10"/>
      <c r="AL326" s="23">
        <f t="shared" ref="AL326:AL349" si="286">+AP326-AP325</f>
        <v>129378</v>
      </c>
      <c r="AM326" s="24"/>
      <c r="AN326" s="24"/>
      <c r="AO326" s="24">
        <v>178263</v>
      </c>
      <c r="AP326" s="24">
        <v>16328950</v>
      </c>
      <c r="AQ326" s="24"/>
      <c r="AR326" s="461">
        <f t="shared" ref="AR326:AR357" si="287">+AL326/AP325</f>
        <v>7.9865072978471275E-3</v>
      </c>
      <c r="AS326" s="25"/>
      <c r="AT326" s="25"/>
      <c r="AU326" s="24"/>
      <c r="AV326" s="298">
        <f t="shared" ref="AV326:AV357" si="288">+AP326/H326</f>
        <v>0.61359416031228953</v>
      </c>
      <c r="AW326" s="298"/>
      <c r="AX326" s="24">
        <f t="shared" ref="AX326:AX357" si="289">+AP326/BW326</f>
        <v>51510.883280757094</v>
      </c>
      <c r="AY326" s="308"/>
      <c r="AZ326" s="10"/>
      <c r="BA326" s="65">
        <f t="shared" ref="BA326:BA357" si="290">+BC326-BC325</f>
        <v>2164347</v>
      </c>
      <c r="BB326" s="66"/>
      <c r="BC326" s="66">
        <v>310561031</v>
      </c>
      <c r="BD326" s="66"/>
      <c r="BE326" s="66">
        <f t="shared" ref="BE326:BE357" si="291">+D326</f>
        <v>140732</v>
      </c>
      <c r="BF326" s="66"/>
      <c r="BG326" s="144">
        <f t="shared" ref="BG326:BG357" si="292">+BE326/BA326</f>
        <v>6.5022845227682993E-2</v>
      </c>
      <c r="BH326" s="66"/>
      <c r="BI326" s="170"/>
      <c r="BJ326" s="66"/>
      <c r="BK326" s="66">
        <f t="shared" ref="BK326:BK357" si="293">SUM(BA320:BA326)</f>
        <v>13163351</v>
      </c>
      <c r="BL326" s="66"/>
      <c r="BM326" s="144">
        <f t="shared" ref="BM326:BM357" si="294">+Q326/BK326</f>
        <v>8.1406474688701991E-2</v>
      </c>
      <c r="BN326" s="65">
        <f t="shared" ref="BN326:BN357" si="295">+BC326/BW326</f>
        <v>979687.7949526814</v>
      </c>
      <c r="BO326" s="66"/>
      <c r="BP326" s="66">
        <f t="shared" ref="BP326:BP357" si="296">+BP325+BE326</f>
        <v>25704993</v>
      </c>
      <c r="BQ326" s="66"/>
      <c r="BR326" s="435">
        <f t="shared" si="277"/>
        <v>8.2769537817511951E-2</v>
      </c>
      <c r="BS326" s="66"/>
      <c r="BT326" s="75"/>
      <c r="BU326" s="170"/>
      <c r="BV326" s="1"/>
      <c r="BW326" s="61">
        <f t="shared" si="186"/>
        <v>317</v>
      </c>
    </row>
    <row r="327" spans="2:75" x14ac:dyDescent="0.3">
      <c r="B327" s="347">
        <f t="shared" si="161"/>
        <v>44227</v>
      </c>
      <c r="C327" s="61"/>
      <c r="D327" s="17">
        <v>107816</v>
      </c>
      <c r="E327" s="16"/>
      <c r="F327" s="16"/>
      <c r="G327" s="16"/>
      <c r="H327" s="16">
        <f t="shared" si="278"/>
        <v>26719787</v>
      </c>
      <c r="I327" s="16"/>
      <c r="J327" s="436">
        <f t="shared" si="279"/>
        <v>4.0514097959899326E-3</v>
      </c>
      <c r="K327" s="16"/>
      <c r="L327" s="16"/>
      <c r="M327" s="16"/>
      <c r="N327" s="16">
        <f t="shared" si="274"/>
        <v>1044216</v>
      </c>
      <c r="O327" s="16">
        <f t="shared" si="280"/>
        <v>84024.487421383645</v>
      </c>
      <c r="P327" s="41"/>
      <c r="Q327" s="17">
        <f t="shared" si="275"/>
        <v>1044216</v>
      </c>
      <c r="R327" s="16"/>
      <c r="S327" s="60">
        <f t="shared" si="276"/>
        <v>-0.13548187329812503</v>
      </c>
      <c r="T327" s="16"/>
      <c r="U327" s="41"/>
      <c r="V327" s="10">
        <f t="shared" si="109"/>
        <v>219</v>
      </c>
      <c r="W327" s="34">
        <v>1886</v>
      </c>
      <c r="X327" s="33">
        <v>4256</v>
      </c>
      <c r="Y327" s="33"/>
      <c r="Z327" s="33"/>
      <c r="AA327" s="33">
        <f t="shared" si="281"/>
        <v>451390</v>
      </c>
      <c r="AB327" s="33"/>
      <c r="AC327" s="46">
        <f t="shared" si="282"/>
        <v>1.6893472990634244E-2</v>
      </c>
      <c r="AD327" s="33"/>
      <c r="AE327" s="33">
        <f t="shared" si="283"/>
        <v>1419.4654088050315</v>
      </c>
      <c r="AF327" s="50"/>
      <c r="AG327" s="33">
        <f t="shared" si="284"/>
        <v>22353</v>
      </c>
      <c r="AH327" s="33">
        <f>SUM(D298:D979)</f>
        <v>1207306660.060914</v>
      </c>
      <c r="AI327" s="213">
        <f t="shared" si="285"/>
        <v>5.5330634278002696E-3</v>
      </c>
      <c r="AJ327" s="50"/>
      <c r="AK327" s="10"/>
      <c r="AL327" s="23">
        <f t="shared" si="286"/>
        <v>74893</v>
      </c>
      <c r="AM327" s="24"/>
      <c r="AN327" s="24"/>
      <c r="AO327" s="24">
        <v>178263</v>
      </c>
      <c r="AP327" s="24">
        <v>16403843</v>
      </c>
      <c r="AQ327" s="24"/>
      <c r="AR327" s="461">
        <f t="shared" si="287"/>
        <v>4.5865165855734757E-3</v>
      </c>
      <c r="AS327" s="25"/>
      <c r="AT327" s="25"/>
      <c r="AU327" s="24"/>
      <c r="AV327" s="298">
        <f t="shared" si="288"/>
        <v>0.61392117384768075</v>
      </c>
      <c r="AW327" s="298"/>
      <c r="AX327" s="24">
        <f t="shared" si="289"/>
        <v>51584.411949685535</v>
      </c>
      <c r="AY327" s="308"/>
      <c r="AZ327" s="10"/>
      <c r="BA327" s="65">
        <f t="shared" si="290"/>
        <v>1575572</v>
      </c>
      <c r="BB327" s="66"/>
      <c r="BC327" s="66">
        <v>312136603</v>
      </c>
      <c r="BD327" s="66"/>
      <c r="BE327" s="66">
        <f t="shared" si="291"/>
        <v>107816</v>
      </c>
      <c r="BF327" s="66"/>
      <c r="BG327" s="144">
        <f t="shared" si="292"/>
        <v>6.8429751226856031E-2</v>
      </c>
      <c r="BH327" s="66"/>
      <c r="BI327" s="170"/>
      <c r="BJ327" s="66"/>
      <c r="BK327" s="66">
        <f t="shared" si="293"/>
        <v>13055036</v>
      </c>
      <c r="BL327" s="66"/>
      <c r="BM327" s="144">
        <f t="shared" si="294"/>
        <v>7.9985685217566618E-2</v>
      </c>
      <c r="BN327" s="65">
        <f t="shared" si="295"/>
        <v>981561.64465408807</v>
      </c>
      <c r="BO327" s="66"/>
      <c r="BP327" s="66">
        <f t="shared" si="296"/>
        <v>25812809</v>
      </c>
      <c r="BQ327" s="66"/>
      <c r="BR327" s="435">
        <f t="shared" si="277"/>
        <v>8.2697154873566686E-2</v>
      </c>
      <c r="BS327" s="66"/>
      <c r="BT327" s="75"/>
      <c r="BU327" s="170"/>
      <c r="BV327" s="1"/>
      <c r="BW327" s="61">
        <f t="shared" si="186"/>
        <v>318</v>
      </c>
    </row>
    <row r="328" spans="2:75" x14ac:dyDescent="0.3">
      <c r="B328" s="158">
        <f t="shared" si="161"/>
        <v>44228</v>
      </c>
      <c r="C328" s="61"/>
      <c r="D328" s="17">
        <v>126452</v>
      </c>
      <c r="E328" s="16"/>
      <c r="F328" s="16"/>
      <c r="G328" s="16"/>
      <c r="H328" s="16">
        <f t="shared" si="278"/>
        <v>26846239</v>
      </c>
      <c r="I328" s="16"/>
      <c r="J328" s="436">
        <f t="shared" si="279"/>
        <v>4.7325227555144811E-3</v>
      </c>
      <c r="K328" s="16"/>
      <c r="L328" s="16"/>
      <c r="M328" s="16"/>
      <c r="N328" s="16">
        <f t="shared" si="274"/>
        <v>1018424</v>
      </c>
      <c r="O328" s="16">
        <f t="shared" si="280"/>
        <v>84157.489028213167</v>
      </c>
      <c r="P328" s="41"/>
      <c r="Q328" s="17">
        <f t="shared" si="275"/>
        <v>1018424</v>
      </c>
      <c r="R328" s="16"/>
      <c r="S328" s="60">
        <f t="shared" si="276"/>
        <v>-0.1588660155685408</v>
      </c>
      <c r="T328" s="16"/>
      <c r="U328" s="41"/>
      <c r="V328" s="10">
        <f t="shared" si="109"/>
        <v>220</v>
      </c>
      <c r="W328" s="34">
        <v>1915</v>
      </c>
      <c r="X328" s="33">
        <v>4256</v>
      </c>
      <c r="Y328" s="33"/>
      <c r="Z328" s="33"/>
      <c r="AA328" s="33">
        <f t="shared" si="281"/>
        <v>453305</v>
      </c>
      <c r="AB328" s="33"/>
      <c r="AC328" s="46">
        <f t="shared" si="282"/>
        <v>1.6885232974346985E-2</v>
      </c>
      <c r="AD328" s="33"/>
      <c r="AE328" s="33">
        <f t="shared" si="283"/>
        <v>1421.0188087774295</v>
      </c>
      <c r="AF328" s="50"/>
      <c r="AG328" s="33">
        <f t="shared" si="284"/>
        <v>22371</v>
      </c>
      <c r="AH328" s="33">
        <f>SUM(D299:D980)</f>
        <v>1207074433.060914</v>
      </c>
      <c r="AI328" s="213">
        <f t="shared" si="285"/>
        <v>-1.1226519337016575E-2</v>
      </c>
      <c r="AJ328" s="50"/>
      <c r="AK328" s="10"/>
      <c r="AL328" s="23">
        <f t="shared" si="286"/>
        <v>226191</v>
      </c>
      <c r="AM328" s="24"/>
      <c r="AN328" s="24"/>
      <c r="AO328" s="24">
        <v>178263</v>
      </c>
      <c r="AP328" s="24">
        <v>16630034</v>
      </c>
      <c r="AQ328" s="24"/>
      <c r="AR328" s="461">
        <f t="shared" si="287"/>
        <v>1.3788903002790261E-2</v>
      </c>
      <c r="AS328" s="25"/>
      <c r="AT328" s="25"/>
      <c r="AU328" s="24"/>
      <c r="AV328" s="298">
        <f t="shared" si="288"/>
        <v>0.61945488900698531</v>
      </c>
      <c r="AW328" s="298"/>
      <c r="AX328" s="24">
        <f t="shared" si="289"/>
        <v>52131.768025078367</v>
      </c>
      <c r="AY328" s="308"/>
      <c r="AZ328" s="10"/>
      <c r="BA328" s="65">
        <f t="shared" si="290"/>
        <v>2038149</v>
      </c>
      <c r="BB328" s="66"/>
      <c r="BC328" s="66">
        <v>314174752</v>
      </c>
      <c r="BD328" s="66"/>
      <c r="BE328" s="66">
        <f t="shared" si="291"/>
        <v>126452</v>
      </c>
      <c r="BF328" s="66"/>
      <c r="BG328" s="144">
        <f t="shared" si="292"/>
        <v>6.2042569017279892E-2</v>
      </c>
      <c r="BH328" s="66"/>
      <c r="BI328" s="170"/>
      <c r="BJ328" s="66"/>
      <c r="BK328" s="66">
        <f t="shared" si="293"/>
        <v>13057542</v>
      </c>
      <c r="BL328" s="66"/>
      <c r="BM328" s="144">
        <f t="shared" si="294"/>
        <v>7.7995077480891892E-2</v>
      </c>
      <c r="BN328" s="65">
        <f t="shared" si="295"/>
        <v>984873.83072100312</v>
      </c>
      <c r="BO328" s="66"/>
      <c r="BP328" s="66">
        <f t="shared" si="296"/>
        <v>25939261</v>
      </c>
      <c r="BQ328" s="66"/>
      <c r="BR328" s="435">
        <f t="shared" si="277"/>
        <v>8.2563162172878873E-2</v>
      </c>
      <c r="BS328" s="66"/>
      <c r="BT328" s="75"/>
      <c r="BU328" s="170"/>
      <c r="BV328" s="1"/>
      <c r="BW328" s="61">
        <f t="shared" si="186"/>
        <v>319</v>
      </c>
    </row>
    <row r="329" spans="2:75" x14ac:dyDescent="0.3">
      <c r="B329" s="158">
        <f t="shared" si="161"/>
        <v>44229</v>
      </c>
      <c r="C329" s="61"/>
      <c r="D329" s="17">
        <v>116227</v>
      </c>
      <c r="E329" s="16"/>
      <c r="F329" s="16"/>
      <c r="G329" s="16"/>
      <c r="H329" s="16">
        <f t="shared" si="278"/>
        <v>26962466</v>
      </c>
      <c r="I329" s="16"/>
      <c r="J329" s="436">
        <f t="shared" si="279"/>
        <v>4.3293587604580292E-3</v>
      </c>
      <c r="K329" s="16"/>
      <c r="L329" s="16"/>
      <c r="M329" s="16"/>
      <c r="N329" s="16">
        <f t="shared" si="274"/>
        <v>982924</v>
      </c>
      <c r="O329" s="16">
        <f t="shared" si="280"/>
        <v>84257.706250000003</v>
      </c>
      <c r="P329" s="41"/>
      <c r="Q329" s="17">
        <f t="shared" si="275"/>
        <v>982924</v>
      </c>
      <c r="R329" s="16"/>
      <c r="S329" s="60">
        <f t="shared" si="276"/>
        <v>-0.17270924583629318</v>
      </c>
      <c r="T329" s="16"/>
      <c r="U329" s="41"/>
      <c r="V329" s="10">
        <f t="shared" si="109"/>
        <v>221</v>
      </c>
      <c r="W329" s="34">
        <v>3707</v>
      </c>
      <c r="X329" s="33">
        <v>4256</v>
      </c>
      <c r="Y329" s="33"/>
      <c r="Z329" s="33"/>
      <c r="AA329" s="33">
        <f t="shared" si="281"/>
        <v>457012</v>
      </c>
      <c r="AB329" s="33"/>
      <c r="AC329" s="46">
        <f t="shared" si="282"/>
        <v>1.694993328874295E-2</v>
      </c>
      <c r="AD329" s="33"/>
      <c r="AE329" s="33">
        <f t="shared" si="283"/>
        <v>1428.1624999999999</v>
      </c>
      <c r="AF329" s="50"/>
      <c r="AG329" s="33">
        <f t="shared" si="284"/>
        <v>22166</v>
      </c>
      <c r="AH329" s="33">
        <f>SUM(D300:D981)</f>
        <v>1206880096.060914</v>
      </c>
      <c r="AI329" s="213">
        <f t="shared" si="285"/>
        <v>-6.6104908363176743E-2</v>
      </c>
      <c r="AJ329" s="50"/>
      <c r="AK329" s="10"/>
      <c r="AL329" s="23">
        <f t="shared" si="286"/>
        <v>122036</v>
      </c>
      <c r="AM329" s="24"/>
      <c r="AN329" s="24"/>
      <c r="AO329" s="24">
        <v>178263</v>
      </c>
      <c r="AP329" s="24">
        <v>16752070</v>
      </c>
      <c r="AQ329" s="24"/>
      <c r="AR329" s="461">
        <f t="shared" si="287"/>
        <v>7.3382892662757033E-3</v>
      </c>
      <c r="AS329" s="25"/>
      <c r="AT329" s="25"/>
      <c r="AU329" s="24"/>
      <c r="AV329" s="298">
        <f t="shared" si="288"/>
        <v>0.62131075102700173</v>
      </c>
      <c r="AW329" s="298"/>
      <c r="AX329" s="24">
        <f t="shared" si="289"/>
        <v>52350.21875</v>
      </c>
      <c r="AY329" s="308"/>
      <c r="AZ329" s="10"/>
      <c r="BA329" s="65">
        <f t="shared" si="290"/>
        <v>1440210</v>
      </c>
      <c r="BB329" s="66"/>
      <c r="BC329" s="66">
        <v>315614962</v>
      </c>
      <c r="BD329" s="66"/>
      <c r="BE329" s="66">
        <f t="shared" si="291"/>
        <v>116227</v>
      </c>
      <c r="BF329" s="66"/>
      <c r="BG329" s="144">
        <f t="shared" si="292"/>
        <v>8.0701425486560993E-2</v>
      </c>
      <c r="BH329" s="66"/>
      <c r="BI329" s="170"/>
      <c r="BJ329" s="66"/>
      <c r="BK329" s="66">
        <f t="shared" si="293"/>
        <v>13203355</v>
      </c>
      <c r="BL329" s="66"/>
      <c r="BM329" s="144">
        <f t="shared" si="294"/>
        <v>7.4445017951876621E-2</v>
      </c>
      <c r="BN329" s="65">
        <f t="shared" si="295"/>
        <v>986296.75624999998</v>
      </c>
      <c r="BO329" s="66"/>
      <c r="BP329" s="66">
        <f t="shared" si="296"/>
        <v>26055488</v>
      </c>
      <c r="BQ329" s="66"/>
      <c r="BR329" s="435">
        <f t="shared" si="277"/>
        <v>8.2554666720774786E-2</v>
      </c>
      <c r="BS329" s="66"/>
      <c r="BT329" s="75"/>
      <c r="BU329" s="170"/>
      <c r="BV329" s="1"/>
      <c r="BW329" s="61">
        <f t="shared" si="186"/>
        <v>320</v>
      </c>
    </row>
    <row r="330" spans="2:75" x14ac:dyDescent="0.3">
      <c r="B330" s="158">
        <f t="shared" si="161"/>
        <v>44230</v>
      </c>
      <c r="C330" s="61"/>
      <c r="D330" s="17">
        <v>113459</v>
      </c>
      <c r="E330" s="16"/>
      <c r="F330" s="16"/>
      <c r="G330" s="16"/>
      <c r="H330" s="16">
        <f t="shared" si="278"/>
        <v>27075925</v>
      </c>
      <c r="I330" s="16"/>
      <c r="J330" s="436">
        <f t="shared" si="279"/>
        <v>4.2080349772161052E-3</v>
      </c>
      <c r="K330" s="16"/>
      <c r="L330" s="16"/>
      <c r="M330" s="16"/>
      <c r="N330" s="16">
        <f t="shared" si="274"/>
        <v>936352</v>
      </c>
      <c r="O330" s="16">
        <f t="shared" si="280"/>
        <v>84348.676012461059</v>
      </c>
      <c r="P330" s="41"/>
      <c r="Q330" s="17">
        <f t="shared" si="275"/>
        <v>936352</v>
      </c>
      <c r="R330" s="16"/>
      <c r="S330" s="60">
        <f t="shared" si="276"/>
        <v>-0.19145754070983373</v>
      </c>
      <c r="T330" s="16"/>
      <c r="U330" s="41"/>
      <c r="V330" s="10">
        <f t="shared" si="109"/>
        <v>222</v>
      </c>
      <c r="W330" s="34">
        <v>3999</v>
      </c>
      <c r="X330" s="33">
        <v>4256</v>
      </c>
      <c r="Y330" s="33"/>
      <c r="Z330" s="33"/>
      <c r="AA330" s="33">
        <f t="shared" si="281"/>
        <v>461011</v>
      </c>
      <c r="AB330" s="33"/>
      <c r="AC330" s="46">
        <f t="shared" si="282"/>
        <v>1.7026602045913483E-2</v>
      </c>
      <c r="AD330" s="33"/>
      <c r="AE330" s="33">
        <f t="shared" si="283"/>
        <v>1436.1713395638628</v>
      </c>
      <c r="AF330" s="50"/>
      <c r="AG330" s="33">
        <f t="shared" si="284"/>
        <v>21967</v>
      </c>
      <c r="AH330" s="33">
        <f>SUM(D301:D982)</f>
        <v>1206689934.060914</v>
      </c>
      <c r="AI330" s="213">
        <f t="shared" si="285"/>
        <v>-6.6782786014699017E-2</v>
      </c>
      <c r="AJ330" s="50"/>
      <c r="AK330" s="10"/>
      <c r="AL330" s="23">
        <f t="shared" si="286"/>
        <v>154708</v>
      </c>
      <c r="AM330" s="24"/>
      <c r="AN330" s="24"/>
      <c r="AO330" s="24">
        <v>178263</v>
      </c>
      <c r="AP330" s="24">
        <v>16906778</v>
      </c>
      <c r="AQ330" s="24"/>
      <c r="AR330" s="461">
        <f t="shared" si="287"/>
        <v>9.2351572074376477E-3</v>
      </c>
      <c r="AS330" s="25"/>
      <c r="AT330" s="25"/>
      <c r="AU330" s="24"/>
      <c r="AV330" s="298">
        <f t="shared" si="288"/>
        <v>0.62442106779362105</v>
      </c>
      <c r="AW330" s="298"/>
      <c r="AX330" s="24">
        <f t="shared" si="289"/>
        <v>52669.090342679126</v>
      </c>
      <c r="AY330" s="308"/>
      <c r="AZ330" s="10"/>
      <c r="BA330" s="65">
        <f t="shared" si="290"/>
        <v>1471796</v>
      </c>
      <c r="BB330" s="66"/>
      <c r="BC330" s="66">
        <v>317086758</v>
      </c>
      <c r="BD330" s="66"/>
      <c r="BE330" s="66">
        <f t="shared" si="291"/>
        <v>113459</v>
      </c>
      <c r="BF330" s="66"/>
      <c r="BG330" s="144">
        <f t="shared" si="292"/>
        <v>7.7088808503352368E-2</v>
      </c>
      <c r="BH330" s="66"/>
      <c r="BI330" s="170"/>
      <c r="BJ330" s="66"/>
      <c r="BK330" s="66">
        <f t="shared" si="293"/>
        <v>12672732</v>
      </c>
      <c r="BL330" s="66"/>
      <c r="BM330" s="144">
        <f t="shared" si="294"/>
        <v>7.3887146039228163E-2</v>
      </c>
      <c r="BN330" s="65">
        <f t="shared" si="295"/>
        <v>987809.21495327097</v>
      </c>
      <c r="BO330" s="66"/>
      <c r="BP330" s="66">
        <f t="shared" si="296"/>
        <v>26168947</v>
      </c>
      <c r="BQ330" s="66"/>
      <c r="BR330" s="435">
        <f t="shared" si="277"/>
        <v>8.2529296288052501E-2</v>
      </c>
      <c r="BS330" s="66"/>
      <c r="BT330" s="75"/>
      <c r="BU330" s="170"/>
      <c r="BV330" s="1"/>
      <c r="BW330" s="61">
        <f t="shared" si="186"/>
        <v>321</v>
      </c>
    </row>
    <row r="331" spans="2:75" x14ac:dyDescent="0.3">
      <c r="B331" s="158">
        <f t="shared" si="161"/>
        <v>44231</v>
      </c>
      <c r="C331" s="61"/>
      <c r="D331" s="17">
        <v>121737</v>
      </c>
      <c r="E331" s="16"/>
      <c r="F331" s="16"/>
      <c r="G331" s="16"/>
      <c r="H331" s="16">
        <f t="shared" si="278"/>
        <v>27197662</v>
      </c>
      <c r="I331" s="16"/>
      <c r="J331" s="436">
        <f t="shared" si="279"/>
        <v>4.4961344810934434E-3</v>
      </c>
      <c r="K331" s="16"/>
      <c r="L331" s="16"/>
      <c r="M331" s="16"/>
      <c r="N331" s="16">
        <f t="shared" si="274"/>
        <v>895456</v>
      </c>
      <c r="O331" s="16">
        <f t="shared" si="280"/>
        <v>84464.788819875772</v>
      </c>
      <c r="P331" s="41"/>
      <c r="Q331" s="17">
        <f t="shared" si="275"/>
        <v>895456</v>
      </c>
      <c r="R331" s="16"/>
      <c r="S331" s="60">
        <f t="shared" si="276"/>
        <v>-0.2054156842944978</v>
      </c>
      <c r="T331" s="16"/>
      <c r="U331" s="41"/>
      <c r="V331" s="10">
        <f t="shared" si="109"/>
        <v>223</v>
      </c>
      <c r="W331" s="34">
        <v>3532</v>
      </c>
      <c r="X331" s="33">
        <v>4256</v>
      </c>
      <c r="Y331" s="33"/>
      <c r="Z331" s="33"/>
      <c r="AA331" s="33">
        <f t="shared" si="281"/>
        <v>464543</v>
      </c>
      <c r="AB331" s="33"/>
      <c r="AC331" s="46">
        <f t="shared" si="282"/>
        <v>1.7080254913087751E-2</v>
      </c>
      <c r="AD331" s="33"/>
      <c r="AE331" s="33">
        <f t="shared" si="283"/>
        <v>1442.6801242236024</v>
      </c>
      <c r="AF331" s="50"/>
      <c r="AG331" s="33">
        <f t="shared" si="284"/>
        <v>21580</v>
      </c>
      <c r="AH331" s="33">
        <f>SUM(D302:D983)</f>
        <v>1206455223.060914</v>
      </c>
      <c r="AI331" s="213">
        <f t="shared" si="285"/>
        <v>-6.5598614418705348E-2</v>
      </c>
      <c r="AJ331" s="50"/>
      <c r="AK331" s="10"/>
      <c r="AL331" s="23">
        <f t="shared" si="286"/>
        <v>125029</v>
      </c>
      <c r="AM331" s="24"/>
      <c r="AN331" s="24"/>
      <c r="AO331" s="24">
        <v>178263</v>
      </c>
      <c r="AP331" s="24">
        <v>17031807</v>
      </c>
      <c r="AQ331" s="24"/>
      <c r="AR331" s="461">
        <f t="shared" si="287"/>
        <v>7.3951997240396718E-3</v>
      </c>
      <c r="AS331" s="25"/>
      <c r="AT331" s="25"/>
      <c r="AU331" s="24"/>
      <c r="AV331" s="298">
        <f t="shared" si="288"/>
        <v>0.62622320256792663</v>
      </c>
      <c r="AW331" s="298"/>
      <c r="AX331" s="24">
        <f t="shared" si="289"/>
        <v>52893.810559006211</v>
      </c>
      <c r="AY331" s="308"/>
      <c r="AZ331" s="10"/>
      <c r="BA331" s="65">
        <f t="shared" si="290"/>
        <v>1645627</v>
      </c>
      <c r="BB331" s="66"/>
      <c r="BC331" s="66">
        <v>318732385</v>
      </c>
      <c r="BD331" s="66"/>
      <c r="BE331" s="66">
        <f t="shared" si="291"/>
        <v>121737</v>
      </c>
      <c r="BF331" s="66"/>
      <c r="BG331" s="144">
        <f t="shared" si="292"/>
        <v>7.3976058973266728E-2</v>
      </c>
      <c r="BH331" s="66"/>
      <c r="BI331" s="170"/>
      <c r="BJ331" s="66"/>
      <c r="BK331" s="66">
        <f t="shared" si="293"/>
        <v>12279539</v>
      </c>
      <c r="BL331" s="66"/>
      <c r="BM331" s="144">
        <f t="shared" si="294"/>
        <v>7.2922607273774698E-2</v>
      </c>
      <c r="BN331" s="65">
        <f t="shared" si="295"/>
        <v>989852.12732919259</v>
      </c>
      <c r="BO331" s="66"/>
      <c r="BP331" s="66">
        <f t="shared" si="296"/>
        <v>26290684</v>
      </c>
      <c r="BQ331" s="66"/>
      <c r="BR331" s="435">
        <f t="shared" si="277"/>
        <v>8.2485135609925556E-2</v>
      </c>
      <c r="BS331" s="66"/>
      <c r="BT331" s="75"/>
      <c r="BU331" s="170"/>
      <c r="BV331" s="1"/>
      <c r="BW331" s="61">
        <f t="shared" si="186"/>
        <v>322</v>
      </c>
    </row>
    <row r="332" spans="2:75" x14ac:dyDescent="0.3">
      <c r="B332" s="158">
        <f t="shared" si="161"/>
        <v>44232</v>
      </c>
      <c r="C332" s="61"/>
      <c r="D332" s="17">
        <v>126125</v>
      </c>
      <c r="E332" s="16"/>
      <c r="F332" s="16"/>
      <c r="G332" s="16"/>
      <c r="H332" s="16">
        <f t="shared" si="278"/>
        <v>27323787</v>
      </c>
      <c r="I332" s="16"/>
      <c r="J332" s="436">
        <f t="shared" si="279"/>
        <v>4.6373471366766743E-3</v>
      </c>
      <c r="K332" s="16"/>
      <c r="L332" s="16"/>
      <c r="M332" s="16"/>
      <c r="N332" s="16">
        <f t="shared" ref="N332:N363" si="297">SUM(D326:D332)</f>
        <v>852548</v>
      </c>
      <c r="O332" s="16">
        <f t="shared" si="280"/>
        <v>84593.767801857583</v>
      </c>
      <c r="P332" s="41"/>
      <c r="Q332" s="17">
        <f t="shared" si="275"/>
        <v>852548</v>
      </c>
      <c r="R332" s="16"/>
      <c r="S332" s="60">
        <f t="shared" si="276"/>
        <v>-0.22770643082767997</v>
      </c>
      <c r="T332" s="16"/>
      <c r="U332" s="41"/>
      <c r="V332" s="10">
        <f t="shared" si="109"/>
        <v>224</v>
      </c>
      <c r="W332" s="34">
        <v>3572</v>
      </c>
      <c r="X332" s="33">
        <v>4256</v>
      </c>
      <c r="Y332" s="33"/>
      <c r="Z332" s="33"/>
      <c r="AA332" s="33">
        <f t="shared" si="281"/>
        <v>468115</v>
      </c>
      <c r="AB332" s="33"/>
      <c r="AC332" s="46">
        <f t="shared" si="282"/>
        <v>1.7132142041657694E-2</v>
      </c>
      <c r="AD332" s="33"/>
      <c r="AE332" s="33">
        <f t="shared" si="283"/>
        <v>1449.2724458204334</v>
      </c>
      <c r="AF332" s="50"/>
      <c r="AG332" s="33">
        <f t="shared" si="284"/>
        <v>21500</v>
      </c>
      <c r="AH332" s="33">
        <f>SUM(D303:D984)</f>
        <v>1206194250.060914</v>
      </c>
      <c r="AI332" s="213">
        <f t="shared" si="285"/>
        <v>-5.9533703687502736E-2</v>
      </c>
      <c r="AJ332" s="50"/>
      <c r="AK332" s="10"/>
      <c r="AL332" s="23">
        <f t="shared" si="286"/>
        <v>114362</v>
      </c>
      <c r="AM332" s="24"/>
      <c r="AN332" s="24"/>
      <c r="AO332" s="24">
        <v>178263</v>
      </c>
      <c r="AP332" s="24">
        <v>17146169</v>
      </c>
      <c r="AQ332" s="24"/>
      <c r="AR332" s="461">
        <f t="shared" si="287"/>
        <v>6.7146134288628328E-3</v>
      </c>
      <c r="AS332" s="25"/>
      <c r="AT332" s="25"/>
      <c r="AU332" s="24"/>
      <c r="AV332" s="298">
        <f t="shared" si="288"/>
        <v>0.62751803035208842</v>
      </c>
      <c r="AW332" s="298"/>
      <c r="AX332" s="24">
        <f t="shared" si="289"/>
        <v>53084.114551083592</v>
      </c>
      <c r="AY332" s="308"/>
      <c r="AZ332" s="10"/>
      <c r="BA332" s="65">
        <f t="shared" si="290"/>
        <v>1907154</v>
      </c>
      <c r="BB332" s="66"/>
      <c r="BC332" s="66">
        <v>320639539</v>
      </c>
      <c r="BD332" s="66"/>
      <c r="BE332" s="66">
        <f t="shared" si="291"/>
        <v>126125</v>
      </c>
      <c r="BF332" s="66"/>
      <c r="BG332" s="144">
        <f t="shared" si="292"/>
        <v>6.6132572408940229E-2</v>
      </c>
      <c r="BH332" s="66"/>
      <c r="BI332" s="170"/>
      <c r="BJ332" s="66"/>
      <c r="BK332" s="66">
        <f t="shared" si="293"/>
        <v>12242855</v>
      </c>
      <c r="BL332" s="66"/>
      <c r="BM332" s="144">
        <f t="shared" si="294"/>
        <v>6.9636371581628637E-2</v>
      </c>
      <c r="BN332" s="65">
        <f t="shared" si="295"/>
        <v>992692.07120743033</v>
      </c>
      <c r="BO332" s="66"/>
      <c r="BP332" s="66">
        <f t="shared" si="296"/>
        <v>26416809</v>
      </c>
      <c r="BQ332" s="66"/>
      <c r="BR332" s="435">
        <f t="shared" si="277"/>
        <v>8.2387871072881008E-2</v>
      </c>
      <c r="BS332" s="66"/>
      <c r="BT332" s="75"/>
      <c r="BU332" s="170"/>
      <c r="BV332" s="1"/>
      <c r="BW332" s="61">
        <f t="shared" si="186"/>
        <v>323</v>
      </c>
    </row>
    <row r="333" spans="2:75" x14ac:dyDescent="0.3">
      <c r="B333" s="158">
        <f t="shared" si="161"/>
        <v>44233</v>
      </c>
      <c r="C333" s="61"/>
      <c r="D333" s="17">
        <v>105983</v>
      </c>
      <c r="E333" s="16"/>
      <c r="F333" s="16"/>
      <c r="G333" s="16"/>
      <c r="H333" s="16">
        <f t="shared" si="278"/>
        <v>27429770</v>
      </c>
      <c r="I333" s="16"/>
      <c r="J333" s="436">
        <f t="shared" si="279"/>
        <v>3.8787815173643389E-3</v>
      </c>
      <c r="K333" s="16"/>
      <c r="L333" s="16"/>
      <c r="M333" s="16"/>
      <c r="N333" s="16">
        <f t="shared" si="297"/>
        <v>817799</v>
      </c>
      <c r="O333" s="16">
        <f t="shared" si="280"/>
        <v>84659.78395061729</v>
      </c>
      <c r="P333" s="41"/>
      <c r="Q333" s="17">
        <f t="shared" ref="Q333:Q364" si="298">SUM(D327:D333)</f>
        <v>817799</v>
      </c>
      <c r="R333" s="16"/>
      <c r="S333" s="60">
        <f t="shared" ref="S333:S364" si="299">+(Q333-Q326)/Q326</f>
        <v>-0.23683021924593731</v>
      </c>
      <c r="T333" s="16"/>
      <c r="U333" s="41"/>
      <c r="V333" s="10">
        <f t="shared" si="109"/>
        <v>225</v>
      </c>
      <c r="W333" s="34">
        <v>2730</v>
      </c>
      <c r="X333" s="33">
        <v>4256</v>
      </c>
      <c r="Y333" s="33"/>
      <c r="Z333" s="33"/>
      <c r="AA333" s="33">
        <f t="shared" si="281"/>
        <v>470845</v>
      </c>
      <c r="AB333" s="33"/>
      <c r="AC333" s="46">
        <f t="shared" si="282"/>
        <v>1.7165473862886929E-2</v>
      </c>
      <c r="AD333" s="33"/>
      <c r="AE333" s="33">
        <f t="shared" si="283"/>
        <v>1453.2253086419753</v>
      </c>
      <c r="AF333" s="50"/>
      <c r="AG333" s="33">
        <f t="shared" si="284"/>
        <v>21341</v>
      </c>
      <c r="AH333" s="33">
        <f>SUM(D304:D985)</f>
        <v>1205920060.060914</v>
      </c>
      <c r="AI333" s="213">
        <f t="shared" si="285"/>
        <v>-4.347631213302855E-2</v>
      </c>
      <c r="AJ333" s="50"/>
      <c r="AK333" s="10"/>
      <c r="AL333" s="23">
        <f t="shared" si="286"/>
        <v>122348</v>
      </c>
      <c r="AM333" s="24"/>
      <c r="AN333" s="24"/>
      <c r="AO333" s="24">
        <v>178263</v>
      </c>
      <c r="AP333" s="24">
        <v>17268517</v>
      </c>
      <c r="AQ333" s="24"/>
      <c r="AR333" s="461">
        <f t="shared" si="287"/>
        <v>7.1355881305030875E-3</v>
      </c>
      <c r="AS333" s="25"/>
      <c r="AT333" s="25"/>
      <c r="AU333" s="24"/>
      <c r="AV333" s="298">
        <f t="shared" si="288"/>
        <v>0.62955383876714965</v>
      </c>
      <c r="AW333" s="298"/>
      <c r="AX333" s="24">
        <f t="shared" si="289"/>
        <v>53297.891975308645</v>
      </c>
      <c r="AY333" s="308"/>
      <c r="AZ333" s="10"/>
      <c r="BA333" s="65">
        <f t="shared" si="290"/>
        <v>1755864</v>
      </c>
      <c r="BB333" s="66"/>
      <c r="BC333" s="66">
        <v>322395403</v>
      </c>
      <c r="BD333" s="66"/>
      <c r="BE333" s="66">
        <f t="shared" si="291"/>
        <v>105983</v>
      </c>
      <c r="BF333" s="66"/>
      <c r="BG333" s="144">
        <f t="shared" si="292"/>
        <v>6.0359458363517901E-2</v>
      </c>
      <c r="BH333" s="66"/>
      <c r="BI333" s="170"/>
      <c r="BJ333" s="66"/>
      <c r="BK333" s="66">
        <f t="shared" si="293"/>
        <v>11834372</v>
      </c>
      <c r="BL333" s="66"/>
      <c r="BM333" s="144">
        <f t="shared" si="294"/>
        <v>6.9103709094153878E-2</v>
      </c>
      <c r="BN333" s="65">
        <f t="shared" si="295"/>
        <v>995047.54012345674</v>
      </c>
      <c r="BO333" s="66"/>
      <c r="BP333" s="66">
        <f t="shared" si="296"/>
        <v>26522792</v>
      </c>
      <c r="BQ333" s="66"/>
      <c r="BR333" s="435">
        <f t="shared" si="277"/>
        <v>8.2267897597783052E-2</v>
      </c>
      <c r="BS333" s="66"/>
      <c r="BT333" s="75"/>
      <c r="BU333" s="170"/>
      <c r="BV333" s="1"/>
      <c r="BW333" s="61">
        <f t="shared" si="186"/>
        <v>324</v>
      </c>
    </row>
    <row r="334" spans="2:75" x14ac:dyDescent="0.3">
      <c r="B334" s="347">
        <f t="shared" si="161"/>
        <v>44234</v>
      </c>
      <c r="C334" s="61"/>
      <c r="D334" s="17">
        <v>91256</v>
      </c>
      <c r="E334" s="16"/>
      <c r="F334" s="16"/>
      <c r="G334" s="16"/>
      <c r="H334" s="16">
        <f t="shared" si="278"/>
        <v>27521026</v>
      </c>
      <c r="I334" s="16"/>
      <c r="J334" s="436">
        <f t="shared" si="279"/>
        <v>3.326896288229905E-3</v>
      </c>
      <c r="K334" s="16"/>
      <c r="L334" s="16"/>
      <c r="M334" s="16"/>
      <c r="N334" s="16">
        <f t="shared" si="297"/>
        <v>801239</v>
      </c>
      <c r="O334" s="16">
        <f t="shared" si="280"/>
        <v>84680.08</v>
      </c>
      <c r="P334" s="41"/>
      <c r="Q334" s="17">
        <f t="shared" si="298"/>
        <v>801239</v>
      </c>
      <c r="R334" s="16"/>
      <c r="S334" s="60">
        <f t="shared" si="299"/>
        <v>-0.23268844760087951</v>
      </c>
      <c r="T334" s="16"/>
      <c r="U334" s="41"/>
      <c r="V334" s="10">
        <f t="shared" si="109"/>
        <v>226</v>
      </c>
      <c r="W334" s="34">
        <v>1315</v>
      </c>
      <c r="X334" s="33">
        <v>4256</v>
      </c>
      <c r="Y334" s="33"/>
      <c r="Z334" s="33"/>
      <c r="AA334" s="33">
        <f t="shared" si="281"/>
        <v>472160</v>
      </c>
      <c r="AB334" s="33"/>
      <c r="AC334" s="46">
        <f t="shared" si="282"/>
        <v>1.7156337122024447E-2</v>
      </c>
      <c r="AD334" s="33"/>
      <c r="AE334" s="33">
        <f t="shared" si="283"/>
        <v>1452.8</v>
      </c>
      <c r="AF334" s="50"/>
      <c r="AG334" s="33">
        <f t="shared" si="284"/>
        <v>20770</v>
      </c>
      <c r="AH334" s="33">
        <f>SUM(D305:D986)</f>
        <v>1205613611.060914</v>
      </c>
      <c r="AI334" s="213">
        <f t="shared" si="285"/>
        <v>-7.0818234688856077E-2</v>
      </c>
      <c r="AJ334" s="50"/>
      <c r="AK334" s="10"/>
      <c r="AL334" s="23">
        <f t="shared" si="286"/>
        <v>86653</v>
      </c>
      <c r="AM334" s="24"/>
      <c r="AN334" s="24"/>
      <c r="AO334" s="24">
        <v>178263</v>
      </c>
      <c r="AP334" s="24">
        <v>17355170</v>
      </c>
      <c r="AQ334" s="24"/>
      <c r="AR334" s="461">
        <f t="shared" si="287"/>
        <v>5.0179757763796394E-3</v>
      </c>
      <c r="AS334" s="25"/>
      <c r="AT334" s="25"/>
      <c r="AU334" s="24"/>
      <c r="AV334" s="298">
        <f t="shared" si="288"/>
        <v>0.63061493419613057</v>
      </c>
      <c r="AW334" s="298"/>
      <c r="AX334" s="24">
        <f t="shared" si="289"/>
        <v>53400.523076923077</v>
      </c>
      <c r="AY334" s="308"/>
      <c r="AZ334" s="10"/>
      <c r="BA334" s="65">
        <f t="shared" si="290"/>
        <v>1409563</v>
      </c>
      <c r="BB334" s="66"/>
      <c r="BC334" s="66">
        <v>323804966</v>
      </c>
      <c r="BD334" s="66"/>
      <c r="BE334" s="66">
        <f t="shared" si="291"/>
        <v>91256</v>
      </c>
      <c r="BF334" s="66"/>
      <c r="BG334" s="144">
        <f t="shared" si="292"/>
        <v>6.4740632380390239E-2</v>
      </c>
      <c r="BH334" s="66"/>
      <c r="BI334" s="170"/>
      <c r="BJ334" s="66"/>
      <c r="BK334" s="66">
        <f t="shared" si="293"/>
        <v>11668363</v>
      </c>
      <c r="BL334" s="66"/>
      <c r="BM334" s="144">
        <f t="shared" si="294"/>
        <v>6.8667644295947947E-2</v>
      </c>
      <c r="BN334" s="65">
        <f t="shared" si="295"/>
        <v>996322.97230769228</v>
      </c>
      <c r="BO334" s="66"/>
      <c r="BP334" s="66">
        <f t="shared" si="296"/>
        <v>26614048</v>
      </c>
      <c r="BQ334" s="66"/>
      <c r="BR334" s="435">
        <f t="shared" si="277"/>
        <v>8.2191599248048586E-2</v>
      </c>
      <c r="BS334" s="66"/>
      <c r="BT334" s="75"/>
      <c r="BU334" s="170"/>
      <c r="BV334" s="1"/>
      <c r="BW334" s="61">
        <f t="shared" si="186"/>
        <v>325</v>
      </c>
    </row>
    <row r="335" spans="2:75" x14ac:dyDescent="0.3">
      <c r="B335" s="158">
        <f t="shared" si="161"/>
        <v>44235</v>
      </c>
      <c r="C335" s="61"/>
      <c r="D335" s="17">
        <v>90346</v>
      </c>
      <c r="E335" s="16"/>
      <c r="F335" s="16"/>
      <c r="G335" s="16"/>
      <c r="H335" s="16">
        <f t="shared" si="278"/>
        <v>27611372</v>
      </c>
      <c r="I335" s="16"/>
      <c r="J335" s="436">
        <f t="shared" si="279"/>
        <v>3.2827991223873705E-3</v>
      </c>
      <c r="K335" s="16"/>
      <c r="L335" s="16"/>
      <c r="M335" s="16"/>
      <c r="N335" s="16">
        <f t="shared" si="297"/>
        <v>765133</v>
      </c>
      <c r="O335" s="16">
        <f t="shared" si="280"/>
        <v>84697.460122699384</v>
      </c>
      <c r="P335" s="41"/>
      <c r="Q335" s="17">
        <f t="shared" si="298"/>
        <v>765133</v>
      </c>
      <c r="R335" s="16"/>
      <c r="S335" s="60">
        <f t="shared" si="299"/>
        <v>-0.24870878926655302</v>
      </c>
      <c r="T335" s="16"/>
      <c r="U335" s="41"/>
      <c r="V335" s="10">
        <f t="shared" si="109"/>
        <v>227</v>
      </c>
      <c r="W335" s="34">
        <v>1592</v>
      </c>
      <c r="X335" s="33">
        <v>4256</v>
      </c>
      <c r="Y335" s="33"/>
      <c r="Z335" s="33"/>
      <c r="AA335" s="33">
        <f t="shared" si="281"/>
        <v>473752</v>
      </c>
      <c r="AB335" s="33"/>
      <c r="AC335" s="46">
        <f t="shared" si="282"/>
        <v>1.7157858001406089E-2</v>
      </c>
      <c r="AD335" s="33"/>
      <c r="AE335" s="33">
        <f t="shared" si="283"/>
        <v>1453.2269938650306</v>
      </c>
      <c r="AF335" s="50"/>
      <c r="AG335" s="33">
        <f t="shared" si="284"/>
        <v>20447</v>
      </c>
      <c r="AH335" s="33">
        <f>SUM(D306:D987)</f>
        <v>1205363917.060914</v>
      </c>
      <c r="AI335" s="213">
        <f t="shared" si="285"/>
        <v>-8.6004201868490462E-2</v>
      </c>
      <c r="AJ335" s="50"/>
      <c r="AK335" s="10"/>
      <c r="AL335" s="23">
        <f t="shared" si="286"/>
        <v>157650</v>
      </c>
      <c r="AM335" s="24"/>
      <c r="AN335" s="24"/>
      <c r="AO335" s="24">
        <v>178263</v>
      </c>
      <c r="AP335" s="24">
        <v>17512820</v>
      </c>
      <c r="AQ335" s="24"/>
      <c r="AR335" s="461">
        <f t="shared" si="287"/>
        <v>9.0837485314174387E-3</v>
      </c>
      <c r="AS335" s="25"/>
      <c r="AT335" s="25"/>
      <c r="AU335" s="24"/>
      <c r="AV335" s="298">
        <f t="shared" si="288"/>
        <v>0.63426112979825844</v>
      </c>
      <c r="AW335" s="298"/>
      <c r="AX335" s="24">
        <f t="shared" si="289"/>
        <v>53720.306748466261</v>
      </c>
      <c r="AY335" s="308"/>
      <c r="AZ335" s="10"/>
      <c r="BA335" s="65">
        <f t="shared" si="290"/>
        <v>1705328</v>
      </c>
      <c r="BB335" s="66"/>
      <c r="BC335" s="66">
        <v>325510294</v>
      </c>
      <c r="BD335" s="66"/>
      <c r="BE335" s="66">
        <f t="shared" si="291"/>
        <v>90346</v>
      </c>
      <c r="BF335" s="66"/>
      <c r="BG335" s="144">
        <f t="shared" si="292"/>
        <v>5.2978664514978936E-2</v>
      </c>
      <c r="BH335" s="66"/>
      <c r="BI335" s="170"/>
      <c r="BJ335" s="66"/>
      <c r="BK335" s="66">
        <f t="shared" si="293"/>
        <v>11335542</v>
      </c>
      <c r="BL335" s="66"/>
      <c r="BM335" s="144">
        <f t="shared" si="294"/>
        <v>6.7498581011829872E-2</v>
      </c>
      <c r="BN335" s="65">
        <f t="shared" si="295"/>
        <v>998497.83435582824</v>
      </c>
      <c r="BO335" s="66"/>
      <c r="BP335" s="66">
        <f t="shared" si="296"/>
        <v>26704394</v>
      </c>
      <c r="BQ335" s="66"/>
      <c r="BR335" s="435">
        <f t="shared" si="277"/>
        <v>8.2038554516497109E-2</v>
      </c>
      <c r="BS335" s="66"/>
      <c r="BT335" s="75"/>
      <c r="BU335" s="170"/>
      <c r="BV335" s="1"/>
      <c r="BW335" s="61">
        <f t="shared" si="186"/>
        <v>326</v>
      </c>
    </row>
    <row r="336" spans="2:75" x14ac:dyDescent="0.3">
      <c r="B336" s="158">
        <f t="shared" si="161"/>
        <v>44236</v>
      </c>
      <c r="C336" s="61"/>
      <c r="D336" s="17">
        <v>95542</v>
      </c>
      <c r="E336" s="16"/>
      <c r="F336" s="16"/>
      <c r="G336" s="16"/>
      <c r="H336" s="16">
        <f t="shared" si="278"/>
        <v>27706914</v>
      </c>
      <c r="I336" s="16"/>
      <c r="J336" s="436">
        <f t="shared" si="279"/>
        <v>3.4602409470996225E-3</v>
      </c>
      <c r="K336" s="16"/>
      <c r="L336" s="16"/>
      <c r="M336" s="16"/>
      <c r="N336" s="16">
        <f t="shared" si="297"/>
        <v>744448</v>
      </c>
      <c r="O336" s="16">
        <f t="shared" si="280"/>
        <v>84730.623853211015</v>
      </c>
      <c r="P336" s="41"/>
      <c r="Q336" s="17">
        <f t="shared" si="298"/>
        <v>744448</v>
      </c>
      <c r="R336" s="16"/>
      <c r="S336" s="60">
        <f t="shared" si="299"/>
        <v>-0.24261896138460348</v>
      </c>
      <c r="T336" s="16"/>
      <c r="U336" s="41"/>
      <c r="V336" s="10">
        <f t="shared" si="109"/>
        <v>228</v>
      </c>
      <c r="W336" s="34">
        <v>3265</v>
      </c>
      <c r="X336" s="33">
        <v>4256</v>
      </c>
      <c r="Y336" s="33"/>
      <c r="Z336" s="33"/>
      <c r="AA336" s="33">
        <f t="shared" si="281"/>
        <v>477017</v>
      </c>
      <c r="AB336" s="33"/>
      <c r="AC336" s="46">
        <f t="shared" si="282"/>
        <v>1.7216533028542983E-2</v>
      </c>
      <c r="AD336" s="33"/>
      <c r="AE336" s="33">
        <f t="shared" si="283"/>
        <v>1458.7675840978593</v>
      </c>
      <c r="AF336" s="50"/>
      <c r="AG336" s="33">
        <f t="shared" si="284"/>
        <v>20005</v>
      </c>
      <c r="AH336" s="33">
        <f>SUM(D307:D988)</f>
        <v>1205143090.060914</v>
      </c>
      <c r="AI336" s="213">
        <f t="shared" si="285"/>
        <v>-9.7491653884327345E-2</v>
      </c>
      <c r="AJ336" s="50"/>
      <c r="AK336" s="10"/>
      <c r="AL336" s="23">
        <f t="shared" si="286"/>
        <v>126397</v>
      </c>
      <c r="AM336" s="24"/>
      <c r="AN336" s="24"/>
      <c r="AO336" s="24">
        <v>178263</v>
      </c>
      <c r="AP336" s="24">
        <v>17639217</v>
      </c>
      <c r="AQ336" s="24"/>
      <c r="AR336" s="461">
        <f t="shared" si="287"/>
        <v>7.2173984543894131E-3</v>
      </c>
      <c r="AS336" s="25"/>
      <c r="AT336" s="25"/>
      <c r="AU336" s="24"/>
      <c r="AV336" s="298">
        <f t="shared" si="288"/>
        <v>0.63663593137799468</v>
      </c>
      <c r="AW336" s="298"/>
      <c r="AX336" s="24">
        <f t="shared" si="289"/>
        <v>53942.559633027522</v>
      </c>
      <c r="AY336" s="308"/>
      <c r="AZ336" s="10"/>
      <c r="BA336" s="65">
        <f t="shared" si="290"/>
        <v>1661500</v>
      </c>
      <c r="BB336" s="66"/>
      <c r="BC336" s="66">
        <v>327171794</v>
      </c>
      <c r="BD336" s="66"/>
      <c r="BE336" s="66">
        <f t="shared" si="291"/>
        <v>95542</v>
      </c>
      <c r="BF336" s="66"/>
      <c r="BG336" s="144">
        <f t="shared" si="292"/>
        <v>5.7503460728257599E-2</v>
      </c>
      <c r="BH336" s="66"/>
      <c r="BI336" s="170"/>
      <c r="BJ336" s="66"/>
      <c r="BK336" s="66">
        <f t="shared" si="293"/>
        <v>11556832</v>
      </c>
      <c r="BL336" s="66"/>
      <c r="BM336" s="144">
        <f t="shared" si="294"/>
        <v>6.4416269095198403E-2</v>
      </c>
      <c r="BN336" s="65">
        <f t="shared" si="295"/>
        <v>1000525.3639143731</v>
      </c>
      <c r="BO336" s="66"/>
      <c r="BP336" s="66">
        <f t="shared" si="296"/>
        <v>26799936</v>
      </c>
      <c r="BQ336" s="66"/>
      <c r="BR336" s="435">
        <f t="shared" si="277"/>
        <v>8.1913956189022821E-2</v>
      </c>
      <c r="BS336" s="66"/>
      <c r="BT336" s="75"/>
      <c r="BU336" s="170"/>
      <c r="BV336" s="1"/>
      <c r="BW336" s="61">
        <f t="shared" si="186"/>
        <v>327</v>
      </c>
    </row>
    <row r="337" spans="2:75" x14ac:dyDescent="0.3">
      <c r="B337" s="158">
        <f t="shared" si="161"/>
        <v>44237</v>
      </c>
      <c r="C337" s="61"/>
      <c r="D337" s="17">
        <v>96806</v>
      </c>
      <c r="E337" s="16"/>
      <c r="F337" s="16"/>
      <c r="G337" s="16"/>
      <c r="H337" s="16">
        <f t="shared" si="278"/>
        <v>27803720</v>
      </c>
      <c r="I337" s="16"/>
      <c r="J337" s="436">
        <f t="shared" si="279"/>
        <v>3.4939293491869933E-3</v>
      </c>
      <c r="K337" s="16"/>
      <c r="L337" s="16"/>
      <c r="M337" s="16"/>
      <c r="N337" s="16">
        <f t="shared" si="297"/>
        <v>727795</v>
      </c>
      <c r="O337" s="16">
        <f t="shared" si="280"/>
        <v>84767.439024390245</v>
      </c>
      <c r="P337" s="41"/>
      <c r="Q337" s="17">
        <f t="shared" si="298"/>
        <v>727795</v>
      </c>
      <c r="R337" s="16"/>
      <c r="S337" s="60">
        <f t="shared" si="299"/>
        <v>-0.22273354464987527</v>
      </c>
      <c r="T337" s="16"/>
      <c r="U337" s="41"/>
      <c r="V337" s="10">
        <f t="shared" si="109"/>
        <v>229</v>
      </c>
      <c r="W337" s="34">
        <v>3432</v>
      </c>
      <c r="X337" s="33">
        <v>4256</v>
      </c>
      <c r="Y337" s="33"/>
      <c r="Z337" s="33"/>
      <c r="AA337" s="33">
        <f t="shared" si="281"/>
        <v>480449</v>
      </c>
      <c r="AB337" s="33"/>
      <c r="AC337" s="46">
        <f t="shared" si="282"/>
        <v>1.7280025838269125E-2</v>
      </c>
      <c r="AD337" s="33"/>
      <c r="AE337" s="33">
        <f t="shared" si="283"/>
        <v>1464.7835365853659</v>
      </c>
      <c r="AF337" s="50"/>
      <c r="AG337" s="33">
        <f t="shared" si="284"/>
        <v>19438</v>
      </c>
      <c r="AH337" s="33">
        <f>SUM(D308:D989)</f>
        <v>1204928407.060914</v>
      </c>
      <c r="AI337" s="213">
        <f t="shared" si="285"/>
        <v>-0.11512723630900897</v>
      </c>
      <c r="AJ337" s="50"/>
      <c r="AK337" s="10"/>
      <c r="AL337" s="23">
        <f t="shared" si="286"/>
        <v>188106</v>
      </c>
      <c r="AM337" s="24"/>
      <c r="AN337" s="24"/>
      <c r="AO337" s="24">
        <v>178263</v>
      </c>
      <c r="AP337" s="24">
        <v>17827323</v>
      </c>
      <c r="AQ337" s="24"/>
      <c r="AR337" s="461">
        <f t="shared" si="287"/>
        <v>1.0664078796694888E-2</v>
      </c>
      <c r="AS337" s="25"/>
      <c r="AT337" s="25"/>
      <c r="AU337" s="24"/>
      <c r="AV337" s="298">
        <f t="shared" si="288"/>
        <v>0.64118481267974214</v>
      </c>
      <c r="AW337" s="298"/>
      <c r="AX337" s="24">
        <f t="shared" si="289"/>
        <v>54351.594512195123</v>
      </c>
      <c r="AY337" s="308"/>
      <c r="AZ337" s="10"/>
      <c r="BA337" s="65">
        <f t="shared" si="290"/>
        <v>1303452</v>
      </c>
      <c r="BB337" s="66"/>
      <c r="BC337" s="66">
        <v>328475246</v>
      </c>
      <c r="BD337" s="66"/>
      <c r="BE337" s="66">
        <f t="shared" si="291"/>
        <v>96806</v>
      </c>
      <c r="BF337" s="66"/>
      <c r="BG337" s="144">
        <f t="shared" si="292"/>
        <v>7.4268941242178463E-2</v>
      </c>
      <c r="BH337" s="66"/>
      <c r="BI337" s="170"/>
      <c r="BJ337" s="66"/>
      <c r="BK337" s="66">
        <f t="shared" si="293"/>
        <v>11388488</v>
      </c>
      <c r="BL337" s="66"/>
      <c r="BM337" s="144">
        <f t="shared" si="294"/>
        <v>6.3906200717777459E-2</v>
      </c>
      <c r="BN337" s="65">
        <f t="shared" si="295"/>
        <v>1001448.9207317074</v>
      </c>
      <c r="BO337" s="66"/>
      <c r="BP337" s="66">
        <f t="shared" si="296"/>
        <v>26896742</v>
      </c>
      <c r="BQ337" s="66"/>
      <c r="BR337" s="435">
        <f t="shared" ref="BR337:BR368" si="300">+BP337/BC337</f>
        <v>8.1883619321499804E-2</v>
      </c>
      <c r="BS337" s="66"/>
      <c r="BT337" s="75"/>
      <c r="BU337" s="170"/>
      <c r="BV337" s="1"/>
      <c r="BW337" s="61">
        <f t="shared" si="186"/>
        <v>328</v>
      </c>
    </row>
    <row r="338" spans="2:75" x14ac:dyDescent="0.3">
      <c r="B338" s="158">
        <f t="shared" si="161"/>
        <v>44238</v>
      </c>
      <c r="C338" s="61"/>
      <c r="D338" s="17">
        <v>104244</v>
      </c>
      <c r="E338" s="16"/>
      <c r="F338" s="16"/>
      <c r="G338" s="16"/>
      <c r="H338" s="16">
        <f t="shared" si="278"/>
        <v>27907964</v>
      </c>
      <c r="I338" s="16"/>
      <c r="J338" s="436">
        <f t="shared" si="279"/>
        <v>3.7492824701155099E-3</v>
      </c>
      <c r="K338" s="16"/>
      <c r="L338" s="16"/>
      <c r="M338" s="16"/>
      <c r="N338" s="16">
        <f t="shared" si="297"/>
        <v>710302</v>
      </c>
      <c r="O338" s="16">
        <f t="shared" si="280"/>
        <v>84826.638297872341</v>
      </c>
      <c r="P338" s="41"/>
      <c r="Q338" s="17">
        <f t="shared" si="298"/>
        <v>710302</v>
      </c>
      <c r="R338" s="16"/>
      <c r="S338" s="60">
        <f t="shared" si="299"/>
        <v>-0.20677062859593326</v>
      </c>
      <c r="T338" s="16"/>
      <c r="U338" s="41"/>
      <c r="V338" s="10">
        <f t="shared" si="109"/>
        <v>230</v>
      </c>
      <c r="W338" s="34">
        <v>3250</v>
      </c>
      <c r="X338" s="33">
        <v>4256</v>
      </c>
      <c r="Y338" s="33"/>
      <c r="Z338" s="33"/>
      <c r="AA338" s="33">
        <f t="shared" si="281"/>
        <v>483699</v>
      </c>
      <c r="AB338" s="33"/>
      <c r="AC338" s="46">
        <f t="shared" si="282"/>
        <v>1.7331934353935673E-2</v>
      </c>
      <c r="AD338" s="33"/>
      <c r="AE338" s="33">
        <f t="shared" si="283"/>
        <v>1470.2097264437689</v>
      </c>
      <c r="AF338" s="50"/>
      <c r="AG338" s="33">
        <f t="shared" si="284"/>
        <v>19156</v>
      </c>
      <c r="AH338" s="33">
        <f>SUM(D309:D990)</f>
        <v>1204704779.060914</v>
      </c>
      <c r="AI338" s="213">
        <f t="shared" si="285"/>
        <v>-0.11232622798887859</v>
      </c>
      <c r="AJ338" s="50"/>
      <c r="AK338" s="10"/>
      <c r="AL338" s="23">
        <f t="shared" si="286"/>
        <v>125000</v>
      </c>
      <c r="AM338" s="24"/>
      <c r="AN338" s="24"/>
      <c r="AO338" s="24">
        <v>178263</v>
      </c>
      <c r="AP338" s="24">
        <f>17827323+125000</f>
        <v>17952323</v>
      </c>
      <c r="AQ338" s="24"/>
      <c r="AR338" s="461">
        <f t="shared" si="287"/>
        <v>7.0117089368942273E-3</v>
      </c>
      <c r="AS338" s="25"/>
      <c r="AT338" s="25"/>
      <c r="AU338" s="24"/>
      <c r="AV338" s="298">
        <f t="shared" si="288"/>
        <v>0.64326881746013431</v>
      </c>
      <c r="AW338" s="298"/>
      <c r="AX338" s="24">
        <f t="shared" si="289"/>
        <v>54566.331306990884</v>
      </c>
      <c r="AY338" s="308"/>
      <c r="AZ338" s="10"/>
      <c r="BA338" s="65">
        <f t="shared" si="290"/>
        <v>1750000</v>
      </c>
      <c r="BB338" s="66"/>
      <c r="BC338" s="66">
        <f>328475246+1750000</f>
        <v>330225246</v>
      </c>
      <c r="BD338" s="66"/>
      <c r="BE338" s="66">
        <f t="shared" si="291"/>
        <v>104244</v>
      </c>
      <c r="BF338" s="66"/>
      <c r="BG338" s="144">
        <f t="shared" si="292"/>
        <v>5.9568000000000003E-2</v>
      </c>
      <c r="BH338" s="66"/>
      <c r="BI338" s="170"/>
      <c r="BJ338" s="66"/>
      <c r="BK338" s="66">
        <f t="shared" si="293"/>
        <v>11492861</v>
      </c>
      <c r="BL338" s="66"/>
      <c r="BM338" s="144">
        <f t="shared" si="294"/>
        <v>6.180375800246779E-2</v>
      </c>
      <c r="BN338" s="65">
        <f t="shared" si="295"/>
        <v>1003724.1519756839</v>
      </c>
      <c r="BO338" s="66"/>
      <c r="BP338" s="66">
        <f t="shared" si="296"/>
        <v>27000986</v>
      </c>
      <c r="BQ338" s="66"/>
      <c r="BR338" s="435">
        <f t="shared" si="300"/>
        <v>8.1765359635768128E-2</v>
      </c>
      <c r="BS338" s="66"/>
      <c r="BT338" s="75"/>
      <c r="BU338" s="170"/>
      <c r="BV338" s="1"/>
      <c r="BW338" s="61">
        <f t="shared" si="186"/>
        <v>329</v>
      </c>
    </row>
    <row r="339" spans="2:75" x14ac:dyDescent="0.3">
      <c r="B339" s="158">
        <f t="shared" si="161"/>
        <v>44239</v>
      </c>
      <c r="C339" s="61"/>
      <c r="D339" s="17">
        <v>100288</v>
      </c>
      <c r="E339" s="16"/>
      <c r="F339" s="16"/>
      <c r="G339" s="16"/>
      <c r="H339" s="16">
        <f t="shared" si="278"/>
        <v>28008252</v>
      </c>
      <c r="I339" s="16"/>
      <c r="J339" s="436">
        <f t="shared" si="279"/>
        <v>3.5935262063545733E-3</v>
      </c>
      <c r="K339" s="16"/>
      <c r="L339" s="16"/>
      <c r="M339" s="16"/>
      <c r="N339" s="16">
        <f t="shared" si="297"/>
        <v>684465</v>
      </c>
      <c r="O339" s="16">
        <f t="shared" si="280"/>
        <v>84873.490909090906</v>
      </c>
      <c r="P339" s="41"/>
      <c r="Q339" s="17">
        <f t="shared" si="298"/>
        <v>684465</v>
      </c>
      <c r="R339" s="16"/>
      <c r="S339" s="60">
        <f t="shared" si="299"/>
        <v>-0.19715370864748966</v>
      </c>
      <c r="T339" s="16"/>
      <c r="U339" s="41"/>
      <c r="V339" s="10">
        <f t="shared" si="109"/>
        <v>231</v>
      </c>
      <c r="W339" s="34">
        <v>2908</v>
      </c>
      <c r="X339" s="33">
        <v>4256</v>
      </c>
      <c r="Y339" s="33"/>
      <c r="Z339" s="33"/>
      <c r="AA339" s="33">
        <f t="shared" si="281"/>
        <v>486607</v>
      </c>
      <c r="AB339" s="33"/>
      <c r="AC339" s="46">
        <f t="shared" si="282"/>
        <v>1.7373701150646601E-2</v>
      </c>
      <c r="AD339" s="33"/>
      <c r="AE339" s="33">
        <f t="shared" si="283"/>
        <v>1474.5666666666666</v>
      </c>
      <c r="AF339" s="50"/>
      <c r="AG339" s="33">
        <f t="shared" si="284"/>
        <v>18492</v>
      </c>
      <c r="AH339" s="33">
        <f>SUM(D310:D991)</f>
        <v>1204466706.060914</v>
      </c>
      <c r="AI339" s="213">
        <f t="shared" si="285"/>
        <v>-0.13990697674418603</v>
      </c>
      <c r="AJ339" s="50"/>
      <c r="AK339" s="10"/>
      <c r="AL339" s="23">
        <f t="shared" si="286"/>
        <v>87989</v>
      </c>
      <c r="AM339" s="24"/>
      <c r="AN339" s="24"/>
      <c r="AO339" s="24">
        <v>178263</v>
      </c>
      <c r="AP339" s="24">
        <v>18040312</v>
      </c>
      <c r="AQ339" s="24"/>
      <c r="AR339" s="461">
        <f t="shared" si="287"/>
        <v>4.9012598536690771E-3</v>
      </c>
      <c r="AS339" s="25"/>
      <c r="AT339" s="25"/>
      <c r="AU339" s="24"/>
      <c r="AV339" s="298">
        <f t="shared" si="288"/>
        <v>0.64410702959970512</v>
      </c>
      <c r="AW339" s="298"/>
      <c r="AX339" s="24">
        <f t="shared" si="289"/>
        <v>54667.612121212122</v>
      </c>
      <c r="AY339" s="308"/>
      <c r="AZ339" s="10"/>
      <c r="BA339" s="65">
        <f t="shared" si="290"/>
        <v>1904676</v>
      </c>
      <c r="BB339" s="66"/>
      <c r="BC339" s="66">
        <v>332129922</v>
      </c>
      <c r="BD339" s="66"/>
      <c r="BE339" s="66">
        <f t="shared" si="291"/>
        <v>100288</v>
      </c>
      <c r="BF339" s="66"/>
      <c r="BG339" s="144">
        <f t="shared" si="292"/>
        <v>5.2653574676217896E-2</v>
      </c>
      <c r="BH339" s="66"/>
      <c r="BI339" s="170"/>
      <c r="BJ339" s="66"/>
      <c r="BK339" s="66">
        <f t="shared" si="293"/>
        <v>11490383</v>
      </c>
      <c r="BL339" s="66"/>
      <c r="BM339" s="144">
        <f t="shared" si="294"/>
        <v>5.9568510466535364E-2</v>
      </c>
      <c r="BN339" s="65">
        <f t="shared" si="295"/>
        <v>1006454.3090909091</v>
      </c>
      <c r="BO339" s="66"/>
      <c r="BP339" s="66">
        <f t="shared" si="296"/>
        <v>27101274</v>
      </c>
      <c r="BQ339" s="66"/>
      <c r="BR339" s="435">
        <f t="shared" si="300"/>
        <v>8.1598411359034367E-2</v>
      </c>
      <c r="BS339" s="66"/>
      <c r="BT339" s="75"/>
      <c r="BU339" s="170"/>
      <c r="BV339" s="1"/>
      <c r="BW339" s="61">
        <f t="shared" si="186"/>
        <v>330</v>
      </c>
    </row>
    <row r="340" spans="2:75" x14ac:dyDescent="0.3">
      <c r="B340" s="158">
        <f t="shared" si="161"/>
        <v>44240</v>
      </c>
      <c r="C340" s="61"/>
      <c r="D340" s="17">
        <v>86484</v>
      </c>
      <c r="E340" s="16"/>
      <c r="F340" s="16"/>
      <c r="G340" s="16"/>
      <c r="H340" s="16">
        <f t="shared" si="278"/>
        <v>28094736</v>
      </c>
      <c r="I340" s="16"/>
      <c r="J340" s="436">
        <f t="shared" si="279"/>
        <v>3.0878042656856987E-3</v>
      </c>
      <c r="K340" s="16"/>
      <c r="L340" s="16"/>
      <c r="M340" s="16"/>
      <c r="N340" s="16">
        <f t="shared" si="297"/>
        <v>664966</v>
      </c>
      <c r="O340" s="16">
        <f t="shared" si="280"/>
        <v>84878.356495468281</v>
      </c>
      <c r="P340" s="41"/>
      <c r="Q340" s="17">
        <f t="shared" si="298"/>
        <v>664966</v>
      </c>
      <c r="R340" s="16"/>
      <c r="S340" s="60">
        <f t="shared" si="299"/>
        <v>-0.18688332952229092</v>
      </c>
      <c r="T340" s="16"/>
      <c r="U340" s="41"/>
      <c r="V340" s="10">
        <f t="shared" si="109"/>
        <v>232</v>
      </c>
      <c r="W340" s="34">
        <v>2272</v>
      </c>
      <c r="X340" s="33">
        <v>4256</v>
      </c>
      <c r="Y340" s="33"/>
      <c r="Z340" s="33"/>
      <c r="AA340" s="33">
        <f t="shared" si="281"/>
        <v>488879</v>
      </c>
      <c r="AB340" s="33"/>
      <c r="AC340" s="46">
        <f t="shared" si="282"/>
        <v>1.7401088944206489E-2</v>
      </c>
      <c r="AD340" s="33"/>
      <c r="AE340" s="33">
        <f t="shared" si="283"/>
        <v>1476.97583081571</v>
      </c>
      <c r="AF340" s="50"/>
      <c r="AG340" s="33">
        <f t="shared" si="284"/>
        <v>18034</v>
      </c>
      <c r="AH340" s="33">
        <f>SUM(D311:D992)</f>
        <v>1204232287.060914</v>
      </c>
      <c r="AI340" s="213">
        <f t="shared" si="285"/>
        <v>-0.15495993627290192</v>
      </c>
      <c r="AJ340" s="50"/>
      <c r="AK340" s="10"/>
      <c r="AL340" s="23">
        <f t="shared" si="286"/>
        <v>113014</v>
      </c>
      <c r="AM340" s="24"/>
      <c r="AN340" s="24"/>
      <c r="AO340" s="24">
        <v>178263</v>
      </c>
      <c r="AP340" s="24">
        <v>18153326</v>
      </c>
      <c r="AQ340" s="24"/>
      <c r="AR340" s="461">
        <f t="shared" si="287"/>
        <v>6.2645258019927812E-3</v>
      </c>
      <c r="AS340" s="25"/>
      <c r="AT340" s="25"/>
      <c r="AU340" s="24"/>
      <c r="AV340" s="298">
        <f t="shared" si="288"/>
        <v>0.64614687961474349</v>
      </c>
      <c r="AW340" s="298"/>
      <c r="AX340" s="24">
        <f t="shared" si="289"/>
        <v>54843.88519637462</v>
      </c>
      <c r="AY340" s="308"/>
      <c r="AZ340" s="10"/>
      <c r="BA340" s="65">
        <f t="shared" si="290"/>
        <v>1698436</v>
      </c>
      <c r="BB340" s="66"/>
      <c r="BC340" s="66">
        <v>333828358</v>
      </c>
      <c r="BD340" s="66"/>
      <c r="BE340" s="66">
        <f t="shared" si="291"/>
        <v>86484</v>
      </c>
      <c r="BF340" s="66"/>
      <c r="BG340" s="144">
        <f t="shared" si="292"/>
        <v>5.0919787380860983E-2</v>
      </c>
      <c r="BH340" s="66"/>
      <c r="BI340" s="170"/>
      <c r="BJ340" s="66"/>
      <c r="BK340" s="66">
        <f t="shared" si="293"/>
        <v>11432955</v>
      </c>
      <c r="BL340" s="66"/>
      <c r="BM340" s="144">
        <f t="shared" si="294"/>
        <v>5.8162216154966064E-2</v>
      </c>
      <c r="BN340" s="65">
        <f t="shared" si="295"/>
        <v>1008544.8882175226</v>
      </c>
      <c r="BO340" s="66"/>
      <c r="BP340" s="66">
        <f t="shared" si="296"/>
        <v>27187758</v>
      </c>
      <c r="BQ340" s="66"/>
      <c r="BR340" s="435">
        <f t="shared" si="300"/>
        <v>8.1442326118981181E-2</v>
      </c>
      <c r="BS340" s="66"/>
      <c r="BT340" s="75"/>
      <c r="BU340" s="170"/>
      <c r="BV340" s="1"/>
      <c r="BW340" s="61">
        <f t="shared" si="186"/>
        <v>331</v>
      </c>
    </row>
    <row r="341" spans="2:75" x14ac:dyDescent="0.3">
      <c r="B341" s="347">
        <f t="shared" si="161"/>
        <v>44241</v>
      </c>
      <c r="C341" s="61"/>
      <c r="D341" s="17">
        <v>64297</v>
      </c>
      <c r="E341" s="16"/>
      <c r="F341" s="16"/>
      <c r="G341" s="16"/>
      <c r="H341" s="16">
        <f t="shared" si="278"/>
        <v>28159033</v>
      </c>
      <c r="I341" s="16"/>
      <c r="J341" s="436">
        <f t="shared" si="279"/>
        <v>2.2885781877430705E-3</v>
      </c>
      <c r="K341" s="16"/>
      <c r="L341" s="16"/>
      <c r="M341" s="16"/>
      <c r="N341" s="16">
        <f t="shared" si="297"/>
        <v>638007</v>
      </c>
      <c r="O341" s="16">
        <f t="shared" si="280"/>
        <v>84816.364457831325</v>
      </c>
      <c r="P341" s="41"/>
      <c r="Q341" s="17">
        <f t="shared" si="298"/>
        <v>638007</v>
      </c>
      <c r="R341" s="16"/>
      <c r="S341" s="60">
        <f t="shared" si="299"/>
        <v>-0.20372448170895327</v>
      </c>
      <c r="T341" s="16"/>
      <c r="U341" s="41"/>
      <c r="V341" s="10">
        <f t="shared" si="109"/>
        <v>233</v>
      </c>
      <c r="W341" s="34">
        <v>1111</v>
      </c>
      <c r="X341" s="33">
        <v>4256</v>
      </c>
      <c r="Y341" s="33"/>
      <c r="Z341" s="33"/>
      <c r="AA341" s="33">
        <f t="shared" si="281"/>
        <v>489990</v>
      </c>
      <c r="AB341" s="33"/>
      <c r="AC341" s="46">
        <f t="shared" si="282"/>
        <v>1.7400810603119786E-2</v>
      </c>
      <c r="AD341" s="33"/>
      <c r="AE341" s="33">
        <f t="shared" si="283"/>
        <v>1475.8734939759036</v>
      </c>
      <c r="AF341" s="50"/>
      <c r="AG341" s="33">
        <f t="shared" si="284"/>
        <v>17830</v>
      </c>
      <c r="AH341" s="33">
        <f>SUM(D312:D993)</f>
        <v>1203983481.060914</v>
      </c>
      <c r="AI341" s="213">
        <f t="shared" si="285"/>
        <v>-0.14155031295137216</v>
      </c>
      <c r="AJ341" s="50"/>
      <c r="AK341" s="10"/>
      <c r="AL341" s="23">
        <f t="shared" si="286"/>
        <v>70962</v>
      </c>
      <c r="AM341" s="24"/>
      <c r="AN341" s="24"/>
      <c r="AO341" s="24">
        <v>178263</v>
      </c>
      <c r="AP341" s="24">
        <v>18224288</v>
      </c>
      <c r="AQ341" s="24"/>
      <c r="AR341" s="461">
        <f t="shared" si="287"/>
        <v>3.9090357326255253E-3</v>
      </c>
      <c r="AS341" s="25"/>
      <c r="AT341" s="25"/>
      <c r="AU341" s="24"/>
      <c r="AV341" s="298">
        <f t="shared" si="288"/>
        <v>0.64719154240843424</v>
      </c>
      <c r="AW341" s="298"/>
      <c r="AX341" s="24">
        <f t="shared" si="289"/>
        <v>54892.433734939761</v>
      </c>
      <c r="AY341" s="308"/>
      <c r="AZ341" s="10"/>
      <c r="BA341" s="65">
        <f t="shared" si="290"/>
        <v>1285060</v>
      </c>
      <c r="BB341" s="66"/>
      <c r="BC341" s="66">
        <v>335113418</v>
      </c>
      <c r="BD341" s="66"/>
      <c r="BE341" s="66">
        <f t="shared" si="291"/>
        <v>64297</v>
      </c>
      <c r="BF341" s="66"/>
      <c r="BG341" s="144">
        <f t="shared" si="292"/>
        <v>5.0034239646397832E-2</v>
      </c>
      <c r="BH341" s="66"/>
      <c r="BI341" s="170"/>
      <c r="BJ341" s="66"/>
      <c r="BK341" s="66">
        <f t="shared" si="293"/>
        <v>11308452</v>
      </c>
      <c r="BL341" s="66"/>
      <c r="BM341" s="144">
        <f t="shared" si="294"/>
        <v>5.6418597346480311E-2</v>
      </c>
      <c r="BN341" s="65">
        <f t="shared" si="295"/>
        <v>1009377.765060241</v>
      </c>
      <c r="BO341" s="66"/>
      <c r="BP341" s="66">
        <f t="shared" si="296"/>
        <v>27252055</v>
      </c>
      <c r="BQ341" s="66"/>
      <c r="BR341" s="435">
        <f t="shared" si="300"/>
        <v>8.1321885475800312E-2</v>
      </c>
      <c r="BS341" s="66"/>
      <c r="BT341" s="75"/>
      <c r="BU341" s="170"/>
      <c r="BV341" s="1"/>
      <c r="BW341" s="61">
        <f t="shared" si="186"/>
        <v>332</v>
      </c>
    </row>
    <row r="342" spans="2:75" x14ac:dyDescent="0.3">
      <c r="B342" s="158">
        <f t="shared" si="161"/>
        <v>44242</v>
      </c>
      <c r="C342" s="61"/>
      <c r="D342" s="17">
        <v>52785</v>
      </c>
      <c r="E342" s="16"/>
      <c r="F342" s="16"/>
      <c r="G342" s="16"/>
      <c r="H342" s="16">
        <f t="shared" si="278"/>
        <v>28211818</v>
      </c>
      <c r="I342" s="16"/>
      <c r="J342" s="436">
        <f t="shared" si="279"/>
        <v>1.8745317000054653E-3</v>
      </c>
      <c r="K342" s="16"/>
      <c r="L342" s="16"/>
      <c r="M342" s="16"/>
      <c r="N342" s="16">
        <f t="shared" si="297"/>
        <v>600446</v>
      </c>
      <c r="O342" s="16">
        <f t="shared" si="280"/>
        <v>84720.174174174172</v>
      </c>
      <c r="P342" s="41"/>
      <c r="Q342" s="17">
        <f t="shared" si="298"/>
        <v>600446</v>
      </c>
      <c r="R342" s="16"/>
      <c r="S342" s="60">
        <f t="shared" si="299"/>
        <v>-0.21523970342411058</v>
      </c>
      <c r="T342" s="16"/>
      <c r="U342" s="41"/>
      <c r="V342" s="10">
        <f t="shared" si="109"/>
        <v>234</v>
      </c>
      <c r="W342" s="34">
        <v>954</v>
      </c>
      <c r="X342" s="33">
        <v>4256</v>
      </c>
      <c r="Y342" s="33"/>
      <c r="Z342" s="33"/>
      <c r="AA342" s="33">
        <f t="shared" si="281"/>
        <v>490944</v>
      </c>
      <c r="AB342" s="33"/>
      <c r="AC342" s="46">
        <f t="shared" si="282"/>
        <v>1.7402068877659709E-2</v>
      </c>
      <c r="AD342" s="33"/>
      <c r="AE342" s="33">
        <f t="shared" si="283"/>
        <v>1474.3063063063064</v>
      </c>
      <c r="AF342" s="50"/>
      <c r="AG342" s="33">
        <f t="shared" si="284"/>
        <v>17192</v>
      </c>
      <c r="AH342" s="33">
        <f>SUM(D313:D994)</f>
        <v>1203780714.060914</v>
      </c>
      <c r="AI342" s="213">
        <f t="shared" si="285"/>
        <v>-0.15919205751454982</v>
      </c>
      <c r="AJ342" s="50"/>
      <c r="AK342" s="10"/>
      <c r="AL342" s="23">
        <f t="shared" si="286"/>
        <v>132337</v>
      </c>
      <c r="AM342" s="24"/>
      <c r="AN342" s="24"/>
      <c r="AO342" s="24">
        <v>178263</v>
      </c>
      <c r="AP342" s="24">
        <v>18356625</v>
      </c>
      <c r="AQ342" s="24"/>
      <c r="AR342" s="461">
        <f t="shared" si="287"/>
        <v>7.2615731270269657E-3</v>
      </c>
      <c r="AS342" s="25"/>
      <c r="AT342" s="25"/>
      <c r="AU342" s="24"/>
      <c r="AV342" s="298">
        <f t="shared" si="288"/>
        <v>0.65067146682996468</v>
      </c>
      <c r="AW342" s="298"/>
      <c r="AX342" s="24">
        <f t="shared" si="289"/>
        <v>55125</v>
      </c>
      <c r="AY342" s="308"/>
      <c r="AZ342" s="10"/>
      <c r="BA342" s="65">
        <f t="shared" si="290"/>
        <v>1354277</v>
      </c>
      <c r="BB342" s="66"/>
      <c r="BC342" s="66">
        <v>336467695</v>
      </c>
      <c r="BD342" s="66"/>
      <c r="BE342" s="66">
        <f t="shared" si="291"/>
        <v>52785</v>
      </c>
      <c r="BF342" s="66"/>
      <c r="BG342" s="144">
        <f t="shared" si="292"/>
        <v>3.8976516621045766E-2</v>
      </c>
      <c r="BH342" s="66"/>
      <c r="BI342" s="170"/>
      <c r="BJ342" s="66"/>
      <c r="BK342" s="66">
        <f t="shared" si="293"/>
        <v>10957401</v>
      </c>
      <c r="BL342" s="66"/>
      <c r="BM342" s="144">
        <f t="shared" si="294"/>
        <v>5.4798213554473361E-2</v>
      </c>
      <c r="BN342" s="65">
        <f t="shared" si="295"/>
        <v>1010413.4984984985</v>
      </c>
      <c r="BO342" s="66"/>
      <c r="BP342" s="66">
        <f t="shared" si="296"/>
        <v>27304840</v>
      </c>
      <c r="BQ342" s="66"/>
      <c r="BR342" s="435">
        <f t="shared" si="300"/>
        <v>8.1151446054873108E-2</v>
      </c>
      <c r="BS342" s="66"/>
      <c r="BT342" s="75"/>
      <c r="BU342" s="170"/>
      <c r="BV342" s="1"/>
      <c r="BW342" s="61">
        <f t="shared" si="186"/>
        <v>333</v>
      </c>
    </row>
    <row r="343" spans="2:75" x14ac:dyDescent="0.3">
      <c r="B343" s="158">
        <f t="shared" si="161"/>
        <v>44243</v>
      </c>
      <c r="C343" s="61"/>
      <c r="D343" s="17">
        <v>63398</v>
      </c>
      <c r="E343" s="16"/>
      <c r="F343" s="16"/>
      <c r="G343" s="16"/>
      <c r="H343" s="16">
        <f t="shared" si="278"/>
        <v>28275216</v>
      </c>
      <c r="I343" s="16"/>
      <c r="J343" s="436">
        <f t="shared" si="279"/>
        <v>2.2472142702749608E-3</v>
      </c>
      <c r="K343" s="16"/>
      <c r="L343" s="16"/>
      <c r="M343" s="16"/>
      <c r="N343" s="16">
        <f t="shared" si="297"/>
        <v>568302</v>
      </c>
      <c r="O343" s="16">
        <f t="shared" si="280"/>
        <v>84656.335329341324</v>
      </c>
      <c r="P343" s="41"/>
      <c r="Q343" s="17">
        <f t="shared" si="298"/>
        <v>568302</v>
      </c>
      <c r="R343" s="16"/>
      <c r="S343" s="60">
        <f t="shared" si="299"/>
        <v>-0.23661289975928473</v>
      </c>
      <c r="T343" s="16"/>
      <c r="U343" s="41"/>
      <c r="V343" s="10">
        <f t="shared" si="109"/>
        <v>235</v>
      </c>
      <c r="W343" s="34">
        <v>1787</v>
      </c>
      <c r="X343" s="33">
        <v>4256</v>
      </c>
      <c r="Y343" s="33"/>
      <c r="Z343" s="33"/>
      <c r="AA343" s="33">
        <f t="shared" si="281"/>
        <v>492731</v>
      </c>
      <c r="AB343" s="33"/>
      <c r="AC343" s="46">
        <f t="shared" si="282"/>
        <v>1.7426250607599249E-2</v>
      </c>
      <c r="AD343" s="33"/>
      <c r="AE343" s="33">
        <f t="shared" si="283"/>
        <v>1475.2425149700598</v>
      </c>
      <c r="AF343" s="50"/>
      <c r="AG343" s="33">
        <f t="shared" si="284"/>
        <v>15714</v>
      </c>
      <c r="AH343" s="33">
        <f>SUM(D314:D995)</f>
        <v>1203606154.060914</v>
      </c>
      <c r="AI343" s="213">
        <f t="shared" si="285"/>
        <v>-0.2144963759060235</v>
      </c>
      <c r="AJ343" s="50"/>
      <c r="AK343" s="10"/>
      <c r="AL343" s="23">
        <f t="shared" si="286"/>
        <v>122793</v>
      </c>
      <c r="AM343" s="24"/>
      <c r="AN343" s="24"/>
      <c r="AO343" s="24">
        <v>178263</v>
      </c>
      <c r="AP343" s="24">
        <v>18479418</v>
      </c>
      <c r="AQ343" s="24"/>
      <c r="AR343" s="461">
        <f t="shared" si="287"/>
        <v>6.6893015464444035E-3</v>
      </c>
      <c r="AS343" s="25"/>
      <c r="AT343" s="25"/>
      <c r="AU343" s="24"/>
      <c r="AV343" s="298">
        <f t="shared" si="288"/>
        <v>0.65355532562509866</v>
      </c>
      <c r="AW343" s="298"/>
      <c r="AX343" s="24">
        <f t="shared" si="289"/>
        <v>55327.598802395209</v>
      </c>
      <c r="AY343" s="308"/>
      <c r="AZ343" s="10"/>
      <c r="BA343" s="65">
        <f t="shared" si="290"/>
        <v>1198213</v>
      </c>
      <c r="BB343" s="66"/>
      <c r="BC343" s="66">
        <v>337665908</v>
      </c>
      <c r="BD343" s="66"/>
      <c r="BE343" s="66">
        <f t="shared" si="291"/>
        <v>63398</v>
      </c>
      <c r="BF343" s="66"/>
      <c r="BG343" s="144">
        <f t="shared" si="292"/>
        <v>5.2910459158763926E-2</v>
      </c>
      <c r="BH343" s="66"/>
      <c r="BI343" s="170"/>
      <c r="BJ343" s="66"/>
      <c r="BK343" s="66">
        <f t="shared" si="293"/>
        <v>10494114</v>
      </c>
      <c r="BL343" s="66"/>
      <c r="BM343" s="144">
        <f t="shared" si="294"/>
        <v>5.4154357385482951E-2</v>
      </c>
      <c r="BN343" s="65">
        <f t="shared" si="295"/>
        <v>1010975.7724550898</v>
      </c>
      <c r="BO343" s="66"/>
      <c r="BP343" s="66">
        <f t="shared" si="296"/>
        <v>27368238</v>
      </c>
      <c r="BQ343" s="66"/>
      <c r="BR343" s="435">
        <f t="shared" si="300"/>
        <v>8.1051232450745372E-2</v>
      </c>
      <c r="BS343" s="66"/>
      <c r="BT343" s="75"/>
      <c r="BU343" s="170"/>
      <c r="BV343" s="1"/>
      <c r="BW343" s="61">
        <f t="shared" si="186"/>
        <v>334</v>
      </c>
    </row>
    <row r="344" spans="2:75" x14ac:dyDescent="0.3">
      <c r="B344" s="158">
        <f t="shared" si="161"/>
        <v>44244</v>
      </c>
      <c r="C344" s="61"/>
      <c r="D344" s="17">
        <v>71640</v>
      </c>
      <c r="E344" s="16"/>
      <c r="F344" s="16"/>
      <c r="G344" s="16"/>
      <c r="H344" s="16">
        <f t="shared" si="278"/>
        <v>28346856</v>
      </c>
      <c r="I344" s="16"/>
      <c r="J344" s="436">
        <f t="shared" si="279"/>
        <v>2.5336676473134635E-3</v>
      </c>
      <c r="K344" s="16"/>
      <c r="L344" s="16"/>
      <c r="M344" s="16"/>
      <c r="N344" s="16">
        <f t="shared" si="297"/>
        <v>543136</v>
      </c>
      <c r="O344" s="16">
        <f t="shared" si="280"/>
        <v>84617.480597014932</v>
      </c>
      <c r="P344" s="41"/>
      <c r="Q344" s="17">
        <f t="shared" si="298"/>
        <v>543136</v>
      </c>
      <c r="R344" s="16"/>
      <c r="S344" s="60">
        <f t="shared" si="299"/>
        <v>-0.25372391951030165</v>
      </c>
      <c r="T344" s="16"/>
      <c r="U344" s="41"/>
      <c r="V344" s="10">
        <f t="shared" si="109"/>
        <v>236</v>
      </c>
      <c r="W344" s="34">
        <v>2537</v>
      </c>
      <c r="X344" s="33">
        <v>4256</v>
      </c>
      <c r="Y344" s="33"/>
      <c r="Z344" s="33"/>
      <c r="AA344" s="33">
        <f t="shared" si="281"/>
        <v>495268</v>
      </c>
      <c r="AB344" s="33"/>
      <c r="AC344" s="46">
        <f t="shared" si="282"/>
        <v>1.7471708326313156E-2</v>
      </c>
      <c r="AD344" s="33"/>
      <c r="AE344" s="33">
        <f t="shared" si="283"/>
        <v>1478.4119402985075</v>
      </c>
      <c r="AF344" s="50"/>
      <c r="AG344" s="33">
        <f t="shared" si="284"/>
        <v>14819</v>
      </c>
      <c r="AH344" s="33">
        <f>SUM(D315:D996)</f>
        <v>1203456826.060914</v>
      </c>
      <c r="AI344" s="213">
        <f t="shared" si="285"/>
        <v>-0.23762732791439448</v>
      </c>
      <c r="AJ344" s="50"/>
      <c r="AK344" s="10"/>
      <c r="AL344" s="23">
        <f t="shared" si="286"/>
        <v>117079</v>
      </c>
      <c r="AM344" s="24"/>
      <c r="AN344" s="24"/>
      <c r="AO344" s="24">
        <v>178263</v>
      </c>
      <c r="AP344" s="24">
        <v>18596497</v>
      </c>
      <c r="AQ344" s="24"/>
      <c r="AR344" s="461">
        <f t="shared" si="287"/>
        <v>6.3356432545657012E-3</v>
      </c>
      <c r="AS344" s="25"/>
      <c r="AT344" s="25"/>
      <c r="AU344" s="24"/>
      <c r="AV344" s="298">
        <f t="shared" si="288"/>
        <v>0.65603384728098246</v>
      </c>
      <c r="AW344" s="298"/>
      <c r="AX344" s="24">
        <f t="shared" si="289"/>
        <v>55511.931343283584</v>
      </c>
      <c r="AY344" s="308"/>
      <c r="AZ344" s="10"/>
      <c r="BA344" s="65">
        <f t="shared" si="290"/>
        <v>2594597</v>
      </c>
      <c r="BB344" s="66"/>
      <c r="BC344" s="66">
        <v>340260505</v>
      </c>
      <c r="BD344" s="66"/>
      <c r="BE344" s="66">
        <f t="shared" si="291"/>
        <v>71640</v>
      </c>
      <c r="BF344" s="66"/>
      <c r="BG344" s="144">
        <f t="shared" si="292"/>
        <v>2.7611224402094042E-2</v>
      </c>
      <c r="BH344" s="66"/>
      <c r="BI344" s="170"/>
      <c r="BJ344" s="66"/>
      <c r="BK344" s="66">
        <f t="shared" si="293"/>
        <v>11785259</v>
      </c>
      <c r="BL344" s="66"/>
      <c r="BM344" s="144">
        <f t="shared" si="294"/>
        <v>4.6086046984627149E-2</v>
      </c>
      <c r="BN344" s="65">
        <f t="shared" si="295"/>
        <v>1015703</v>
      </c>
      <c r="BO344" s="66"/>
      <c r="BP344" s="66">
        <f t="shared" si="296"/>
        <v>27439878</v>
      </c>
      <c r="BQ344" s="66"/>
      <c r="BR344" s="435">
        <f t="shared" si="300"/>
        <v>8.0643735011208542E-2</v>
      </c>
      <c r="BS344" s="66"/>
      <c r="BT344" s="75"/>
      <c r="BU344" s="170"/>
      <c r="BV344" s="1"/>
      <c r="BW344" s="61">
        <f t="shared" si="186"/>
        <v>335</v>
      </c>
    </row>
    <row r="345" spans="2:75" x14ac:dyDescent="0.3">
      <c r="B345" s="158">
        <f t="shared" si="161"/>
        <v>44245</v>
      </c>
      <c r="C345" s="61"/>
      <c r="D345" s="17">
        <v>68924</v>
      </c>
      <c r="E345" s="16"/>
      <c r="F345" s="16"/>
      <c r="G345" s="16"/>
      <c r="H345" s="16">
        <f t="shared" si="278"/>
        <v>28415780</v>
      </c>
      <c r="I345" s="16"/>
      <c r="J345" s="436">
        <f t="shared" si="279"/>
        <v>2.4314513045115126E-3</v>
      </c>
      <c r="K345" s="16"/>
      <c r="L345" s="16"/>
      <c r="M345" s="16"/>
      <c r="N345" s="16">
        <f t="shared" si="297"/>
        <v>507816</v>
      </c>
      <c r="O345" s="16">
        <f t="shared" si="280"/>
        <v>84570.773809523816</v>
      </c>
      <c r="P345" s="41"/>
      <c r="Q345" s="17">
        <f t="shared" si="298"/>
        <v>507816</v>
      </c>
      <c r="R345" s="16"/>
      <c r="S345" s="60">
        <f t="shared" si="299"/>
        <v>-0.28507029404394185</v>
      </c>
      <c r="T345" s="16"/>
      <c r="U345" s="41"/>
      <c r="V345" s="10">
        <f t="shared" si="109"/>
        <v>237</v>
      </c>
      <c r="W345" s="34">
        <v>2761</v>
      </c>
      <c r="X345" s="33">
        <v>4256</v>
      </c>
      <c r="Y345" s="33"/>
      <c r="Z345" s="33"/>
      <c r="AA345" s="33">
        <f t="shared" si="281"/>
        <v>498029</v>
      </c>
      <c r="AB345" s="33"/>
      <c r="AC345" s="46">
        <f t="shared" si="282"/>
        <v>1.7526494081809472E-2</v>
      </c>
      <c r="AD345" s="33"/>
      <c r="AE345" s="33">
        <f t="shared" si="283"/>
        <v>1482.2291666666667</v>
      </c>
      <c r="AF345" s="50"/>
      <c r="AG345" s="33">
        <f t="shared" si="284"/>
        <v>14330</v>
      </c>
      <c r="AH345" s="33">
        <f>SUM(D316:D997)</f>
        <v>1203282448.060914</v>
      </c>
      <c r="AI345" s="213">
        <f t="shared" si="285"/>
        <v>-0.25193150970975153</v>
      </c>
      <c r="AJ345" s="50"/>
      <c r="AK345" s="10"/>
      <c r="AL345" s="23">
        <f t="shared" si="286"/>
        <v>106924</v>
      </c>
      <c r="AM345" s="24"/>
      <c r="AN345" s="24"/>
      <c r="AO345" s="24">
        <v>178263</v>
      </c>
      <c r="AP345" s="24">
        <v>18703421</v>
      </c>
      <c r="AQ345" s="24"/>
      <c r="AR345" s="461">
        <f t="shared" si="287"/>
        <v>5.7496850078807855E-3</v>
      </c>
      <c r="AS345" s="25"/>
      <c r="AT345" s="25"/>
      <c r="AU345" s="24"/>
      <c r="AV345" s="298">
        <f t="shared" si="288"/>
        <v>0.65820544077973575</v>
      </c>
      <c r="AW345" s="298"/>
      <c r="AX345" s="24">
        <f t="shared" si="289"/>
        <v>55664.943452380954</v>
      </c>
      <c r="AY345" s="308"/>
      <c r="AZ345" s="10"/>
      <c r="BA345" s="65">
        <f t="shared" si="290"/>
        <v>1247344</v>
      </c>
      <c r="BB345" s="66"/>
      <c r="BC345" s="66">
        <v>341507849</v>
      </c>
      <c r="BD345" s="66"/>
      <c r="BE345" s="66">
        <f t="shared" si="291"/>
        <v>68924</v>
      </c>
      <c r="BF345" s="66"/>
      <c r="BG345" s="144">
        <f t="shared" si="292"/>
        <v>5.5256609243320209E-2</v>
      </c>
      <c r="BH345" s="66"/>
      <c r="BI345" s="170"/>
      <c r="BJ345" s="66"/>
      <c r="BK345" s="66">
        <f t="shared" si="293"/>
        <v>11282603</v>
      </c>
      <c r="BL345" s="66"/>
      <c r="BM345" s="144">
        <f t="shared" si="294"/>
        <v>4.500876260557958E-2</v>
      </c>
      <c r="BN345" s="65">
        <f t="shared" si="295"/>
        <v>1016392.4077380953</v>
      </c>
      <c r="BO345" s="66"/>
      <c r="BP345" s="66">
        <f t="shared" si="296"/>
        <v>27508802</v>
      </c>
      <c r="BQ345" s="66"/>
      <c r="BR345" s="435">
        <f t="shared" si="300"/>
        <v>8.0551009531848267E-2</v>
      </c>
      <c r="BS345" s="66"/>
      <c r="BT345" s="75"/>
      <c r="BU345" s="170"/>
      <c r="BV345" s="1"/>
      <c r="BW345" s="61">
        <f t="shared" si="186"/>
        <v>336</v>
      </c>
    </row>
    <row r="346" spans="2:75" x14ac:dyDescent="0.3">
      <c r="B346" s="158">
        <f t="shared" si="161"/>
        <v>44246</v>
      </c>
      <c r="C346" s="61"/>
      <c r="D346" s="17">
        <v>85539</v>
      </c>
      <c r="E346" s="16"/>
      <c r="F346" s="16"/>
      <c r="G346" s="16"/>
      <c r="H346" s="16">
        <f t="shared" si="278"/>
        <v>28501319</v>
      </c>
      <c r="I346" s="16"/>
      <c r="J346" s="436">
        <f t="shared" si="279"/>
        <v>3.0102640152760191E-3</v>
      </c>
      <c r="K346" s="16"/>
      <c r="L346" s="16"/>
      <c r="M346" s="16"/>
      <c r="N346" s="16">
        <f t="shared" si="297"/>
        <v>493067</v>
      </c>
      <c r="O346" s="16">
        <f t="shared" si="280"/>
        <v>84573.646884272996</v>
      </c>
      <c r="P346" s="41"/>
      <c r="Q346" s="17">
        <f t="shared" si="298"/>
        <v>493067</v>
      </c>
      <c r="R346" s="16"/>
      <c r="S346" s="60">
        <f t="shared" si="299"/>
        <v>-0.27963153703987786</v>
      </c>
      <c r="T346" s="16"/>
      <c r="U346" s="41"/>
      <c r="V346" s="10">
        <f t="shared" si="109"/>
        <v>238</v>
      </c>
      <c r="W346" s="34">
        <v>2645</v>
      </c>
      <c r="X346" s="33">
        <v>4256</v>
      </c>
      <c r="Y346" s="33"/>
      <c r="Z346" s="33"/>
      <c r="AA346" s="33">
        <f t="shared" si="281"/>
        <v>500674</v>
      </c>
      <c r="AB346" s="33"/>
      <c r="AC346" s="46">
        <f t="shared" si="282"/>
        <v>1.7566695772921949E-2</v>
      </c>
      <c r="AD346" s="33"/>
      <c r="AE346" s="33">
        <f t="shared" si="283"/>
        <v>1485.679525222552</v>
      </c>
      <c r="AF346" s="50"/>
      <c r="AG346" s="33">
        <f t="shared" si="284"/>
        <v>14067</v>
      </c>
      <c r="AH346" s="33">
        <f>SUM(D317:D998)</f>
        <v>1203092367.060914</v>
      </c>
      <c r="AI346" s="213">
        <f t="shared" si="285"/>
        <v>-0.23929266709928618</v>
      </c>
      <c r="AJ346" s="50"/>
      <c r="AK346" s="10"/>
      <c r="AL346" s="23">
        <f t="shared" si="286"/>
        <v>85000</v>
      </c>
      <c r="AM346" s="24"/>
      <c r="AN346" s="24"/>
      <c r="AO346" s="24">
        <v>178263</v>
      </c>
      <c r="AP346" s="24">
        <f>18703421+85000</f>
        <v>18788421</v>
      </c>
      <c r="AQ346" s="24"/>
      <c r="AR346" s="461">
        <f t="shared" si="287"/>
        <v>4.5446231467494635E-3</v>
      </c>
      <c r="AS346" s="25"/>
      <c r="AT346" s="25"/>
      <c r="AU346" s="24"/>
      <c r="AV346" s="298">
        <f t="shared" si="288"/>
        <v>0.65921233329587303</v>
      </c>
      <c r="AW346" s="298"/>
      <c r="AX346" s="24">
        <f t="shared" si="289"/>
        <v>55751.991097922852</v>
      </c>
      <c r="AY346" s="308"/>
      <c r="AZ346" s="10"/>
      <c r="BA346" s="65">
        <f t="shared" si="290"/>
        <v>2560000</v>
      </c>
      <c r="BB346" s="66"/>
      <c r="BC346" s="66">
        <f>341507849+2560000</f>
        <v>344067849</v>
      </c>
      <c r="BD346" s="66"/>
      <c r="BE346" s="66">
        <f t="shared" si="291"/>
        <v>85539</v>
      </c>
      <c r="BF346" s="66"/>
      <c r="BG346" s="144">
        <f t="shared" si="292"/>
        <v>3.3413671875000002E-2</v>
      </c>
      <c r="BH346" s="66"/>
      <c r="BI346" s="170"/>
      <c r="BJ346" s="66"/>
      <c r="BK346" s="66">
        <f t="shared" si="293"/>
        <v>11937927</v>
      </c>
      <c r="BL346" s="66"/>
      <c r="BM346" s="144">
        <f t="shared" si="294"/>
        <v>4.1302564507221397E-2</v>
      </c>
      <c r="BN346" s="65">
        <f t="shared" si="295"/>
        <v>1020972.8456973294</v>
      </c>
      <c r="BO346" s="66"/>
      <c r="BP346" s="66">
        <f t="shared" si="296"/>
        <v>27594341</v>
      </c>
      <c r="BQ346" s="66"/>
      <c r="BR346" s="435">
        <f t="shared" si="300"/>
        <v>8.0200289216793397E-2</v>
      </c>
      <c r="BS346" s="66"/>
      <c r="BT346" s="75"/>
      <c r="BU346" s="170"/>
      <c r="BV346" s="1"/>
      <c r="BW346" s="61">
        <f t="shared" si="186"/>
        <v>337</v>
      </c>
    </row>
    <row r="347" spans="2:75" x14ac:dyDescent="0.3">
      <c r="B347" s="158">
        <f t="shared" si="161"/>
        <v>44247</v>
      </c>
      <c r="C347" s="61"/>
      <c r="D347" s="17">
        <v>69617</v>
      </c>
      <c r="E347" s="16"/>
      <c r="F347" s="16"/>
      <c r="G347" s="16"/>
      <c r="H347" s="16">
        <f t="shared" si="278"/>
        <v>28570936</v>
      </c>
      <c r="I347" s="16"/>
      <c r="J347" s="436">
        <f t="shared" si="279"/>
        <v>2.4425887096663841E-3</v>
      </c>
      <c r="K347" s="16"/>
      <c r="L347" s="16"/>
      <c r="M347" s="16"/>
      <c r="N347" s="16">
        <f t="shared" si="297"/>
        <v>476200</v>
      </c>
      <c r="O347" s="16">
        <f t="shared" si="280"/>
        <v>84529.396449704145</v>
      </c>
      <c r="P347" s="41"/>
      <c r="Q347" s="17">
        <f t="shared" si="298"/>
        <v>476200</v>
      </c>
      <c r="R347" s="16"/>
      <c r="S347" s="60">
        <f t="shared" si="299"/>
        <v>-0.28387316043226268</v>
      </c>
      <c r="T347" s="16"/>
      <c r="U347" s="41"/>
      <c r="V347" s="10">
        <f t="shared" si="109"/>
        <v>239</v>
      </c>
      <c r="W347" s="34">
        <v>1907</v>
      </c>
      <c r="X347" s="33">
        <v>4256</v>
      </c>
      <c r="Y347" s="33"/>
      <c r="Z347" s="33"/>
      <c r="AA347" s="33">
        <f t="shared" si="281"/>
        <v>502581</v>
      </c>
      <c r="AB347" s="33"/>
      <c r="AC347" s="46">
        <f t="shared" si="282"/>
        <v>1.7590638262603646E-2</v>
      </c>
      <c r="AD347" s="33"/>
      <c r="AE347" s="33">
        <f t="shared" si="283"/>
        <v>1486.9260355029585</v>
      </c>
      <c r="AF347" s="50"/>
      <c r="AG347" s="33">
        <f t="shared" si="284"/>
        <v>13702</v>
      </c>
      <c r="AH347" s="33">
        <f>SUM(D318:D999)</f>
        <v>1202898609.060914</v>
      </c>
      <c r="AI347" s="213">
        <f t="shared" si="285"/>
        <v>-0.24021293113008763</v>
      </c>
      <c r="AJ347" s="50"/>
      <c r="AK347" s="10"/>
      <c r="AL347" s="23">
        <f t="shared" si="286"/>
        <v>110851</v>
      </c>
      <c r="AM347" s="24"/>
      <c r="AN347" s="24"/>
      <c r="AO347" s="24">
        <v>178263</v>
      </c>
      <c r="AP347" s="24">
        <v>18899272</v>
      </c>
      <c r="AQ347" s="24"/>
      <c r="AR347" s="461">
        <f t="shared" si="287"/>
        <v>5.8999635999214626E-3</v>
      </c>
      <c r="AS347" s="25"/>
      <c r="AT347" s="25"/>
      <c r="AU347" s="24"/>
      <c r="AV347" s="298">
        <f t="shared" si="288"/>
        <v>0.66148592401733008</v>
      </c>
      <c r="AW347" s="298"/>
      <c r="AX347" s="24">
        <f t="shared" si="289"/>
        <v>55915.00591715976</v>
      </c>
      <c r="AY347" s="308"/>
      <c r="AZ347" s="10"/>
      <c r="BA347" s="65">
        <f t="shared" si="290"/>
        <v>2883916</v>
      </c>
      <c r="BB347" s="66"/>
      <c r="BC347" s="66">
        <v>346951765</v>
      </c>
      <c r="BD347" s="66"/>
      <c r="BE347" s="66">
        <f t="shared" si="291"/>
        <v>69617</v>
      </c>
      <c r="BF347" s="66"/>
      <c r="BG347" s="144">
        <f t="shared" si="292"/>
        <v>2.4139746095239945E-2</v>
      </c>
      <c r="BH347" s="66"/>
      <c r="BI347" s="170"/>
      <c r="BJ347" s="66"/>
      <c r="BK347" s="66">
        <f t="shared" si="293"/>
        <v>13123407</v>
      </c>
      <c r="BL347" s="66"/>
      <c r="BM347" s="144">
        <f t="shared" si="294"/>
        <v>3.6286308883051482E-2</v>
      </c>
      <c r="BN347" s="65">
        <f t="shared" si="295"/>
        <v>1026484.5118343196</v>
      </c>
      <c r="BO347" s="66"/>
      <c r="BP347" s="66">
        <f t="shared" si="296"/>
        <v>27663958</v>
      </c>
      <c r="BQ347" s="66"/>
      <c r="BR347" s="435">
        <f t="shared" si="300"/>
        <v>7.973430543003579E-2</v>
      </c>
      <c r="BS347" s="66"/>
      <c r="BT347" s="75"/>
      <c r="BU347" s="170"/>
      <c r="BV347" s="1"/>
      <c r="BW347" s="61">
        <f t="shared" si="186"/>
        <v>338</v>
      </c>
    </row>
    <row r="348" spans="2:75" x14ac:dyDescent="0.3">
      <c r="B348" s="347">
        <f t="shared" si="161"/>
        <v>44248</v>
      </c>
      <c r="C348" s="61"/>
      <c r="D348" s="17">
        <v>57225</v>
      </c>
      <c r="E348" s="16"/>
      <c r="F348" s="16"/>
      <c r="G348" s="16"/>
      <c r="H348" s="16">
        <f t="shared" si="278"/>
        <v>28628161</v>
      </c>
      <c r="I348" s="16"/>
      <c r="J348" s="436">
        <f t="shared" si="279"/>
        <v>2.0029095301603E-3</v>
      </c>
      <c r="K348" s="16"/>
      <c r="L348" s="16"/>
      <c r="M348" s="16"/>
      <c r="N348" s="16">
        <f t="shared" si="297"/>
        <v>469128</v>
      </c>
      <c r="O348" s="16">
        <f t="shared" si="280"/>
        <v>84448.852507374628</v>
      </c>
      <c r="P348" s="41"/>
      <c r="Q348" s="17">
        <f t="shared" si="298"/>
        <v>469128</v>
      </c>
      <c r="R348" s="16"/>
      <c r="S348" s="60">
        <f t="shared" si="299"/>
        <v>-0.26469772275225822</v>
      </c>
      <c r="T348" s="16"/>
      <c r="U348" s="41"/>
      <c r="V348" s="10">
        <f t="shared" si="109"/>
        <v>240</v>
      </c>
      <c r="W348" s="34">
        <v>1247</v>
      </c>
      <c r="X348" s="33">
        <v>4256</v>
      </c>
      <c r="Y348" s="33"/>
      <c r="Z348" s="33"/>
      <c r="AA348" s="33">
        <f t="shared" si="281"/>
        <v>503828</v>
      </c>
      <c r="AB348" s="33"/>
      <c r="AC348" s="46">
        <f t="shared" si="282"/>
        <v>1.7599034740652744E-2</v>
      </c>
      <c r="AD348" s="33"/>
      <c r="AE348" s="33">
        <f t="shared" si="283"/>
        <v>1486.2182890855456</v>
      </c>
      <c r="AF348" s="50"/>
      <c r="AG348" s="33">
        <f t="shared" si="284"/>
        <v>13838</v>
      </c>
      <c r="AH348" s="33">
        <f>SUM(D319:D1000)</f>
        <v>1202706544.060914</v>
      </c>
      <c r="AI348" s="213">
        <f t="shared" si="285"/>
        <v>-0.22389231632080764</v>
      </c>
      <c r="AJ348" s="50"/>
      <c r="AK348" s="10"/>
      <c r="AL348" s="23">
        <f t="shared" si="286"/>
        <v>73918</v>
      </c>
      <c r="AM348" s="24"/>
      <c r="AN348" s="24"/>
      <c r="AO348" s="24">
        <v>178263</v>
      </c>
      <c r="AP348" s="24">
        <v>18973190</v>
      </c>
      <c r="AQ348" s="24"/>
      <c r="AR348" s="461">
        <f t="shared" si="287"/>
        <v>3.9111559429379078E-3</v>
      </c>
      <c r="AS348" s="25"/>
      <c r="AT348" s="25"/>
      <c r="AU348" s="24"/>
      <c r="AV348" s="298">
        <f t="shared" si="288"/>
        <v>0.66274567898371117</v>
      </c>
      <c r="AW348" s="298"/>
      <c r="AX348" s="24">
        <f t="shared" si="289"/>
        <v>55968.112094395277</v>
      </c>
      <c r="AY348" s="308"/>
      <c r="AZ348" s="10"/>
      <c r="BA348" s="65">
        <f t="shared" si="290"/>
        <v>1144436</v>
      </c>
      <c r="BB348" s="66"/>
      <c r="BC348" s="66">
        <v>348096201</v>
      </c>
      <c r="BD348" s="66"/>
      <c r="BE348" s="66">
        <f t="shared" si="291"/>
        <v>57225</v>
      </c>
      <c r="BF348" s="66"/>
      <c r="BG348" s="144">
        <f t="shared" si="292"/>
        <v>5.0002796137136547E-2</v>
      </c>
      <c r="BH348" s="66"/>
      <c r="BI348" s="170"/>
      <c r="BJ348" s="66"/>
      <c r="BK348" s="66">
        <f t="shared" si="293"/>
        <v>12982783</v>
      </c>
      <c r="BL348" s="66"/>
      <c r="BM348" s="144">
        <f t="shared" si="294"/>
        <v>3.6134625372695517E-2</v>
      </c>
      <c r="BN348" s="65">
        <f t="shared" si="295"/>
        <v>1026832.4513274336</v>
      </c>
      <c r="BO348" s="66"/>
      <c r="BP348" s="66">
        <f t="shared" si="296"/>
        <v>27721183</v>
      </c>
      <c r="BQ348" s="66"/>
      <c r="BR348" s="435">
        <f t="shared" si="300"/>
        <v>7.9636557136686478E-2</v>
      </c>
      <c r="BS348" s="66"/>
      <c r="BT348" s="75"/>
      <c r="BU348" s="170"/>
      <c r="BV348" s="1"/>
      <c r="BW348" s="61">
        <f t="shared" si="186"/>
        <v>339</v>
      </c>
    </row>
    <row r="349" spans="2:75" x14ac:dyDescent="0.3">
      <c r="B349" s="158">
        <f t="shared" si="161"/>
        <v>44249</v>
      </c>
      <c r="C349" s="61"/>
      <c r="D349" s="17">
        <v>71054</v>
      </c>
      <c r="E349" s="16"/>
      <c r="F349" s="16"/>
      <c r="G349" s="16"/>
      <c r="H349" s="16">
        <f t="shared" si="278"/>
        <v>28699215</v>
      </c>
      <c r="I349" s="16"/>
      <c r="J349" s="436">
        <f t="shared" si="279"/>
        <v>2.4819617299204097E-3</v>
      </c>
      <c r="K349" s="16"/>
      <c r="L349" s="16"/>
      <c r="M349" s="16"/>
      <c r="N349" s="16">
        <f t="shared" si="297"/>
        <v>487397</v>
      </c>
      <c r="O349" s="16">
        <f t="shared" si="280"/>
        <v>84409.455882352937</v>
      </c>
      <c r="P349" s="41"/>
      <c r="Q349" s="17">
        <f t="shared" si="298"/>
        <v>487397</v>
      </c>
      <c r="R349" s="16"/>
      <c r="S349" s="60">
        <f t="shared" si="299"/>
        <v>-0.18827504888033228</v>
      </c>
      <c r="T349" s="16"/>
      <c r="U349" s="41"/>
      <c r="V349" s="10">
        <f t="shared" si="109"/>
        <v>241</v>
      </c>
      <c r="W349" s="34">
        <v>2404</v>
      </c>
      <c r="X349" s="33">
        <v>4256</v>
      </c>
      <c r="Y349" s="33"/>
      <c r="Z349" s="33"/>
      <c r="AA349" s="33">
        <f t="shared" si="281"/>
        <v>506232</v>
      </c>
      <c r="AB349" s="33"/>
      <c r="AC349" s="46">
        <f t="shared" si="282"/>
        <v>1.7639228111291545E-2</v>
      </c>
      <c r="AD349" s="33"/>
      <c r="AE349" s="33">
        <f t="shared" si="283"/>
        <v>1488.9176470588236</v>
      </c>
      <c r="AF349" s="50"/>
      <c r="AG349" s="33">
        <f t="shared" si="284"/>
        <v>15288</v>
      </c>
      <c r="AH349" s="33">
        <f>SUM(D320:D1001)</f>
        <v>1202533477.060914</v>
      </c>
      <c r="AI349" s="213">
        <f t="shared" si="285"/>
        <v>-0.11074918566775244</v>
      </c>
      <c r="AJ349" s="50"/>
      <c r="AK349" s="10"/>
      <c r="AL349" s="23">
        <f t="shared" si="286"/>
        <v>239327</v>
      </c>
      <c r="AM349" s="24"/>
      <c r="AN349" s="24"/>
      <c r="AO349" s="24">
        <v>178263</v>
      </c>
      <c r="AP349" s="24">
        <v>19212517</v>
      </c>
      <c r="AQ349" s="24"/>
      <c r="AR349" s="461">
        <f t="shared" si="287"/>
        <v>1.2613956851747123E-2</v>
      </c>
      <c r="AS349" s="25"/>
      <c r="AT349" s="25"/>
      <c r="AU349" s="24"/>
      <c r="AV349" s="298">
        <f t="shared" si="288"/>
        <v>0.66944399001854227</v>
      </c>
      <c r="AW349" s="298"/>
      <c r="AX349" s="24">
        <f t="shared" si="289"/>
        <v>56507.402941176471</v>
      </c>
      <c r="AY349" s="308"/>
      <c r="AZ349" s="10"/>
      <c r="BA349" s="65">
        <f t="shared" si="290"/>
        <v>2957478</v>
      </c>
      <c r="BB349" s="66"/>
      <c r="BC349" s="66">
        <v>351053679</v>
      </c>
      <c r="BD349" s="66"/>
      <c r="BE349" s="66">
        <f t="shared" si="291"/>
        <v>71054</v>
      </c>
      <c r="BF349" s="66"/>
      <c r="BG349" s="144">
        <f t="shared" si="292"/>
        <v>2.4025199849331085E-2</v>
      </c>
      <c r="BH349" s="66"/>
      <c r="BI349" s="170"/>
      <c r="BJ349" s="66"/>
      <c r="BK349" s="66">
        <f t="shared" si="293"/>
        <v>14585984</v>
      </c>
      <c r="BL349" s="66"/>
      <c r="BM349" s="144">
        <f t="shared" si="294"/>
        <v>3.3415434981966252E-2</v>
      </c>
      <c r="BN349" s="65">
        <f t="shared" si="295"/>
        <v>1032510.8205882353</v>
      </c>
      <c r="BO349" s="66"/>
      <c r="BP349" s="66">
        <f t="shared" si="296"/>
        <v>27792237</v>
      </c>
      <c r="BQ349" s="66"/>
      <c r="BR349" s="435">
        <f t="shared" si="300"/>
        <v>7.9168055093933376E-2</v>
      </c>
      <c r="BS349" s="66"/>
      <c r="BT349" s="75"/>
      <c r="BU349" s="170"/>
      <c r="BV349" s="1"/>
      <c r="BW349" s="61">
        <f t="shared" si="186"/>
        <v>340</v>
      </c>
    </row>
    <row r="350" spans="2:75" x14ac:dyDescent="0.3">
      <c r="B350" s="158">
        <f t="shared" si="161"/>
        <v>44250</v>
      </c>
      <c r="C350" s="61"/>
      <c r="D350" s="17">
        <v>73704</v>
      </c>
      <c r="E350" s="16"/>
      <c r="F350" s="16"/>
      <c r="G350" s="16"/>
      <c r="H350" s="16">
        <f t="shared" si="278"/>
        <v>28772919</v>
      </c>
      <c r="I350" s="16"/>
      <c r="J350" s="436">
        <f t="shared" si="279"/>
        <v>2.5681538676232086E-3</v>
      </c>
      <c r="K350" s="16"/>
      <c r="L350" s="16"/>
      <c r="M350" s="16"/>
      <c r="N350" s="16">
        <f t="shared" si="297"/>
        <v>497703</v>
      </c>
      <c r="O350" s="16">
        <f t="shared" si="280"/>
        <v>84378.061583577713</v>
      </c>
      <c r="P350" s="41"/>
      <c r="Q350" s="17">
        <f t="shared" si="298"/>
        <v>497703</v>
      </c>
      <c r="R350" s="16"/>
      <c r="S350" s="60">
        <f t="shared" si="299"/>
        <v>-0.12422796330120253</v>
      </c>
      <c r="T350" s="16"/>
      <c r="U350" s="41"/>
      <c r="V350" s="10">
        <f t="shared" si="109"/>
        <v>242</v>
      </c>
      <c r="W350" s="34">
        <v>2443</v>
      </c>
      <c r="X350" s="33">
        <v>4256</v>
      </c>
      <c r="Y350" s="33"/>
      <c r="Z350" s="33"/>
      <c r="AA350" s="33">
        <f t="shared" si="281"/>
        <v>508675</v>
      </c>
      <c r="AB350" s="33"/>
      <c r="AC350" s="46">
        <f t="shared" si="282"/>
        <v>1.7678950126679884E-2</v>
      </c>
      <c r="AD350" s="33"/>
      <c r="AE350" s="33">
        <f t="shared" si="283"/>
        <v>1491.7155425219942</v>
      </c>
      <c r="AF350" s="50"/>
      <c r="AG350" s="33">
        <f t="shared" si="284"/>
        <v>15944</v>
      </c>
      <c r="AH350" s="33">
        <f>SUM(D321:D1002)</f>
        <v>1202398295.060914</v>
      </c>
      <c r="AI350" s="213">
        <f t="shared" si="285"/>
        <v>1.4636629756904671E-2</v>
      </c>
      <c r="AJ350" s="50"/>
      <c r="AK350" s="111" t="s">
        <v>26</v>
      </c>
      <c r="AL350" s="23">
        <v>75000</v>
      </c>
      <c r="AM350" s="24"/>
      <c r="AN350" s="24"/>
      <c r="AO350" s="24">
        <v>178263</v>
      </c>
      <c r="AP350" s="24">
        <v>19212517</v>
      </c>
      <c r="AQ350" s="24"/>
      <c r="AR350" s="461">
        <f t="shared" si="287"/>
        <v>3.9037050689402124E-3</v>
      </c>
      <c r="AS350" s="25"/>
      <c r="AT350" s="25"/>
      <c r="AU350" s="24"/>
      <c r="AV350" s="298">
        <f t="shared" si="288"/>
        <v>0.66772915879685335</v>
      </c>
      <c r="AW350" s="298"/>
      <c r="AX350" s="24">
        <f t="shared" si="289"/>
        <v>56341.69208211144</v>
      </c>
      <c r="AY350" s="308"/>
      <c r="AZ350" s="111" t="s">
        <v>26</v>
      </c>
      <c r="BA350" s="65">
        <f t="shared" si="290"/>
        <v>696321</v>
      </c>
      <c r="BB350" s="66"/>
      <c r="BC350" s="66">
        <v>351750000</v>
      </c>
      <c r="BD350" s="66"/>
      <c r="BE350" s="66">
        <f t="shared" si="291"/>
        <v>73704</v>
      </c>
      <c r="BF350" s="66"/>
      <c r="BG350" s="144">
        <f t="shared" si="292"/>
        <v>0.1058477340192239</v>
      </c>
      <c r="BH350" s="66"/>
      <c r="BI350" s="170"/>
      <c r="BJ350" s="66"/>
      <c r="BK350" s="66">
        <f t="shared" si="293"/>
        <v>14084092</v>
      </c>
      <c r="BL350" s="66"/>
      <c r="BM350" s="144">
        <f t="shared" si="294"/>
        <v>3.5337954338838455E-2</v>
      </c>
      <c r="BN350" s="65">
        <f t="shared" si="295"/>
        <v>1031524.926686217</v>
      </c>
      <c r="BO350" s="66"/>
      <c r="BP350" s="66">
        <f t="shared" si="296"/>
        <v>27865941</v>
      </c>
      <c r="BQ350" s="66"/>
      <c r="BR350" s="435">
        <f t="shared" si="300"/>
        <v>7.9220869936034111E-2</v>
      </c>
      <c r="BS350" s="66"/>
      <c r="BT350" s="75"/>
      <c r="BU350" s="170"/>
      <c r="BV350" s="1"/>
      <c r="BW350" s="61">
        <f t="shared" si="186"/>
        <v>341</v>
      </c>
    </row>
    <row r="351" spans="2:75" x14ac:dyDescent="0.3">
      <c r="B351" s="158">
        <f t="shared" si="161"/>
        <v>44251</v>
      </c>
      <c r="C351" s="61"/>
      <c r="D351" s="17">
        <v>75299</v>
      </c>
      <c r="E351" s="16"/>
      <c r="F351" s="16"/>
      <c r="G351" s="16"/>
      <c r="H351" s="16">
        <f t="shared" si="278"/>
        <v>28848218</v>
      </c>
      <c r="I351" s="16"/>
      <c r="J351" s="436">
        <f t="shared" si="279"/>
        <v>2.6170094177792665E-3</v>
      </c>
      <c r="K351" s="16"/>
      <c r="L351" s="16"/>
      <c r="M351" s="16"/>
      <c r="N351" s="16">
        <f t="shared" si="297"/>
        <v>501362</v>
      </c>
      <c r="O351" s="16">
        <f t="shared" si="280"/>
        <v>84351.514619883048</v>
      </c>
      <c r="P351" s="41"/>
      <c r="Q351" s="17">
        <f t="shared" si="298"/>
        <v>501362</v>
      </c>
      <c r="R351" s="16"/>
      <c r="S351" s="60">
        <f t="shared" si="299"/>
        <v>-7.6912596476757203E-2</v>
      </c>
      <c r="T351" s="16"/>
      <c r="U351" s="41"/>
      <c r="V351" s="10">
        <f t="shared" si="109"/>
        <v>243</v>
      </c>
      <c r="W351" s="34">
        <v>2525</v>
      </c>
      <c r="X351" s="33">
        <v>4256</v>
      </c>
      <c r="Y351" s="33"/>
      <c r="Z351" s="33"/>
      <c r="AA351" s="33">
        <f t="shared" si="281"/>
        <v>511200</v>
      </c>
      <c r="AB351" s="33"/>
      <c r="AC351" s="46">
        <f t="shared" si="282"/>
        <v>1.772033198029771E-2</v>
      </c>
      <c r="AD351" s="33"/>
      <c r="AE351" s="33">
        <f t="shared" si="283"/>
        <v>1494.7368421052631</v>
      </c>
      <c r="AF351" s="50"/>
      <c r="AG351" s="33">
        <f t="shared" si="284"/>
        <v>15932</v>
      </c>
      <c r="AH351" s="33">
        <f>SUM(D322:D1003)</f>
        <v>1202246051.060914</v>
      </c>
      <c r="AI351" s="213">
        <f t="shared" si="285"/>
        <v>7.510628247520075E-2</v>
      </c>
      <c r="AJ351" s="50"/>
      <c r="AK351" s="111"/>
      <c r="AL351" s="23">
        <f t="shared" ref="AL351:AL383" si="301">+AP351-AP350</f>
        <v>127812</v>
      </c>
      <c r="AM351" s="24"/>
      <c r="AN351" s="24"/>
      <c r="AO351" s="24">
        <v>178263</v>
      </c>
      <c r="AP351" s="24">
        <v>19340329</v>
      </c>
      <c r="AQ351" s="24"/>
      <c r="AR351" s="461">
        <f t="shared" si="287"/>
        <v>6.6525380302851524E-3</v>
      </c>
      <c r="AS351" s="25"/>
      <c r="AT351" s="25"/>
      <c r="AU351" s="24"/>
      <c r="AV351" s="298">
        <f t="shared" si="288"/>
        <v>0.67041676543071049</v>
      </c>
      <c r="AW351" s="298"/>
      <c r="AX351" s="24">
        <f t="shared" si="289"/>
        <v>56550.669590643272</v>
      </c>
      <c r="AY351" s="308"/>
      <c r="AZ351" s="111"/>
      <c r="BA351" s="65">
        <f t="shared" si="290"/>
        <v>782421</v>
      </c>
      <c r="BB351" s="66"/>
      <c r="BC351" s="66">
        <v>352532421</v>
      </c>
      <c r="BD351" s="66"/>
      <c r="BE351" s="66">
        <f t="shared" si="291"/>
        <v>75299</v>
      </c>
      <c r="BF351" s="66"/>
      <c r="BG351" s="144">
        <f t="shared" si="292"/>
        <v>9.623847008196354E-2</v>
      </c>
      <c r="BH351" s="66"/>
      <c r="BI351" s="170"/>
      <c r="BJ351" s="66"/>
      <c r="BK351" s="66">
        <f t="shared" si="293"/>
        <v>12271916</v>
      </c>
      <c r="BL351" s="66"/>
      <c r="BM351" s="144">
        <f t="shared" si="294"/>
        <v>4.0854419146936792E-2</v>
      </c>
      <c r="BN351" s="65">
        <f t="shared" si="295"/>
        <v>1030796.552631579</v>
      </c>
      <c r="BO351" s="66"/>
      <c r="BP351" s="66">
        <f t="shared" si="296"/>
        <v>27941240</v>
      </c>
      <c r="BQ351" s="66"/>
      <c r="BR351" s="435">
        <f t="shared" si="300"/>
        <v>7.9258639306822795E-2</v>
      </c>
      <c r="BS351" s="66"/>
      <c r="BT351" s="75"/>
      <c r="BU351" s="170"/>
      <c r="BV351" s="1"/>
      <c r="BW351" s="61">
        <f t="shared" si="186"/>
        <v>342</v>
      </c>
    </row>
    <row r="352" spans="2:75" x14ac:dyDescent="0.3">
      <c r="B352" s="158">
        <f t="shared" si="161"/>
        <v>44252</v>
      </c>
      <c r="C352" s="61"/>
      <c r="D352" s="17">
        <v>77377</v>
      </c>
      <c r="E352" s="16"/>
      <c r="F352" s="16"/>
      <c r="G352" s="16"/>
      <c r="H352" s="16">
        <f t="shared" si="278"/>
        <v>28925595</v>
      </c>
      <c r="I352" s="16"/>
      <c r="J352" s="436">
        <f t="shared" si="279"/>
        <v>2.682210734819045E-3</v>
      </c>
      <c r="K352" s="16"/>
      <c r="L352" s="16"/>
      <c r="M352" s="16"/>
      <c r="N352" s="16">
        <f t="shared" si="297"/>
        <v>509815</v>
      </c>
      <c r="O352" s="16">
        <f t="shared" si="280"/>
        <v>84331.180758017494</v>
      </c>
      <c r="P352" s="41"/>
      <c r="Q352" s="17">
        <f t="shared" si="298"/>
        <v>509815</v>
      </c>
      <c r="R352" s="16"/>
      <c r="S352" s="60">
        <f t="shared" si="299"/>
        <v>3.9364651763630918E-3</v>
      </c>
      <c r="T352" s="16"/>
      <c r="U352" s="41"/>
      <c r="V352" s="10">
        <f t="shared" si="109"/>
        <v>244</v>
      </c>
      <c r="W352" s="34">
        <v>2414</v>
      </c>
      <c r="X352" s="33">
        <v>4256</v>
      </c>
      <c r="Y352" s="33"/>
      <c r="Z352" s="33"/>
      <c r="AA352" s="33">
        <f t="shared" si="281"/>
        <v>513614</v>
      </c>
      <c r="AB352" s="33"/>
      <c r="AC352" s="46">
        <f t="shared" si="282"/>
        <v>1.7756384959410516E-2</v>
      </c>
      <c r="AD352" s="33"/>
      <c r="AE352" s="33">
        <f t="shared" si="283"/>
        <v>1497.4169096209912</v>
      </c>
      <c r="AF352" s="50"/>
      <c r="AG352" s="33">
        <f t="shared" si="284"/>
        <v>15585</v>
      </c>
      <c r="AH352" s="33">
        <f>SUM(D323:D1004)</f>
        <v>1202094324.060914</v>
      </c>
      <c r="AI352" s="213">
        <f t="shared" si="285"/>
        <v>8.7578506629448716E-2</v>
      </c>
      <c r="AJ352" s="50"/>
      <c r="AK352" s="111"/>
      <c r="AL352" s="23">
        <f t="shared" si="301"/>
        <v>95124</v>
      </c>
      <c r="AM352" s="24"/>
      <c r="AN352" s="24"/>
      <c r="AO352" s="24">
        <v>178263</v>
      </c>
      <c r="AP352" s="24">
        <v>19435453</v>
      </c>
      <c r="AQ352" s="24"/>
      <c r="AR352" s="461">
        <f t="shared" si="287"/>
        <v>4.9184271891134839E-3</v>
      </c>
      <c r="AS352" s="25"/>
      <c r="AT352" s="25"/>
      <c r="AU352" s="24"/>
      <c r="AV352" s="298">
        <f t="shared" si="288"/>
        <v>0.67191195202726162</v>
      </c>
      <c r="AW352" s="298"/>
      <c r="AX352" s="24">
        <f t="shared" si="289"/>
        <v>56663.128279883385</v>
      </c>
      <c r="AY352" s="308"/>
      <c r="AZ352" s="111"/>
      <c r="BA352" s="65">
        <f t="shared" si="290"/>
        <v>1805732</v>
      </c>
      <c r="BB352" s="66"/>
      <c r="BC352" s="66">
        <v>354338153</v>
      </c>
      <c r="BD352" s="66"/>
      <c r="BE352" s="66">
        <f t="shared" si="291"/>
        <v>77377</v>
      </c>
      <c r="BF352" s="66"/>
      <c r="BG352" s="144">
        <f t="shared" si="292"/>
        <v>4.2850766337418841E-2</v>
      </c>
      <c r="BH352" s="66"/>
      <c r="BI352" s="170"/>
      <c r="BJ352" s="66"/>
      <c r="BK352" s="66">
        <f t="shared" si="293"/>
        <v>12830304</v>
      </c>
      <c r="BL352" s="66"/>
      <c r="BM352" s="144">
        <f t="shared" si="294"/>
        <v>3.9735223732812568E-2</v>
      </c>
      <c r="BN352" s="65">
        <f t="shared" si="295"/>
        <v>1033055.8396501457</v>
      </c>
      <c r="BO352" s="66"/>
      <c r="BP352" s="66">
        <f t="shared" si="296"/>
        <v>28018617</v>
      </c>
      <c r="BQ352" s="66"/>
      <c r="BR352" s="435">
        <f t="shared" si="300"/>
        <v>7.9073102240841672E-2</v>
      </c>
      <c r="BS352" s="66"/>
      <c r="BT352" s="75"/>
      <c r="BU352" s="170"/>
      <c r="BV352" s="1"/>
      <c r="BW352" s="61">
        <f t="shared" si="186"/>
        <v>343</v>
      </c>
    </row>
    <row r="353" spans="2:75" x14ac:dyDescent="0.3">
      <c r="B353" s="158">
        <f t="shared" si="161"/>
        <v>44253</v>
      </c>
      <c r="C353" s="61"/>
      <c r="D353" s="17">
        <v>80625</v>
      </c>
      <c r="E353" s="16"/>
      <c r="F353" s="16"/>
      <c r="G353" s="16"/>
      <c r="H353" s="16">
        <f t="shared" si="278"/>
        <v>29006220</v>
      </c>
      <c r="I353" s="16"/>
      <c r="J353" s="436">
        <f t="shared" si="279"/>
        <v>2.787323821688024E-3</v>
      </c>
      <c r="K353" s="16"/>
      <c r="L353" s="16"/>
      <c r="M353" s="16"/>
      <c r="N353" s="16">
        <f t="shared" si="297"/>
        <v>504901</v>
      </c>
      <c r="O353" s="16">
        <f t="shared" si="280"/>
        <v>84320.406976744183</v>
      </c>
      <c r="P353" s="41"/>
      <c r="Q353" s="17">
        <f t="shared" si="298"/>
        <v>504901</v>
      </c>
      <c r="R353" s="16"/>
      <c r="S353" s="60">
        <f t="shared" si="299"/>
        <v>2.4000795023800012E-2</v>
      </c>
      <c r="T353" s="16"/>
      <c r="U353" s="41"/>
      <c r="V353" s="10">
        <f t="shared" si="109"/>
        <v>245</v>
      </c>
      <c r="W353" s="34">
        <v>2246</v>
      </c>
      <c r="X353" s="33">
        <v>4256</v>
      </c>
      <c r="Y353" s="33"/>
      <c r="Z353" s="33"/>
      <c r="AA353" s="33">
        <f t="shared" si="281"/>
        <v>515860</v>
      </c>
      <c r="AB353" s="33"/>
      <c r="AC353" s="46">
        <f t="shared" si="282"/>
        <v>1.7784461401726941E-2</v>
      </c>
      <c r="AD353" s="33"/>
      <c r="AE353" s="33">
        <f t="shared" si="283"/>
        <v>1499.5930232558139</v>
      </c>
      <c r="AF353" s="50"/>
      <c r="AG353" s="33">
        <f t="shared" si="284"/>
        <v>15186</v>
      </c>
      <c r="AH353" s="33">
        <f>SUM(D324:D1005)</f>
        <v>1201934293.060914</v>
      </c>
      <c r="AI353" s="213">
        <f t="shared" si="285"/>
        <v>7.9547878012369372E-2</v>
      </c>
      <c r="AJ353" s="50"/>
      <c r="AK353" s="111"/>
      <c r="AL353" s="23">
        <f t="shared" si="301"/>
        <v>98615</v>
      </c>
      <c r="AM353" s="24"/>
      <c r="AN353" s="24"/>
      <c r="AO353" s="24">
        <v>178263</v>
      </c>
      <c r="AP353" s="24">
        <v>19534068</v>
      </c>
      <c r="AQ353" s="24"/>
      <c r="AR353" s="461">
        <f t="shared" si="287"/>
        <v>5.0739748643882912E-3</v>
      </c>
      <c r="AS353" s="25"/>
      <c r="AT353" s="25"/>
      <c r="AU353" s="24"/>
      <c r="AV353" s="298">
        <f t="shared" si="288"/>
        <v>0.67344410957373968</v>
      </c>
      <c r="AW353" s="298"/>
      <c r="AX353" s="24">
        <f t="shared" si="289"/>
        <v>56785.08139534884</v>
      </c>
      <c r="AY353" s="308"/>
      <c r="AZ353" s="111"/>
      <c r="BA353" s="65">
        <f t="shared" si="290"/>
        <v>1743779</v>
      </c>
      <c r="BB353" s="66"/>
      <c r="BC353" s="66">
        <v>356081932</v>
      </c>
      <c r="BD353" s="66"/>
      <c r="BE353" s="66">
        <f t="shared" si="291"/>
        <v>80625</v>
      </c>
      <c r="BF353" s="66"/>
      <c r="BG353" s="144">
        <f t="shared" si="292"/>
        <v>4.623579020047839E-2</v>
      </c>
      <c r="BH353" s="66"/>
      <c r="BI353" s="170"/>
      <c r="BJ353" s="66"/>
      <c r="BK353" s="66">
        <f t="shared" si="293"/>
        <v>12014083</v>
      </c>
      <c r="BL353" s="66"/>
      <c r="BM353" s="144">
        <f t="shared" si="294"/>
        <v>4.2025762598776786E-2</v>
      </c>
      <c r="BN353" s="65">
        <f t="shared" si="295"/>
        <v>1035121.8953488372</v>
      </c>
      <c r="BO353" s="66"/>
      <c r="BP353" s="66">
        <f t="shared" si="296"/>
        <v>28099242</v>
      </c>
      <c r="BQ353" s="66"/>
      <c r="BR353" s="435">
        <f t="shared" si="300"/>
        <v>7.8912293702113473E-2</v>
      </c>
      <c r="BS353" s="66"/>
      <c r="BT353" s="75"/>
      <c r="BU353" s="170"/>
      <c r="BV353" s="1"/>
      <c r="BW353" s="61">
        <f t="shared" si="186"/>
        <v>344</v>
      </c>
    </row>
    <row r="354" spans="2:75" x14ac:dyDescent="0.3">
      <c r="B354" s="158">
        <f t="shared" si="161"/>
        <v>44254</v>
      </c>
      <c r="C354" s="61"/>
      <c r="D354" s="17">
        <v>64320</v>
      </c>
      <c r="E354" s="16"/>
      <c r="F354" s="16"/>
      <c r="G354" s="16"/>
      <c r="H354" s="16">
        <f t="shared" si="278"/>
        <v>29070540</v>
      </c>
      <c r="I354" s="16"/>
      <c r="J354" s="436">
        <f t="shared" si="279"/>
        <v>2.2174554285253299E-3</v>
      </c>
      <c r="K354" s="16"/>
      <c r="L354" s="16"/>
      <c r="M354" s="16"/>
      <c r="N354" s="16">
        <f t="shared" si="297"/>
        <v>499604</v>
      </c>
      <c r="O354" s="16">
        <f t="shared" si="280"/>
        <v>84262.434782608689</v>
      </c>
      <c r="P354" s="41"/>
      <c r="Q354" s="17">
        <f t="shared" si="298"/>
        <v>499604</v>
      </c>
      <c r="R354" s="16"/>
      <c r="S354" s="60">
        <f t="shared" si="299"/>
        <v>4.9147417051658968E-2</v>
      </c>
      <c r="T354" s="16"/>
      <c r="U354" s="41"/>
      <c r="V354" s="10">
        <f t="shared" si="109"/>
        <v>246</v>
      </c>
      <c r="W354" s="34">
        <v>1554</v>
      </c>
      <c r="X354" s="33">
        <v>4256</v>
      </c>
      <c r="Y354" s="33"/>
      <c r="Z354" s="33"/>
      <c r="AA354" s="33">
        <f t="shared" si="281"/>
        <v>517414</v>
      </c>
      <c r="AB354" s="33"/>
      <c r="AC354" s="46">
        <f t="shared" si="282"/>
        <v>1.779856858524128E-2</v>
      </c>
      <c r="AD354" s="33"/>
      <c r="AE354" s="33">
        <f t="shared" si="283"/>
        <v>1499.7507246376811</v>
      </c>
      <c r="AF354" s="50"/>
      <c r="AG354" s="33">
        <f t="shared" si="284"/>
        <v>14833</v>
      </c>
      <c r="AH354" s="33">
        <f>SUM(D325:D1006)</f>
        <v>1201771660.060914</v>
      </c>
      <c r="AI354" s="213">
        <f t="shared" si="285"/>
        <v>8.2542694497153707E-2</v>
      </c>
      <c r="AJ354" s="50"/>
      <c r="AK354" s="111"/>
      <c r="AL354" s="23">
        <f t="shared" si="301"/>
        <v>98455</v>
      </c>
      <c r="AM354" s="24"/>
      <c r="AN354" s="24"/>
      <c r="AO354" s="24">
        <v>178263</v>
      </c>
      <c r="AP354" s="24">
        <v>19632523</v>
      </c>
      <c r="AQ354" s="24"/>
      <c r="AR354" s="461">
        <f t="shared" si="287"/>
        <v>5.040168796381788E-3</v>
      </c>
      <c r="AS354" s="25"/>
      <c r="AT354" s="25"/>
      <c r="AU354" s="24"/>
      <c r="AV354" s="298">
        <f t="shared" si="288"/>
        <v>0.67534084334174738</v>
      </c>
      <c r="AW354" s="298"/>
      <c r="AX354" s="24">
        <f t="shared" si="289"/>
        <v>56905.863768115945</v>
      </c>
      <c r="AY354" s="308"/>
      <c r="AZ354" s="111"/>
      <c r="BA354" s="65">
        <f t="shared" si="290"/>
        <v>1626064</v>
      </c>
      <c r="BB354" s="66"/>
      <c r="BC354" s="66">
        <v>357707996</v>
      </c>
      <c r="BD354" s="66"/>
      <c r="BE354" s="66">
        <f t="shared" si="291"/>
        <v>64320</v>
      </c>
      <c r="BF354" s="66"/>
      <c r="BG354" s="144">
        <f t="shared" si="292"/>
        <v>3.9555638646449343E-2</v>
      </c>
      <c r="BH354" s="66"/>
      <c r="BI354" s="170"/>
      <c r="BJ354" s="66"/>
      <c r="BK354" s="66">
        <f t="shared" si="293"/>
        <v>10756231</v>
      </c>
      <c r="BL354" s="66"/>
      <c r="BM354" s="144">
        <f t="shared" si="294"/>
        <v>4.6447868217036246E-2</v>
      </c>
      <c r="BN354" s="65">
        <f t="shared" si="295"/>
        <v>1036834.7710144927</v>
      </c>
      <c r="BO354" s="66"/>
      <c r="BP354" s="66">
        <f t="shared" si="296"/>
        <v>28163562</v>
      </c>
      <c r="BQ354" s="66"/>
      <c r="BR354" s="435">
        <f t="shared" si="300"/>
        <v>7.8733386770588151E-2</v>
      </c>
      <c r="BS354" s="66"/>
      <c r="BT354" s="75"/>
      <c r="BU354" s="170"/>
      <c r="BV354" s="1"/>
      <c r="BW354" s="61">
        <f t="shared" si="186"/>
        <v>345</v>
      </c>
    </row>
    <row r="355" spans="2:75" x14ac:dyDescent="0.3">
      <c r="B355" s="347">
        <f t="shared" si="161"/>
        <v>44255</v>
      </c>
      <c r="C355" s="61"/>
      <c r="D355" s="17">
        <v>49412</v>
      </c>
      <c r="E355" s="16"/>
      <c r="F355" s="16"/>
      <c r="G355" s="16"/>
      <c r="H355" s="16">
        <f t="shared" si="278"/>
        <v>29119952</v>
      </c>
      <c r="I355" s="16"/>
      <c r="J355" s="436">
        <f t="shared" si="279"/>
        <v>1.6997276280385572E-3</v>
      </c>
      <c r="K355" s="16"/>
      <c r="L355" s="16"/>
      <c r="M355" s="16"/>
      <c r="N355" s="16">
        <f t="shared" si="297"/>
        <v>491791</v>
      </c>
      <c r="O355" s="16">
        <f t="shared" si="280"/>
        <v>84161.710982658959</v>
      </c>
      <c r="P355" s="41"/>
      <c r="Q355" s="17">
        <f t="shared" si="298"/>
        <v>491791</v>
      </c>
      <c r="R355" s="16"/>
      <c r="S355" s="60">
        <f t="shared" si="299"/>
        <v>4.8308777135451307E-2</v>
      </c>
      <c r="T355" s="16"/>
      <c r="U355" s="41"/>
      <c r="V355" s="10">
        <f t="shared" si="109"/>
        <v>247</v>
      </c>
      <c r="W355" s="34">
        <v>1283</v>
      </c>
      <c r="X355" s="33">
        <v>4256</v>
      </c>
      <c r="Y355" s="33"/>
      <c r="Z355" s="33"/>
      <c r="AA355" s="33">
        <f t="shared" si="281"/>
        <v>518697</v>
      </c>
      <c r="AB355" s="33"/>
      <c r="AC355" s="46">
        <f t="shared" si="282"/>
        <v>1.7812426339164297E-2</v>
      </c>
      <c r="AD355" s="33"/>
      <c r="AE355" s="33">
        <f t="shared" si="283"/>
        <v>1499.1242774566474</v>
      </c>
      <c r="AF355" s="50"/>
      <c r="AG355" s="33">
        <f t="shared" si="284"/>
        <v>14869</v>
      </c>
      <c r="AH355" s="33">
        <f>SUM(D326:D1007)</f>
        <v>1201602627.060914</v>
      </c>
      <c r="AI355" s="213">
        <f t="shared" si="285"/>
        <v>7.4504986269692153E-2</v>
      </c>
      <c r="AJ355" s="50"/>
      <c r="AK355" s="111"/>
      <c r="AL355" s="23">
        <f t="shared" si="301"/>
        <v>61783</v>
      </c>
      <c r="AM355" s="24"/>
      <c r="AN355" s="24"/>
      <c r="AO355" s="24">
        <v>178263</v>
      </c>
      <c r="AP355" s="24">
        <v>19694306</v>
      </c>
      <c r="AQ355" s="24"/>
      <c r="AR355" s="461">
        <f t="shared" si="287"/>
        <v>3.1469719913227658E-3</v>
      </c>
      <c r="AS355" s="25"/>
      <c r="AT355" s="25"/>
      <c r="AU355" s="24"/>
      <c r="AV355" s="298">
        <f t="shared" si="288"/>
        <v>0.67631656810423313</v>
      </c>
      <c r="AW355" s="298"/>
      <c r="AX355" s="24">
        <f t="shared" si="289"/>
        <v>56919.959537572257</v>
      </c>
      <c r="AY355" s="308"/>
      <c r="AZ355" s="111"/>
      <c r="BA355" s="65">
        <f t="shared" si="290"/>
        <v>1313574</v>
      </c>
      <c r="BB355" s="66"/>
      <c r="BC355" s="66">
        <v>359021570</v>
      </c>
      <c r="BD355" s="66"/>
      <c r="BE355" s="66">
        <f t="shared" si="291"/>
        <v>49412</v>
      </c>
      <c r="BF355" s="66"/>
      <c r="BG355" s="144">
        <f t="shared" si="292"/>
        <v>3.7616457085782755E-2</v>
      </c>
      <c r="BH355" s="66"/>
      <c r="BI355" s="170"/>
      <c r="BJ355" s="66"/>
      <c r="BK355" s="66">
        <f t="shared" si="293"/>
        <v>10925369</v>
      </c>
      <c r="BL355" s="66"/>
      <c r="BM355" s="144">
        <f t="shared" si="294"/>
        <v>4.5013674137688163E-2</v>
      </c>
      <c r="BN355" s="65">
        <f t="shared" si="295"/>
        <v>1037634.5953757225</v>
      </c>
      <c r="BO355" s="66"/>
      <c r="BP355" s="66">
        <f t="shared" si="296"/>
        <v>28212974</v>
      </c>
      <c r="BQ355" s="66"/>
      <c r="BR355" s="435">
        <f t="shared" si="300"/>
        <v>7.8582949765385962E-2</v>
      </c>
      <c r="BS355" s="66"/>
      <c r="BT355" s="75"/>
      <c r="BU355" s="170"/>
      <c r="BV355" s="1"/>
      <c r="BW355" s="61">
        <f t="shared" si="186"/>
        <v>346</v>
      </c>
    </row>
    <row r="356" spans="2:75" x14ac:dyDescent="0.3">
      <c r="B356" s="158">
        <f t="shared" si="161"/>
        <v>44256</v>
      </c>
      <c r="C356" s="61"/>
      <c r="D356" s="17">
        <v>55181</v>
      </c>
      <c r="E356" s="16"/>
      <c r="F356" s="16"/>
      <c r="G356" s="16"/>
      <c r="H356" s="16">
        <f t="shared" si="278"/>
        <v>29175133</v>
      </c>
      <c r="I356" s="16"/>
      <c r="J356" s="436">
        <f t="shared" si="279"/>
        <v>1.8949550466291977E-3</v>
      </c>
      <c r="K356" s="16"/>
      <c r="L356" s="16"/>
      <c r="M356" s="16"/>
      <c r="N356" s="16">
        <f t="shared" si="297"/>
        <v>475918</v>
      </c>
      <c r="O356" s="16">
        <f t="shared" si="280"/>
        <v>84078.193083573482</v>
      </c>
      <c r="P356" s="41"/>
      <c r="Q356" s="17">
        <f t="shared" si="298"/>
        <v>475918</v>
      </c>
      <c r="R356" s="16"/>
      <c r="S356" s="60">
        <f t="shared" si="299"/>
        <v>-2.3551642706048662E-2</v>
      </c>
      <c r="T356" s="16"/>
      <c r="U356" s="41"/>
      <c r="V356" s="10">
        <f t="shared" si="109"/>
        <v>248</v>
      </c>
      <c r="W356" s="34">
        <v>1484</v>
      </c>
      <c r="X356" s="33">
        <v>4256</v>
      </c>
      <c r="Y356" s="33"/>
      <c r="Z356" s="33"/>
      <c r="AA356" s="33">
        <f t="shared" si="281"/>
        <v>520181</v>
      </c>
      <c r="AB356" s="33"/>
      <c r="AC356" s="46">
        <f t="shared" si="282"/>
        <v>1.7829601667968403E-2</v>
      </c>
      <c r="AD356" s="33"/>
      <c r="AE356" s="33">
        <f t="shared" si="283"/>
        <v>1499.0806916426513</v>
      </c>
      <c r="AF356" s="50"/>
      <c r="AG356" s="33">
        <f t="shared" si="284"/>
        <v>13949</v>
      </c>
      <c r="AH356" s="33">
        <f>SUM(D327:D1008)</f>
        <v>1201461895.060914</v>
      </c>
      <c r="AI356" s="213">
        <f t="shared" si="285"/>
        <v>-8.7585034013605442E-2</v>
      </c>
      <c r="AJ356" s="50"/>
      <c r="AK356" s="111" t="s">
        <v>26</v>
      </c>
      <c r="AL356" s="23">
        <f t="shared" si="301"/>
        <v>86016</v>
      </c>
      <c r="AM356" s="24"/>
      <c r="AN356" s="24"/>
      <c r="AO356" s="24">
        <v>178263</v>
      </c>
      <c r="AP356" s="24">
        <f>19905322-125000</f>
        <v>19780322</v>
      </c>
      <c r="AQ356" s="24"/>
      <c r="AR356" s="461">
        <f t="shared" si="287"/>
        <v>4.3675567953498848E-3</v>
      </c>
      <c r="AS356" s="25"/>
      <c r="AT356" s="25"/>
      <c r="AU356" s="24"/>
      <c r="AV356" s="298">
        <f t="shared" si="288"/>
        <v>0.67798566676628347</v>
      </c>
      <c r="AW356" s="298"/>
      <c r="AX356" s="24">
        <f t="shared" si="289"/>
        <v>57003.809798270893</v>
      </c>
      <c r="AY356" s="308"/>
      <c r="AZ356" s="111" t="s">
        <v>26</v>
      </c>
      <c r="BA356" s="65">
        <f t="shared" si="290"/>
        <v>1727242</v>
      </c>
      <c r="BB356" s="66"/>
      <c r="BC356" s="66">
        <f>361948812-1200000</f>
        <v>360748812</v>
      </c>
      <c r="BD356" s="66"/>
      <c r="BE356" s="66">
        <f t="shared" si="291"/>
        <v>55181</v>
      </c>
      <c r="BF356" s="66"/>
      <c r="BG356" s="144">
        <f t="shared" si="292"/>
        <v>3.1947463065395587E-2</v>
      </c>
      <c r="BH356" s="66"/>
      <c r="BI356" s="170"/>
      <c r="BJ356" s="66"/>
      <c r="BK356" s="66">
        <f t="shared" si="293"/>
        <v>9695133</v>
      </c>
      <c r="BL356" s="66"/>
      <c r="BM356" s="144">
        <f t="shared" si="294"/>
        <v>4.9088341542091275E-2</v>
      </c>
      <c r="BN356" s="65">
        <f t="shared" si="295"/>
        <v>1039621.9365994236</v>
      </c>
      <c r="BO356" s="66"/>
      <c r="BP356" s="66">
        <f t="shared" si="296"/>
        <v>28268155</v>
      </c>
      <c r="BQ356" s="66"/>
      <c r="BR356" s="435">
        <f t="shared" si="300"/>
        <v>7.8359662068686178E-2</v>
      </c>
      <c r="BS356" s="66"/>
      <c r="BT356" s="75"/>
      <c r="BU356" s="170"/>
      <c r="BV356" s="1"/>
      <c r="BW356" s="61">
        <f t="shared" si="186"/>
        <v>347</v>
      </c>
    </row>
    <row r="357" spans="2:75" x14ac:dyDescent="0.3">
      <c r="B357" s="158">
        <f t="shared" si="161"/>
        <v>44257</v>
      </c>
      <c r="C357" s="61"/>
      <c r="D357" s="17">
        <v>56890</v>
      </c>
      <c r="E357" s="16"/>
      <c r="F357" s="16"/>
      <c r="G357" s="16"/>
      <c r="H357" s="16">
        <f t="shared" si="278"/>
        <v>29232023</v>
      </c>
      <c r="I357" s="16"/>
      <c r="J357" s="436">
        <f t="shared" si="279"/>
        <v>1.9499482658742293E-3</v>
      </c>
      <c r="K357" s="16"/>
      <c r="L357" s="16"/>
      <c r="M357" s="16"/>
      <c r="N357" s="16">
        <f t="shared" si="297"/>
        <v>459104</v>
      </c>
      <c r="O357" s="16">
        <f t="shared" si="280"/>
        <v>84000.066091954024</v>
      </c>
      <c r="P357" s="41"/>
      <c r="Q357" s="17">
        <f t="shared" si="298"/>
        <v>459104</v>
      </c>
      <c r="R357" s="16"/>
      <c r="S357" s="60">
        <f t="shared" si="299"/>
        <v>-7.7554284382452987E-2</v>
      </c>
      <c r="T357" s="16"/>
      <c r="U357" s="41"/>
      <c r="V357" s="10">
        <f t="shared" si="109"/>
        <v>249</v>
      </c>
      <c r="W357" s="34">
        <v>1989</v>
      </c>
      <c r="X357" s="33">
        <v>4256</v>
      </c>
      <c r="Y357" s="33"/>
      <c r="Z357" s="33"/>
      <c r="AA357" s="33">
        <f t="shared" si="281"/>
        <v>522170</v>
      </c>
      <c r="AB357" s="33"/>
      <c r="AC357" s="46">
        <f t="shared" si="282"/>
        <v>1.7862944347026549E-2</v>
      </c>
      <c r="AD357" s="33"/>
      <c r="AE357" s="33">
        <f t="shared" si="283"/>
        <v>1500.4885057471265</v>
      </c>
      <c r="AF357" s="50"/>
      <c r="AG357" s="33">
        <f t="shared" si="284"/>
        <v>13495</v>
      </c>
      <c r="AH357" s="33">
        <f>SUM(D328:D1009)</f>
        <v>1201354079.060914</v>
      </c>
      <c r="AI357" s="213">
        <f t="shared" si="285"/>
        <v>-0.15360010035122931</v>
      </c>
      <c r="AJ357" s="50"/>
      <c r="AK357" s="111" t="s">
        <v>26</v>
      </c>
      <c r="AL357" s="23">
        <f t="shared" si="301"/>
        <v>125000</v>
      </c>
      <c r="AM357" s="24"/>
      <c r="AN357" s="24"/>
      <c r="AO357" s="24">
        <v>178263</v>
      </c>
      <c r="AP357" s="24">
        <v>19905322</v>
      </c>
      <c r="AQ357" s="24"/>
      <c r="AR357" s="461">
        <f t="shared" si="287"/>
        <v>6.3194117871286423E-3</v>
      </c>
      <c r="AS357" s="25"/>
      <c r="AT357" s="25"/>
      <c r="AU357" s="24"/>
      <c r="AV357" s="298">
        <f t="shared" si="288"/>
        <v>0.68094233505494983</v>
      </c>
      <c r="AW357" s="298"/>
      <c r="AX357" s="24">
        <f t="shared" si="289"/>
        <v>57199.201149425287</v>
      </c>
      <c r="AY357" s="308"/>
      <c r="AZ357" s="111" t="s">
        <v>26</v>
      </c>
      <c r="BA357" s="65">
        <f t="shared" si="290"/>
        <v>1200000</v>
      </c>
      <c r="BB357" s="66"/>
      <c r="BC357" s="66">
        <v>361948812</v>
      </c>
      <c r="BD357" s="66"/>
      <c r="BE357" s="66">
        <f t="shared" si="291"/>
        <v>56890</v>
      </c>
      <c r="BF357" s="66"/>
      <c r="BG357" s="144">
        <f t="shared" si="292"/>
        <v>4.740833333333333E-2</v>
      </c>
      <c r="BH357" s="66"/>
      <c r="BI357" s="170"/>
      <c r="BJ357" s="66"/>
      <c r="BK357" s="66">
        <f t="shared" si="293"/>
        <v>10198812</v>
      </c>
      <c r="BL357" s="66"/>
      <c r="BM357" s="144">
        <f t="shared" si="294"/>
        <v>4.5015439053097558E-2</v>
      </c>
      <c r="BN357" s="65">
        <f t="shared" si="295"/>
        <v>1040082.7931034482</v>
      </c>
      <c r="BO357" s="66"/>
      <c r="BP357" s="66">
        <f t="shared" si="296"/>
        <v>28325045</v>
      </c>
      <c r="BQ357" s="66"/>
      <c r="BR357" s="435">
        <f t="shared" si="300"/>
        <v>7.8257046468769728E-2</v>
      </c>
      <c r="BS357" s="66"/>
      <c r="BT357" s="75"/>
      <c r="BU357" s="170"/>
      <c r="BV357" s="1"/>
      <c r="BW357" s="61">
        <f t="shared" si="186"/>
        <v>348</v>
      </c>
    </row>
    <row r="358" spans="2:75" x14ac:dyDescent="0.3">
      <c r="B358" s="158">
        <f t="shared" si="161"/>
        <v>44258</v>
      </c>
      <c r="C358" s="61"/>
      <c r="D358" s="17">
        <v>67225</v>
      </c>
      <c r="E358" s="16"/>
      <c r="F358" s="16"/>
      <c r="G358" s="16"/>
      <c r="H358" s="16">
        <f t="shared" ref="H358:H383" si="302">+H357+D358</f>
        <v>29299248</v>
      </c>
      <c r="I358" s="16"/>
      <c r="J358" s="436">
        <f t="shared" ref="J358:J383" si="303">+D358/H357</f>
        <v>2.2997039924332299E-3</v>
      </c>
      <c r="K358" s="16"/>
      <c r="L358" s="16"/>
      <c r="M358" s="16"/>
      <c r="N358" s="16">
        <f t="shared" si="297"/>
        <v>451030</v>
      </c>
      <c r="O358" s="16">
        <f t="shared" ref="O358:O383" si="304">+H358/BW358</f>
        <v>83952</v>
      </c>
      <c r="P358" s="41"/>
      <c r="Q358" s="17">
        <f t="shared" si="298"/>
        <v>451030</v>
      </c>
      <c r="R358" s="16"/>
      <c r="S358" s="60">
        <f t="shared" si="299"/>
        <v>-0.10039053617944718</v>
      </c>
      <c r="T358" s="16"/>
      <c r="U358" s="41"/>
      <c r="V358" s="10">
        <f t="shared" si="109"/>
        <v>250</v>
      </c>
      <c r="W358" s="34">
        <v>2341</v>
      </c>
      <c r="X358" s="33">
        <v>4256</v>
      </c>
      <c r="Y358" s="33"/>
      <c r="Z358" s="33"/>
      <c r="AA358" s="33">
        <f t="shared" ref="AA358:AA383" si="305">+AA357+W358</f>
        <v>524511</v>
      </c>
      <c r="AB358" s="33"/>
      <c r="AC358" s="46">
        <f t="shared" ref="AC358:AC383" si="306">+AA358/H358</f>
        <v>1.7901858778081949E-2</v>
      </c>
      <c r="AD358" s="33"/>
      <c r="AE358" s="33">
        <f t="shared" ref="AE358:AE383" si="307">+AA358/BW358</f>
        <v>1502.8968481375359</v>
      </c>
      <c r="AF358" s="50"/>
      <c r="AG358" s="33">
        <f t="shared" ref="AG358:AG383" si="308">SUM(W352:W358)</f>
        <v>13311</v>
      </c>
      <c r="AH358" s="33">
        <f>SUM(D329:D1010)</f>
        <v>1201227627.060914</v>
      </c>
      <c r="AI358" s="213">
        <f t="shared" ref="AI358:AI383" si="309">+(AG358-AG351)/AG351</f>
        <v>-0.16451167461712277</v>
      </c>
      <c r="AJ358" s="50"/>
      <c r="AK358" s="111"/>
      <c r="AL358" s="23">
        <f t="shared" si="301"/>
        <v>98003</v>
      </c>
      <c r="AM358" s="24"/>
      <c r="AN358" s="24"/>
      <c r="AO358" s="24">
        <v>178263</v>
      </c>
      <c r="AP358" s="24">
        <v>20003325</v>
      </c>
      <c r="AQ358" s="24"/>
      <c r="AR358" s="461">
        <f t="shared" ref="AR358:AR383" si="310">+AL358/AP357</f>
        <v>4.9234571538204711E-3</v>
      </c>
      <c r="AS358" s="25"/>
      <c r="AT358" s="25"/>
      <c r="AU358" s="24"/>
      <c r="AV358" s="298">
        <f t="shared" ref="AV358:AV383" si="311">+AP358/H358</f>
        <v>0.68272486037866909</v>
      </c>
      <c r="AW358" s="298"/>
      <c r="AX358" s="24">
        <f t="shared" ref="AX358:AX383" si="312">+AP358/BW358</f>
        <v>57316.11747851003</v>
      </c>
      <c r="AY358" s="308"/>
      <c r="AZ358" s="111"/>
      <c r="BA358" s="65">
        <f t="shared" ref="BA358:BA383" si="313">+BC358-BC357</f>
        <v>1458939</v>
      </c>
      <c r="BB358" s="66"/>
      <c r="BC358" s="66">
        <v>363407751</v>
      </c>
      <c r="BD358" s="66"/>
      <c r="BE358" s="66">
        <f t="shared" ref="BE358:BE383" si="314">+D358</f>
        <v>67225</v>
      </c>
      <c r="BF358" s="66"/>
      <c r="BG358" s="144">
        <f t="shared" ref="BG358:BG383" si="315">+BE358/BA358</f>
        <v>4.6078006002992583E-2</v>
      </c>
      <c r="BH358" s="66"/>
      <c r="BI358" s="170"/>
      <c r="BJ358" s="66"/>
      <c r="BK358" s="66">
        <f t="shared" ref="BK358:BK383" si="316">SUM(BA352:BA358)</f>
        <v>10875330</v>
      </c>
      <c r="BL358" s="66"/>
      <c r="BM358" s="144">
        <f t="shared" ref="BM358:BM383" si="317">+Q358/BK358</f>
        <v>4.1472764504617329E-2</v>
      </c>
      <c r="BN358" s="65">
        <f t="shared" ref="BN358:BN383" si="318">+BC358/BW358</f>
        <v>1041282.9541547277</v>
      </c>
      <c r="BO358" s="66"/>
      <c r="BP358" s="66">
        <f t="shared" ref="BP358:BP383" si="319">+BP357+BE358</f>
        <v>28392270</v>
      </c>
      <c r="BQ358" s="66"/>
      <c r="BR358" s="435">
        <f t="shared" si="300"/>
        <v>7.8127860294317161E-2</v>
      </c>
      <c r="BS358" s="66"/>
      <c r="BT358" s="75"/>
      <c r="BU358" s="170"/>
      <c r="BV358" s="1"/>
      <c r="BW358" s="61">
        <f t="shared" si="186"/>
        <v>349</v>
      </c>
    </row>
    <row r="359" spans="2:75" x14ac:dyDescent="0.3">
      <c r="B359" s="158">
        <f t="shared" si="161"/>
        <v>44259</v>
      </c>
      <c r="C359" s="61"/>
      <c r="D359" s="17">
        <v>68321</v>
      </c>
      <c r="E359" s="16"/>
      <c r="F359" s="16"/>
      <c r="G359" s="16"/>
      <c r="H359" s="16">
        <f t="shared" si="302"/>
        <v>29367569</v>
      </c>
      <c r="I359" s="16"/>
      <c r="J359" s="436">
        <f t="shared" si="303"/>
        <v>2.3318345917956664E-3</v>
      </c>
      <c r="K359" s="16"/>
      <c r="L359" s="16"/>
      <c r="M359" s="16"/>
      <c r="N359" s="16">
        <f t="shared" si="297"/>
        <v>441974</v>
      </c>
      <c r="O359" s="16">
        <f t="shared" si="304"/>
        <v>83907.34</v>
      </c>
      <c r="P359" s="41"/>
      <c r="Q359" s="17">
        <f t="shared" si="298"/>
        <v>441974</v>
      </c>
      <c r="R359" s="16"/>
      <c r="S359" s="60">
        <f t="shared" si="299"/>
        <v>-0.13306983905926659</v>
      </c>
      <c r="T359" s="16"/>
      <c r="U359" s="41"/>
      <c r="V359" s="10">
        <f t="shared" si="109"/>
        <v>251</v>
      </c>
      <c r="W359" s="34">
        <v>1993</v>
      </c>
      <c r="X359" s="33">
        <v>4256</v>
      </c>
      <c r="Y359" s="33"/>
      <c r="Z359" s="33"/>
      <c r="AA359" s="33">
        <f t="shared" si="305"/>
        <v>526504</v>
      </c>
      <c r="AB359" s="33"/>
      <c r="AC359" s="46">
        <f t="shared" si="306"/>
        <v>1.7928075694654877E-2</v>
      </c>
      <c r="AD359" s="33"/>
      <c r="AE359" s="33">
        <f t="shared" si="307"/>
        <v>1504.2971428571429</v>
      </c>
      <c r="AF359" s="50"/>
      <c r="AG359" s="33">
        <f t="shared" si="308"/>
        <v>12890</v>
      </c>
      <c r="AH359" s="33">
        <f>SUM(D330:D1011)</f>
        <v>1201111400.060914</v>
      </c>
      <c r="AI359" s="213">
        <f t="shared" si="309"/>
        <v>-0.17292268206608918</v>
      </c>
      <c r="AJ359" s="50"/>
      <c r="AK359" s="111"/>
      <c r="AL359" s="23">
        <f t="shared" si="301"/>
        <v>90117</v>
      </c>
      <c r="AM359" s="24"/>
      <c r="AN359" s="24"/>
      <c r="AO359" s="24">
        <v>178263</v>
      </c>
      <c r="AP359" s="24">
        <v>20093442</v>
      </c>
      <c r="AQ359" s="24"/>
      <c r="AR359" s="461">
        <f t="shared" si="310"/>
        <v>4.5051010269542687E-3</v>
      </c>
      <c r="AS359" s="25"/>
      <c r="AT359" s="25"/>
      <c r="AU359" s="24"/>
      <c r="AV359" s="298">
        <f t="shared" si="311"/>
        <v>0.6842051516078842</v>
      </c>
      <c r="AW359" s="298"/>
      <c r="AX359" s="24">
        <f t="shared" si="312"/>
        <v>57409.834285714285</v>
      </c>
      <c r="AY359" s="308"/>
      <c r="AZ359" s="111"/>
      <c r="BA359" s="65">
        <f t="shared" si="313"/>
        <v>1609442</v>
      </c>
      <c r="BB359" s="66"/>
      <c r="BC359" s="66">
        <v>365017193</v>
      </c>
      <c r="BD359" s="66"/>
      <c r="BE359" s="66">
        <f t="shared" si="314"/>
        <v>68321</v>
      </c>
      <c r="BF359" s="66"/>
      <c r="BG359" s="144">
        <f t="shared" si="315"/>
        <v>4.2450116251471007E-2</v>
      </c>
      <c r="BH359" s="66"/>
      <c r="BI359" s="170"/>
      <c r="BJ359" s="66"/>
      <c r="BK359" s="66">
        <f t="shared" si="316"/>
        <v>10679040</v>
      </c>
      <c r="BL359" s="66"/>
      <c r="BM359" s="144">
        <f t="shared" si="317"/>
        <v>4.1387053517919214E-2</v>
      </c>
      <c r="BN359" s="65">
        <f t="shared" si="318"/>
        <v>1042906.2657142857</v>
      </c>
      <c r="BO359" s="66"/>
      <c r="BP359" s="66">
        <f t="shared" si="319"/>
        <v>28460591</v>
      </c>
      <c r="BQ359" s="66"/>
      <c r="BR359" s="435">
        <f t="shared" si="300"/>
        <v>7.7970549184514709E-2</v>
      </c>
      <c r="BS359" s="66"/>
      <c r="BT359" s="75"/>
      <c r="BU359" s="170"/>
      <c r="BV359" s="1"/>
      <c r="BW359" s="61">
        <f t="shared" si="186"/>
        <v>350</v>
      </c>
    </row>
    <row r="360" spans="2:75" x14ac:dyDescent="0.3">
      <c r="B360" s="158">
        <f t="shared" si="161"/>
        <v>44260</v>
      </c>
      <c r="C360" s="61"/>
      <c r="D360" s="17">
        <v>69240</v>
      </c>
      <c r="E360" s="16"/>
      <c r="F360" s="16"/>
      <c r="G360" s="16"/>
      <c r="H360" s="16">
        <f t="shared" si="302"/>
        <v>29436809</v>
      </c>
      <c r="I360" s="16"/>
      <c r="J360" s="436">
        <f t="shared" si="303"/>
        <v>2.3577028115606027E-3</v>
      </c>
      <c r="K360" s="16"/>
      <c r="L360" s="16"/>
      <c r="M360" s="16"/>
      <c r="N360" s="16">
        <f t="shared" si="297"/>
        <v>430589</v>
      </c>
      <c r="O360" s="16">
        <f t="shared" si="304"/>
        <v>83865.552706552713</v>
      </c>
      <c r="P360" s="41"/>
      <c r="Q360" s="17">
        <f t="shared" si="298"/>
        <v>430589</v>
      </c>
      <c r="R360" s="16"/>
      <c r="S360" s="60">
        <f t="shared" si="299"/>
        <v>-0.14718132861689717</v>
      </c>
      <c r="T360" s="16"/>
      <c r="U360" s="41"/>
      <c r="V360" s="10">
        <f t="shared" si="109"/>
        <v>252</v>
      </c>
      <c r="W360" s="34">
        <v>1836</v>
      </c>
      <c r="X360" s="33">
        <v>4256</v>
      </c>
      <c r="Y360" s="33"/>
      <c r="Z360" s="33"/>
      <c r="AA360" s="33">
        <f t="shared" si="305"/>
        <v>528340</v>
      </c>
      <c r="AB360" s="33"/>
      <c r="AC360" s="46">
        <f t="shared" si="306"/>
        <v>1.7948276934500611E-2</v>
      </c>
      <c r="AD360" s="33"/>
      <c r="AE360" s="33">
        <f t="shared" si="307"/>
        <v>1505.2421652421651</v>
      </c>
      <c r="AF360" s="50"/>
      <c r="AG360" s="33">
        <f t="shared" si="308"/>
        <v>12480</v>
      </c>
      <c r="AH360" s="33">
        <f>SUM(D331:D1012)</f>
        <v>1200997941.060914</v>
      </c>
      <c r="AI360" s="213">
        <f t="shared" si="309"/>
        <v>-0.17819043856183328</v>
      </c>
      <c r="AJ360" s="50"/>
      <c r="AK360" s="111"/>
      <c r="AL360" s="23">
        <f t="shared" si="301"/>
        <v>90202</v>
      </c>
      <c r="AM360" s="24"/>
      <c r="AN360" s="24"/>
      <c r="AO360" s="24">
        <v>178263</v>
      </c>
      <c r="AP360" s="24">
        <v>20183644</v>
      </c>
      <c r="AQ360" s="24"/>
      <c r="AR360" s="461">
        <f t="shared" si="310"/>
        <v>4.489126352767236E-3</v>
      </c>
      <c r="AS360" s="25"/>
      <c r="AT360" s="25"/>
      <c r="AU360" s="24"/>
      <c r="AV360" s="298">
        <f t="shared" si="311"/>
        <v>0.68566005235146243</v>
      </c>
      <c r="AW360" s="298"/>
      <c r="AX360" s="24">
        <f t="shared" si="312"/>
        <v>57503.259259259263</v>
      </c>
      <c r="AY360" s="308"/>
      <c r="AZ360" s="111"/>
      <c r="BA360" s="65">
        <f t="shared" si="313"/>
        <v>1779519</v>
      </c>
      <c r="BB360" s="66"/>
      <c r="BC360" s="66">
        <v>366796712</v>
      </c>
      <c r="BD360" s="66"/>
      <c r="BE360" s="66">
        <f t="shared" si="314"/>
        <v>69240</v>
      </c>
      <c r="BF360" s="66"/>
      <c r="BG360" s="144">
        <f t="shared" si="315"/>
        <v>3.8909390683662268E-2</v>
      </c>
      <c r="BH360" s="66"/>
      <c r="BI360" s="170"/>
      <c r="BJ360" s="66"/>
      <c r="BK360" s="66">
        <f t="shared" si="316"/>
        <v>10714780</v>
      </c>
      <c r="BL360" s="66"/>
      <c r="BM360" s="144">
        <f t="shared" si="317"/>
        <v>4.0186452731647317E-2</v>
      </c>
      <c r="BN360" s="65">
        <f t="shared" si="318"/>
        <v>1045004.8774928775</v>
      </c>
      <c r="BO360" s="66"/>
      <c r="BP360" s="66">
        <f t="shared" si="319"/>
        <v>28529831</v>
      </c>
      <c r="BQ360" s="66"/>
      <c r="BR360" s="435">
        <f t="shared" si="300"/>
        <v>7.7781043468023239E-2</v>
      </c>
      <c r="BS360" s="66"/>
      <c r="BT360" s="75"/>
      <c r="BU360" s="170"/>
      <c r="BV360" s="1"/>
      <c r="BW360" s="61">
        <f t="shared" si="186"/>
        <v>351</v>
      </c>
    </row>
    <row r="361" spans="2:75" x14ac:dyDescent="0.3">
      <c r="B361" s="158">
        <f t="shared" si="161"/>
        <v>44261</v>
      </c>
      <c r="C361" s="61"/>
      <c r="D361" s="17">
        <v>58228</v>
      </c>
      <c r="E361" s="16"/>
      <c r="F361" s="16"/>
      <c r="G361" s="16"/>
      <c r="H361" s="16">
        <f t="shared" si="302"/>
        <v>29495037</v>
      </c>
      <c r="I361" s="16"/>
      <c r="J361" s="436">
        <f t="shared" si="303"/>
        <v>1.9780676635161101E-3</v>
      </c>
      <c r="K361" s="16"/>
      <c r="L361" s="16"/>
      <c r="M361" s="16"/>
      <c r="N361" s="16">
        <f t="shared" si="297"/>
        <v>424497</v>
      </c>
      <c r="O361" s="16">
        <f t="shared" si="304"/>
        <v>83792.71875</v>
      </c>
      <c r="P361" s="41"/>
      <c r="Q361" s="17">
        <f t="shared" si="298"/>
        <v>424497</v>
      </c>
      <c r="R361" s="16"/>
      <c r="S361" s="60">
        <f t="shared" si="299"/>
        <v>-0.15033306378651892</v>
      </c>
      <c r="T361" s="16"/>
      <c r="U361" s="41"/>
      <c r="V361" s="10">
        <f t="shared" si="109"/>
        <v>253</v>
      </c>
      <c r="W361" s="34">
        <v>1515</v>
      </c>
      <c r="X361" s="33">
        <v>4256</v>
      </c>
      <c r="Y361" s="33"/>
      <c r="Z361" s="33"/>
      <c r="AA361" s="33">
        <f t="shared" si="305"/>
        <v>529855</v>
      </c>
      <c r="AB361" s="33"/>
      <c r="AC361" s="46">
        <f t="shared" si="306"/>
        <v>1.7964208690431548E-2</v>
      </c>
      <c r="AD361" s="33"/>
      <c r="AE361" s="33">
        <f t="shared" si="307"/>
        <v>1505.2698863636363</v>
      </c>
      <c r="AF361" s="50"/>
      <c r="AG361" s="33">
        <f t="shared" si="308"/>
        <v>12441</v>
      </c>
      <c r="AH361" s="33">
        <f>SUM(D332:D1013)</f>
        <v>1200876204.060914</v>
      </c>
      <c r="AI361" s="213">
        <f t="shared" si="309"/>
        <v>-0.16126205083260298</v>
      </c>
      <c r="AJ361" s="50"/>
      <c r="AK361" s="111"/>
      <c r="AL361" s="23">
        <f t="shared" si="301"/>
        <v>90271</v>
      </c>
      <c r="AM361" s="24"/>
      <c r="AN361" s="24"/>
      <c r="AO361" s="24">
        <v>178263</v>
      </c>
      <c r="AP361" s="24">
        <v>20273915</v>
      </c>
      <c r="AQ361" s="24"/>
      <c r="AR361" s="461">
        <f t="shared" si="310"/>
        <v>4.4724827687210493E-3</v>
      </c>
      <c r="AS361" s="25"/>
      <c r="AT361" s="25"/>
      <c r="AU361" s="24"/>
      <c r="AV361" s="298">
        <f t="shared" si="311"/>
        <v>0.68736699669168067</v>
      </c>
      <c r="AW361" s="298"/>
      <c r="AX361" s="24">
        <f t="shared" si="312"/>
        <v>57596.349431818184</v>
      </c>
      <c r="AY361" s="308"/>
      <c r="AZ361" s="111"/>
      <c r="BA361" s="65">
        <f t="shared" si="313"/>
        <v>1295561</v>
      </c>
      <c r="BB361" s="66"/>
      <c r="BC361" s="66">
        <v>368092273</v>
      </c>
      <c r="BD361" s="66"/>
      <c r="BE361" s="66">
        <f t="shared" si="314"/>
        <v>58228</v>
      </c>
      <c r="BF361" s="66"/>
      <c r="BG361" s="144">
        <f t="shared" si="315"/>
        <v>4.4944236512213631E-2</v>
      </c>
      <c r="BH361" s="66"/>
      <c r="BI361" s="170"/>
      <c r="BJ361" s="66"/>
      <c r="BK361" s="66">
        <f t="shared" si="316"/>
        <v>10384277</v>
      </c>
      <c r="BL361" s="66"/>
      <c r="BM361" s="144">
        <f t="shared" si="317"/>
        <v>4.0878820932839136E-2</v>
      </c>
      <c r="BN361" s="65">
        <f t="shared" si="318"/>
        <v>1045716.6846590909</v>
      </c>
      <c r="BO361" s="66"/>
      <c r="BP361" s="66">
        <f t="shared" si="319"/>
        <v>28588059</v>
      </c>
      <c r="BQ361" s="66"/>
      <c r="BR361" s="435">
        <f t="shared" si="300"/>
        <v>7.7665468951585409E-2</v>
      </c>
      <c r="BS361" s="66"/>
      <c r="BT361" s="75"/>
      <c r="BU361" s="170"/>
      <c r="BV361" s="1"/>
      <c r="BW361" s="61">
        <f t="shared" si="186"/>
        <v>352</v>
      </c>
    </row>
    <row r="362" spans="2:75" x14ac:dyDescent="0.3">
      <c r="B362" s="347">
        <f t="shared" si="161"/>
        <v>44262</v>
      </c>
      <c r="C362" s="61"/>
      <c r="D362" s="17">
        <v>41967</v>
      </c>
      <c r="E362" s="16"/>
      <c r="F362" s="16"/>
      <c r="G362" s="16"/>
      <c r="H362" s="16">
        <f t="shared" si="302"/>
        <v>29537004</v>
      </c>
      <c r="I362" s="16"/>
      <c r="J362" s="436">
        <f t="shared" si="303"/>
        <v>1.4228495458405426E-3</v>
      </c>
      <c r="K362" s="16"/>
      <c r="L362" s="16"/>
      <c r="M362" s="16"/>
      <c r="N362" s="16">
        <f t="shared" si="297"/>
        <v>417052</v>
      </c>
      <c r="O362" s="16">
        <f t="shared" si="304"/>
        <v>83674.23229461757</v>
      </c>
      <c r="P362" s="41"/>
      <c r="Q362" s="17">
        <f t="shared" si="298"/>
        <v>417052</v>
      </c>
      <c r="R362" s="16"/>
      <c r="S362" s="60">
        <f t="shared" si="299"/>
        <v>-0.15197309426158673</v>
      </c>
      <c r="T362" s="16"/>
      <c r="U362" s="41"/>
      <c r="V362" s="10">
        <f t="shared" si="109"/>
        <v>254</v>
      </c>
      <c r="W362" s="34">
        <v>716</v>
      </c>
      <c r="X362" s="33">
        <v>4256</v>
      </c>
      <c r="Y362" s="33"/>
      <c r="Z362" s="33"/>
      <c r="AA362" s="33">
        <f t="shared" si="305"/>
        <v>530571</v>
      </c>
      <c r="AB362" s="33"/>
      <c r="AC362" s="46">
        <f t="shared" si="306"/>
        <v>1.7962925420601222E-2</v>
      </c>
      <c r="AD362" s="33"/>
      <c r="AE362" s="33">
        <f t="shared" si="307"/>
        <v>1503.0339943342776</v>
      </c>
      <c r="AF362" s="50"/>
      <c r="AG362" s="33">
        <f t="shared" si="308"/>
        <v>11874</v>
      </c>
      <c r="AH362" s="33">
        <f>SUM(D333:D1014)</f>
        <v>1200750079.060914</v>
      </c>
      <c r="AI362" s="213">
        <f t="shared" si="309"/>
        <v>-0.20142578519066515</v>
      </c>
      <c r="AJ362" s="50"/>
      <c r="AK362" s="111"/>
      <c r="AL362" s="23">
        <f t="shared" si="301"/>
        <v>62741</v>
      </c>
      <c r="AM362" s="24"/>
      <c r="AN362" s="24"/>
      <c r="AO362" s="24">
        <v>178263</v>
      </c>
      <c r="AP362" s="24">
        <v>20336656</v>
      </c>
      <c r="AQ362" s="24">
        <v>20336656</v>
      </c>
      <c r="AR362" s="461">
        <f t="shared" si="310"/>
        <v>3.0946662250482949E-3</v>
      </c>
      <c r="AS362" s="25"/>
      <c r="AT362" s="25"/>
      <c r="AU362" s="24"/>
      <c r="AV362" s="298">
        <f t="shared" si="311"/>
        <v>0.68851451555479359</v>
      </c>
      <c r="AW362" s="298"/>
      <c r="AX362" s="24">
        <f t="shared" si="312"/>
        <v>57610.923512747875</v>
      </c>
      <c r="AY362" s="308"/>
      <c r="AZ362" s="111"/>
      <c r="BA362" s="65">
        <f t="shared" si="313"/>
        <v>1117961</v>
      </c>
      <c r="BB362" s="66"/>
      <c r="BC362" s="66">
        <v>369210234</v>
      </c>
      <c r="BD362" s="66"/>
      <c r="BE362" s="66">
        <f t="shared" si="314"/>
        <v>41967</v>
      </c>
      <c r="BF362" s="66"/>
      <c r="BG362" s="144">
        <f t="shared" si="315"/>
        <v>3.7538876579773353E-2</v>
      </c>
      <c r="BH362" s="66"/>
      <c r="BI362" s="170"/>
      <c r="BJ362" s="66"/>
      <c r="BK362" s="66">
        <f t="shared" si="316"/>
        <v>10188664</v>
      </c>
      <c r="BL362" s="66"/>
      <c r="BM362" s="144">
        <f t="shared" si="317"/>
        <v>4.0932942729292085E-2</v>
      </c>
      <c r="BN362" s="65">
        <f t="shared" si="318"/>
        <v>1045921.342776204</v>
      </c>
      <c r="BO362" s="66"/>
      <c r="BP362" s="66">
        <f t="shared" si="319"/>
        <v>28630026</v>
      </c>
      <c r="BQ362" s="66"/>
      <c r="BR362" s="435">
        <f t="shared" si="300"/>
        <v>7.754396645462433E-2</v>
      </c>
      <c r="BS362" s="66"/>
      <c r="BT362" s="75"/>
      <c r="BU362" s="170"/>
      <c r="BV362" s="1"/>
      <c r="BW362" s="61">
        <f t="shared" si="186"/>
        <v>353</v>
      </c>
    </row>
    <row r="363" spans="2:75" x14ac:dyDescent="0.3">
      <c r="B363" s="158">
        <f t="shared" si="161"/>
        <v>44263</v>
      </c>
      <c r="C363" s="61"/>
      <c r="D363" s="17">
        <v>45368</v>
      </c>
      <c r="E363" s="16"/>
      <c r="F363" s="16"/>
      <c r="G363" s="16"/>
      <c r="H363" s="16">
        <f t="shared" si="302"/>
        <v>29582372</v>
      </c>
      <c r="I363" s="16"/>
      <c r="J363" s="436">
        <f t="shared" si="303"/>
        <v>1.5359716239331518E-3</v>
      </c>
      <c r="K363" s="16"/>
      <c r="L363" s="16"/>
      <c r="M363" s="16"/>
      <c r="N363" s="16">
        <f t="shared" si="297"/>
        <v>407239</v>
      </c>
      <c r="O363" s="16">
        <f t="shared" si="304"/>
        <v>83566.022598870055</v>
      </c>
      <c r="P363" s="41"/>
      <c r="Q363" s="17">
        <f t="shared" si="298"/>
        <v>407239</v>
      </c>
      <c r="R363" s="16"/>
      <c r="S363" s="60">
        <f t="shared" si="299"/>
        <v>-0.14430847330842708</v>
      </c>
      <c r="T363" s="16"/>
      <c r="U363" s="41"/>
      <c r="V363" s="10">
        <f t="shared" si="109"/>
        <v>255</v>
      </c>
      <c r="W363" s="34">
        <v>830</v>
      </c>
      <c r="X363" s="33">
        <v>4256</v>
      </c>
      <c r="Y363" s="33"/>
      <c r="Z363" s="33"/>
      <c r="AA363" s="33">
        <f t="shared" si="305"/>
        <v>531401</v>
      </c>
      <c r="AB363" s="33"/>
      <c r="AC363" s="46">
        <f t="shared" si="306"/>
        <v>1.7963434439942815E-2</v>
      </c>
      <c r="AD363" s="33"/>
      <c r="AE363" s="33">
        <f t="shared" si="307"/>
        <v>1501.1327683615818</v>
      </c>
      <c r="AF363" s="50"/>
      <c r="AG363" s="33">
        <f t="shared" si="308"/>
        <v>11220</v>
      </c>
      <c r="AH363" s="33">
        <f>SUM(D334:D1015)</f>
        <v>1200644096.060914</v>
      </c>
      <c r="AI363" s="213">
        <f t="shared" si="309"/>
        <v>-0.19564126460678186</v>
      </c>
      <c r="AJ363" s="50"/>
      <c r="AK363" s="111"/>
      <c r="AL363" s="23">
        <f t="shared" si="301"/>
        <v>113320</v>
      </c>
      <c r="AM363" s="24"/>
      <c r="AN363" s="24"/>
      <c r="AO363" s="24">
        <v>178263</v>
      </c>
      <c r="AP363" s="24">
        <v>20449976</v>
      </c>
      <c r="AQ363" s="24">
        <v>20336656</v>
      </c>
      <c r="AR363" s="461">
        <f t="shared" si="310"/>
        <v>5.5722042011233314E-3</v>
      </c>
      <c r="AS363" s="25"/>
      <c r="AT363" s="25"/>
      <c r="AU363" s="24"/>
      <c r="AV363" s="298">
        <f t="shared" si="311"/>
        <v>0.69128925834615296</v>
      </c>
      <c r="AW363" s="298"/>
      <c r="AX363" s="24">
        <f t="shared" si="312"/>
        <v>57768.293785310736</v>
      </c>
      <c r="AY363" s="308"/>
      <c r="AZ363" s="111"/>
      <c r="BA363" s="65">
        <f t="shared" si="313"/>
        <v>1428263</v>
      </c>
      <c r="BB363" s="66"/>
      <c r="BC363" s="66">
        <v>370638497</v>
      </c>
      <c r="BD363" s="66"/>
      <c r="BE363" s="66">
        <f t="shared" si="314"/>
        <v>45368</v>
      </c>
      <c r="BF363" s="66"/>
      <c r="BG363" s="144">
        <f t="shared" si="315"/>
        <v>3.1764457946470641E-2</v>
      </c>
      <c r="BH363" s="66"/>
      <c r="BI363" s="170"/>
      <c r="BJ363" s="66"/>
      <c r="BK363" s="66">
        <f t="shared" si="316"/>
        <v>9889685</v>
      </c>
      <c r="BL363" s="66"/>
      <c r="BM363" s="144">
        <f t="shared" si="317"/>
        <v>4.117815683714901E-2</v>
      </c>
      <c r="BN363" s="65">
        <f t="shared" si="318"/>
        <v>1047001.4039548023</v>
      </c>
      <c r="BO363" s="66"/>
      <c r="BP363" s="66">
        <f t="shared" si="319"/>
        <v>28675394</v>
      </c>
      <c r="BQ363" s="66"/>
      <c r="BR363" s="435">
        <f t="shared" si="300"/>
        <v>7.7367554185824361E-2</v>
      </c>
      <c r="BS363" s="66"/>
      <c r="BT363" s="75"/>
      <c r="BU363" s="170"/>
      <c r="BV363" s="1"/>
      <c r="BW363" s="61">
        <f t="shared" si="186"/>
        <v>354</v>
      </c>
    </row>
    <row r="364" spans="2:75" x14ac:dyDescent="0.3">
      <c r="B364" s="158">
        <f t="shared" si="161"/>
        <v>44264</v>
      </c>
      <c r="C364" s="61"/>
      <c r="D364" s="17">
        <v>55683</v>
      </c>
      <c r="E364" s="16"/>
      <c r="F364" s="16"/>
      <c r="G364" s="16"/>
      <c r="H364" s="16">
        <f t="shared" si="302"/>
        <v>29638055</v>
      </c>
      <c r="I364" s="16"/>
      <c r="J364" s="436">
        <f t="shared" si="303"/>
        <v>1.882303420428896E-3</v>
      </c>
      <c r="K364" s="16"/>
      <c r="L364" s="16"/>
      <c r="M364" s="16"/>
      <c r="N364" s="16">
        <f t="shared" ref="N364:N383" si="320">SUM(D358:D364)</f>
        <v>406032</v>
      </c>
      <c r="O364" s="16">
        <f t="shared" si="304"/>
        <v>83487.478873239437</v>
      </c>
      <c r="P364" s="41"/>
      <c r="Q364" s="17">
        <f t="shared" si="298"/>
        <v>406032</v>
      </c>
      <c r="R364" s="16"/>
      <c r="S364" s="60">
        <f t="shared" si="299"/>
        <v>-0.11559907994702726</v>
      </c>
      <c r="T364" s="16"/>
      <c r="U364" s="41"/>
      <c r="V364" s="10">
        <f t="shared" si="109"/>
        <v>256</v>
      </c>
      <c r="W364" s="34">
        <v>1704</v>
      </c>
      <c r="X364" s="33">
        <v>4256</v>
      </c>
      <c r="Y364" s="33"/>
      <c r="Z364" s="33"/>
      <c r="AA364" s="33">
        <f t="shared" si="305"/>
        <v>533105</v>
      </c>
      <c r="AB364" s="33"/>
      <c r="AC364" s="46">
        <f t="shared" si="306"/>
        <v>1.7987178983236249E-2</v>
      </c>
      <c r="AD364" s="33"/>
      <c r="AE364" s="33">
        <f t="shared" si="307"/>
        <v>1501.7042253521126</v>
      </c>
      <c r="AF364" s="50"/>
      <c r="AG364" s="33">
        <f t="shared" si="308"/>
        <v>10935</v>
      </c>
      <c r="AH364" s="33">
        <f>SUM(D335:D1016)</f>
        <v>1200552840.060914</v>
      </c>
      <c r="AI364" s="213">
        <f t="shared" si="309"/>
        <v>-0.18969988884772138</v>
      </c>
      <c r="AJ364" s="50"/>
      <c r="AK364" s="111"/>
      <c r="AL364" s="23">
        <f t="shared" si="301"/>
        <v>99702</v>
      </c>
      <c r="AM364" s="24"/>
      <c r="AN364" s="24"/>
      <c r="AO364" s="24">
        <v>178263</v>
      </c>
      <c r="AP364" s="24">
        <v>20549678</v>
      </c>
      <c r="AQ364" s="24">
        <v>20336656</v>
      </c>
      <c r="AR364" s="461">
        <f t="shared" si="310"/>
        <v>4.8754091447344482E-3</v>
      </c>
      <c r="AS364" s="25"/>
      <c r="AT364" s="25"/>
      <c r="AU364" s="24"/>
      <c r="AV364" s="298">
        <f t="shared" si="311"/>
        <v>0.69335447282218754</v>
      </c>
      <c r="AW364" s="298"/>
      <c r="AX364" s="24">
        <f t="shared" si="312"/>
        <v>57886.416901408447</v>
      </c>
      <c r="AY364" s="308"/>
      <c r="AZ364" s="111"/>
      <c r="BA364" s="65">
        <f t="shared" si="313"/>
        <v>1256221</v>
      </c>
      <c r="BB364" s="66"/>
      <c r="BC364" s="66">
        <v>371894718</v>
      </c>
      <c r="BD364" s="66"/>
      <c r="BE364" s="66">
        <f t="shared" si="314"/>
        <v>55683</v>
      </c>
      <c r="BF364" s="66"/>
      <c r="BG364" s="144">
        <f t="shared" si="315"/>
        <v>4.4325799361736508E-2</v>
      </c>
      <c r="BH364" s="66"/>
      <c r="BI364" s="170"/>
      <c r="BJ364" s="66"/>
      <c r="BK364" s="66">
        <f t="shared" si="316"/>
        <v>9945906</v>
      </c>
      <c r="BL364" s="66"/>
      <c r="BM364" s="144">
        <f t="shared" si="317"/>
        <v>4.0824033526960742E-2</v>
      </c>
      <c r="BN364" s="65">
        <f t="shared" si="318"/>
        <v>1047590.7549295775</v>
      </c>
      <c r="BO364" s="66"/>
      <c r="BP364" s="66">
        <f t="shared" si="319"/>
        <v>28731077</v>
      </c>
      <c r="BQ364" s="66"/>
      <c r="BR364" s="435">
        <f t="shared" si="300"/>
        <v>7.7255942634818497E-2</v>
      </c>
      <c r="BS364" s="66"/>
      <c r="BT364" s="75"/>
      <c r="BU364" s="170"/>
      <c r="BV364" s="1"/>
      <c r="BW364" s="61">
        <f t="shared" si="186"/>
        <v>355</v>
      </c>
    </row>
    <row r="365" spans="2:75" x14ac:dyDescent="0.3">
      <c r="B365" s="158">
        <f t="shared" si="161"/>
        <v>44265</v>
      </c>
      <c r="C365" s="61"/>
      <c r="D365" s="17">
        <v>61360</v>
      </c>
      <c r="E365" s="16"/>
      <c r="F365" s="16"/>
      <c r="G365" s="16"/>
      <c r="H365" s="16">
        <f t="shared" si="302"/>
        <v>29699415</v>
      </c>
      <c r="I365" s="16"/>
      <c r="J365" s="436">
        <f t="shared" si="303"/>
        <v>2.0703112940440929E-3</v>
      </c>
      <c r="K365" s="16"/>
      <c r="L365" s="16"/>
      <c r="M365" s="16"/>
      <c r="N365" s="16">
        <f t="shared" si="320"/>
        <v>400167</v>
      </c>
      <c r="O365" s="16">
        <f t="shared" si="304"/>
        <v>83425.323033707871</v>
      </c>
      <c r="P365" s="41"/>
      <c r="Q365" s="17">
        <f t="shared" ref="Q365:Q383" si="321">SUM(D359:D365)</f>
        <v>400167</v>
      </c>
      <c r="R365" s="16"/>
      <c r="S365" s="60">
        <f t="shared" ref="S365:S383" si="322">+(Q365-Q358)/Q358</f>
        <v>-0.11277076912843935</v>
      </c>
      <c r="T365" s="16"/>
      <c r="U365" s="41"/>
      <c r="V365" s="10">
        <f t="shared" si="109"/>
        <v>257</v>
      </c>
      <c r="W365" s="34">
        <v>1610</v>
      </c>
      <c r="X365" s="33">
        <v>4256</v>
      </c>
      <c r="Y365" s="33"/>
      <c r="Z365" s="33"/>
      <c r="AA365" s="33">
        <f t="shared" si="305"/>
        <v>534715</v>
      </c>
      <c r="AB365" s="33"/>
      <c r="AC365" s="46">
        <f t="shared" si="306"/>
        <v>1.8004226682579439E-2</v>
      </c>
      <c r="AD365" s="33"/>
      <c r="AE365" s="33">
        <f t="shared" si="307"/>
        <v>1502.0084269662921</v>
      </c>
      <c r="AF365" s="50"/>
      <c r="AG365" s="33">
        <f t="shared" si="308"/>
        <v>10204</v>
      </c>
      <c r="AH365" s="33">
        <f>SUM(D336:D1017)</f>
        <v>1200462494.060914</v>
      </c>
      <c r="AI365" s="213">
        <f t="shared" si="309"/>
        <v>-0.23341597175268575</v>
      </c>
      <c r="AJ365" s="50"/>
      <c r="AK365" s="111"/>
      <c r="AL365" s="23">
        <f t="shared" si="301"/>
        <v>161186</v>
      </c>
      <c r="AM365" s="24"/>
      <c r="AN365" s="24"/>
      <c r="AO365" s="24">
        <v>178263</v>
      </c>
      <c r="AP365" s="24">
        <v>20710864</v>
      </c>
      <c r="AQ365" s="24">
        <v>20336656</v>
      </c>
      <c r="AR365" s="461">
        <f t="shared" si="310"/>
        <v>7.8437238773279069E-3</v>
      </c>
      <c r="AS365" s="25"/>
      <c r="AT365" s="25"/>
      <c r="AU365" s="24"/>
      <c r="AV365" s="298">
        <f t="shared" si="311"/>
        <v>0.69734922388201925</v>
      </c>
      <c r="AW365" s="298"/>
      <c r="AX365" s="24">
        <f t="shared" si="312"/>
        <v>58176.584269662919</v>
      </c>
      <c r="AY365" s="308"/>
      <c r="AZ365" s="111"/>
      <c r="BA365" s="65">
        <f t="shared" si="313"/>
        <v>1211143</v>
      </c>
      <c r="BB365" s="66"/>
      <c r="BC365" s="66">
        <v>373105861</v>
      </c>
      <c r="BD365" s="66"/>
      <c r="BE365" s="66">
        <f t="shared" si="314"/>
        <v>61360</v>
      </c>
      <c r="BF365" s="66"/>
      <c r="BG365" s="144">
        <f t="shared" si="315"/>
        <v>5.0662886215748264E-2</v>
      </c>
      <c r="BH365" s="66"/>
      <c r="BI365" s="170"/>
      <c r="BJ365" s="66"/>
      <c r="BK365" s="66">
        <f t="shared" si="316"/>
        <v>9698110</v>
      </c>
      <c r="BL365" s="66"/>
      <c r="BM365" s="144">
        <f t="shared" si="317"/>
        <v>4.126236967821565E-2</v>
      </c>
      <c r="BN365" s="65">
        <f t="shared" si="318"/>
        <v>1048050.1713483146</v>
      </c>
      <c r="BO365" s="66"/>
      <c r="BP365" s="66">
        <f t="shared" si="319"/>
        <v>28792437</v>
      </c>
      <c r="BQ365" s="66"/>
      <c r="BR365" s="435">
        <f t="shared" si="300"/>
        <v>7.7169618624672309E-2</v>
      </c>
      <c r="BS365" s="66"/>
      <c r="BT365" s="75"/>
      <c r="BU365" s="170"/>
      <c r="BV365" s="1"/>
      <c r="BW365" s="61">
        <f t="shared" si="186"/>
        <v>356</v>
      </c>
    </row>
    <row r="366" spans="2:75" x14ac:dyDescent="0.3">
      <c r="B366" s="158">
        <f t="shared" si="161"/>
        <v>44266</v>
      </c>
      <c r="C366" s="61"/>
      <c r="D366" s="17">
        <v>62773</v>
      </c>
      <c r="E366" s="16"/>
      <c r="F366" s="16"/>
      <c r="G366" s="16"/>
      <c r="H366" s="16">
        <f t="shared" si="302"/>
        <v>29762188</v>
      </c>
      <c r="I366" s="16"/>
      <c r="J366" s="436">
        <f t="shared" si="303"/>
        <v>2.1136106552940522E-3</v>
      </c>
      <c r="K366" s="16"/>
      <c r="L366" s="16"/>
      <c r="M366" s="16"/>
      <c r="N366" s="16">
        <f t="shared" si="320"/>
        <v>394619</v>
      </c>
      <c r="O366" s="16">
        <f t="shared" si="304"/>
        <v>83367.473389355742</v>
      </c>
      <c r="P366" s="41"/>
      <c r="Q366" s="17">
        <f t="shared" si="321"/>
        <v>394619</v>
      </c>
      <c r="R366" s="16"/>
      <c r="S366" s="60">
        <f t="shared" si="322"/>
        <v>-0.10714431165634178</v>
      </c>
      <c r="T366" s="16"/>
      <c r="U366" s="41"/>
      <c r="V366" s="10">
        <f t="shared" si="109"/>
        <v>258</v>
      </c>
      <c r="W366" s="34">
        <v>1573</v>
      </c>
      <c r="X366" s="33">
        <v>4256</v>
      </c>
      <c r="Y366" s="33"/>
      <c r="Z366" s="33"/>
      <c r="AA366" s="33">
        <f t="shared" si="305"/>
        <v>536288</v>
      </c>
      <c r="AB366" s="33"/>
      <c r="AC366" s="46">
        <f t="shared" si="306"/>
        <v>1.8019105315778532E-2</v>
      </c>
      <c r="AD366" s="33"/>
      <c r="AE366" s="33">
        <f t="shared" si="307"/>
        <v>1502.2072829131653</v>
      </c>
      <c r="AF366" s="50"/>
      <c r="AG366" s="33">
        <f t="shared" si="308"/>
        <v>9784</v>
      </c>
      <c r="AH366" s="33">
        <f>SUM(D337:D1018)</f>
        <v>1200366952.060914</v>
      </c>
      <c r="AI366" s="213">
        <f t="shared" si="309"/>
        <v>-0.24096198603568658</v>
      </c>
      <c r="AJ366" s="50"/>
      <c r="AK366" s="111"/>
      <c r="AL366" s="23">
        <f t="shared" si="301"/>
        <v>79690</v>
      </c>
      <c r="AM366" s="24"/>
      <c r="AN366" s="24"/>
      <c r="AO366" s="24">
        <v>178263</v>
      </c>
      <c r="AP366" s="24">
        <v>20790554</v>
      </c>
      <c r="AQ366" s="24">
        <v>20336656</v>
      </c>
      <c r="AR366" s="461">
        <f t="shared" si="310"/>
        <v>3.847739041693287E-3</v>
      </c>
      <c r="AS366" s="25"/>
      <c r="AT366" s="25"/>
      <c r="AU366" s="24"/>
      <c r="AV366" s="298">
        <f t="shared" si="311"/>
        <v>0.69855596638257911</v>
      </c>
      <c r="AW366" s="298"/>
      <c r="AX366" s="24">
        <f t="shared" si="312"/>
        <v>58236.845938375351</v>
      </c>
      <c r="AY366" s="308"/>
      <c r="AZ366" s="111"/>
      <c r="BA366" s="65">
        <f t="shared" si="313"/>
        <v>1365110</v>
      </c>
      <c r="BB366" s="66"/>
      <c r="BC366" s="66">
        <v>374470971</v>
      </c>
      <c r="BD366" s="66"/>
      <c r="BE366" s="66">
        <f t="shared" si="314"/>
        <v>62773</v>
      </c>
      <c r="BF366" s="66"/>
      <c r="BG366" s="144">
        <f t="shared" si="315"/>
        <v>4.5983840130099408E-2</v>
      </c>
      <c r="BH366" s="66"/>
      <c r="BI366" s="170"/>
      <c r="BJ366" s="66"/>
      <c r="BK366" s="66">
        <f t="shared" si="316"/>
        <v>9453778</v>
      </c>
      <c r="BL366" s="66"/>
      <c r="BM366" s="144">
        <f t="shared" si="317"/>
        <v>4.1741936398337259E-2</v>
      </c>
      <c r="BN366" s="65">
        <f t="shared" si="318"/>
        <v>1048938.294117647</v>
      </c>
      <c r="BO366" s="66"/>
      <c r="BP366" s="66">
        <f t="shared" si="319"/>
        <v>28855210</v>
      </c>
      <c r="BQ366" s="66"/>
      <c r="BR366" s="435">
        <f t="shared" si="300"/>
        <v>7.7055932861615592E-2</v>
      </c>
      <c r="BS366" s="66"/>
      <c r="BT366" s="75"/>
      <c r="BU366" s="170"/>
      <c r="BV366" s="1"/>
      <c r="BW366" s="61">
        <f t="shared" si="186"/>
        <v>357</v>
      </c>
    </row>
    <row r="367" spans="2:75" x14ac:dyDescent="0.3">
      <c r="B367" s="158">
        <f t="shared" si="161"/>
        <v>44267</v>
      </c>
      <c r="C367" s="61"/>
      <c r="D367" s="17">
        <v>66785</v>
      </c>
      <c r="E367" s="16"/>
      <c r="F367" s="16"/>
      <c r="G367" s="16"/>
      <c r="H367" s="16">
        <f t="shared" si="302"/>
        <v>29828973</v>
      </c>
      <c r="I367" s="16"/>
      <c r="J367" s="436">
        <f t="shared" si="303"/>
        <v>2.243954644732437E-3</v>
      </c>
      <c r="K367" s="16"/>
      <c r="L367" s="16"/>
      <c r="M367" s="16"/>
      <c r="N367" s="16">
        <f t="shared" si="320"/>
        <v>392164</v>
      </c>
      <c r="O367" s="16">
        <f t="shared" si="304"/>
        <v>83321.15363128492</v>
      </c>
      <c r="P367" s="41"/>
      <c r="Q367" s="17">
        <f t="shared" si="321"/>
        <v>392164</v>
      </c>
      <c r="R367" s="16"/>
      <c r="S367" s="60">
        <f t="shared" si="322"/>
        <v>-8.9238229494947613E-2</v>
      </c>
      <c r="T367" s="16"/>
      <c r="U367" s="41"/>
      <c r="V367" s="10">
        <f t="shared" si="109"/>
        <v>259</v>
      </c>
      <c r="W367" s="34">
        <v>1505</v>
      </c>
      <c r="X367" s="33">
        <v>4256</v>
      </c>
      <c r="Y367" s="33"/>
      <c r="Z367" s="33"/>
      <c r="AA367" s="33">
        <f t="shared" si="305"/>
        <v>537793</v>
      </c>
      <c r="AB367" s="33"/>
      <c r="AC367" s="46">
        <f t="shared" si="306"/>
        <v>1.8029216091348502E-2</v>
      </c>
      <c r="AD367" s="33"/>
      <c r="AE367" s="33">
        <f t="shared" si="307"/>
        <v>1502.2150837988827</v>
      </c>
      <c r="AF367" s="50"/>
      <c r="AG367" s="33">
        <f t="shared" si="308"/>
        <v>9453</v>
      </c>
      <c r="AH367" s="33">
        <f>SUM(D338:D1019)</f>
        <v>1200270146.060914</v>
      </c>
      <c r="AI367" s="213">
        <f t="shared" si="309"/>
        <v>-0.24254807692307692</v>
      </c>
      <c r="AJ367" s="50"/>
      <c r="AK367" s="111"/>
      <c r="AL367" s="23">
        <f t="shared" si="301"/>
        <v>1240666</v>
      </c>
      <c r="AM367" s="24"/>
      <c r="AN367" s="24"/>
      <c r="AO367" s="24">
        <v>178263</v>
      </c>
      <c r="AP367" s="24">
        <v>22031220</v>
      </c>
      <c r="AQ367" s="24">
        <v>20336656</v>
      </c>
      <c r="AR367" s="461">
        <f t="shared" si="310"/>
        <v>5.9674504104123442E-2</v>
      </c>
      <c r="AS367" s="25"/>
      <c r="AT367" s="25"/>
      <c r="AU367" s="24"/>
      <c r="AV367" s="298">
        <f t="shared" si="311"/>
        <v>0.73858459692863043</v>
      </c>
      <c r="AW367" s="298"/>
      <c r="AX367" s="24">
        <f t="shared" si="312"/>
        <v>61539.720670391063</v>
      </c>
      <c r="AY367" s="308"/>
      <c r="AZ367" s="111"/>
      <c r="BA367" s="65">
        <f t="shared" si="313"/>
        <v>1665177</v>
      </c>
      <c r="BB367" s="66"/>
      <c r="BC367" s="66">
        <v>376136148</v>
      </c>
      <c r="BD367" s="66"/>
      <c r="BE367" s="66">
        <f t="shared" si="314"/>
        <v>66785</v>
      </c>
      <c r="BF367" s="66"/>
      <c r="BG367" s="144">
        <f t="shared" si="315"/>
        <v>4.0106847500295764E-2</v>
      </c>
      <c r="BH367" s="66"/>
      <c r="BI367" s="170"/>
      <c r="BJ367" s="66"/>
      <c r="BK367" s="66">
        <f t="shared" si="316"/>
        <v>9339436</v>
      </c>
      <c r="BL367" s="66"/>
      <c r="BM367" s="144">
        <f t="shared" si="317"/>
        <v>4.1990115891366461E-2</v>
      </c>
      <c r="BN367" s="65">
        <f t="shared" si="318"/>
        <v>1050659.6312849163</v>
      </c>
      <c r="BO367" s="66"/>
      <c r="BP367" s="66">
        <f t="shared" si="319"/>
        <v>28921995</v>
      </c>
      <c r="BQ367" s="66"/>
      <c r="BR367" s="435">
        <f t="shared" si="300"/>
        <v>7.6892357072790574E-2</v>
      </c>
      <c r="BS367" s="66"/>
      <c r="BT367" s="75"/>
      <c r="BU367" s="170"/>
      <c r="BV367" s="1"/>
      <c r="BW367" s="61">
        <f t="shared" si="186"/>
        <v>358</v>
      </c>
    </row>
    <row r="368" spans="2:75" x14ac:dyDescent="0.3">
      <c r="B368" s="158">
        <f t="shared" si="161"/>
        <v>44268</v>
      </c>
      <c r="C368" s="61"/>
      <c r="D368" s="17">
        <v>49718</v>
      </c>
      <c r="E368" s="16"/>
      <c r="F368" s="16"/>
      <c r="G368" s="16"/>
      <c r="H368" s="16">
        <f t="shared" si="302"/>
        <v>29878691</v>
      </c>
      <c r="I368" s="16"/>
      <c r="J368" s="436">
        <f t="shared" si="303"/>
        <v>1.6667687486257069E-3</v>
      </c>
      <c r="K368" s="16"/>
      <c r="L368" s="16"/>
      <c r="M368" s="16"/>
      <c r="N368" s="16">
        <f t="shared" si="320"/>
        <v>383654</v>
      </c>
      <c r="O368" s="16">
        <f t="shared" si="304"/>
        <v>83227.551532033423</v>
      </c>
      <c r="P368" s="41"/>
      <c r="Q368" s="17">
        <f t="shared" si="321"/>
        <v>383654</v>
      </c>
      <c r="R368" s="16"/>
      <c r="S368" s="60">
        <f t="shared" si="322"/>
        <v>-9.621504981189502E-2</v>
      </c>
      <c r="T368" s="16"/>
      <c r="U368" s="41"/>
      <c r="V368" s="10">
        <f t="shared" si="109"/>
        <v>260</v>
      </c>
      <c r="W368" s="34">
        <v>1034</v>
      </c>
      <c r="X368" s="33">
        <v>4256</v>
      </c>
      <c r="Y368" s="33"/>
      <c r="Z368" s="33"/>
      <c r="AA368" s="33">
        <f t="shared" si="305"/>
        <v>538827</v>
      </c>
      <c r="AB368" s="33"/>
      <c r="AC368" s="46">
        <f t="shared" si="306"/>
        <v>1.8033822164431501E-2</v>
      </c>
      <c r="AD368" s="33"/>
      <c r="AE368" s="33">
        <f t="shared" si="307"/>
        <v>1500.9108635097493</v>
      </c>
      <c r="AF368" s="50"/>
      <c r="AG368" s="33">
        <f t="shared" si="308"/>
        <v>8972</v>
      </c>
      <c r="AH368" s="33">
        <f>SUM(D339:D1020)</f>
        <v>1200165902.060914</v>
      </c>
      <c r="AI368" s="213">
        <f t="shared" si="309"/>
        <v>-0.27883610642231332</v>
      </c>
      <c r="AJ368" s="50"/>
      <c r="AK368" s="111"/>
      <c r="AL368" s="23">
        <f t="shared" si="301"/>
        <v>77376</v>
      </c>
      <c r="AM368" s="24"/>
      <c r="AN368" s="24"/>
      <c r="AO368" s="24">
        <v>178263</v>
      </c>
      <c r="AP368" s="24">
        <v>22108596</v>
      </c>
      <c r="AQ368" s="24">
        <v>20336656</v>
      </c>
      <c r="AR368" s="461">
        <f t="shared" si="310"/>
        <v>3.5121069101030264E-3</v>
      </c>
      <c r="AS368" s="25"/>
      <c r="AT368" s="25"/>
      <c r="AU368" s="24"/>
      <c r="AV368" s="298">
        <f t="shared" si="311"/>
        <v>0.73994526734789012</v>
      </c>
      <c r="AW368" s="298"/>
      <c r="AX368" s="24">
        <f t="shared" si="312"/>
        <v>61583.832869080783</v>
      </c>
      <c r="AY368" s="308"/>
      <c r="AZ368" s="111"/>
      <c r="BA368" s="65">
        <f t="shared" si="313"/>
        <v>2956587</v>
      </c>
      <c r="BB368" s="66"/>
      <c r="BC368" s="66">
        <v>379092735</v>
      </c>
      <c r="BD368" s="66"/>
      <c r="BE368" s="66">
        <f t="shared" si="314"/>
        <v>49718</v>
      </c>
      <c r="BF368" s="66"/>
      <c r="BG368" s="144">
        <f t="shared" si="315"/>
        <v>1.6816011164224154E-2</v>
      </c>
      <c r="BH368" s="66"/>
      <c r="BI368" s="170"/>
      <c r="BJ368" s="66"/>
      <c r="BK368" s="66">
        <f t="shared" si="316"/>
        <v>11000462</v>
      </c>
      <c r="BL368" s="66"/>
      <c r="BM368" s="144">
        <f t="shared" si="317"/>
        <v>3.4876171564430659E-2</v>
      </c>
      <c r="BN368" s="65">
        <f t="shared" si="318"/>
        <v>1055968.6211699164</v>
      </c>
      <c r="BO368" s="66"/>
      <c r="BP368" s="66">
        <f t="shared" si="319"/>
        <v>28971713</v>
      </c>
      <c r="BQ368" s="66"/>
      <c r="BR368" s="435">
        <f t="shared" si="300"/>
        <v>7.6423814874742979E-2</v>
      </c>
      <c r="BS368" s="66"/>
      <c r="BT368" s="75"/>
      <c r="BU368" s="170"/>
      <c r="BV368" s="1"/>
      <c r="BW368" s="61">
        <f t="shared" si="186"/>
        <v>359</v>
      </c>
    </row>
    <row r="369" spans="2:75" x14ac:dyDescent="0.3">
      <c r="B369" s="347">
        <f t="shared" si="161"/>
        <v>44269</v>
      </c>
      <c r="C369" s="61"/>
      <c r="D369" s="17">
        <v>36896</v>
      </c>
      <c r="E369" s="16"/>
      <c r="F369" s="16"/>
      <c r="G369" s="16"/>
      <c r="H369" s="16">
        <f t="shared" si="302"/>
        <v>29915587</v>
      </c>
      <c r="I369" s="16"/>
      <c r="J369" s="436">
        <f t="shared" si="303"/>
        <v>1.2348599876748283E-3</v>
      </c>
      <c r="K369" s="16"/>
      <c r="L369" s="16"/>
      <c r="M369" s="16"/>
      <c r="N369" s="16">
        <f t="shared" si="320"/>
        <v>378583</v>
      </c>
      <c r="O369" s="16">
        <f t="shared" si="304"/>
        <v>83098.852777777778</v>
      </c>
      <c r="P369" s="41"/>
      <c r="Q369" s="17">
        <f t="shared" si="321"/>
        <v>378583</v>
      </c>
      <c r="R369" s="16"/>
      <c r="S369" s="60">
        <f t="shared" si="322"/>
        <v>-9.2240296174098194E-2</v>
      </c>
      <c r="T369" s="16"/>
      <c r="U369" s="41"/>
      <c r="V369" s="10">
        <f t="shared" si="109"/>
        <v>261</v>
      </c>
      <c r="W369" s="34">
        <v>629</v>
      </c>
      <c r="X369" s="33">
        <v>4256</v>
      </c>
      <c r="Y369" s="33"/>
      <c r="Z369" s="33">
        <f t="shared" ref="Z369:Z383" si="323">SUM(W364:W369)</f>
        <v>8055</v>
      </c>
      <c r="AA369" s="33">
        <f t="shared" si="305"/>
        <v>539456</v>
      </c>
      <c r="AB369" s="33"/>
      <c r="AC369" s="46">
        <f t="shared" si="306"/>
        <v>1.8032606212941768E-2</v>
      </c>
      <c r="AD369" s="33"/>
      <c r="AE369" s="33">
        <f t="shared" si="307"/>
        <v>1498.4888888888888</v>
      </c>
      <c r="AF369" s="50"/>
      <c r="AG369" s="33">
        <f t="shared" si="308"/>
        <v>8885</v>
      </c>
      <c r="AH369" s="33">
        <f>SUM(D340:D1021)</f>
        <v>1200065614.060914</v>
      </c>
      <c r="AI369" s="213">
        <f t="shared" si="309"/>
        <v>-0.25172646117567793</v>
      </c>
      <c r="AJ369" s="50"/>
      <c r="AK369" s="111"/>
      <c r="AL369" s="23">
        <f t="shared" si="301"/>
        <v>60641</v>
      </c>
      <c r="AM369" s="24"/>
      <c r="AN369" s="24"/>
      <c r="AO369" s="24">
        <v>178263</v>
      </c>
      <c r="AP369" s="24">
        <v>22169237</v>
      </c>
      <c r="AQ369" s="24">
        <v>20336656</v>
      </c>
      <c r="AR369" s="461">
        <f t="shared" si="310"/>
        <v>2.7428697869371715E-3</v>
      </c>
      <c r="AS369" s="25"/>
      <c r="AT369" s="25"/>
      <c r="AU369" s="24"/>
      <c r="AV369" s="298">
        <f t="shared" si="311"/>
        <v>0.74105973584940854</v>
      </c>
      <c r="AW369" s="298"/>
      <c r="AX369" s="24">
        <f t="shared" si="312"/>
        <v>61581.213888888888</v>
      </c>
      <c r="AY369" s="308"/>
      <c r="AZ369" s="111"/>
      <c r="BA369" s="65">
        <f t="shared" si="313"/>
        <v>1155639</v>
      </c>
      <c r="BB369" s="66"/>
      <c r="BC369" s="66">
        <v>380248374</v>
      </c>
      <c r="BD369" s="66"/>
      <c r="BE369" s="66">
        <f t="shared" si="314"/>
        <v>36896</v>
      </c>
      <c r="BF369" s="66"/>
      <c r="BG369" s="144">
        <f t="shared" si="315"/>
        <v>3.1926925276838179E-2</v>
      </c>
      <c r="BH369" s="66"/>
      <c r="BI369" s="170"/>
      <c r="BJ369" s="66"/>
      <c r="BK369" s="66">
        <f t="shared" si="316"/>
        <v>11038140</v>
      </c>
      <c r="BL369" s="66"/>
      <c r="BM369" s="144">
        <f t="shared" si="317"/>
        <v>3.4297716825479656E-2</v>
      </c>
      <c r="BN369" s="65">
        <f t="shared" si="318"/>
        <v>1056245.4833333334</v>
      </c>
      <c r="BO369" s="66"/>
      <c r="BP369" s="66">
        <f t="shared" si="319"/>
        <v>29008609</v>
      </c>
      <c r="BQ369" s="66"/>
      <c r="BR369" s="435">
        <f t="shared" ref="BR369:BR383" si="324">+BP369/BC369</f>
        <v>7.6288581315537729E-2</v>
      </c>
      <c r="BS369" s="66"/>
      <c r="BT369" s="75"/>
      <c r="BU369" s="170"/>
      <c r="BV369" s="1"/>
      <c r="BW369" s="61">
        <f t="shared" si="186"/>
        <v>360</v>
      </c>
    </row>
    <row r="370" spans="2:75" x14ac:dyDescent="0.3">
      <c r="B370" s="158">
        <f t="shared" si="161"/>
        <v>44270</v>
      </c>
      <c r="C370" s="61"/>
      <c r="D370" s="17">
        <v>46767</v>
      </c>
      <c r="E370" s="16"/>
      <c r="F370" s="16"/>
      <c r="G370" s="16"/>
      <c r="H370" s="16">
        <f t="shared" si="302"/>
        <v>29962354</v>
      </c>
      <c r="I370" s="16"/>
      <c r="J370" s="436">
        <f t="shared" si="303"/>
        <v>1.5632987579351193E-3</v>
      </c>
      <c r="K370" s="16"/>
      <c r="L370" s="16"/>
      <c r="M370" s="16"/>
      <c r="N370" s="16">
        <f t="shared" si="320"/>
        <v>379982</v>
      </c>
      <c r="O370" s="16">
        <f t="shared" si="304"/>
        <v>82998.210526315786</v>
      </c>
      <c r="P370" s="41"/>
      <c r="Q370" s="17">
        <f t="shared" si="321"/>
        <v>379982</v>
      </c>
      <c r="R370" s="16"/>
      <c r="S370" s="60">
        <f t="shared" si="322"/>
        <v>-6.6931212383882679E-2</v>
      </c>
      <c r="T370" s="16"/>
      <c r="U370" s="41"/>
      <c r="V370" s="10">
        <f t="shared" si="109"/>
        <v>262</v>
      </c>
      <c r="W370" s="34">
        <v>840</v>
      </c>
      <c r="X370" s="33">
        <v>4256</v>
      </c>
      <c r="Y370" s="33"/>
      <c r="Z370" s="33">
        <f t="shared" si="323"/>
        <v>7191</v>
      </c>
      <c r="AA370" s="33">
        <f t="shared" si="305"/>
        <v>540296</v>
      </c>
      <c r="AB370" s="33"/>
      <c r="AC370" s="46">
        <f t="shared" si="306"/>
        <v>1.803249504361373E-2</v>
      </c>
      <c r="AD370" s="33"/>
      <c r="AE370" s="33">
        <f t="shared" si="307"/>
        <v>1496.6648199445983</v>
      </c>
      <c r="AF370" s="50"/>
      <c r="AG370" s="33">
        <f t="shared" si="308"/>
        <v>8895</v>
      </c>
      <c r="AH370" s="33">
        <f>SUM(D341:D1022)</f>
        <v>1199979130.060914</v>
      </c>
      <c r="AI370" s="213">
        <f t="shared" si="309"/>
        <v>-0.20721925133689839</v>
      </c>
      <c r="AJ370" s="50"/>
      <c r="AK370" s="111" t="s">
        <v>26</v>
      </c>
      <c r="AL370" s="23">
        <f t="shared" si="301"/>
        <v>80763</v>
      </c>
      <c r="AM370" s="24"/>
      <c r="AN370" s="24"/>
      <c r="AO370" s="24">
        <v>178263</v>
      </c>
      <c r="AP370" s="24">
        <v>22250000</v>
      </c>
      <c r="AQ370" s="24">
        <v>20336656</v>
      </c>
      <c r="AR370" s="461">
        <f t="shared" si="310"/>
        <v>3.6430211829121587E-3</v>
      </c>
      <c r="AS370" s="25"/>
      <c r="AT370" s="25"/>
      <c r="AU370" s="24"/>
      <c r="AV370" s="298">
        <f t="shared" si="311"/>
        <v>0.74259852880718247</v>
      </c>
      <c r="AW370" s="298"/>
      <c r="AX370" s="24">
        <f t="shared" si="312"/>
        <v>61634.349030470912</v>
      </c>
      <c r="AY370" s="308"/>
      <c r="AZ370" s="111"/>
      <c r="BA370" s="65">
        <f t="shared" si="313"/>
        <v>1251626</v>
      </c>
      <c r="BB370" s="66"/>
      <c r="BC370" s="66">
        <v>381500000</v>
      </c>
      <c r="BD370" s="66"/>
      <c r="BE370" s="66">
        <f t="shared" si="314"/>
        <v>46767</v>
      </c>
      <c r="BF370" s="66"/>
      <c r="BG370" s="144">
        <f t="shared" si="315"/>
        <v>3.7364995613705689E-2</v>
      </c>
      <c r="BH370" s="66"/>
      <c r="BI370" s="170"/>
      <c r="BJ370" s="66"/>
      <c r="BK370" s="66">
        <f t="shared" si="316"/>
        <v>10861503</v>
      </c>
      <c r="BL370" s="66"/>
      <c r="BM370" s="144">
        <f t="shared" si="317"/>
        <v>3.4984292689510837E-2</v>
      </c>
      <c r="BN370" s="65">
        <f t="shared" si="318"/>
        <v>1056786.7036011079</v>
      </c>
      <c r="BO370" s="66"/>
      <c r="BP370" s="66">
        <f t="shared" si="319"/>
        <v>29055376</v>
      </c>
      <c r="BQ370" s="66"/>
      <c r="BR370" s="435">
        <f t="shared" si="324"/>
        <v>7.6160880733944961E-2</v>
      </c>
      <c r="BS370" s="66"/>
      <c r="BT370" s="75"/>
      <c r="BU370" s="170"/>
      <c r="BV370" s="1"/>
      <c r="BW370" s="61">
        <f t="shared" si="186"/>
        <v>361</v>
      </c>
    </row>
    <row r="371" spans="2:75" x14ac:dyDescent="0.3">
      <c r="B371" s="158">
        <f t="shared" si="161"/>
        <v>44271</v>
      </c>
      <c r="C371" s="61"/>
      <c r="D371" s="17">
        <v>53231</v>
      </c>
      <c r="E371" s="16"/>
      <c r="F371" s="16"/>
      <c r="G371" s="16"/>
      <c r="H371" s="16">
        <f t="shared" si="302"/>
        <v>30015585</v>
      </c>
      <c r="I371" s="16"/>
      <c r="J371" s="436">
        <f t="shared" si="303"/>
        <v>1.7765960578397812E-3</v>
      </c>
      <c r="K371" s="16"/>
      <c r="L371" s="16"/>
      <c r="M371" s="16"/>
      <c r="N371" s="16">
        <f t="shared" si="320"/>
        <v>377530</v>
      </c>
      <c r="O371" s="16">
        <f t="shared" si="304"/>
        <v>82915.98066298342</v>
      </c>
      <c r="P371" s="41"/>
      <c r="Q371" s="17">
        <f t="shared" si="321"/>
        <v>377530</v>
      </c>
      <c r="R371" s="16"/>
      <c r="S371" s="60">
        <f t="shared" si="322"/>
        <v>-7.0196437719194552E-2</v>
      </c>
      <c r="T371" s="16"/>
      <c r="U371" s="41"/>
      <c r="V371" s="10">
        <f t="shared" si="109"/>
        <v>263</v>
      </c>
      <c r="W371" s="34">
        <v>1248</v>
      </c>
      <c r="X371" s="33">
        <v>4256</v>
      </c>
      <c r="Y371" s="33"/>
      <c r="Z371" s="33">
        <f t="shared" si="323"/>
        <v>6829</v>
      </c>
      <c r="AA371" s="33">
        <f t="shared" si="305"/>
        <v>541544</v>
      </c>
      <c r="AB371" s="33"/>
      <c r="AC371" s="46">
        <f t="shared" si="306"/>
        <v>1.8042093798938119E-2</v>
      </c>
      <c r="AD371" s="33"/>
      <c r="AE371" s="33">
        <f t="shared" si="307"/>
        <v>1495.9779005524863</v>
      </c>
      <c r="AF371" s="50"/>
      <c r="AG371" s="33">
        <f t="shared" si="308"/>
        <v>8439</v>
      </c>
      <c r="AH371" s="33">
        <f>SUM(D342:D1023)</f>
        <v>1199914833.060914</v>
      </c>
      <c r="AI371" s="213">
        <f t="shared" si="309"/>
        <v>-0.22825788751714679</v>
      </c>
      <c r="AJ371" s="50"/>
      <c r="AK371" s="111"/>
      <c r="AL371" s="23">
        <f t="shared" si="301"/>
        <v>108469</v>
      </c>
      <c r="AM371" s="24"/>
      <c r="AN371" s="24"/>
      <c r="AO371" s="24">
        <v>178263</v>
      </c>
      <c r="AP371" s="24">
        <v>22358469</v>
      </c>
      <c r="AQ371" s="24">
        <v>20336656</v>
      </c>
      <c r="AR371" s="461">
        <f t="shared" si="310"/>
        <v>4.8750112359550561E-3</v>
      </c>
      <c r="AS371" s="25"/>
      <c r="AT371" s="25"/>
      <c r="AU371" s="24"/>
      <c r="AV371" s="298">
        <f t="shared" si="311"/>
        <v>0.744895326877687</v>
      </c>
      <c r="AW371" s="298"/>
      <c r="AX371" s="24">
        <f t="shared" si="312"/>
        <v>61763.726519337019</v>
      </c>
      <c r="AY371" s="308"/>
      <c r="AZ371" s="111"/>
      <c r="BA371" s="65">
        <f t="shared" si="313"/>
        <v>1070784</v>
      </c>
      <c r="BB371" s="66"/>
      <c r="BC371" s="66">
        <v>382570784</v>
      </c>
      <c r="BD371" s="66"/>
      <c r="BE371" s="66">
        <f t="shared" si="314"/>
        <v>53231</v>
      </c>
      <c r="BF371" s="66"/>
      <c r="BG371" s="144">
        <f t="shared" si="315"/>
        <v>4.9712173510250431E-2</v>
      </c>
      <c r="BH371" s="66"/>
      <c r="BI371" s="170"/>
      <c r="BJ371" s="66"/>
      <c r="BK371" s="66">
        <f t="shared" si="316"/>
        <v>10676066</v>
      </c>
      <c r="BL371" s="66"/>
      <c r="BM371" s="144">
        <f t="shared" si="317"/>
        <v>3.5362276703797074E-2</v>
      </c>
      <c r="BN371" s="65">
        <f t="shared" si="318"/>
        <v>1056825.370165746</v>
      </c>
      <c r="BO371" s="66"/>
      <c r="BP371" s="66">
        <f t="shared" si="319"/>
        <v>29108607</v>
      </c>
      <c r="BQ371" s="66"/>
      <c r="BR371" s="435">
        <f t="shared" si="324"/>
        <v>7.6086852988753062E-2</v>
      </c>
      <c r="BS371" s="66"/>
      <c r="BT371" s="75"/>
      <c r="BU371" s="170"/>
      <c r="BV371" s="1"/>
      <c r="BW371" s="61">
        <f t="shared" si="186"/>
        <v>362</v>
      </c>
    </row>
    <row r="372" spans="2:75" x14ac:dyDescent="0.3">
      <c r="B372" s="158">
        <f t="shared" si="161"/>
        <v>44272</v>
      </c>
      <c r="C372" s="61"/>
      <c r="D372" s="17">
        <v>63495</v>
      </c>
      <c r="E372" s="16"/>
      <c r="F372" s="16"/>
      <c r="G372" s="16"/>
      <c r="H372" s="16">
        <f t="shared" si="302"/>
        <v>30079080</v>
      </c>
      <c r="I372" s="16"/>
      <c r="J372" s="436">
        <f t="shared" si="303"/>
        <v>2.1154010491549638E-3</v>
      </c>
      <c r="K372" s="16"/>
      <c r="L372" s="16"/>
      <c r="M372" s="16"/>
      <c r="N372" s="16">
        <f t="shared" si="320"/>
        <v>379665</v>
      </c>
      <c r="O372" s="16">
        <f t="shared" si="304"/>
        <v>82862.479338842968</v>
      </c>
      <c r="P372" s="41"/>
      <c r="Q372" s="17">
        <f t="shared" si="321"/>
        <v>379665</v>
      </c>
      <c r="R372" s="16"/>
      <c r="S372" s="60">
        <f t="shared" si="322"/>
        <v>-5.1233609967838427E-2</v>
      </c>
      <c r="T372" s="16"/>
      <c r="U372" s="41"/>
      <c r="V372" s="10">
        <f t="shared" si="109"/>
        <v>264</v>
      </c>
      <c r="W372" s="34">
        <v>1292</v>
      </c>
      <c r="X372" s="33">
        <v>4256</v>
      </c>
      <c r="Y372" s="33"/>
      <c r="Z372" s="33">
        <f t="shared" si="323"/>
        <v>6548</v>
      </c>
      <c r="AA372" s="33">
        <f t="shared" si="305"/>
        <v>542836</v>
      </c>
      <c r="AB372" s="33"/>
      <c r="AC372" s="46">
        <f t="shared" si="306"/>
        <v>1.8046961542706758E-2</v>
      </c>
      <c r="AD372" s="33"/>
      <c r="AE372" s="33">
        <f t="shared" si="307"/>
        <v>1495.4159779614324</v>
      </c>
      <c r="AF372" s="50"/>
      <c r="AG372" s="33">
        <f t="shared" si="308"/>
        <v>8121</v>
      </c>
      <c r="AH372" s="33">
        <f>SUM(D343:D1024)</f>
        <v>1199862048.060914</v>
      </c>
      <c r="AI372" s="213">
        <f t="shared" si="309"/>
        <v>-0.20413563308506469</v>
      </c>
      <c r="AJ372" s="50"/>
      <c r="AK372" s="111"/>
      <c r="AL372" s="23">
        <f t="shared" si="301"/>
        <v>88806</v>
      </c>
      <c r="AM372" s="24"/>
      <c r="AN372" s="24"/>
      <c r="AO372" s="24">
        <v>178263</v>
      </c>
      <c r="AP372" s="24">
        <v>22447275</v>
      </c>
      <c r="AQ372" s="24">
        <v>20336656</v>
      </c>
      <c r="AR372" s="461">
        <f t="shared" si="310"/>
        <v>3.9719177551915561E-3</v>
      </c>
      <c r="AS372" s="25"/>
      <c r="AT372" s="25"/>
      <c r="AU372" s="24"/>
      <c r="AV372" s="298">
        <f t="shared" si="311"/>
        <v>0.74627531826106386</v>
      </c>
      <c r="AW372" s="298"/>
      <c r="AX372" s="24">
        <f t="shared" si="312"/>
        <v>61838.223140495866</v>
      </c>
      <c r="AY372" s="308"/>
      <c r="AZ372" s="111"/>
      <c r="BA372" s="65">
        <f t="shared" si="313"/>
        <v>1443977</v>
      </c>
      <c r="BB372" s="66"/>
      <c r="BC372" s="66">
        <v>384014761</v>
      </c>
      <c r="BD372" s="66"/>
      <c r="BE372" s="66">
        <f t="shared" si="314"/>
        <v>63495</v>
      </c>
      <c r="BF372" s="66"/>
      <c r="BG372" s="144">
        <f t="shared" si="315"/>
        <v>4.3972307038131493E-2</v>
      </c>
      <c r="BH372" s="66"/>
      <c r="BI372" s="170"/>
      <c r="BJ372" s="66"/>
      <c r="BK372" s="66">
        <f t="shared" si="316"/>
        <v>10908900</v>
      </c>
      <c r="BL372" s="66"/>
      <c r="BM372" s="144">
        <f t="shared" si="317"/>
        <v>3.4803234056595987E-2</v>
      </c>
      <c r="BN372" s="65">
        <f t="shared" si="318"/>
        <v>1057891.9035812672</v>
      </c>
      <c r="BO372" s="66"/>
      <c r="BP372" s="66">
        <f t="shared" si="319"/>
        <v>29172102</v>
      </c>
      <c r="BQ372" s="66"/>
      <c r="BR372" s="435">
        <f t="shared" si="324"/>
        <v>7.5966095480376597E-2</v>
      </c>
      <c r="BS372" s="66"/>
      <c r="BT372" s="75"/>
      <c r="BU372" s="170"/>
      <c r="BV372" s="1"/>
      <c r="BW372" s="61">
        <f t="shared" si="186"/>
        <v>363</v>
      </c>
    </row>
    <row r="373" spans="2:75" x14ac:dyDescent="0.3">
      <c r="B373" s="158">
        <f t="shared" si="161"/>
        <v>44273</v>
      </c>
      <c r="C373" s="61"/>
      <c r="D373" s="17">
        <v>62629</v>
      </c>
      <c r="E373" s="16"/>
      <c r="F373" s="16"/>
      <c r="G373" s="16"/>
      <c r="H373" s="16">
        <f t="shared" si="302"/>
        <v>30141709</v>
      </c>
      <c r="I373" s="16"/>
      <c r="J373" s="436">
        <f t="shared" si="303"/>
        <v>2.0821447996414782E-3</v>
      </c>
      <c r="K373" s="16"/>
      <c r="L373" s="16"/>
      <c r="M373" s="16"/>
      <c r="N373" s="16">
        <f t="shared" si="320"/>
        <v>379521</v>
      </c>
      <c r="O373" s="16">
        <f t="shared" si="304"/>
        <v>82806.892857142855</v>
      </c>
      <c r="P373" s="41"/>
      <c r="Q373" s="17">
        <f t="shared" si="321"/>
        <v>379521</v>
      </c>
      <c r="R373" s="16"/>
      <c r="S373" s="60">
        <f t="shared" si="322"/>
        <v>-3.8259688458994627E-2</v>
      </c>
      <c r="T373" s="16"/>
      <c r="U373" s="41"/>
      <c r="V373" s="10">
        <f t="shared" si="109"/>
        <v>265</v>
      </c>
      <c r="W373" s="34">
        <v>1705</v>
      </c>
      <c r="X373" s="33">
        <v>4256</v>
      </c>
      <c r="Y373" s="33"/>
      <c r="Z373" s="33">
        <f t="shared" si="323"/>
        <v>6748</v>
      </c>
      <c r="AA373" s="33">
        <f t="shared" si="305"/>
        <v>544541</v>
      </c>
      <c r="AB373" s="33"/>
      <c r="AC373" s="46">
        <f t="shared" si="306"/>
        <v>1.806602936814233E-2</v>
      </c>
      <c r="AD373" s="33"/>
      <c r="AE373" s="33">
        <f t="shared" si="307"/>
        <v>1495.9917582417581</v>
      </c>
      <c r="AF373" s="50"/>
      <c r="AG373" s="33">
        <f t="shared" si="308"/>
        <v>8253</v>
      </c>
      <c r="AH373" s="33">
        <f>SUM(D344:D1025)</f>
        <v>1199798650.060914</v>
      </c>
      <c r="AI373" s="213">
        <f t="shared" si="309"/>
        <v>-0.15647996729354047</v>
      </c>
      <c r="AJ373" s="50"/>
      <c r="AK373" s="111"/>
      <c r="AL373" s="23">
        <f t="shared" si="301"/>
        <v>76524</v>
      </c>
      <c r="AM373" s="24"/>
      <c r="AN373" s="24"/>
      <c r="AO373" s="24">
        <v>178263</v>
      </c>
      <c r="AP373" s="24">
        <v>22523799</v>
      </c>
      <c r="AQ373" s="24">
        <v>20336656</v>
      </c>
      <c r="AR373" s="461">
        <f t="shared" si="310"/>
        <v>3.4090552193974549E-3</v>
      </c>
      <c r="AS373" s="25"/>
      <c r="AT373" s="25"/>
      <c r="AU373" s="24"/>
      <c r="AV373" s="298">
        <f t="shared" si="311"/>
        <v>0.74726350121686858</v>
      </c>
      <c r="AW373" s="298"/>
      <c r="AX373" s="24">
        <f t="shared" si="312"/>
        <v>61878.568681318684</v>
      </c>
      <c r="AY373" s="308"/>
      <c r="AZ373" s="111"/>
      <c r="BA373" s="65">
        <f t="shared" si="313"/>
        <v>1655680</v>
      </c>
      <c r="BB373" s="66"/>
      <c r="BC373" s="66">
        <v>385670441</v>
      </c>
      <c r="BD373" s="66"/>
      <c r="BE373" s="66">
        <f t="shared" si="314"/>
        <v>62629</v>
      </c>
      <c r="BF373" s="66"/>
      <c r="BG373" s="144">
        <f t="shared" si="315"/>
        <v>3.7826753962118286E-2</v>
      </c>
      <c r="BH373" s="66"/>
      <c r="BI373" s="170"/>
      <c r="BJ373" s="66"/>
      <c r="BK373" s="66">
        <f t="shared" si="316"/>
        <v>11199470</v>
      </c>
      <c r="BL373" s="66"/>
      <c r="BM373" s="144">
        <f t="shared" si="317"/>
        <v>3.3887407171946528E-2</v>
      </c>
      <c r="BN373" s="65">
        <f t="shared" si="318"/>
        <v>1059534.1785714286</v>
      </c>
      <c r="BO373" s="66"/>
      <c r="BP373" s="66">
        <f t="shared" si="319"/>
        <v>29234731</v>
      </c>
      <c r="BQ373" s="66"/>
      <c r="BR373" s="435">
        <f t="shared" si="324"/>
        <v>7.5802363604007703E-2</v>
      </c>
      <c r="BS373" s="66"/>
      <c r="BT373" s="75"/>
      <c r="BU373" s="170"/>
      <c r="BV373" s="1"/>
      <c r="BW373" s="61">
        <f t="shared" si="186"/>
        <v>364</v>
      </c>
    </row>
    <row r="374" spans="2:75" x14ac:dyDescent="0.3">
      <c r="B374" s="158">
        <f t="shared" si="161"/>
        <v>44274</v>
      </c>
      <c r="C374" s="61"/>
      <c r="D374" s="17">
        <v>66413</v>
      </c>
      <c r="E374" s="16"/>
      <c r="F374" s="16"/>
      <c r="G374" s="16"/>
      <c r="H374" s="16">
        <f t="shared" si="302"/>
        <v>30208122</v>
      </c>
      <c r="I374" s="16"/>
      <c r="J374" s="436">
        <f t="shared" si="303"/>
        <v>2.2033588075579921E-3</v>
      </c>
      <c r="K374" s="16"/>
      <c r="L374" s="16"/>
      <c r="M374" s="16"/>
      <c r="N374" s="16">
        <f t="shared" si="320"/>
        <v>379149</v>
      </c>
      <c r="O374" s="16">
        <f t="shared" si="304"/>
        <v>82761.978082191781</v>
      </c>
      <c r="P374" s="41"/>
      <c r="Q374" s="17">
        <f t="shared" si="321"/>
        <v>379149</v>
      </c>
      <c r="R374" s="16"/>
      <c r="S374" s="60">
        <f t="shared" si="322"/>
        <v>-3.3187645984843077E-2</v>
      </c>
      <c r="T374" s="16"/>
      <c r="U374" s="41"/>
      <c r="V374" s="10">
        <f t="shared" si="109"/>
        <v>266</v>
      </c>
      <c r="W374" s="34">
        <v>1250</v>
      </c>
      <c r="X374" s="33">
        <v>4256</v>
      </c>
      <c r="Y374" s="33"/>
      <c r="Z374" s="33">
        <f t="shared" si="323"/>
        <v>6964</v>
      </c>
      <c r="AA374" s="33">
        <f t="shared" si="305"/>
        <v>545791</v>
      </c>
      <c r="AB374" s="33"/>
      <c r="AC374" s="46">
        <f t="shared" si="306"/>
        <v>1.8067690537001937E-2</v>
      </c>
      <c r="AD374" s="33"/>
      <c r="AE374" s="33">
        <f t="shared" si="307"/>
        <v>1495.317808219178</v>
      </c>
      <c r="AF374" s="50"/>
      <c r="AG374" s="33">
        <f t="shared" si="308"/>
        <v>7998</v>
      </c>
      <c r="AH374" s="33">
        <f>SUM(D345:D1026)</f>
        <v>1199727010.060914</v>
      </c>
      <c r="AI374" s="213">
        <f t="shared" si="309"/>
        <v>-0.1539193906696287</v>
      </c>
      <c r="AJ374" s="50"/>
      <c r="AK374" s="111" t="s">
        <v>26</v>
      </c>
      <c r="AL374" s="23">
        <f t="shared" si="301"/>
        <v>66201</v>
      </c>
      <c r="AM374" s="24"/>
      <c r="AN374" s="24"/>
      <c r="AO374" s="24">
        <v>178263</v>
      </c>
      <c r="AP374" s="24">
        <v>22590000</v>
      </c>
      <c r="AQ374" s="24">
        <v>20336656</v>
      </c>
      <c r="AR374" s="461">
        <f t="shared" si="310"/>
        <v>2.9391578214669738E-3</v>
      </c>
      <c r="AS374" s="25"/>
      <c r="AT374" s="25"/>
      <c r="AU374" s="24"/>
      <c r="AV374" s="298">
        <f t="shared" si="311"/>
        <v>0.74781212814222608</v>
      </c>
      <c r="AW374" s="298"/>
      <c r="AX374" s="24">
        <f t="shared" si="312"/>
        <v>61890.410958904111</v>
      </c>
      <c r="AY374" s="308"/>
      <c r="AZ374" s="111"/>
      <c r="BA374" s="65">
        <f t="shared" si="313"/>
        <v>1179559</v>
      </c>
      <c r="BB374" s="66"/>
      <c r="BC374" s="66">
        <v>386850000</v>
      </c>
      <c r="BD374" s="66"/>
      <c r="BE374" s="66">
        <f t="shared" si="314"/>
        <v>66413</v>
      </c>
      <c r="BF374" s="66"/>
      <c r="BG374" s="144">
        <f t="shared" si="315"/>
        <v>5.6303245534983837E-2</v>
      </c>
      <c r="BH374" s="66"/>
      <c r="BI374" s="170"/>
      <c r="BJ374" s="66"/>
      <c r="BK374" s="66">
        <f t="shared" si="316"/>
        <v>10713852</v>
      </c>
      <c r="BL374" s="66"/>
      <c r="BM374" s="144">
        <f t="shared" si="317"/>
        <v>3.5388672533464158E-2</v>
      </c>
      <c r="BN374" s="65">
        <f t="shared" si="318"/>
        <v>1059863.01369863</v>
      </c>
      <c r="BO374" s="66"/>
      <c r="BP374" s="66">
        <f t="shared" si="319"/>
        <v>29301144</v>
      </c>
      <c r="BQ374" s="66"/>
      <c r="BR374" s="435">
        <f t="shared" si="324"/>
        <v>7.5742908103916248E-2</v>
      </c>
      <c r="BS374" s="66"/>
      <c r="BT374" s="75"/>
      <c r="BU374" s="170"/>
      <c r="BV374" s="1"/>
      <c r="BW374" s="61">
        <f t="shared" si="186"/>
        <v>365</v>
      </c>
    </row>
    <row r="375" spans="2:75" x14ac:dyDescent="0.3">
      <c r="B375" s="158">
        <f t="shared" si="161"/>
        <v>44275</v>
      </c>
      <c r="C375" s="61"/>
      <c r="D375" s="17">
        <v>55908</v>
      </c>
      <c r="E375" s="16"/>
      <c r="F375" s="16"/>
      <c r="G375" s="16"/>
      <c r="H375" s="16">
        <f t="shared" si="302"/>
        <v>30264030</v>
      </c>
      <c r="I375" s="16"/>
      <c r="J375" s="436">
        <f t="shared" si="303"/>
        <v>1.8507605338723141E-3</v>
      </c>
      <c r="K375" s="16"/>
      <c r="L375" s="16"/>
      <c r="M375" s="16"/>
      <c r="N375" s="16">
        <f t="shared" si="320"/>
        <v>385339</v>
      </c>
      <c r="O375" s="16">
        <f t="shared" si="304"/>
        <v>82688.606557377047</v>
      </c>
      <c r="P375" s="41"/>
      <c r="Q375" s="17">
        <f t="shared" si="321"/>
        <v>385339</v>
      </c>
      <c r="R375" s="16"/>
      <c r="S375" s="60">
        <f t="shared" si="322"/>
        <v>4.3919781886804258E-3</v>
      </c>
      <c r="T375" s="16"/>
      <c r="U375" s="41"/>
      <c r="V375" s="10">
        <f t="shared" si="109"/>
        <v>267</v>
      </c>
      <c r="W375" s="34">
        <v>792</v>
      </c>
      <c r="X375" s="33">
        <v>4256</v>
      </c>
      <c r="Y375" s="33"/>
      <c r="Z375" s="33">
        <f t="shared" si="323"/>
        <v>7127</v>
      </c>
      <c r="AA375" s="33">
        <f t="shared" si="305"/>
        <v>546583</v>
      </c>
      <c r="AB375" s="33"/>
      <c r="AC375" s="46">
        <f t="shared" si="306"/>
        <v>1.8060483022254471E-2</v>
      </c>
      <c r="AD375" s="33"/>
      <c r="AE375" s="33">
        <f t="shared" si="307"/>
        <v>1493.3961748633881</v>
      </c>
      <c r="AF375" s="50"/>
      <c r="AG375" s="33">
        <f t="shared" si="308"/>
        <v>7756</v>
      </c>
      <c r="AH375" s="33">
        <f>SUM(D346:D1027)</f>
        <v>1199658086.060914</v>
      </c>
      <c r="AI375" s="213">
        <f t="shared" si="309"/>
        <v>-0.13553276861346411</v>
      </c>
      <c r="AJ375" s="50"/>
      <c r="AK375" s="111"/>
      <c r="AL375" s="23">
        <f t="shared" si="301"/>
        <v>93617</v>
      </c>
      <c r="AM375" s="24"/>
      <c r="AN375" s="24"/>
      <c r="AO375" s="24">
        <v>178263</v>
      </c>
      <c r="AP375" s="24">
        <v>22683617</v>
      </c>
      <c r="AQ375" s="24">
        <v>20336656</v>
      </c>
      <c r="AR375" s="461">
        <f t="shared" si="310"/>
        <v>4.1441788401947767E-3</v>
      </c>
      <c r="AS375" s="25"/>
      <c r="AT375" s="25"/>
      <c r="AU375" s="24"/>
      <c r="AV375" s="298">
        <f t="shared" si="311"/>
        <v>0.74952400589082158</v>
      </c>
      <c r="AW375" s="298"/>
      <c r="AX375" s="24">
        <f t="shared" si="312"/>
        <v>61977.0956284153</v>
      </c>
      <c r="AY375" s="308"/>
      <c r="AZ375" s="111"/>
      <c r="BA375" s="65">
        <f t="shared" si="313"/>
        <v>1849199</v>
      </c>
      <c r="BB375" s="66"/>
      <c r="BC375" s="66">
        <v>388699199</v>
      </c>
      <c r="BD375" s="66"/>
      <c r="BE375" s="66">
        <f t="shared" si="314"/>
        <v>55908</v>
      </c>
      <c r="BF375" s="66"/>
      <c r="BG375" s="144">
        <f t="shared" si="315"/>
        <v>3.0233630885588843E-2</v>
      </c>
      <c r="BH375" s="66"/>
      <c r="BI375" s="170"/>
      <c r="BJ375" s="66"/>
      <c r="BK375" s="66">
        <f t="shared" si="316"/>
        <v>9606464</v>
      </c>
      <c r="BL375" s="66"/>
      <c r="BM375" s="144">
        <f t="shared" si="317"/>
        <v>4.0112470103463665E-2</v>
      </c>
      <c r="BN375" s="65">
        <f t="shared" si="318"/>
        <v>1062019.6693989071</v>
      </c>
      <c r="BO375" s="66"/>
      <c r="BP375" s="66">
        <f t="shared" si="319"/>
        <v>29357052</v>
      </c>
      <c r="BQ375" s="66"/>
      <c r="BR375" s="435">
        <f t="shared" si="324"/>
        <v>7.5526402100972681E-2</v>
      </c>
      <c r="BS375" s="66"/>
      <c r="BT375" s="75"/>
      <c r="BU375" s="170"/>
      <c r="BV375" s="1"/>
      <c r="BW375" s="61">
        <f t="shared" si="186"/>
        <v>366</v>
      </c>
    </row>
    <row r="376" spans="2:75" x14ac:dyDescent="0.3">
      <c r="B376" s="347">
        <f t="shared" si="161"/>
        <v>44276</v>
      </c>
      <c r="C376" s="61"/>
      <c r="D376" s="17">
        <v>39505</v>
      </c>
      <c r="E376" s="16"/>
      <c r="F376" s="16"/>
      <c r="G376" s="16"/>
      <c r="H376" s="16">
        <f t="shared" si="302"/>
        <v>30303535</v>
      </c>
      <c r="I376" s="16"/>
      <c r="J376" s="436">
        <f t="shared" si="303"/>
        <v>1.3053449920582289E-3</v>
      </c>
      <c r="K376" s="16"/>
      <c r="L376" s="16"/>
      <c r="M376" s="16"/>
      <c r="N376" s="16">
        <f t="shared" si="320"/>
        <v>387948</v>
      </c>
      <c r="O376" s="16">
        <f t="shared" si="304"/>
        <v>82570.940054495906</v>
      </c>
      <c r="P376" s="41"/>
      <c r="Q376" s="17">
        <f t="shared" si="321"/>
        <v>387948</v>
      </c>
      <c r="R376" s="16"/>
      <c r="S376" s="60">
        <f t="shared" si="322"/>
        <v>2.4736979737600473E-2</v>
      </c>
      <c r="T376" s="16"/>
      <c r="U376" s="41"/>
      <c r="V376" s="10">
        <f t="shared" si="109"/>
        <v>268</v>
      </c>
      <c r="W376" s="34">
        <v>455</v>
      </c>
      <c r="X376" s="33">
        <v>4256</v>
      </c>
      <c r="Y376" s="33"/>
      <c r="Z376" s="33">
        <f t="shared" si="323"/>
        <v>6742</v>
      </c>
      <c r="AA376" s="33">
        <f t="shared" si="305"/>
        <v>547038</v>
      </c>
      <c r="AB376" s="33"/>
      <c r="AC376" s="46">
        <f t="shared" si="306"/>
        <v>1.8051953344717042E-2</v>
      </c>
      <c r="AD376" s="33"/>
      <c r="AE376" s="33">
        <f t="shared" si="307"/>
        <v>1490.5667574931881</v>
      </c>
      <c r="AF376" s="50"/>
      <c r="AG376" s="33">
        <f t="shared" si="308"/>
        <v>7582</v>
      </c>
      <c r="AH376" s="33">
        <f>SUM(D347:D1028)</f>
        <v>1199572547.060914</v>
      </c>
      <c r="AI376" s="213">
        <f t="shared" si="309"/>
        <v>-0.14665166010129432</v>
      </c>
      <c r="AJ376" s="50"/>
      <c r="AK376" s="111"/>
      <c r="AL376" s="23">
        <f t="shared" si="301"/>
        <v>70635</v>
      </c>
      <c r="AM376" s="24"/>
      <c r="AN376" s="24"/>
      <c r="AO376" s="24">
        <v>178263</v>
      </c>
      <c r="AP376" s="24">
        <v>22754252</v>
      </c>
      <c r="AQ376" s="24">
        <v>20336656</v>
      </c>
      <c r="AR376" s="461">
        <f t="shared" si="310"/>
        <v>3.1139213821146775E-3</v>
      </c>
      <c r="AS376" s="25"/>
      <c r="AT376" s="25"/>
      <c r="AU376" s="24"/>
      <c r="AV376" s="298">
        <f t="shared" si="311"/>
        <v>0.75087781013007227</v>
      </c>
      <c r="AW376" s="298"/>
      <c r="AX376" s="24">
        <f t="shared" si="312"/>
        <v>62000.68664850136</v>
      </c>
      <c r="AY376" s="308"/>
      <c r="AZ376" s="111"/>
      <c r="BA376" s="65">
        <f t="shared" si="313"/>
        <v>1086915</v>
      </c>
      <c r="BB376" s="66"/>
      <c r="BC376" s="66">
        <v>389786114</v>
      </c>
      <c r="BD376" s="66"/>
      <c r="BE376" s="66">
        <f t="shared" si="314"/>
        <v>39505</v>
      </c>
      <c r="BF376" s="66"/>
      <c r="BG376" s="144">
        <f t="shared" si="315"/>
        <v>3.634598841675752E-2</v>
      </c>
      <c r="BH376" s="66"/>
      <c r="BI376" s="170"/>
      <c r="BJ376" s="66"/>
      <c r="BK376" s="66">
        <f t="shared" si="316"/>
        <v>9537740</v>
      </c>
      <c r="BL376" s="66"/>
      <c r="BM376" s="144">
        <f t="shared" si="317"/>
        <v>4.0675044612245671E-2</v>
      </c>
      <c r="BN376" s="65">
        <f t="shared" si="318"/>
        <v>1062087.5040871934</v>
      </c>
      <c r="BO376" s="66"/>
      <c r="BP376" s="66">
        <f t="shared" si="319"/>
        <v>29396557</v>
      </c>
      <c r="BQ376" s="66"/>
      <c r="BR376" s="435">
        <f t="shared" si="324"/>
        <v>7.5417147877156032E-2</v>
      </c>
      <c r="BS376" s="66"/>
      <c r="BT376" s="75"/>
      <c r="BU376" s="170"/>
      <c r="BV376" s="1"/>
      <c r="BW376" s="61">
        <f t="shared" si="186"/>
        <v>367</v>
      </c>
    </row>
    <row r="377" spans="2:75" x14ac:dyDescent="0.3">
      <c r="B377" s="158">
        <f t="shared" si="161"/>
        <v>44277</v>
      </c>
      <c r="C377" s="61"/>
      <c r="D377" s="17">
        <v>45748</v>
      </c>
      <c r="E377" s="16"/>
      <c r="F377" s="16"/>
      <c r="G377" s="16"/>
      <c r="H377" s="16">
        <f t="shared" si="302"/>
        <v>30349283</v>
      </c>
      <c r="I377" s="16"/>
      <c r="J377" s="436">
        <f t="shared" si="303"/>
        <v>1.5096588566317428E-3</v>
      </c>
      <c r="K377" s="16"/>
      <c r="L377" s="16"/>
      <c r="M377" s="16"/>
      <c r="N377" s="16">
        <f t="shared" si="320"/>
        <v>386929</v>
      </c>
      <c r="O377" s="16">
        <f t="shared" si="304"/>
        <v>82470.877717391311</v>
      </c>
      <c r="P377" s="41"/>
      <c r="Q377" s="17">
        <f t="shared" si="321"/>
        <v>386929</v>
      </c>
      <c r="R377" s="16"/>
      <c r="S377" s="60">
        <f t="shared" si="322"/>
        <v>1.8282444957919058E-2</v>
      </c>
      <c r="T377" s="16"/>
      <c r="U377" s="41"/>
      <c r="V377" s="10">
        <f t="shared" si="109"/>
        <v>269</v>
      </c>
      <c r="W377" s="34">
        <v>636</v>
      </c>
      <c r="X377" s="33">
        <v>4256</v>
      </c>
      <c r="Y377" s="33"/>
      <c r="Z377" s="33">
        <f t="shared" si="323"/>
        <v>6130</v>
      </c>
      <c r="AA377" s="33">
        <f t="shared" si="305"/>
        <v>547674</v>
      </c>
      <c r="AB377" s="33"/>
      <c r="AC377" s="46">
        <f t="shared" si="306"/>
        <v>1.8045698147135799E-2</v>
      </c>
      <c r="AD377" s="33"/>
      <c r="AE377" s="33">
        <f t="shared" si="307"/>
        <v>1488.2445652173913</v>
      </c>
      <c r="AF377" s="50"/>
      <c r="AG377" s="33">
        <f t="shared" si="308"/>
        <v>7378</v>
      </c>
      <c r="AH377" s="33">
        <f>SUM(D348:D1029)</f>
        <v>1199502930.060914</v>
      </c>
      <c r="AI377" s="213">
        <f t="shared" si="309"/>
        <v>-0.17054525014052838</v>
      </c>
      <c r="AJ377" s="50"/>
      <c r="AK377" s="111"/>
      <c r="AL377" s="23">
        <f t="shared" si="301"/>
        <v>91751</v>
      </c>
      <c r="AM377" s="24"/>
      <c r="AN377" s="24"/>
      <c r="AO377" s="24">
        <v>178263</v>
      </c>
      <c r="AP377" s="24">
        <v>22846003</v>
      </c>
      <c r="AQ377" s="24">
        <v>20336656</v>
      </c>
      <c r="AR377" s="461">
        <f t="shared" si="310"/>
        <v>4.0322573556801607E-3</v>
      </c>
      <c r="AS377" s="25"/>
      <c r="AT377" s="25"/>
      <c r="AU377" s="24"/>
      <c r="AV377" s="298">
        <f t="shared" si="311"/>
        <v>0.75276911813699188</v>
      </c>
      <c r="AW377" s="298"/>
      <c r="AX377" s="24">
        <f t="shared" si="312"/>
        <v>62081.529891304344</v>
      </c>
      <c r="AY377" s="308"/>
      <c r="AZ377" s="111"/>
      <c r="BA377" s="65">
        <f t="shared" si="313"/>
        <v>1326385</v>
      </c>
      <c r="BB377" s="66"/>
      <c r="BC377" s="66">
        <v>391112499</v>
      </c>
      <c r="BD377" s="66"/>
      <c r="BE377" s="66">
        <f t="shared" si="314"/>
        <v>45748</v>
      </c>
      <c r="BF377" s="66"/>
      <c r="BG377" s="144">
        <f t="shared" si="315"/>
        <v>3.4490739868137832E-2</v>
      </c>
      <c r="BH377" s="66"/>
      <c r="BI377" s="170"/>
      <c r="BJ377" s="66"/>
      <c r="BK377" s="66">
        <f t="shared" si="316"/>
        <v>9612499</v>
      </c>
      <c r="BL377" s="66"/>
      <c r="BM377" s="144">
        <f t="shared" si="317"/>
        <v>4.0252695995078906E-2</v>
      </c>
      <c r="BN377" s="65">
        <f t="shared" si="318"/>
        <v>1062805.7038043479</v>
      </c>
      <c r="BO377" s="66"/>
      <c r="BP377" s="66">
        <f t="shared" si="319"/>
        <v>29442305</v>
      </c>
      <c r="BQ377" s="66"/>
      <c r="BR377" s="435">
        <f t="shared" si="324"/>
        <v>7.5278353607410531E-2</v>
      </c>
      <c r="BS377" s="66"/>
      <c r="BT377" s="75"/>
      <c r="BU377" s="170"/>
      <c r="BV377" s="1"/>
      <c r="BW377" s="61">
        <f t="shared" si="186"/>
        <v>368</v>
      </c>
    </row>
    <row r="378" spans="2:75" x14ac:dyDescent="0.3">
      <c r="B378" s="158">
        <f t="shared" si="161"/>
        <v>44278</v>
      </c>
      <c r="C378" s="61"/>
      <c r="D378" s="17">
        <v>58705</v>
      </c>
      <c r="E378" s="16"/>
      <c r="F378" s="16"/>
      <c r="G378" s="16"/>
      <c r="H378" s="16">
        <f t="shared" si="302"/>
        <v>30407988</v>
      </c>
      <c r="I378" s="16"/>
      <c r="J378" s="436">
        <f t="shared" si="303"/>
        <v>1.9343125832659703E-3</v>
      </c>
      <c r="K378" s="16"/>
      <c r="L378" s="16"/>
      <c r="M378" s="16"/>
      <c r="N378" s="16">
        <f t="shared" si="320"/>
        <v>392403</v>
      </c>
      <c r="O378" s="16">
        <f t="shared" si="304"/>
        <v>82406.471544715445</v>
      </c>
      <c r="P378" s="41"/>
      <c r="Q378" s="17">
        <f t="shared" si="321"/>
        <v>392403</v>
      </c>
      <c r="R378" s="16"/>
      <c r="S378" s="60">
        <f t="shared" si="322"/>
        <v>3.9395544724922522E-2</v>
      </c>
      <c r="T378" s="16"/>
      <c r="U378" s="41"/>
      <c r="V378" s="10">
        <f t="shared" si="109"/>
        <v>270</v>
      </c>
      <c r="W378" s="34">
        <v>936</v>
      </c>
      <c r="X378" s="33">
        <v>4256</v>
      </c>
      <c r="Y378" s="33"/>
      <c r="Z378" s="33">
        <f t="shared" si="323"/>
        <v>5774</v>
      </c>
      <c r="AA378" s="33">
        <f t="shared" si="305"/>
        <v>548610</v>
      </c>
      <c r="AB378" s="33"/>
      <c r="AC378" s="46">
        <f t="shared" si="306"/>
        <v>1.8041640900410775E-2</v>
      </c>
      <c r="AD378" s="33"/>
      <c r="AE378" s="33">
        <f t="shared" si="307"/>
        <v>1486.7479674796748</v>
      </c>
      <c r="AF378" s="50"/>
      <c r="AG378" s="33">
        <f t="shared" si="308"/>
        <v>7066</v>
      </c>
      <c r="AH378" s="33">
        <f>SUM(D349:D1030)</f>
        <v>1199445705.060914</v>
      </c>
      <c r="AI378" s="213">
        <f t="shared" si="309"/>
        <v>-0.16269700201445669</v>
      </c>
      <c r="AJ378" s="50"/>
      <c r="AK378" s="111"/>
      <c r="AL378" s="23">
        <f t="shared" si="301"/>
        <v>79091</v>
      </c>
      <c r="AM378" s="24"/>
      <c r="AN378" s="24"/>
      <c r="AO378" s="24">
        <v>178263</v>
      </c>
      <c r="AP378" s="24">
        <v>22925094</v>
      </c>
      <c r="AQ378" s="24">
        <v>20336656</v>
      </c>
      <c r="AR378" s="461">
        <f t="shared" si="310"/>
        <v>3.4619184808826297E-3</v>
      </c>
      <c r="AS378" s="25"/>
      <c r="AT378" s="25"/>
      <c r="AU378" s="24"/>
      <c r="AV378" s="298">
        <f t="shared" si="311"/>
        <v>0.75391683264279108</v>
      </c>
      <c r="AW378" s="298"/>
      <c r="AX378" s="24">
        <f t="shared" si="312"/>
        <v>62127.626016260161</v>
      </c>
      <c r="AY378" s="308"/>
      <c r="AZ378" s="111"/>
      <c r="BA378" s="65">
        <f t="shared" si="313"/>
        <v>1052670</v>
      </c>
      <c r="BB378" s="66"/>
      <c r="BC378" s="66">
        <v>392165169</v>
      </c>
      <c r="BD378" s="66"/>
      <c r="BE378" s="66">
        <f t="shared" si="314"/>
        <v>58705</v>
      </c>
      <c r="BF378" s="66"/>
      <c r="BG378" s="144">
        <f t="shared" si="315"/>
        <v>5.5767714478421535E-2</v>
      </c>
      <c r="BH378" s="66"/>
      <c r="BI378" s="170"/>
      <c r="BJ378" s="66"/>
      <c r="BK378" s="66">
        <f t="shared" si="316"/>
        <v>9594385</v>
      </c>
      <c r="BL378" s="66"/>
      <c r="BM378" s="144">
        <f t="shared" si="317"/>
        <v>4.0899234291723756E-2</v>
      </c>
      <c r="BN378" s="65">
        <f t="shared" si="318"/>
        <v>1062778.2357723578</v>
      </c>
      <c r="BO378" s="66"/>
      <c r="BP378" s="66">
        <f t="shared" si="319"/>
        <v>29501010</v>
      </c>
      <c r="BQ378" s="66"/>
      <c r="BR378" s="435">
        <f t="shared" si="324"/>
        <v>7.5225982142233541E-2</v>
      </c>
      <c r="BS378" s="66"/>
      <c r="BT378" s="75"/>
      <c r="BU378" s="170"/>
      <c r="BV378" s="1"/>
      <c r="BW378" s="61">
        <f t="shared" si="186"/>
        <v>369</v>
      </c>
    </row>
    <row r="379" spans="2:75" x14ac:dyDescent="0.3">
      <c r="B379" s="158">
        <f t="shared" si="161"/>
        <v>44279</v>
      </c>
      <c r="C379" s="61"/>
      <c r="D379" s="17">
        <v>66538</v>
      </c>
      <c r="E379" s="16"/>
      <c r="F379" s="16"/>
      <c r="G379" s="16"/>
      <c r="H379" s="16">
        <f t="shared" si="302"/>
        <v>30474526</v>
      </c>
      <c r="I379" s="16"/>
      <c r="J379" s="436">
        <f t="shared" si="303"/>
        <v>2.1881750282195587E-3</v>
      </c>
      <c r="K379" s="16"/>
      <c r="L379" s="16"/>
      <c r="M379" s="16"/>
      <c r="N379" s="16">
        <f t="shared" si="320"/>
        <v>395446</v>
      </c>
      <c r="O379" s="16">
        <f t="shared" si="304"/>
        <v>82363.58378378379</v>
      </c>
      <c r="P379" s="41"/>
      <c r="Q379" s="17">
        <f t="shared" si="321"/>
        <v>395446</v>
      </c>
      <c r="R379" s="16"/>
      <c r="S379" s="60">
        <f t="shared" si="322"/>
        <v>4.1565590718133094E-2</v>
      </c>
      <c r="T379" s="16"/>
      <c r="U379" s="41"/>
      <c r="V379" s="10">
        <f t="shared" si="109"/>
        <v>271</v>
      </c>
      <c r="W379" s="34">
        <v>1405</v>
      </c>
      <c r="X379" s="33">
        <v>4256</v>
      </c>
      <c r="Y379" s="33"/>
      <c r="Z379" s="33">
        <f t="shared" si="323"/>
        <v>5474</v>
      </c>
      <c r="AA379" s="33">
        <f t="shared" si="305"/>
        <v>550015</v>
      </c>
      <c r="AB379" s="33"/>
      <c r="AC379" s="46">
        <f t="shared" si="306"/>
        <v>1.8048352909574378E-2</v>
      </c>
      <c r="AD379" s="33"/>
      <c r="AE379" s="33">
        <f t="shared" si="307"/>
        <v>1486.5270270270271</v>
      </c>
      <c r="AF379" s="50"/>
      <c r="AG379" s="33">
        <f t="shared" si="308"/>
        <v>7179</v>
      </c>
      <c r="AH379" s="33">
        <f>SUM(D350:D1031)</f>
        <v>1199374651.060914</v>
      </c>
      <c r="AI379" s="213">
        <f t="shared" si="309"/>
        <v>-0.11599556704839306</v>
      </c>
      <c r="AJ379" s="50"/>
      <c r="AK379" s="111"/>
      <c r="AL379" s="23">
        <f t="shared" si="301"/>
        <v>207785</v>
      </c>
      <c r="AM379" s="24"/>
      <c r="AN379" s="24"/>
      <c r="AO379" s="24">
        <v>178263</v>
      </c>
      <c r="AP379" s="24">
        <v>23132879</v>
      </c>
      <c r="AQ379" s="24">
        <v>20336656</v>
      </c>
      <c r="AR379" s="461">
        <f t="shared" si="310"/>
        <v>9.0636487684630646E-3</v>
      </c>
      <c r="AS379" s="25"/>
      <c r="AT379" s="25"/>
      <c r="AU379" s="24"/>
      <c r="AV379" s="298">
        <f t="shared" si="311"/>
        <v>0.7590890503104134</v>
      </c>
      <c r="AW379" s="298"/>
      <c r="AX379" s="24">
        <f t="shared" si="312"/>
        <v>62521.294594594598</v>
      </c>
      <c r="AY379" s="308"/>
      <c r="AZ379" s="111"/>
      <c r="BA379" s="65">
        <f t="shared" si="313"/>
        <v>1698379</v>
      </c>
      <c r="BB379" s="66"/>
      <c r="BC379" s="66">
        <v>393863548</v>
      </c>
      <c r="BD379" s="66"/>
      <c r="BE379" s="66">
        <f t="shared" si="314"/>
        <v>66538</v>
      </c>
      <c r="BF379" s="66"/>
      <c r="BG379" s="144">
        <f t="shared" si="315"/>
        <v>3.9177356761947717E-2</v>
      </c>
      <c r="BH379" s="66"/>
      <c r="BI379" s="170"/>
      <c r="BJ379" s="66"/>
      <c r="BK379" s="66">
        <f t="shared" si="316"/>
        <v>9848787</v>
      </c>
      <c r="BL379" s="66"/>
      <c r="BM379" s="144">
        <f t="shared" si="317"/>
        <v>4.0151746605952589E-2</v>
      </c>
      <c r="BN379" s="65">
        <f t="shared" si="318"/>
        <v>1064496.0756756756</v>
      </c>
      <c r="BO379" s="66"/>
      <c r="BP379" s="66">
        <f t="shared" si="319"/>
        <v>29567548</v>
      </c>
      <c r="BQ379" s="66"/>
      <c r="BR379" s="435">
        <f t="shared" si="324"/>
        <v>7.5070536865219126E-2</v>
      </c>
      <c r="BS379" s="66"/>
      <c r="BT379" s="75"/>
      <c r="BU379" s="170"/>
      <c r="BV379" s="1"/>
      <c r="BW379" s="61">
        <f t="shared" si="186"/>
        <v>370</v>
      </c>
    </row>
    <row r="380" spans="2:75" x14ac:dyDescent="0.3">
      <c r="B380" s="158">
        <f t="shared" si="161"/>
        <v>44280</v>
      </c>
      <c r="C380" s="61"/>
      <c r="D380" s="17">
        <v>67046</v>
      </c>
      <c r="E380" s="16"/>
      <c r="F380" s="16"/>
      <c r="G380" s="16"/>
      <c r="H380" s="16">
        <f t="shared" si="302"/>
        <v>30541572</v>
      </c>
      <c r="I380" s="16"/>
      <c r="J380" s="436">
        <f t="shared" si="303"/>
        <v>2.2000670330360513E-3</v>
      </c>
      <c r="K380" s="16"/>
      <c r="L380" s="16"/>
      <c r="M380" s="16"/>
      <c r="N380" s="16">
        <f t="shared" si="320"/>
        <v>399863</v>
      </c>
      <c r="O380" s="16">
        <f t="shared" si="304"/>
        <v>82322.296495956878</v>
      </c>
      <c r="P380" s="41"/>
      <c r="Q380" s="17">
        <f t="shared" si="321"/>
        <v>399863</v>
      </c>
      <c r="R380" s="16"/>
      <c r="S380" s="60">
        <f t="shared" si="322"/>
        <v>5.3599142076459536E-2</v>
      </c>
      <c r="T380" s="16"/>
      <c r="U380" s="41"/>
      <c r="V380" s="10">
        <f t="shared" si="109"/>
        <v>272</v>
      </c>
      <c r="W380" s="34">
        <v>1165</v>
      </c>
      <c r="X380" s="33">
        <v>4256</v>
      </c>
      <c r="Y380" s="33"/>
      <c r="Z380" s="33">
        <f t="shared" si="323"/>
        <v>5389</v>
      </c>
      <c r="AA380" s="33">
        <f t="shared" si="305"/>
        <v>551180</v>
      </c>
      <c r="AB380" s="33"/>
      <c r="AC380" s="46">
        <f t="shared" si="306"/>
        <v>1.8046877220334302E-2</v>
      </c>
      <c r="AD380" s="33"/>
      <c r="AE380" s="33">
        <f t="shared" si="307"/>
        <v>1485.6603773584907</v>
      </c>
      <c r="AF380" s="50"/>
      <c r="AG380" s="33">
        <f t="shared" si="308"/>
        <v>6639</v>
      </c>
      <c r="AH380" s="33">
        <f>SUM(D351:D1032)</f>
        <v>1199300947.060914</v>
      </c>
      <c r="AI380" s="213">
        <f t="shared" si="309"/>
        <v>-0.19556524900036351</v>
      </c>
      <c r="AJ380" s="50"/>
      <c r="AK380" s="111"/>
      <c r="AL380" s="23">
        <f t="shared" si="301"/>
        <v>63330</v>
      </c>
      <c r="AM380" s="24"/>
      <c r="AN380" s="24"/>
      <c r="AO380" s="24">
        <v>178263</v>
      </c>
      <c r="AP380" s="24">
        <v>23196209</v>
      </c>
      <c r="AQ380" s="24">
        <v>20336656</v>
      </c>
      <c r="AR380" s="461">
        <f t="shared" si="310"/>
        <v>2.7376618362115672E-3</v>
      </c>
      <c r="AS380" s="25"/>
      <c r="AT380" s="25"/>
      <c r="AU380" s="24"/>
      <c r="AV380" s="298">
        <f t="shared" si="311"/>
        <v>0.75949623680143252</v>
      </c>
      <c r="AW380" s="298"/>
      <c r="AX380" s="24">
        <f t="shared" si="312"/>
        <v>62523.474393530996</v>
      </c>
      <c r="AY380" s="308"/>
      <c r="AZ380" s="111"/>
      <c r="BA380" s="65">
        <f t="shared" si="313"/>
        <v>1489752</v>
      </c>
      <c r="BB380" s="66"/>
      <c r="BC380" s="66">
        <v>395353300</v>
      </c>
      <c r="BD380" s="66"/>
      <c r="BE380" s="66">
        <f t="shared" si="314"/>
        <v>67046</v>
      </c>
      <c r="BF380" s="66"/>
      <c r="BG380" s="144">
        <f t="shared" si="315"/>
        <v>4.5004806169080494E-2</v>
      </c>
      <c r="BH380" s="66"/>
      <c r="BI380" s="170"/>
      <c r="BJ380" s="66"/>
      <c r="BK380" s="66">
        <f t="shared" si="316"/>
        <v>9682859</v>
      </c>
      <c r="BL380" s="66"/>
      <c r="BM380" s="144">
        <f t="shared" si="317"/>
        <v>4.1295964342762816E-2</v>
      </c>
      <c r="BN380" s="65">
        <f t="shared" si="318"/>
        <v>1065642.3180592991</v>
      </c>
      <c r="BO380" s="66"/>
      <c r="BP380" s="66">
        <f t="shared" si="319"/>
        <v>29634594</v>
      </c>
      <c r="BQ380" s="66"/>
      <c r="BR380" s="435">
        <f t="shared" si="324"/>
        <v>7.4957244570868636E-2</v>
      </c>
      <c r="BS380" s="66"/>
      <c r="BT380" s="75"/>
      <c r="BU380" s="170"/>
      <c r="BV380" s="1"/>
      <c r="BW380" s="61">
        <f t="shared" si="186"/>
        <v>371</v>
      </c>
    </row>
    <row r="381" spans="2:75" x14ac:dyDescent="0.3">
      <c r="B381" s="158">
        <f t="shared" si="161"/>
        <v>44281</v>
      </c>
      <c r="C381" s="61"/>
      <c r="D381" s="17">
        <v>76976</v>
      </c>
      <c r="E381" s="16"/>
      <c r="F381" s="16"/>
      <c r="G381" s="16"/>
      <c r="H381" s="16">
        <f t="shared" si="302"/>
        <v>30618548</v>
      </c>
      <c r="I381" s="16"/>
      <c r="J381" s="436">
        <f t="shared" si="303"/>
        <v>2.5203679758199742E-3</v>
      </c>
      <c r="K381" s="16"/>
      <c r="L381" s="16"/>
      <c r="M381" s="16"/>
      <c r="N381" s="16">
        <f t="shared" si="320"/>
        <v>410426</v>
      </c>
      <c r="O381" s="16">
        <f t="shared" si="304"/>
        <v>82307.924731182793</v>
      </c>
      <c r="P381" s="41"/>
      <c r="Q381" s="17">
        <f t="shared" si="321"/>
        <v>410426</v>
      </c>
      <c r="R381" s="16"/>
      <c r="S381" s="60">
        <f t="shared" si="322"/>
        <v>8.2492634821666411E-2</v>
      </c>
      <c r="T381" s="16"/>
      <c r="U381" s="41"/>
      <c r="V381" s="10">
        <f t="shared" si="109"/>
        <v>273</v>
      </c>
      <c r="W381" s="34">
        <v>1289</v>
      </c>
      <c r="X381" s="33">
        <v>4256</v>
      </c>
      <c r="Y381" s="33"/>
      <c r="Z381" s="33">
        <f t="shared" si="323"/>
        <v>5886</v>
      </c>
      <c r="AA381" s="33">
        <f t="shared" si="305"/>
        <v>552469</v>
      </c>
      <c r="AB381" s="33"/>
      <c r="AC381" s="46">
        <f t="shared" si="306"/>
        <v>1.804360546424344E-2</v>
      </c>
      <c r="AD381" s="33"/>
      <c r="AE381" s="33">
        <f t="shared" si="307"/>
        <v>1485.1317204301076</v>
      </c>
      <c r="AF381" s="50"/>
      <c r="AG381" s="33">
        <f t="shared" si="308"/>
        <v>6678</v>
      </c>
      <c r="AH381" s="33">
        <f>SUM(D352:D1033)</f>
        <v>1199225648.060914</v>
      </c>
      <c r="AI381" s="213">
        <f t="shared" si="309"/>
        <v>-0.16504126031507876</v>
      </c>
      <c r="AJ381" s="50"/>
      <c r="AK381" s="111"/>
      <c r="AL381" s="23">
        <f t="shared" si="301"/>
        <v>79059</v>
      </c>
      <c r="AM381" s="24"/>
      <c r="AN381" s="24"/>
      <c r="AO381" s="24">
        <v>178263</v>
      </c>
      <c r="AP381" s="24">
        <v>23275268</v>
      </c>
      <c r="AQ381" s="24">
        <v>20336656</v>
      </c>
      <c r="AR381" s="461">
        <f t="shared" si="310"/>
        <v>3.4082724465881471E-3</v>
      </c>
      <c r="AS381" s="25"/>
      <c r="AT381" s="25"/>
      <c r="AU381" s="24"/>
      <c r="AV381" s="298">
        <f t="shared" si="311"/>
        <v>0.76016890154294714</v>
      </c>
      <c r="AW381" s="298"/>
      <c r="AX381" s="24">
        <f t="shared" si="312"/>
        <v>62567.924731182793</v>
      </c>
      <c r="AY381" s="308"/>
      <c r="AZ381" s="111"/>
      <c r="BA381" s="65">
        <f t="shared" si="313"/>
        <v>1540866</v>
      </c>
      <c r="BB381" s="66"/>
      <c r="BC381" s="66">
        <v>396894166</v>
      </c>
      <c r="BD381" s="66"/>
      <c r="BE381" s="66">
        <f t="shared" si="314"/>
        <v>76976</v>
      </c>
      <c r="BF381" s="66"/>
      <c r="BG381" s="144">
        <f t="shared" si="315"/>
        <v>4.9956323262373238E-2</v>
      </c>
      <c r="BH381" s="66"/>
      <c r="BI381" s="170"/>
      <c r="BJ381" s="66"/>
      <c r="BK381" s="66">
        <f t="shared" si="316"/>
        <v>10044166</v>
      </c>
      <c r="BL381" s="66"/>
      <c r="BM381" s="144">
        <f t="shared" si="317"/>
        <v>4.0862128324044025E-2</v>
      </c>
      <c r="BN381" s="65">
        <f t="shared" si="318"/>
        <v>1066919.8010752688</v>
      </c>
      <c r="BO381" s="66"/>
      <c r="BP381" s="66">
        <f t="shared" si="319"/>
        <v>29711570</v>
      </c>
      <c r="BQ381" s="66"/>
      <c r="BR381" s="435">
        <f t="shared" si="324"/>
        <v>7.4860183256006838E-2</v>
      </c>
      <c r="BS381" s="66"/>
      <c r="BT381" s="75"/>
      <c r="BU381" s="170"/>
      <c r="BV381" s="1"/>
      <c r="BW381" s="61">
        <f t="shared" si="186"/>
        <v>372</v>
      </c>
    </row>
    <row r="382" spans="2:75" x14ac:dyDescent="0.3">
      <c r="B382" s="158">
        <f t="shared" si="161"/>
        <v>44282</v>
      </c>
      <c r="C382" s="61"/>
      <c r="D382" s="17">
        <v>63659</v>
      </c>
      <c r="E382" s="16"/>
      <c r="F382" s="16"/>
      <c r="G382" s="16"/>
      <c r="H382" s="16">
        <f t="shared" si="302"/>
        <v>30682207</v>
      </c>
      <c r="I382" s="16"/>
      <c r="J382" s="436">
        <f t="shared" si="303"/>
        <v>2.0790992440268561E-3</v>
      </c>
      <c r="K382" s="16"/>
      <c r="L382" s="16"/>
      <c r="M382" s="16"/>
      <c r="N382" s="16">
        <f t="shared" si="320"/>
        <v>418177</v>
      </c>
      <c r="O382" s="16">
        <f t="shared" si="304"/>
        <v>82257.927613941021</v>
      </c>
      <c r="P382" s="41"/>
      <c r="Q382" s="17">
        <f t="shared" si="321"/>
        <v>418177</v>
      </c>
      <c r="R382" s="16"/>
      <c r="S382" s="60">
        <f t="shared" si="322"/>
        <v>8.5218469970597316E-2</v>
      </c>
      <c r="T382" s="16"/>
      <c r="U382" s="41"/>
      <c r="V382" s="10">
        <f t="shared" si="109"/>
        <v>274</v>
      </c>
      <c r="W382" s="34">
        <v>788</v>
      </c>
      <c r="X382" s="33">
        <v>4256</v>
      </c>
      <c r="Y382" s="33"/>
      <c r="Z382" s="33">
        <f t="shared" si="323"/>
        <v>6219</v>
      </c>
      <c r="AA382" s="33">
        <f t="shared" si="305"/>
        <v>553257</v>
      </c>
      <c r="AB382" s="33"/>
      <c r="AC382" s="46">
        <f t="shared" si="306"/>
        <v>1.8031851489692382E-2</v>
      </c>
      <c r="AD382" s="33"/>
      <c r="AE382" s="33">
        <f t="shared" si="307"/>
        <v>1483.2627345844503</v>
      </c>
      <c r="AF382" s="50"/>
      <c r="AG382" s="33">
        <f t="shared" si="308"/>
        <v>6674</v>
      </c>
      <c r="AH382" s="33">
        <f>SUM(D353:D1034)</f>
        <v>1199148271.060914</v>
      </c>
      <c r="AI382" s="213">
        <f t="shared" si="309"/>
        <v>-0.13950489943269725</v>
      </c>
      <c r="AJ382" s="50"/>
      <c r="AK382" s="111"/>
      <c r="AL382" s="23">
        <f t="shared" si="301"/>
        <v>73242</v>
      </c>
      <c r="AM382" s="24"/>
      <c r="AN382" s="24"/>
      <c r="AO382" s="24">
        <v>178263</v>
      </c>
      <c r="AP382" s="24">
        <v>23348510</v>
      </c>
      <c r="AQ382" s="24">
        <v>20336656</v>
      </c>
      <c r="AR382" s="461">
        <f t="shared" si="310"/>
        <v>3.1467736483206123E-3</v>
      </c>
      <c r="AS382" s="25"/>
      <c r="AT382" s="25"/>
      <c r="AU382" s="24"/>
      <c r="AV382" s="298">
        <f t="shared" si="311"/>
        <v>0.76097883049938353</v>
      </c>
      <c r="AW382" s="298"/>
      <c r="AX382" s="24">
        <f t="shared" si="312"/>
        <v>62596.541554959782</v>
      </c>
      <c r="AY382" s="308"/>
      <c r="AZ382" s="111"/>
      <c r="BA382" s="65">
        <f t="shared" si="313"/>
        <v>1387550</v>
      </c>
      <c r="BB382" s="66"/>
      <c r="BC382" s="66">
        <v>398281716</v>
      </c>
      <c r="BD382" s="66"/>
      <c r="BE382" s="66">
        <f t="shared" si="314"/>
        <v>63659</v>
      </c>
      <c r="BF382" s="66"/>
      <c r="BG382" s="144">
        <f t="shared" si="315"/>
        <v>4.587870707361897E-2</v>
      </c>
      <c r="BH382" s="66"/>
      <c r="BI382" s="170"/>
      <c r="BJ382" s="66"/>
      <c r="BK382" s="66">
        <f t="shared" si="316"/>
        <v>9582517</v>
      </c>
      <c r="BL382" s="66"/>
      <c r="BM382" s="144">
        <f t="shared" si="317"/>
        <v>4.36395782026789E-2</v>
      </c>
      <c r="BN382" s="65">
        <f t="shared" si="318"/>
        <v>1067779.399463807</v>
      </c>
      <c r="BO382" s="66"/>
      <c r="BP382" s="66">
        <f t="shared" si="319"/>
        <v>29775229</v>
      </c>
      <c r="BQ382" s="66"/>
      <c r="BR382" s="435">
        <f t="shared" si="324"/>
        <v>7.4759216413539803E-2</v>
      </c>
      <c r="BS382" s="66"/>
      <c r="BT382" s="75"/>
      <c r="BU382" s="170"/>
      <c r="BV382" s="1"/>
      <c r="BW382" s="61">
        <f t="shared" si="186"/>
        <v>373</v>
      </c>
    </row>
    <row r="383" spans="2:75" x14ac:dyDescent="0.3">
      <c r="B383" s="347">
        <f t="shared" si="161"/>
        <v>44283</v>
      </c>
      <c r="C383" s="61"/>
      <c r="D383" s="17">
        <v>44096</v>
      </c>
      <c r="E383" s="16"/>
      <c r="F383" s="16"/>
      <c r="G383" s="16"/>
      <c r="H383" s="16">
        <f t="shared" si="302"/>
        <v>30726303</v>
      </c>
      <c r="I383" s="16"/>
      <c r="J383" s="436">
        <f t="shared" si="303"/>
        <v>1.4371847501061445E-3</v>
      </c>
      <c r="K383" s="16"/>
      <c r="L383" s="16"/>
      <c r="M383" s="16"/>
      <c r="N383" s="16">
        <f t="shared" si="320"/>
        <v>422768</v>
      </c>
      <c r="O383" s="16">
        <f t="shared" si="304"/>
        <v>82155.890374331546</v>
      </c>
      <c r="P383" s="41"/>
      <c r="Q383" s="17">
        <f t="shared" si="321"/>
        <v>422768</v>
      </c>
      <c r="R383" s="16"/>
      <c r="S383" s="60">
        <f t="shared" si="322"/>
        <v>8.9754296967634845E-2</v>
      </c>
      <c r="T383" s="16"/>
      <c r="U383" s="41"/>
      <c r="V383" s="10">
        <f t="shared" si="109"/>
        <v>275</v>
      </c>
      <c r="W383" s="34">
        <v>510</v>
      </c>
      <c r="X383" s="33">
        <v>4256</v>
      </c>
      <c r="Y383" s="33"/>
      <c r="Z383" s="33">
        <f t="shared" si="323"/>
        <v>6093</v>
      </c>
      <c r="AA383" s="33">
        <f t="shared" si="305"/>
        <v>553767</v>
      </c>
      <c r="AB383" s="33"/>
      <c r="AC383" s="46">
        <f t="shared" si="306"/>
        <v>1.8022571736013928E-2</v>
      </c>
      <c r="AD383" s="33"/>
      <c r="AE383" s="33">
        <f t="shared" si="307"/>
        <v>1480.6604278074867</v>
      </c>
      <c r="AF383" s="50"/>
      <c r="AG383" s="33">
        <f t="shared" si="308"/>
        <v>6729</v>
      </c>
      <c r="AH383" s="33">
        <f>SUM(D354:D1035)</f>
        <v>1199067646.060914</v>
      </c>
      <c r="AI383" s="213">
        <f t="shared" si="309"/>
        <v>-0.11250329728303878</v>
      </c>
      <c r="AJ383" s="50"/>
      <c r="AK383" s="111"/>
      <c r="AL383" s="23">
        <f t="shared" si="301"/>
        <v>62374</v>
      </c>
      <c r="AM383" s="24"/>
      <c r="AN383" s="24"/>
      <c r="AO383" s="24">
        <v>178263</v>
      </c>
      <c r="AP383" s="24">
        <v>23410884</v>
      </c>
      <c r="AQ383" s="24">
        <v>20336656</v>
      </c>
      <c r="AR383" s="461">
        <f t="shared" si="310"/>
        <v>2.6714338516676227E-3</v>
      </c>
      <c r="AS383" s="25"/>
      <c r="AT383" s="25"/>
      <c r="AU383" s="24"/>
      <c r="AV383" s="298">
        <f t="shared" si="311"/>
        <v>0.76191672001672317</v>
      </c>
      <c r="AW383" s="298"/>
      <c r="AX383" s="24">
        <f t="shared" si="312"/>
        <v>62595.946524064173</v>
      </c>
      <c r="AY383" s="308"/>
      <c r="AZ383" s="111"/>
      <c r="BA383" s="65">
        <f t="shared" si="313"/>
        <v>1060302</v>
      </c>
      <c r="BB383" s="66"/>
      <c r="BC383" s="66">
        <v>399342018</v>
      </c>
      <c r="BD383" s="66"/>
      <c r="BE383" s="66">
        <f t="shared" si="314"/>
        <v>44096</v>
      </c>
      <c r="BF383" s="66"/>
      <c r="BG383" s="144">
        <f t="shared" si="315"/>
        <v>4.1588151300289915E-2</v>
      </c>
      <c r="BH383" s="66"/>
      <c r="BI383" s="170"/>
      <c r="BJ383" s="66"/>
      <c r="BK383" s="66">
        <f t="shared" si="316"/>
        <v>9555904</v>
      </c>
      <c r="BL383" s="66"/>
      <c r="BM383" s="144">
        <f t="shared" si="317"/>
        <v>4.4241549517450157E-2</v>
      </c>
      <c r="BN383" s="65">
        <f t="shared" si="318"/>
        <v>1067759.4064171123</v>
      </c>
      <c r="BO383" s="66"/>
      <c r="BP383" s="66">
        <f t="shared" si="319"/>
        <v>29819325</v>
      </c>
      <c r="BQ383" s="66"/>
      <c r="BR383" s="435">
        <f t="shared" si="324"/>
        <v>7.4671143170313717E-2</v>
      </c>
      <c r="BS383" s="66"/>
      <c r="BT383" s="75"/>
      <c r="BU383" s="170"/>
      <c r="BV383" s="1"/>
      <c r="BW383" s="61">
        <f t="shared" si="186"/>
        <v>374</v>
      </c>
    </row>
    <row r="384" spans="2:75" x14ac:dyDescent="0.3">
      <c r="B384" s="158">
        <f t="shared" si="161"/>
        <v>44284</v>
      </c>
      <c r="C384" s="61"/>
      <c r="D384" s="17">
        <v>60198</v>
      </c>
      <c r="E384" s="16"/>
      <c r="F384" s="16"/>
      <c r="G384" s="16"/>
      <c r="H384" s="16">
        <f t="shared" ref="H384:H418" si="325">+H383+D384</f>
        <v>30786501</v>
      </c>
      <c r="I384" s="16"/>
      <c r="J384" s="436">
        <f t="shared" ref="J384:J418" si="326">+D384/H383</f>
        <v>1.9591683386055263E-3</v>
      </c>
      <c r="K384" s="16"/>
      <c r="L384" s="16"/>
      <c r="M384" s="16"/>
      <c r="N384" s="16">
        <f t="shared" ref="N384:N418" si="327">SUM(D378:D384)</f>
        <v>437218</v>
      </c>
      <c r="O384" s="16">
        <f t="shared" ref="O384:O418" si="328">+H384/BW384</f>
        <v>82097.335999999996</v>
      </c>
      <c r="P384" s="41"/>
      <c r="Q384" s="17">
        <f t="shared" ref="Q384:Q418" si="329">SUM(D378:D384)</f>
        <v>437218</v>
      </c>
      <c r="R384" s="16"/>
      <c r="S384" s="60">
        <f t="shared" ref="S384:S418" si="330">+(Q384-Q377)/Q377</f>
        <v>0.12996958098255754</v>
      </c>
      <c r="T384" s="16"/>
      <c r="U384" s="41"/>
      <c r="V384" s="10">
        <f t="shared" si="109"/>
        <v>276</v>
      </c>
      <c r="W384" s="34">
        <v>661</v>
      </c>
      <c r="X384" s="33">
        <v>4256</v>
      </c>
      <c r="Y384" s="33"/>
      <c r="Z384" s="33">
        <f t="shared" ref="Z384:Z418" si="331">SUM(W379:W384)</f>
        <v>5818</v>
      </c>
      <c r="AA384" s="33">
        <f t="shared" ref="AA384:AA418" si="332">+AA383+W384</f>
        <v>554428</v>
      </c>
      <c r="AB384" s="33"/>
      <c r="AC384" s="46">
        <f t="shared" ref="AC384:AC418" si="333">+AA384/H384</f>
        <v>1.8008801974605689E-2</v>
      </c>
      <c r="AD384" s="33"/>
      <c r="AE384" s="33">
        <f t="shared" ref="AE384:AE418" si="334">+AA384/BW384</f>
        <v>1478.4746666666667</v>
      </c>
      <c r="AF384" s="50"/>
      <c r="AG384" s="33">
        <f t="shared" ref="AG384:AG418" si="335">SUM(W378:W384)</f>
        <v>6754</v>
      </c>
      <c r="AH384" s="33">
        <f>SUM(D355:D1036)</f>
        <v>1199003326.060914</v>
      </c>
      <c r="AI384" s="213">
        <f t="shared" ref="AI384:AI418" si="336">+(AG384-AG377)/AG377</f>
        <v>-8.4575765790187038E-2</v>
      </c>
      <c r="AJ384" s="50"/>
      <c r="AK384" s="111"/>
      <c r="AL384" s="23">
        <f t="shared" ref="AL384:AL418" si="337">+AP384-AP383</f>
        <v>98552</v>
      </c>
      <c r="AM384" s="24"/>
      <c r="AN384" s="24"/>
      <c r="AO384" s="24">
        <v>178263</v>
      </c>
      <c r="AP384" s="24">
        <v>23509436</v>
      </c>
      <c r="AQ384" s="24">
        <v>20336656</v>
      </c>
      <c r="AR384" s="461">
        <f t="shared" ref="AR384:AR418" si="338">+AL384/AP383</f>
        <v>4.2096658972809401E-3</v>
      </c>
      <c r="AS384" s="25"/>
      <c r="AT384" s="25"/>
      <c r="AU384" s="24"/>
      <c r="AV384" s="298">
        <f t="shared" ref="AV384:AV418" si="339">+AP384/H384</f>
        <v>0.76362805893401142</v>
      </c>
      <c r="AW384" s="298"/>
      <c r="AX384" s="24">
        <f t="shared" ref="AX384:AX418" si="340">+AP384/BW384</f>
        <v>62691.829333333335</v>
      </c>
      <c r="AY384" s="308"/>
      <c r="AZ384" s="111"/>
      <c r="BA384" s="65">
        <f t="shared" ref="BA384:BA418" si="341">+BC384-BC383</f>
        <v>1535224</v>
      </c>
      <c r="BB384" s="66"/>
      <c r="BC384" s="66">
        <v>400877242</v>
      </c>
      <c r="BD384" s="66"/>
      <c r="BE384" s="66">
        <f t="shared" ref="BE384:BE418" si="342">+D384</f>
        <v>60198</v>
      </c>
      <c r="BF384" s="66"/>
      <c r="BG384" s="144">
        <f t="shared" ref="BG384:BG418" si="343">+BE384/BA384</f>
        <v>3.9211216083125326E-2</v>
      </c>
      <c r="BH384" s="66"/>
      <c r="BI384" s="170"/>
      <c r="BJ384" s="66"/>
      <c r="BK384" s="66">
        <f t="shared" ref="BK384:BK418" si="344">SUM(BA378:BA384)</f>
        <v>9764743</v>
      </c>
      <c r="BL384" s="66"/>
      <c r="BM384" s="144">
        <f t="shared" ref="BM384:BM418" si="345">+Q384/BK384</f>
        <v>4.4775167149816435E-2</v>
      </c>
      <c r="BN384" s="65">
        <f t="shared" ref="BN384:BN418" si="346">+BC384/BW384</f>
        <v>1069005.9786666667</v>
      </c>
      <c r="BO384" s="66"/>
      <c r="BP384" s="66">
        <f t="shared" ref="BP384:BP418" si="347">+BP383+BE384</f>
        <v>29879523</v>
      </c>
      <c r="BQ384" s="66"/>
      <c r="BR384" s="435">
        <f t="shared" ref="BR384:BR418" si="348">+BP384/BC384</f>
        <v>7.4535343665131287E-2</v>
      </c>
      <c r="BS384" s="66"/>
      <c r="BT384" s="75"/>
      <c r="BU384" s="170"/>
      <c r="BV384" s="1"/>
      <c r="BW384" s="61">
        <f t="shared" si="186"/>
        <v>375</v>
      </c>
    </row>
    <row r="385" spans="2:75" x14ac:dyDescent="0.3">
      <c r="B385" s="158">
        <f t="shared" si="161"/>
        <v>44285</v>
      </c>
      <c r="C385" s="61"/>
      <c r="D385" s="17">
        <v>62459</v>
      </c>
      <c r="E385" s="16"/>
      <c r="F385" s="16"/>
      <c r="G385" s="16"/>
      <c r="H385" s="16">
        <f t="shared" si="325"/>
        <v>30848960</v>
      </c>
      <c r="I385" s="16"/>
      <c r="J385" s="436">
        <f t="shared" si="326"/>
        <v>2.028778781973307E-3</v>
      </c>
      <c r="K385" s="16"/>
      <c r="L385" s="16"/>
      <c r="M385" s="16"/>
      <c r="N385" s="16">
        <f t="shared" si="327"/>
        <v>440972</v>
      </c>
      <c r="O385" s="16">
        <f t="shared" si="328"/>
        <v>82045.106382978716</v>
      </c>
      <c r="P385" s="41"/>
      <c r="Q385" s="17">
        <f t="shared" si="329"/>
        <v>440972</v>
      </c>
      <c r="R385" s="16"/>
      <c r="S385" s="60">
        <f t="shared" si="330"/>
        <v>0.12377326371103177</v>
      </c>
      <c r="T385" s="16"/>
      <c r="U385" s="41"/>
      <c r="V385" s="10">
        <f t="shared" si="109"/>
        <v>277</v>
      </c>
      <c r="W385" s="34">
        <v>873</v>
      </c>
      <c r="X385" s="33">
        <v>4256</v>
      </c>
      <c r="Y385" s="33"/>
      <c r="Z385" s="33">
        <f t="shared" si="331"/>
        <v>5286</v>
      </c>
      <c r="AA385" s="33">
        <f t="shared" si="332"/>
        <v>555301</v>
      </c>
      <c r="AB385" s="33"/>
      <c r="AC385" s="46">
        <f t="shared" si="333"/>
        <v>1.8000639243592003E-2</v>
      </c>
      <c r="AD385" s="33"/>
      <c r="AE385" s="33">
        <f t="shared" si="334"/>
        <v>1476.8643617021276</v>
      </c>
      <c r="AF385" s="50"/>
      <c r="AG385" s="33">
        <f t="shared" si="335"/>
        <v>6691</v>
      </c>
      <c r="AH385" s="33">
        <f>SUM(D356:D1037)</f>
        <v>1198953914.060914</v>
      </c>
      <c r="AI385" s="213">
        <f t="shared" si="336"/>
        <v>-5.3071044438154545E-2</v>
      </c>
      <c r="AJ385" s="50"/>
      <c r="AK385" s="111"/>
      <c r="AL385" s="23">
        <f t="shared" si="337"/>
        <v>77360</v>
      </c>
      <c r="AM385" s="24"/>
      <c r="AN385" s="24"/>
      <c r="AO385" s="24">
        <v>178263</v>
      </c>
      <c r="AP385" s="24">
        <v>23586796</v>
      </c>
      <c r="AQ385" s="24">
        <v>20336656</v>
      </c>
      <c r="AR385" s="461">
        <f t="shared" si="338"/>
        <v>3.2905936152615484E-3</v>
      </c>
      <c r="AS385" s="25"/>
      <c r="AT385" s="25"/>
      <c r="AU385" s="24"/>
      <c r="AV385" s="298">
        <f t="shared" si="339"/>
        <v>0.76458966525937988</v>
      </c>
      <c r="AW385" s="298"/>
      <c r="AX385" s="24">
        <f t="shared" si="340"/>
        <v>62730.840425531918</v>
      </c>
      <c r="AY385" s="308"/>
      <c r="AZ385" s="111"/>
      <c r="BA385" s="65">
        <f t="shared" si="341"/>
        <v>1180075</v>
      </c>
      <c r="BB385" s="66"/>
      <c r="BC385" s="66">
        <v>402057317</v>
      </c>
      <c r="BD385" s="66"/>
      <c r="BE385" s="66">
        <f t="shared" si="342"/>
        <v>62459</v>
      </c>
      <c r="BF385" s="66"/>
      <c r="BG385" s="144">
        <f t="shared" si="343"/>
        <v>5.2927991864923842E-2</v>
      </c>
      <c r="BH385" s="66"/>
      <c r="BI385" s="170"/>
      <c r="BJ385" s="66"/>
      <c r="BK385" s="66">
        <f t="shared" si="344"/>
        <v>9892148</v>
      </c>
      <c r="BL385" s="66"/>
      <c r="BM385" s="144">
        <f t="shared" si="345"/>
        <v>4.4577982456388644E-2</v>
      </c>
      <c r="BN385" s="65">
        <f t="shared" si="346"/>
        <v>1069301.375</v>
      </c>
      <c r="BO385" s="66"/>
      <c r="BP385" s="66">
        <f t="shared" si="347"/>
        <v>29941982</v>
      </c>
      <c r="BQ385" s="66"/>
      <c r="BR385" s="435">
        <f t="shared" si="348"/>
        <v>7.4471924111257998E-2</v>
      </c>
      <c r="BS385" s="66"/>
      <c r="BT385" s="75"/>
      <c r="BU385" s="170"/>
      <c r="BV385" s="1"/>
      <c r="BW385" s="61">
        <f t="shared" si="186"/>
        <v>376</v>
      </c>
    </row>
    <row r="386" spans="2:75" x14ac:dyDescent="0.3">
      <c r="B386" s="158">
        <f t="shared" si="161"/>
        <v>44286</v>
      </c>
      <c r="C386" s="61"/>
      <c r="D386" s="17">
        <v>68756</v>
      </c>
      <c r="E386" s="16"/>
      <c r="F386" s="16"/>
      <c r="G386" s="16"/>
      <c r="H386" s="16">
        <f t="shared" si="325"/>
        <v>30917716</v>
      </c>
      <c r="I386" s="16"/>
      <c r="J386" s="436">
        <f t="shared" si="326"/>
        <v>2.2287947470514403E-3</v>
      </c>
      <c r="K386" s="16"/>
      <c r="L386" s="16"/>
      <c r="M386" s="16"/>
      <c r="N386" s="16">
        <f t="shared" si="327"/>
        <v>443190</v>
      </c>
      <c r="O386" s="16">
        <f t="shared" si="328"/>
        <v>82009.856763925723</v>
      </c>
      <c r="P386" s="41"/>
      <c r="Q386" s="17">
        <f t="shared" si="329"/>
        <v>443190</v>
      </c>
      <c r="R386" s="16"/>
      <c r="S386" s="60">
        <f t="shared" si="330"/>
        <v>0.12073456299975217</v>
      </c>
      <c r="T386" s="16"/>
      <c r="U386" s="41"/>
      <c r="V386" s="10">
        <f t="shared" si="109"/>
        <v>278</v>
      </c>
      <c r="W386" s="34">
        <v>1115</v>
      </c>
      <c r="X386" s="33">
        <v>4256</v>
      </c>
      <c r="Y386" s="33"/>
      <c r="Z386" s="33">
        <f t="shared" si="331"/>
        <v>5236</v>
      </c>
      <c r="AA386" s="33">
        <f t="shared" si="332"/>
        <v>556416</v>
      </c>
      <c r="AB386" s="33"/>
      <c r="AC386" s="46">
        <f t="shared" si="333"/>
        <v>1.7996672199201261E-2</v>
      </c>
      <c r="AD386" s="33"/>
      <c r="AE386" s="33">
        <f t="shared" si="334"/>
        <v>1475.9045092838196</v>
      </c>
      <c r="AF386" s="50"/>
      <c r="AG386" s="33">
        <f t="shared" si="335"/>
        <v>6401</v>
      </c>
      <c r="AH386" s="33">
        <f>SUM(D357:D1038)</f>
        <v>1198898733.060914</v>
      </c>
      <c r="AI386" s="213">
        <f t="shared" si="336"/>
        <v>-0.1083716395041092</v>
      </c>
      <c r="AJ386" s="50"/>
      <c r="AK386" s="111"/>
      <c r="AL386" s="23">
        <f t="shared" si="337"/>
        <v>86666</v>
      </c>
      <c r="AM386" s="24"/>
      <c r="AN386" s="24"/>
      <c r="AO386" s="24">
        <v>178263</v>
      </c>
      <c r="AP386" s="24">
        <v>23673462</v>
      </c>
      <c r="AQ386" s="24">
        <v>20336656</v>
      </c>
      <c r="AR386" s="461">
        <f t="shared" si="338"/>
        <v>3.6743438998666882E-3</v>
      </c>
      <c r="AS386" s="25"/>
      <c r="AT386" s="25"/>
      <c r="AU386" s="24"/>
      <c r="AV386" s="298">
        <f t="shared" si="339"/>
        <v>0.76569245930068053</v>
      </c>
      <c r="AW386" s="298"/>
      <c r="AX386" s="24">
        <f t="shared" si="340"/>
        <v>62794.328912466844</v>
      </c>
      <c r="AY386" s="308"/>
      <c r="AZ386" s="111"/>
      <c r="BA386" s="65">
        <f t="shared" si="341"/>
        <v>1269567</v>
      </c>
      <c r="BB386" s="66"/>
      <c r="BC386" s="66">
        <v>403326884</v>
      </c>
      <c r="BD386" s="66"/>
      <c r="BE386" s="66">
        <f t="shared" si="342"/>
        <v>68756</v>
      </c>
      <c r="BF386" s="66"/>
      <c r="BG386" s="144">
        <f t="shared" si="343"/>
        <v>5.4157047245241882E-2</v>
      </c>
      <c r="BH386" s="66"/>
      <c r="BI386" s="170"/>
      <c r="BJ386" s="66"/>
      <c r="BK386" s="66">
        <f t="shared" si="344"/>
        <v>9463336</v>
      </c>
      <c r="BL386" s="66"/>
      <c r="BM386" s="144">
        <f t="shared" si="345"/>
        <v>4.6832322132491125E-2</v>
      </c>
      <c r="BN386" s="65">
        <f t="shared" si="346"/>
        <v>1069832.5835543766</v>
      </c>
      <c r="BO386" s="66"/>
      <c r="BP386" s="66">
        <f t="shared" si="347"/>
        <v>30010738</v>
      </c>
      <c r="BQ386" s="66"/>
      <c r="BR386" s="435">
        <f t="shared" si="348"/>
        <v>7.4407978219473217E-2</v>
      </c>
      <c r="BS386" s="66"/>
      <c r="BT386" s="75"/>
      <c r="BU386" s="170"/>
      <c r="BV386" s="1"/>
      <c r="BW386" s="61">
        <f t="shared" si="186"/>
        <v>377</v>
      </c>
    </row>
    <row r="387" spans="2:75" x14ac:dyDescent="0.3">
      <c r="B387" s="158">
        <f t="shared" si="161"/>
        <v>44287</v>
      </c>
      <c r="C387" s="61"/>
      <c r="D387" s="17">
        <v>44251</v>
      </c>
      <c r="E387" s="16"/>
      <c r="F387" s="16"/>
      <c r="G387" s="16"/>
      <c r="H387" s="16">
        <f t="shared" si="325"/>
        <v>30961967</v>
      </c>
      <c r="I387" s="16"/>
      <c r="J387" s="436">
        <f t="shared" si="326"/>
        <v>1.4312506137258004E-3</v>
      </c>
      <c r="K387" s="16"/>
      <c r="L387" s="16"/>
      <c r="M387" s="16"/>
      <c r="N387" s="16">
        <f t="shared" si="327"/>
        <v>420395</v>
      </c>
      <c r="O387" s="16">
        <f t="shared" si="328"/>
        <v>81909.965608465602</v>
      </c>
      <c r="P387" s="41"/>
      <c r="Q387" s="17">
        <f t="shared" si="329"/>
        <v>420395</v>
      </c>
      <c r="R387" s="16"/>
      <c r="S387" s="60">
        <f t="shared" si="330"/>
        <v>5.1347586548392825E-2</v>
      </c>
      <c r="T387" s="16"/>
      <c r="U387" s="41"/>
      <c r="V387" s="10">
        <f t="shared" si="109"/>
        <v>279</v>
      </c>
      <c r="W387" s="34">
        <v>968</v>
      </c>
      <c r="X387" s="33">
        <v>4256</v>
      </c>
      <c r="Y387" s="33"/>
      <c r="Z387" s="33">
        <f t="shared" si="331"/>
        <v>4915</v>
      </c>
      <c r="AA387" s="33">
        <f t="shared" si="332"/>
        <v>557384</v>
      </c>
      <c r="AB387" s="33"/>
      <c r="AC387" s="46">
        <f t="shared" si="333"/>
        <v>1.8002215427721371E-2</v>
      </c>
      <c r="AD387" s="33"/>
      <c r="AE387" s="33">
        <f t="shared" si="334"/>
        <v>1474.5608465608466</v>
      </c>
      <c r="AF387" s="50"/>
      <c r="AG387" s="33">
        <f t="shared" si="335"/>
        <v>6204</v>
      </c>
      <c r="AH387" s="33">
        <f>SUM(D358:D1039)</f>
        <v>1198841843.060914</v>
      </c>
      <c r="AI387" s="213">
        <f t="shared" si="336"/>
        <v>-6.5521915951197468E-2</v>
      </c>
      <c r="AJ387" s="50"/>
      <c r="AK387" s="111" t="s">
        <v>26</v>
      </c>
      <c r="AL387" s="23">
        <f t="shared" si="337"/>
        <v>86538</v>
      </c>
      <c r="AM387" s="24"/>
      <c r="AN387" s="24"/>
      <c r="AO387" s="24">
        <v>178263</v>
      </c>
      <c r="AP387" s="24">
        <v>23760000</v>
      </c>
      <c r="AQ387" s="24">
        <v>20336656</v>
      </c>
      <c r="AR387" s="461">
        <f t="shared" si="338"/>
        <v>3.6554856235222377E-3</v>
      </c>
      <c r="AS387" s="25"/>
      <c r="AT387" s="25"/>
      <c r="AU387" s="24"/>
      <c r="AV387" s="298">
        <f t="shared" si="339"/>
        <v>0.76739310522487159</v>
      </c>
      <c r="AW387" s="298"/>
      <c r="AX387" s="24">
        <f t="shared" si="340"/>
        <v>62857.142857142855</v>
      </c>
      <c r="AY387" s="308"/>
      <c r="AZ387" s="111"/>
      <c r="BA387" s="65">
        <f t="shared" si="341"/>
        <v>2573116</v>
      </c>
      <c r="BB387" s="66"/>
      <c r="BC387" s="66">
        <v>405900000</v>
      </c>
      <c r="BD387" s="66"/>
      <c r="BE387" s="66">
        <f t="shared" si="342"/>
        <v>44251</v>
      </c>
      <c r="BF387" s="66"/>
      <c r="BG387" s="144">
        <f t="shared" si="343"/>
        <v>1.7197436881975007E-2</v>
      </c>
      <c r="BH387" s="66"/>
      <c r="BI387" s="170"/>
      <c r="BJ387" s="66"/>
      <c r="BK387" s="66">
        <f t="shared" si="344"/>
        <v>10546700</v>
      </c>
      <c r="BL387" s="66"/>
      <c r="BM387" s="144">
        <f t="shared" si="345"/>
        <v>3.9860335460380973E-2</v>
      </c>
      <c r="BN387" s="65">
        <f t="shared" si="346"/>
        <v>1073809.5238095238</v>
      </c>
      <c r="BO387" s="66"/>
      <c r="BP387" s="66">
        <f t="shared" si="347"/>
        <v>30054989</v>
      </c>
      <c r="BQ387" s="66"/>
      <c r="BR387" s="435">
        <f t="shared" si="348"/>
        <v>7.4045304262133529E-2</v>
      </c>
      <c r="BS387" s="66"/>
      <c r="BT387" s="75"/>
      <c r="BU387" s="170"/>
      <c r="BV387" s="1"/>
      <c r="BW387" s="61">
        <f t="shared" si="186"/>
        <v>378</v>
      </c>
    </row>
    <row r="388" spans="2:75" x14ac:dyDescent="0.3">
      <c r="B388" s="158">
        <f t="shared" si="161"/>
        <v>44288</v>
      </c>
      <c r="C388" s="61"/>
      <c r="D388" s="17">
        <v>70024</v>
      </c>
      <c r="E388" s="16"/>
      <c r="F388" s="16"/>
      <c r="G388" s="16"/>
      <c r="H388" s="16">
        <f t="shared" si="325"/>
        <v>31031991</v>
      </c>
      <c r="I388" s="16"/>
      <c r="J388" s="436">
        <f t="shared" si="326"/>
        <v>2.26161341751963E-3</v>
      </c>
      <c r="K388" s="16"/>
      <c r="L388" s="16"/>
      <c r="M388" s="16"/>
      <c r="N388" s="16">
        <f t="shared" si="327"/>
        <v>413443</v>
      </c>
      <c r="O388" s="16">
        <f t="shared" si="328"/>
        <v>81878.604221635891</v>
      </c>
      <c r="P388" s="41"/>
      <c r="Q388" s="17">
        <f t="shared" si="329"/>
        <v>413443</v>
      </c>
      <c r="R388" s="16"/>
      <c r="S388" s="60">
        <f t="shared" si="330"/>
        <v>7.3508988221993735E-3</v>
      </c>
      <c r="T388" s="16"/>
      <c r="U388" s="41"/>
      <c r="V388" s="10">
        <f t="shared" si="109"/>
        <v>280</v>
      </c>
      <c r="W388" s="34">
        <v>1001</v>
      </c>
      <c r="X388" s="33">
        <v>4256</v>
      </c>
      <c r="Y388" s="33"/>
      <c r="Z388" s="33">
        <f t="shared" si="331"/>
        <v>5128</v>
      </c>
      <c r="AA388" s="33">
        <f t="shared" si="332"/>
        <v>558385</v>
      </c>
      <c r="AB388" s="33"/>
      <c r="AC388" s="46">
        <f t="shared" si="333"/>
        <v>1.799385028179468E-2</v>
      </c>
      <c r="AD388" s="33"/>
      <c r="AE388" s="33">
        <f t="shared" si="334"/>
        <v>1473.311345646438</v>
      </c>
      <c r="AF388" s="50"/>
      <c r="AG388" s="33">
        <f t="shared" si="335"/>
        <v>5916</v>
      </c>
      <c r="AH388" s="33">
        <f>SUM(D359:D1040)</f>
        <v>1198774618.060914</v>
      </c>
      <c r="AI388" s="213">
        <f t="shared" si="336"/>
        <v>-0.11410601976639713</v>
      </c>
      <c r="AJ388" s="50"/>
      <c r="AK388" s="111"/>
      <c r="AL388" s="23">
        <f t="shared" si="337"/>
        <v>65896</v>
      </c>
      <c r="AM388" s="24"/>
      <c r="AN388" s="24"/>
      <c r="AO388" s="24">
        <v>178263</v>
      </c>
      <c r="AP388" s="24">
        <v>23825896</v>
      </c>
      <c r="AQ388" s="24">
        <v>20336656</v>
      </c>
      <c r="AR388" s="461">
        <f t="shared" si="338"/>
        <v>2.7734006734006734E-3</v>
      </c>
      <c r="AS388" s="25"/>
      <c r="AT388" s="25"/>
      <c r="AU388" s="24"/>
      <c r="AV388" s="298">
        <f t="shared" si="339"/>
        <v>0.7677849610100751</v>
      </c>
      <c r="AW388" s="298"/>
      <c r="AX388" s="24">
        <f t="shared" si="340"/>
        <v>62865.160949868077</v>
      </c>
      <c r="AY388" s="308"/>
      <c r="AZ388" s="111"/>
      <c r="BA388" s="65">
        <f t="shared" si="341"/>
        <v>776337</v>
      </c>
      <c r="BB388" s="66"/>
      <c r="BC388" s="66">
        <v>406676337</v>
      </c>
      <c r="BD388" s="66"/>
      <c r="BE388" s="66">
        <f t="shared" si="342"/>
        <v>70024</v>
      </c>
      <c r="BF388" s="66"/>
      <c r="BG388" s="144">
        <f t="shared" si="343"/>
        <v>9.019794238842152E-2</v>
      </c>
      <c r="BH388" s="66"/>
      <c r="BI388" s="170"/>
      <c r="BJ388" s="66"/>
      <c r="BK388" s="66">
        <f t="shared" si="344"/>
        <v>9782171</v>
      </c>
      <c r="BL388" s="66"/>
      <c r="BM388" s="144">
        <f t="shared" si="345"/>
        <v>4.2264953250152754E-2</v>
      </c>
      <c r="BN388" s="65">
        <f t="shared" si="346"/>
        <v>1073024.635883905</v>
      </c>
      <c r="BO388" s="66"/>
      <c r="BP388" s="66">
        <f t="shared" si="347"/>
        <v>30125013</v>
      </c>
      <c r="BQ388" s="66"/>
      <c r="BR388" s="435">
        <f t="shared" si="348"/>
        <v>7.4076139325509854E-2</v>
      </c>
      <c r="BS388" s="66"/>
      <c r="BT388" s="75"/>
      <c r="BU388" s="170"/>
      <c r="BV388" s="1"/>
      <c r="BW388" s="61">
        <f t="shared" si="186"/>
        <v>379</v>
      </c>
    </row>
    <row r="389" spans="2:75" x14ac:dyDescent="0.3">
      <c r="B389" s="158">
        <f t="shared" si="161"/>
        <v>44289</v>
      </c>
      <c r="C389" s="61"/>
      <c r="D389" s="17">
        <v>66154</v>
      </c>
      <c r="E389" s="16"/>
      <c r="F389" s="16"/>
      <c r="G389" s="16"/>
      <c r="H389" s="16">
        <f t="shared" si="325"/>
        <v>31098145</v>
      </c>
      <c r="I389" s="16"/>
      <c r="J389" s="436">
        <f t="shared" si="326"/>
        <v>2.131800051114993E-3</v>
      </c>
      <c r="K389" s="16"/>
      <c r="L389" s="16"/>
      <c r="M389" s="16"/>
      <c r="N389" s="16">
        <f t="shared" si="327"/>
        <v>415938</v>
      </c>
      <c r="O389" s="16">
        <f t="shared" si="328"/>
        <v>81837.223684210519</v>
      </c>
      <c r="P389" s="41"/>
      <c r="Q389" s="17">
        <f t="shared" si="329"/>
        <v>415938</v>
      </c>
      <c r="R389" s="16"/>
      <c r="S389" s="60">
        <f t="shared" si="330"/>
        <v>-5.3541921243875201E-3</v>
      </c>
      <c r="T389" s="16"/>
      <c r="U389" s="41"/>
      <c r="V389" s="10">
        <f t="shared" si="109"/>
        <v>281</v>
      </c>
      <c r="W389" s="34">
        <v>807</v>
      </c>
      <c r="X389" s="33">
        <v>4256</v>
      </c>
      <c r="Y389" s="33"/>
      <c r="Z389" s="33">
        <f t="shared" si="331"/>
        <v>5425</v>
      </c>
      <c r="AA389" s="33">
        <f t="shared" si="332"/>
        <v>559192</v>
      </c>
      <c r="AB389" s="33"/>
      <c r="AC389" s="46">
        <f t="shared" si="333"/>
        <v>1.7981522692109127E-2</v>
      </c>
      <c r="AD389" s="33"/>
      <c r="AE389" s="33">
        <f t="shared" si="334"/>
        <v>1471.5578947368422</v>
      </c>
      <c r="AF389" s="50"/>
      <c r="AG389" s="33">
        <f t="shared" si="335"/>
        <v>5935</v>
      </c>
      <c r="AH389" s="33">
        <f>SUM(D360:D1041)</f>
        <v>1198706297.060914</v>
      </c>
      <c r="AI389" s="213">
        <f t="shared" si="336"/>
        <v>-0.11072819898112077</v>
      </c>
      <c r="AJ389" s="50"/>
      <c r="AK389" s="111"/>
      <c r="AL389" s="23">
        <f t="shared" si="337"/>
        <v>68736</v>
      </c>
      <c r="AM389" s="24"/>
      <c r="AN389" s="24"/>
      <c r="AO389" s="24">
        <v>178263</v>
      </c>
      <c r="AP389" s="24">
        <v>23894632</v>
      </c>
      <c r="AQ389" s="24">
        <v>20336656</v>
      </c>
      <c r="AR389" s="461">
        <f t="shared" si="338"/>
        <v>2.8849282310306401E-3</v>
      </c>
      <c r="AS389" s="25"/>
      <c r="AT389" s="25"/>
      <c r="AU389" s="24"/>
      <c r="AV389" s="298">
        <f t="shared" si="339"/>
        <v>0.76836197142948559</v>
      </c>
      <c r="AW389" s="298"/>
      <c r="AX389" s="24">
        <f t="shared" si="340"/>
        <v>62880.610526315788</v>
      </c>
      <c r="AY389" s="308"/>
      <c r="AZ389" s="111"/>
      <c r="BA389" s="65">
        <f t="shared" si="341"/>
        <v>1581551</v>
      </c>
      <c r="BB389" s="66"/>
      <c r="BC389" s="66">
        <v>408257888</v>
      </c>
      <c r="BD389" s="66"/>
      <c r="BE389" s="66">
        <f t="shared" si="342"/>
        <v>66154</v>
      </c>
      <c r="BF389" s="66"/>
      <c r="BG389" s="144">
        <f t="shared" si="343"/>
        <v>4.1828559433113442E-2</v>
      </c>
      <c r="BH389" s="66"/>
      <c r="BI389" s="170"/>
      <c r="BJ389" s="66"/>
      <c r="BK389" s="66">
        <f t="shared" si="344"/>
        <v>9976172</v>
      </c>
      <c r="BL389" s="66"/>
      <c r="BM389" s="144">
        <f t="shared" si="345"/>
        <v>4.1693146429311767E-2</v>
      </c>
      <c r="BN389" s="65">
        <f t="shared" si="346"/>
        <v>1074362.8631578947</v>
      </c>
      <c r="BO389" s="66"/>
      <c r="BP389" s="66">
        <f t="shared" si="347"/>
        <v>30191167</v>
      </c>
      <c r="BQ389" s="66"/>
      <c r="BR389" s="435">
        <f t="shared" si="348"/>
        <v>7.3951215365127249E-2</v>
      </c>
      <c r="BS389" s="66"/>
      <c r="BT389" s="75"/>
      <c r="BU389" s="170"/>
      <c r="BV389" s="1"/>
      <c r="BW389" s="61">
        <f t="shared" si="186"/>
        <v>380</v>
      </c>
    </row>
    <row r="390" spans="2:75" x14ac:dyDescent="0.3">
      <c r="B390" s="347">
        <f t="shared" si="161"/>
        <v>44290</v>
      </c>
      <c r="C390" s="61"/>
      <c r="D390" s="17">
        <v>36983</v>
      </c>
      <c r="E390" s="16"/>
      <c r="F390" s="16"/>
      <c r="G390" s="16"/>
      <c r="H390" s="16">
        <f t="shared" si="325"/>
        <v>31135128</v>
      </c>
      <c r="I390" s="16"/>
      <c r="J390" s="436">
        <f t="shared" si="326"/>
        <v>1.1892349206037852E-3</v>
      </c>
      <c r="K390" s="16"/>
      <c r="L390" s="16"/>
      <c r="M390" s="16"/>
      <c r="N390" s="16">
        <f t="shared" si="327"/>
        <v>408825</v>
      </c>
      <c r="O390" s="16">
        <f t="shared" si="328"/>
        <v>81719.496062992126</v>
      </c>
      <c r="P390" s="41"/>
      <c r="Q390" s="17">
        <f t="shared" si="329"/>
        <v>408825</v>
      </c>
      <c r="R390" s="16"/>
      <c r="S390" s="60">
        <f t="shared" si="330"/>
        <v>-3.2980263406880372E-2</v>
      </c>
      <c r="T390" s="16"/>
      <c r="U390" s="41"/>
      <c r="V390" s="10">
        <f t="shared" si="109"/>
        <v>282</v>
      </c>
      <c r="W390" s="34">
        <v>270</v>
      </c>
      <c r="X390" s="33">
        <v>4256</v>
      </c>
      <c r="Y390" s="33"/>
      <c r="Z390" s="33">
        <f t="shared" si="331"/>
        <v>5034</v>
      </c>
      <c r="AA390" s="33">
        <f t="shared" si="332"/>
        <v>559462</v>
      </c>
      <c r="AB390" s="33"/>
      <c r="AC390" s="46">
        <f t="shared" si="333"/>
        <v>1.7968835715080407E-2</v>
      </c>
      <c r="AD390" s="33"/>
      <c r="AE390" s="33">
        <f t="shared" si="334"/>
        <v>1468.4041994750655</v>
      </c>
      <c r="AF390" s="50"/>
      <c r="AG390" s="33">
        <f t="shared" si="335"/>
        <v>5695</v>
      </c>
      <c r="AH390" s="33">
        <f>SUM(D361:D1042)</f>
        <v>1198637057.060914</v>
      </c>
      <c r="AI390" s="213">
        <f t="shared" si="336"/>
        <v>-0.15366324862535294</v>
      </c>
      <c r="AJ390" s="50"/>
      <c r="AK390" s="111"/>
      <c r="AL390" s="23">
        <f t="shared" si="337"/>
        <v>52071</v>
      </c>
      <c r="AM390" s="24"/>
      <c r="AN390" s="24"/>
      <c r="AO390" s="24">
        <v>178263</v>
      </c>
      <c r="AP390" s="24">
        <v>23946703</v>
      </c>
      <c r="AQ390" s="24">
        <v>20336656</v>
      </c>
      <c r="AR390" s="461">
        <f t="shared" si="338"/>
        <v>2.1791923809498302E-3</v>
      </c>
      <c r="AS390" s="25"/>
      <c r="AT390" s="25"/>
      <c r="AU390" s="24"/>
      <c r="AV390" s="298">
        <f t="shared" si="339"/>
        <v>0.76912171358344827</v>
      </c>
      <c r="AW390" s="298"/>
      <c r="AX390" s="24">
        <f t="shared" si="340"/>
        <v>62852.238845144355</v>
      </c>
      <c r="AY390" s="308"/>
      <c r="AZ390" s="111"/>
      <c r="BA390" s="65">
        <f t="shared" si="341"/>
        <v>1143292</v>
      </c>
      <c r="BB390" s="66"/>
      <c r="BC390" s="66">
        <v>409401180</v>
      </c>
      <c r="BD390" s="66"/>
      <c r="BE390" s="66">
        <f t="shared" si="342"/>
        <v>36983</v>
      </c>
      <c r="BF390" s="66"/>
      <c r="BG390" s="144">
        <f t="shared" si="343"/>
        <v>3.234781665576248E-2</v>
      </c>
      <c r="BH390" s="66"/>
      <c r="BI390" s="170"/>
      <c r="BJ390" s="66"/>
      <c r="BK390" s="66">
        <f t="shared" si="344"/>
        <v>10059162</v>
      </c>
      <c r="BL390" s="66"/>
      <c r="BM390" s="144">
        <f t="shared" si="345"/>
        <v>4.0642053483182797E-2</v>
      </c>
      <c r="BN390" s="65">
        <f t="shared" si="346"/>
        <v>1074543.7795275589</v>
      </c>
      <c r="BO390" s="66"/>
      <c r="BP390" s="66">
        <f t="shared" si="347"/>
        <v>30228150</v>
      </c>
      <c r="BQ390" s="66"/>
      <c r="BR390" s="435">
        <f t="shared" si="348"/>
        <v>7.3835033890229634E-2</v>
      </c>
      <c r="BS390" s="66"/>
      <c r="BT390" s="75"/>
      <c r="BU390" s="170"/>
      <c r="BV390" s="1"/>
      <c r="BW390" s="61">
        <f t="shared" si="186"/>
        <v>381</v>
      </c>
    </row>
    <row r="391" spans="2:75" x14ac:dyDescent="0.3">
      <c r="B391" s="158">
        <f t="shared" si="161"/>
        <v>44291</v>
      </c>
      <c r="C391" s="61"/>
      <c r="D391" s="17">
        <v>57644</v>
      </c>
      <c r="E391" s="16"/>
      <c r="F391" s="16"/>
      <c r="G391" s="16"/>
      <c r="H391" s="16">
        <f t="shared" si="325"/>
        <v>31192772</v>
      </c>
      <c r="I391" s="16"/>
      <c r="J391" s="436">
        <f t="shared" si="326"/>
        <v>1.8514136187267321E-3</v>
      </c>
      <c r="K391" s="16"/>
      <c r="L391" s="16"/>
      <c r="M391" s="16"/>
      <c r="N391" s="16">
        <f t="shared" si="327"/>
        <v>406271</v>
      </c>
      <c r="O391" s="16">
        <f t="shared" si="328"/>
        <v>81656.471204188478</v>
      </c>
      <c r="P391" s="41"/>
      <c r="Q391" s="17">
        <f t="shared" si="329"/>
        <v>406271</v>
      </c>
      <c r="R391" s="16"/>
      <c r="S391" s="60">
        <f t="shared" si="330"/>
        <v>-7.0781623812377348E-2</v>
      </c>
      <c r="T391" s="16"/>
      <c r="U391" s="41"/>
      <c r="V391" s="10">
        <f t="shared" si="109"/>
        <v>283</v>
      </c>
      <c r="W391" s="34">
        <v>524</v>
      </c>
      <c r="X391" s="33">
        <v>4256</v>
      </c>
      <c r="Y391" s="33"/>
      <c r="Z391" s="33">
        <f t="shared" si="331"/>
        <v>4685</v>
      </c>
      <c r="AA391" s="33">
        <f t="shared" si="332"/>
        <v>559986</v>
      </c>
      <c r="AB391" s="33"/>
      <c r="AC391" s="46">
        <f t="shared" si="333"/>
        <v>1.7952428209971207E-2</v>
      </c>
      <c r="AD391" s="33"/>
      <c r="AE391" s="33">
        <f t="shared" si="334"/>
        <v>1465.931937172775</v>
      </c>
      <c r="AF391" s="50"/>
      <c r="AG391" s="33">
        <f t="shared" si="335"/>
        <v>5558</v>
      </c>
      <c r="AH391" s="33">
        <f>SUM(D362:D1043)</f>
        <v>1198578829.060914</v>
      </c>
      <c r="AI391" s="213">
        <f t="shared" si="336"/>
        <v>-0.17708024874148653</v>
      </c>
      <c r="AJ391" s="50"/>
      <c r="AK391" s="111"/>
      <c r="AL391" s="23">
        <f t="shared" si="337"/>
        <v>94337</v>
      </c>
      <c r="AM391" s="24"/>
      <c r="AN391" s="24"/>
      <c r="AO391" s="24">
        <v>178263</v>
      </c>
      <c r="AP391" s="24">
        <v>24041040</v>
      </c>
      <c r="AQ391" s="24">
        <v>20336656</v>
      </c>
      <c r="AR391" s="461">
        <f t="shared" si="338"/>
        <v>3.9394567176951247E-3</v>
      </c>
      <c r="AS391" s="25"/>
      <c r="AT391" s="25"/>
      <c r="AU391" s="24"/>
      <c r="AV391" s="298">
        <f t="shared" si="339"/>
        <v>0.77072470506949498</v>
      </c>
      <c r="AW391" s="298"/>
      <c r="AX391" s="24">
        <f t="shared" si="340"/>
        <v>62934.659685863873</v>
      </c>
      <c r="AY391" s="308"/>
      <c r="AZ391" s="111"/>
      <c r="BA391" s="65">
        <f t="shared" si="341"/>
        <v>1578516</v>
      </c>
      <c r="BB391" s="66"/>
      <c r="BC391" s="66">
        <v>410979696</v>
      </c>
      <c r="BD391" s="66"/>
      <c r="BE391" s="66">
        <f t="shared" si="342"/>
        <v>57644</v>
      </c>
      <c r="BF391" s="66"/>
      <c r="BG391" s="144">
        <f t="shared" si="343"/>
        <v>3.6517843341467557E-2</v>
      </c>
      <c r="BH391" s="66"/>
      <c r="BI391" s="170"/>
      <c r="BJ391" s="66"/>
      <c r="BK391" s="66">
        <f t="shared" si="344"/>
        <v>10102454</v>
      </c>
      <c r="BL391" s="66"/>
      <c r="BM391" s="144">
        <f t="shared" si="345"/>
        <v>4.0215080415114984E-2</v>
      </c>
      <c r="BN391" s="65">
        <f t="shared" si="346"/>
        <v>1075863.0785340315</v>
      </c>
      <c r="BO391" s="66"/>
      <c r="BP391" s="66">
        <f t="shared" si="347"/>
        <v>30285794</v>
      </c>
      <c r="BQ391" s="66"/>
      <c r="BR391" s="435">
        <f t="shared" si="348"/>
        <v>7.3691703738084424E-2</v>
      </c>
      <c r="BS391" s="66"/>
      <c r="BT391" s="75"/>
      <c r="BU391" s="170"/>
      <c r="BV391" s="1"/>
      <c r="BW391" s="61">
        <f t="shared" si="186"/>
        <v>382</v>
      </c>
    </row>
    <row r="392" spans="2:75" x14ac:dyDescent="0.3">
      <c r="B392" s="158">
        <f t="shared" si="161"/>
        <v>44292</v>
      </c>
      <c r="C392" s="61"/>
      <c r="D392" s="17">
        <v>62283</v>
      </c>
      <c r="E392" s="16"/>
      <c r="F392" s="16"/>
      <c r="G392" s="16"/>
      <c r="H392" s="16">
        <f t="shared" si="325"/>
        <v>31255055</v>
      </c>
      <c r="I392" s="16"/>
      <c r="J392" s="436">
        <f t="shared" si="326"/>
        <v>1.9967125717457877E-3</v>
      </c>
      <c r="K392" s="16"/>
      <c r="L392" s="16"/>
      <c r="M392" s="16"/>
      <c r="N392" s="16">
        <f t="shared" si="327"/>
        <v>406095</v>
      </c>
      <c r="O392" s="16">
        <f t="shared" si="328"/>
        <v>81605.887728459536</v>
      </c>
      <c r="P392" s="41"/>
      <c r="Q392" s="17">
        <f t="shared" si="329"/>
        <v>406095</v>
      </c>
      <c r="R392" s="16"/>
      <c r="S392" s="60">
        <f t="shared" si="330"/>
        <v>-7.9091189463276576E-2</v>
      </c>
      <c r="T392" s="16"/>
      <c r="U392" s="41"/>
      <c r="V392" s="10">
        <f t="shared" si="109"/>
        <v>284</v>
      </c>
      <c r="W392" s="34">
        <v>906</v>
      </c>
      <c r="X392" s="33">
        <v>4256</v>
      </c>
      <c r="Y392" s="33"/>
      <c r="Z392" s="33">
        <f t="shared" si="331"/>
        <v>4476</v>
      </c>
      <c r="AA392" s="33">
        <f t="shared" si="332"/>
        <v>560892</v>
      </c>
      <c r="AB392" s="33"/>
      <c r="AC392" s="46">
        <f t="shared" si="333"/>
        <v>1.7945641113093547E-2</v>
      </c>
      <c r="AD392" s="33"/>
      <c r="AE392" s="33">
        <f t="shared" si="334"/>
        <v>1464.4699738903394</v>
      </c>
      <c r="AF392" s="50"/>
      <c r="AG392" s="33">
        <f t="shared" si="335"/>
        <v>5591</v>
      </c>
      <c r="AH392" s="33">
        <f>SUM(D363:D1044)</f>
        <v>1198536862.060914</v>
      </c>
      <c r="AI392" s="213">
        <f t="shared" si="336"/>
        <v>-0.16439994021820356</v>
      </c>
      <c r="AJ392" s="50"/>
      <c r="AK392" s="111"/>
      <c r="AL392" s="23">
        <f t="shared" si="337"/>
        <v>81181</v>
      </c>
      <c r="AM392" s="24"/>
      <c r="AN392" s="24"/>
      <c r="AO392" s="24">
        <v>178263</v>
      </c>
      <c r="AP392" s="24">
        <v>24122221</v>
      </c>
      <c r="AQ392" s="24">
        <v>20336656</v>
      </c>
      <c r="AR392" s="461">
        <f t="shared" si="338"/>
        <v>3.3767673944222047E-3</v>
      </c>
      <c r="AS392" s="25"/>
      <c r="AT392" s="25"/>
      <c r="AU392" s="24"/>
      <c r="AV392" s="298">
        <f t="shared" si="339"/>
        <v>0.77178622785978135</v>
      </c>
      <c r="AW392" s="298"/>
      <c r="AX392" s="24">
        <f t="shared" si="340"/>
        <v>62982.300261096607</v>
      </c>
      <c r="AY392" s="308"/>
      <c r="AZ392" s="111"/>
      <c r="BA392" s="65">
        <f t="shared" si="341"/>
        <v>1231087</v>
      </c>
      <c r="BB392" s="66"/>
      <c r="BC392" s="66">
        <v>412210783</v>
      </c>
      <c r="BD392" s="66"/>
      <c r="BE392" s="66">
        <f t="shared" si="342"/>
        <v>62283</v>
      </c>
      <c r="BF392" s="66"/>
      <c r="BG392" s="144">
        <f t="shared" si="343"/>
        <v>5.0591875310193352E-2</v>
      </c>
      <c r="BH392" s="66"/>
      <c r="BI392" s="170"/>
      <c r="BJ392" s="66"/>
      <c r="BK392" s="66">
        <f t="shared" si="344"/>
        <v>10153466</v>
      </c>
      <c r="BL392" s="66"/>
      <c r="BM392" s="144">
        <f t="shared" si="345"/>
        <v>3.9995701960296122E-2</v>
      </c>
      <c r="BN392" s="65">
        <f t="shared" si="346"/>
        <v>1076268.362924282</v>
      </c>
      <c r="BO392" s="66"/>
      <c r="BP392" s="66">
        <f t="shared" si="347"/>
        <v>30348077</v>
      </c>
      <c r="BQ392" s="66"/>
      <c r="BR392" s="435">
        <f t="shared" si="348"/>
        <v>7.3622715007918657E-2</v>
      </c>
      <c r="BS392" s="66"/>
      <c r="BT392" s="75"/>
      <c r="BU392" s="170"/>
      <c r="BV392" s="1"/>
      <c r="BW392" s="61">
        <f t="shared" si="186"/>
        <v>383</v>
      </c>
    </row>
    <row r="393" spans="2:75" x14ac:dyDescent="0.3">
      <c r="B393" s="158">
        <f t="shared" si="161"/>
        <v>44293</v>
      </c>
      <c r="C393" s="61"/>
      <c r="D393" s="17">
        <v>75183</v>
      </c>
      <c r="E393" s="16"/>
      <c r="F393" s="16"/>
      <c r="G393" s="16"/>
      <c r="H393" s="16">
        <f t="shared" si="325"/>
        <v>31330238</v>
      </c>
      <c r="I393" s="16"/>
      <c r="J393" s="436">
        <f t="shared" si="326"/>
        <v>2.4054668916756025E-3</v>
      </c>
      <c r="K393" s="16"/>
      <c r="L393" s="16"/>
      <c r="M393" s="16"/>
      <c r="N393" s="16">
        <f t="shared" si="327"/>
        <v>412522</v>
      </c>
      <c r="O393" s="16">
        <f t="shared" si="328"/>
        <v>81589.161458333328</v>
      </c>
      <c r="P393" s="41"/>
      <c r="Q393" s="17">
        <f t="shared" si="329"/>
        <v>412522</v>
      </c>
      <c r="R393" s="16"/>
      <c r="S393" s="60">
        <f t="shared" si="330"/>
        <v>-6.9198312236286919E-2</v>
      </c>
      <c r="T393" s="16"/>
      <c r="U393" s="41"/>
      <c r="V393" s="10">
        <f t="shared" si="109"/>
        <v>285</v>
      </c>
      <c r="W393" s="34">
        <v>873</v>
      </c>
      <c r="X393" s="33">
        <v>4256</v>
      </c>
      <c r="Y393" s="33"/>
      <c r="Z393" s="33">
        <f t="shared" si="331"/>
        <v>4381</v>
      </c>
      <c r="AA393" s="33">
        <f t="shared" si="332"/>
        <v>561765</v>
      </c>
      <c r="AB393" s="33"/>
      <c r="AC393" s="46">
        <f t="shared" si="333"/>
        <v>1.7930441511488038E-2</v>
      </c>
      <c r="AD393" s="33"/>
      <c r="AE393" s="33">
        <f t="shared" si="334"/>
        <v>1462.9296875</v>
      </c>
      <c r="AF393" s="50"/>
      <c r="AG393" s="33">
        <f t="shared" si="335"/>
        <v>5349</v>
      </c>
      <c r="AH393" s="33">
        <f>SUM(D364:D1045)</f>
        <v>1198491494.060914</v>
      </c>
      <c r="AI393" s="213">
        <f t="shared" si="336"/>
        <v>-0.16434932041868458</v>
      </c>
      <c r="AJ393" s="50"/>
      <c r="AK393" s="111"/>
      <c r="AL393" s="23">
        <f t="shared" si="337"/>
        <v>84318</v>
      </c>
      <c r="AM393" s="24"/>
      <c r="AN393" s="24"/>
      <c r="AO393" s="24">
        <v>178263</v>
      </c>
      <c r="AP393" s="24">
        <v>24206539</v>
      </c>
      <c r="AQ393" s="24">
        <v>20336656</v>
      </c>
      <c r="AR393" s="461">
        <f t="shared" si="338"/>
        <v>3.495449278903464E-3</v>
      </c>
      <c r="AS393" s="25"/>
      <c r="AT393" s="25"/>
      <c r="AU393" s="24"/>
      <c r="AV393" s="298">
        <f t="shared" si="339"/>
        <v>0.77262544255169718</v>
      </c>
      <c r="AW393" s="298"/>
      <c r="AX393" s="24">
        <f t="shared" si="340"/>
        <v>63037.861979166664</v>
      </c>
      <c r="AY393" s="308"/>
      <c r="AZ393" s="111"/>
      <c r="BA393" s="65">
        <f t="shared" si="341"/>
        <v>1267891</v>
      </c>
      <c r="BB393" s="66"/>
      <c r="BC393" s="66">
        <v>413478674</v>
      </c>
      <c r="BD393" s="66"/>
      <c r="BE393" s="66">
        <f t="shared" si="342"/>
        <v>75183</v>
      </c>
      <c r="BF393" s="66"/>
      <c r="BG393" s="144">
        <f t="shared" si="343"/>
        <v>5.929768410691455E-2</v>
      </c>
      <c r="BH393" s="66"/>
      <c r="BI393" s="170"/>
      <c r="BJ393" s="66"/>
      <c r="BK393" s="66">
        <f t="shared" si="344"/>
        <v>10151790</v>
      </c>
      <c r="BL393" s="66"/>
      <c r="BM393" s="144">
        <f t="shared" si="345"/>
        <v>4.0635395334221849E-2</v>
      </c>
      <c r="BN393" s="65">
        <f t="shared" si="346"/>
        <v>1076767.3802083333</v>
      </c>
      <c r="BO393" s="66"/>
      <c r="BP393" s="66">
        <f t="shared" si="347"/>
        <v>30423260</v>
      </c>
      <c r="BQ393" s="66"/>
      <c r="BR393" s="435">
        <f t="shared" si="348"/>
        <v>7.3578788733370079E-2</v>
      </c>
      <c r="BS393" s="66"/>
      <c r="BT393" s="75"/>
      <c r="BU393" s="170"/>
      <c r="BV393" s="1"/>
      <c r="BW393" s="61">
        <f t="shared" si="186"/>
        <v>384</v>
      </c>
    </row>
    <row r="394" spans="2:75" x14ac:dyDescent="0.3">
      <c r="B394" s="158">
        <f t="shared" si="161"/>
        <v>44294</v>
      </c>
      <c r="C394" s="61"/>
      <c r="D394" s="17">
        <v>80161</v>
      </c>
      <c r="E394" s="16"/>
      <c r="F394" s="16"/>
      <c r="G394" s="16"/>
      <c r="H394" s="16">
        <f t="shared" si="325"/>
        <v>31410399</v>
      </c>
      <c r="I394" s="16"/>
      <c r="J394" s="436">
        <f t="shared" si="326"/>
        <v>2.5585825425264884E-3</v>
      </c>
      <c r="K394" s="16"/>
      <c r="L394" s="16"/>
      <c r="M394" s="16"/>
      <c r="N394" s="16">
        <f t="shared" si="327"/>
        <v>448432</v>
      </c>
      <c r="O394" s="16">
        <f t="shared" si="328"/>
        <v>81585.451948051952</v>
      </c>
      <c r="P394" s="41"/>
      <c r="Q394" s="17">
        <f t="shared" si="329"/>
        <v>448432</v>
      </c>
      <c r="R394" s="16"/>
      <c r="S394" s="60">
        <f t="shared" si="330"/>
        <v>6.6692039629396169E-2</v>
      </c>
      <c r="T394" s="16"/>
      <c r="U394" s="41"/>
      <c r="V394" s="10">
        <f t="shared" si="109"/>
        <v>286</v>
      </c>
      <c r="W394" s="34">
        <v>1009</v>
      </c>
      <c r="X394" s="33">
        <v>4256</v>
      </c>
      <c r="Y394" s="33"/>
      <c r="Z394" s="33">
        <f t="shared" si="331"/>
        <v>4389</v>
      </c>
      <c r="AA394" s="33">
        <f t="shared" si="332"/>
        <v>562774</v>
      </c>
      <c r="AB394" s="33"/>
      <c r="AC394" s="46">
        <f t="shared" si="333"/>
        <v>1.7916805195629638E-2</v>
      </c>
      <c r="AD394" s="33"/>
      <c r="AE394" s="33">
        <f t="shared" si="334"/>
        <v>1461.7506493506494</v>
      </c>
      <c r="AF394" s="50"/>
      <c r="AG394" s="33">
        <f t="shared" si="335"/>
        <v>5390</v>
      </c>
      <c r="AH394" s="33">
        <f>SUM(D365:D1046)</f>
        <v>1198435811.060914</v>
      </c>
      <c r="AI394" s="213">
        <f t="shared" si="336"/>
        <v>-0.13120567375886524</v>
      </c>
      <c r="AJ394" s="50"/>
      <c r="AK394" s="111"/>
      <c r="AL394" s="23">
        <f t="shared" si="337"/>
        <v>66330</v>
      </c>
      <c r="AM394" s="24"/>
      <c r="AN394" s="24"/>
      <c r="AO394" s="24">
        <v>178263</v>
      </c>
      <c r="AP394" s="24">
        <v>24272869</v>
      </c>
      <c r="AQ394" s="24">
        <v>20336656</v>
      </c>
      <c r="AR394" s="461">
        <f t="shared" si="338"/>
        <v>2.7401686792151493E-3</v>
      </c>
      <c r="AS394" s="25"/>
      <c r="AT394" s="25"/>
      <c r="AU394" s="24"/>
      <c r="AV394" s="298">
        <f t="shared" si="339"/>
        <v>0.77276538257282246</v>
      </c>
      <c r="AW394" s="298"/>
      <c r="AX394" s="24">
        <f t="shared" si="340"/>
        <v>63046.412987012984</v>
      </c>
      <c r="AY394" s="308"/>
      <c r="AZ394" s="111"/>
      <c r="BA394" s="65">
        <f t="shared" si="341"/>
        <v>1688479</v>
      </c>
      <c r="BB394" s="66"/>
      <c r="BC394" s="66">
        <v>415167153</v>
      </c>
      <c r="BD394" s="66"/>
      <c r="BE394" s="66">
        <f t="shared" si="342"/>
        <v>80161</v>
      </c>
      <c r="BF394" s="66"/>
      <c r="BG394" s="144">
        <f t="shared" si="343"/>
        <v>4.7475272123609476E-2</v>
      </c>
      <c r="BH394" s="66"/>
      <c r="BI394" s="170"/>
      <c r="BJ394" s="66"/>
      <c r="BK394" s="66">
        <f t="shared" si="344"/>
        <v>9267153</v>
      </c>
      <c r="BL394" s="66"/>
      <c r="BM394" s="144">
        <f t="shared" si="345"/>
        <v>4.838940287270535E-2</v>
      </c>
      <c r="BN394" s="65">
        <f t="shared" si="346"/>
        <v>1078356.2415584417</v>
      </c>
      <c r="BO394" s="66"/>
      <c r="BP394" s="66">
        <f t="shared" si="347"/>
        <v>30503421</v>
      </c>
      <c r="BQ394" s="66"/>
      <c r="BR394" s="435">
        <f t="shared" si="348"/>
        <v>7.347262609669894E-2</v>
      </c>
      <c r="BS394" s="66"/>
      <c r="BT394" s="75"/>
      <c r="BU394" s="170"/>
      <c r="BV394" s="1"/>
      <c r="BW394" s="61">
        <f t="shared" si="186"/>
        <v>385</v>
      </c>
    </row>
    <row r="395" spans="2:75" x14ac:dyDescent="0.3">
      <c r="B395" s="158">
        <f t="shared" si="161"/>
        <v>44295</v>
      </c>
      <c r="C395" s="61"/>
      <c r="D395" s="17">
        <v>85368</v>
      </c>
      <c r="E395" s="16"/>
      <c r="F395" s="16"/>
      <c r="G395" s="16"/>
      <c r="H395" s="16">
        <f t="shared" si="325"/>
        <v>31495767</v>
      </c>
      <c r="I395" s="16"/>
      <c r="J395" s="436">
        <f t="shared" si="326"/>
        <v>2.7178260295260817E-3</v>
      </c>
      <c r="K395" s="16"/>
      <c r="L395" s="16"/>
      <c r="M395" s="16"/>
      <c r="N395" s="16">
        <f t="shared" si="327"/>
        <v>463776</v>
      </c>
      <c r="O395" s="16">
        <f t="shared" si="328"/>
        <v>81595.251295336784</v>
      </c>
      <c r="P395" s="41"/>
      <c r="Q395" s="17">
        <f t="shared" si="329"/>
        <v>463776</v>
      </c>
      <c r="R395" s="16"/>
      <c r="S395" s="60">
        <f t="shared" si="330"/>
        <v>0.12174108643755004</v>
      </c>
      <c r="T395" s="16"/>
      <c r="U395" s="41"/>
      <c r="V395" s="10">
        <f t="shared" ref="V395:V649" si="349">+V394+1</f>
        <v>287</v>
      </c>
      <c r="W395" s="34">
        <v>929</v>
      </c>
      <c r="X395" s="33">
        <v>4256</v>
      </c>
      <c r="Y395" s="33"/>
      <c r="Z395" s="33">
        <f t="shared" si="331"/>
        <v>4511</v>
      </c>
      <c r="AA395" s="33">
        <f t="shared" si="332"/>
        <v>563703</v>
      </c>
      <c r="AB395" s="33"/>
      <c r="AC395" s="46">
        <f t="shared" si="333"/>
        <v>1.7897738448471503E-2</v>
      </c>
      <c r="AD395" s="33"/>
      <c r="AE395" s="33">
        <f t="shared" si="334"/>
        <v>1460.3704663212436</v>
      </c>
      <c r="AF395" s="50"/>
      <c r="AG395" s="33">
        <f t="shared" si="335"/>
        <v>5318</v>
      </c>
      <c r="AH395" s="33">
        <f>SUM(D366:D1047)</f>
        <v>1198374451.060914</v>
      </c>
      <c r="AI395" s="213">
        <f t="shared" si="336"/>
        <v>-0.1010818120351589</v>
      </c>
      <c r="AJ395" s="50"/>
      <c r="AK395" s="111"/>
      <c r="AL395" s="23">
        <f t="shared" si="337"/>
        <v>73897</v>
      </c>
      <c r="AM395" s="24"/>
      <c r="AN395" s="24"/>
      <c r="AO395" s="24">
        <v>178263</v>
      </c>
      <c r="AP395" s="24">
        <v>24346766</v>
      </c>
      <c r="AQ395" s="24">
        <v>20336656</v>
      </c>
      <c r="AR395" s="461">
        <f t="shared" si="338"/>
        <v>3.0444279166175208E-3</v>
      </c>
      <c r="AS395" s="25"/>
      <c r="AT395" s="25"/>
      <c r="AU395" s="24"/>
      <c r="AV395" s="298">
        <f t="shared" si="339"/>
        <v>0.77301708512131173</v>
      </c>
      <c r="AW395" s="298"/>
      <c r="AX395" s="24">
        <f t="shared" si="340"/>
        <v>63074.523316062179</v>
      </c>
      <c r="AY395" s="308"/>
      <c r="AZ395" s="111"/>
      <c r="BA395" s="65">
        <f t="shared" si="341"/>
        <v>1622177</v>
      </c>
      <c r="BB395" s="66"/>
      <c r="BC395" s="66">
        <v>416789330</v>
      </c>
      <c r="BD395" s="66"/>
      <c r="BE395" s="66">
        <f t="shared" si="342"/>
        <v>85368</v>
      </c>
      <c r="BF395" s="66"/>
      <c r="BG395" s="144">
        <f t="shared" si="343"/>
        <v>5.2625576617101585E-2</v>
      </c>
      <c r="BH395" s="66"/>
      <c r="BI395" s="170"/>
      <c r="BJ395" s="66"/>
      <c r="BK395" s="66">
        <f t="shared" si="344"/>
        <v>10112993</v>
      </c>
      <c r="BL395" s="66"/>
      <c r="BM395" s="144">
        <f t="shared" si="345"/>
        <v>4.5859420648269013E-2</v>
      </c>
      <c r="BN395" s="65">
        <f t="shared" si="346"/>
        <v>1079765.103626943</v>
      </c>
      <c r="BO395" s="66"/>
      <c r="BP395" s="66">
        <f t="shared" si="347"/>
        <v>30588789</v>
      </c>
      <c r="BQ395" s="66"/>
      <c r="BR395" s="435">
        <f t="shared" si="348"/>
        <v>7.339148773314326E-2</v>
      </c>
      <c r="BS395" s="66"/>
      <c r="BT395" s="75"/>
      <c r="BU395" s="170"/>
      <c r="BV395" s="1"/>
      <c r="BW395" s="61">
        <f t="shared" si="186"/>
        <v>386</v>
      </c>
    </row>
    <row r="396" spans="2:75" x14ac:dyDescent="0.3">
      <c r="B396" s="158">
        <f t="shared" si="161"/>
        <v>44296</v>
      </c>
      <c r="C396" s="61"/>
      <c r="D396" s="17">
        <v>66780</v>
      </c>
      <c r="E396" s="16"/>
      <c r="F396" s="16"/>
      <c r="G396" s="16"/>
      <c r="H396" s="16">
        <f t="shared" si="325"/>
        <v>31562547</v>
      </c>
      <c r="I396" s="16"/>
      <c r="J396" s="436">
        <f t="shared" si="326"/>
        <v>2.1202849259076627E-3</v>
      </c>
      <c r="K396" s="16"/>
      <c r="L396" s="16"/>
      <c r="M396" s="16"/>
      <c r="N396" s="16">
        <f t="shared" si="327"/>
        <v>464402</v>
      </c>
      <c r="O396" s="16">
        <f t="shared" si="328"/>
        <v>81556.968992248061</v>
      </c>
      <c r="P396" s="41"/>
      <c r="Q396" s="17">
        <f t="shared" si="329"/>
        <v>464402</v>
      </c>
      <c r="R396" s="16"/>
      <c r="S396" s="60">
        <f t="shared" si="330"/>
        <v>0.11651736556890691</v>
      </c>
      <c r="T396" s="16"/>
      <c r="U396" s="41"/>
      <c r="V396" s="10">
        <f t="shared" si="349"/>
        <v>288</v>
      </c>
      <c r="W396" s="34">
        <v>742</v>
      </c>
      <c r="X396" s="33">
        <v>4256</v>
      </c>
      <c r="Y396" s="33"/>
      <c r="Z396" s="33">
        <f t="shared" si="331"/>
        <v>4983</v>
      </c>
      <c r="AA396" s="33">
        <f t="shared" si="332"/>
        <v>564445</v>
      </c>
      <c r="AB396" s="33"/>
      <c r="AC396" s="46">
        <f t="shared" si="333"/>
        <v>1.7883379310294573E-2</v>
      </c>
      <c r="AD396" s="33"/>
      <c r="AE396" s="33">
        <f t="shared" si="334"/>
        <v>1458.514211886305</v>
      </c>
      <c r="AF396" s="50"/>
      <c r="AG396" s="33">
        <f t="shared" si="335"/>
        <v>5253</v>
      </c>
      <c r="AH396" s="33">
        <f>SUM(D367:D1048)</f>
        <v>1198311678.060914</v>
      </c>
      <c r="AI396" s="213">
        <f t="shared" si="336"/>
        <v>-0.11491154170176916</v>
      </c>
      <c r="AJ396" s="50"/>
      <c r="AK396" s="111"/>
      <c r="AL396" s="23">
        <f t="shared" si="337"/>
        <v>76823</v>
      </c>
      <c r="AM396" s="24"/>
      <c r="AN396" s="24"/>
      <c r="AO396" s="24">
        <v>178263</v>
      </c>
      <c r="AP396" s="24">
        <v>24423589</v>
      </c>
      <c r="AQ396" s="24">
        <v>20336656</v>
      </c>
      <c r="AR396" s="461">
        <f t="shared" si="338"/>
        <v>3.1553677396004053E-3</v>
      </c>
      <c r="AS396" s="25"/>
      <c r="AT396" s="25"/>
      <c r="AU396" s="24"/>
      <c r="AV396" s="298">
        <f t="shared" si="339"/>
        <v>0.77381552889251937</v>
      </c>
      <c r="AW396" s="298"/>
      <c r="AX396" s="24">
        <f t="shared" si="340"/>
        <v>63110.049095607232</v>
      </c>
      <c r="AY396" s="308"/>
      <c r="AZ396" s="111"/>
      <c r="BA396" s="65">
        <f t="shared" si="341"/>
        <v>1441301</v>
      </c>
      <c r="BB396" s="66"/>
      <c r="BC396" s="66">
        <v>418230631</v>
      </c>
      <c r="BD396" s="66"/>
      <c r="BE396" s="66">
        <f t="shared" si="342"/>
        <v>66780</v>
      </c>
      <c r="BF396" s="66"/>
      <c r="BG396" s="144">
        <f t="shared" si="343"/>
        <v>4.6333139295678005E-2</v>
      </c>
      <c r="BH396" s="66"/>
      <c r="BI396" s="170"/>
      <c r="BJ396" s="66"/>
      <c r="BK396" s="66">
        <f t="shared" si="344"/>
        <v>9972743</v>
      </c>
      <c r="BL396" s="66"/>
      <c r="BM396" s="144">
        <f t="shared" si="345"/>
        <v>4.6567128020846421E-2</v>
      </c>
      <c r="BN396" s="65">
        <f t="shared" si="346"/>
        <v>1080699.3049095608</v>
      </c>
      <c r="BO396" s="66"/>
      <c r="BP396" s="66">
        <f t="shared" si="347"/>
        <v>30655569</v>
      </c>
      <c r="BQ396" s="66"/>
      <c r="BR396" s="435">
        <f t="shared" si="348"/>
        <v>7.3298239602158644E-2</v>
      </c>
      <c r="BS396" s="66"/>
      <c r="BT396" s="75"/>
      <c r="BU396" s="170"/>
      <c r="BV396" s="1"/>
      <c r="BW396" s="61">
        <f t="shared" si="186"/>
        <v>387</v>
      </c>
    </row>
    <row r="397" spans="2:75" x14ac:dyDescent="0.3">
      <c r="B397" s="347">
        <f t="shared" si="161"/>
        <v>44297</v>
      </c>
      <c r="C397" s="61"/>
      <c r="D397" s="17">
        <v>47874</v>
      </c>
      <c r="E397" s="16"/>
      <c r="F397" s="16"/>
      <c r="G397" s="16"/>
      <c r="H397" s="16">
        <f t="shared" si="325"/>
        <v>31610421</v>
      </c>
      <c r="I397" s="16"/>
      <c r="J397" s="436">
        <f t="shared" si="326"/>
        <v>1.5167977413229673E-3</v>
      </c>
      <c r="K397" s="16"/>
      <c r="L397" s="16"/>
      <c r="M397" s="16"/>
      <c r="N397" s="16">
        <f t="shared" si="327"/>
        <v>475293</v>
      </c>
      <c r="O397" s="16">
        <f t="shared" si="328"/>
        <v>81470.157216494845</v>
      </c>
      <c r="P397" s="41"/>
      <c r="Q397" s="17">
        <f t="shared" si="329"/>
        <v>475293</v>
      </c>
      <c r="R397" s="16"/>
      <c r="S397" s="60">
        <f t="shared" si="330"/>
        <v>0.16258301229132269</v>
      </c>
      <c r="T397" s="16"/>
      <c r="U397" s="41"/>
      <c r="V397" s="10">
        <f t="shared" si="349"/>
        <v>289</v>
      </c>
      <c r="W397" s="34">
        <v>276</v>
      </c>
      <c r="X397" s="33">
        <v>4256</v>
      </c>
      <c r="Y397" s="33"/>
      <c r="Z397" s="33">
        <f t="shared" si="331"/>
        <v>4735</v>
      </c>
      <c r="AA397" s="33">
        <f t="shared" si="332"/>
        <v>564721</v>
      </c>
      <c r="AB397" s="33"/>
      <c r="AC397" s="46">
        <f t="shared" si="333"/>
        <v>1.7865026220308802E-2</v>
      </c>
      <c r="AD397" s="33"/>
      <c r="AE397" s="33">
        <f t="shared" si="334"/>
        <v>1455.4664948453608</v>
      </c>
      <c r="AF397" s="50"/>
      <c r="AG397" s="33">
        <f t="shared" si="335"/>
        <v>5259</v>
      </c>
      <c r="AH397" s="33">
        <f>SUM(D368:D1049)</f>
        <v>1198244893.060914</v>
      </c>
      <c r="AI397" s="213">
        <f t="shared" si="336"/>
        <v>-7.6558384547848995E-2</v>
      </c>
      <c r="AJ397" s="50"/>
      <c r="AK397" s="111"/>
      <c r="AL397" s="23">
        <f t="shared" si="337"/>
        <v>56933</v>
      </c>
      <c r="AM397" s="24"/>
      <c r="AN397" s="24"/>
      <c r="AO397" s="24">
        <v>178263</v>
      </c>
      <c r="AP397" s="24">
        <v>24480522</v>
      </c>
      <c r="AQ397" s="24">
        <v>20336656</v>
      </c>
      <c r="AR397" s="461">
        <f t="shared" si="338"/>
        <v>2.3310660853325038E-3</v>
      </c>
      <c r="AS397" s="25"/>
      <c r="AT397" s="25"/>
      <c r="AU397" s="24"/>
      <c r="AV397" s="298">
        <f t="shared" si="339"/>
        <v>0.77444466810486323</v>
      </c>
      <c r="AW397" s="298"/>
      <c r="AX397" s="24">
        <f t="shared" si="340"/>
        <v>63094.128865979379</v>
      </c>
      <c r="AY397" s="308"/>
      <c r="AZ397" s="111"/>
      <c r="BA397" s="65">
        <f t="shared" si="341"/>
        <v>1156873</v>
      </c>
      <c r="BB397" s="66"/>
      <c r="BC397" s="66">
        <v>419387504</v>
      </c>
      <c r="BD397" s="66"/>
      <c r="BE397" s="66">
        <f t="shared" si="342"/>
        <v>47874</v>
      </c>
      <c r="BF397" s="66"/>
      <c r="BG397" s="144">
        <f t="shared" si="343"/>
        <v>4.1382243340453102E-2</v>
      </c>
      <c r="BH397" s="66"/>
      <c r="BI397" s="170"/>
      <c r="BJ397" s="66"/>
      <c r="BK397" s="66">
        <f t="shared" si="344"/>
        <v>9986324</v>
      </c>
      <c r="BL397" s="66"/>
      <c r="BM397" s="144">
        <f t="shared" si="345"/>
        <v>4.7594390087884193E-2</v>
      </c>
      <c r="BN397" s="65">
        <f t="shared" si="346"/>
        <v>1080895.6288659794</v>
      </c>
      <c r="BO397" s="66"/>
      <c r="BP397" s="66">
        <f t="shared" si="347"/>
        <v>30703443</v>
      </c>
      <c r="BQ397" s="66"/>
      <c r="BR397" s="435">
        <f t="shared" si="348"/>
        <v>7.3210199891888053E-2</v>
      </c>
      <c r="BS397" s="66"/>
      <c r="BT397" s="75"/>
      <c r="BU397" s="170"/>
      <c r="BV397" s="1"/>
      <c r="BW397" s="61">
        <f t="shared" si="186"/>
        <v>388</v>
      </c>
    </row>
    <row r="398" spans="2:75" x14ac:dyDescent="0.3">
      <c r="B398" s="158">
        <f t="shared" si="161"/>
        <v>44298</v>
      </c>
      <c r="C398" s="61"/>
      <c r="D398" s="17">
        <v>56522</v>
      </c>
      <c r="E398" s="16"/>
      <c r="F398" s="16"/>
      <c r="G398" s="16"/>
      <c r="H398" s="16">
        <f t="shared" si="325"/>
        <v>31666943</v>
      </c>
      <c r="I398" s="16"/>
      <c r="J398" s="436">
        <f t="shared" si="326"/>
        <v>1.7880812153688178E-3</v>
      </c>
      <c r="K398" s="16"/>
      <c r="L398" s="16"/>
      <c r="M398" s="16"/>
      <c r="N398" s="16">
        <f t="shared" si="327"/>
        <v>474171</v>
      </c>
      <c r="O398" s="16">
        <f t="shared" si="328"/>
        <v>81406.023136246789</v>
      </c>
      <c r="P398" s="41"/>
      <c r="Q398" s="17">
        <f t="shared" si="329"/>
        <v>474171</v>
      </c>
      <c r="R398" s="16"/>
      <c r="S398" s="60">
        <f t="shared" si="330"/>
        <v>0.16712982221226719</v>
      </c>
      <c r="T398" s="16"/>
      <c r="U398" s="41"/>
      <c r="V398" s="10">
        <f t="shared" si="349"/>
        <v>290</v>
      </c>
      <c r="W398" s="34">
        <v>460</v>
      </c>
      <c r="X398" s="33">
        <v>4256</v>
      </c>
      <c r="Y398" s="33"/>
      <c r="Z398" s="33">
        <f t="shared" si="331"/>
        <v>4289</v>
      </c>
      <c r="AA398" s="33">
        <f t="shared" si="332"/>
        <v>565181</v>
      </c>
      <c r="AB398" s="33"/>
      <c r="AC398" s="46">
        <f t="shared" si="333"/>
        <v>1.7847665308267993E-2</v>
      </c>
      <c r="AD398" s="33"/>
      <c r="AE398" s="33">
        <f t="shared" si="334"/>
        <v>1452.9074550128535</v>
      </c>
      <c r="AF398" s="50"/>
      <c r="AG398" s="33">
        <f t="shared" si="335"/>
        <v>5195</v>
      </c>
      <c r="AH398" s="33">
        <f>SUM(D369:D1050)</f>
        <v>1198195175.060914</v>
      </c>
      <c r="AI398" s="213">
        <f t="shared" si="336"/>
        <v>-6.531126304426052E-2</v>
      </c>
      <c r="AJ398" s="50"/>
      <c r="AK398" s="111"/>
      <c r="AL398" s="23">
        <f t="shared" si="337"/>
        <v>80334</v>
      </c>
      <c r="AM398" s="24"/>
      <c r="AN398" s="24"/>
      <c r="AO398" s="24">
        <v>178263</v>
      </c>
      <c r="AP398" s="24">
        <v>24560856</v>
      </c>
      <c r="AQ398" s="24">
        <v>20336656</v>
      </c>
      <c r="AR398" s="461">
        <f t="shared" si="338"/>
        <v>3.2815476728805049E-3</v>
      </c>
      <c r="AS398" s="25"/>
      <c r="AT398" s="25"/>
      <c r="AU398" s="24"/>
      <c r="AV398" s="298">
        <f t="shared" si="339"/>
        <v>0.77559921082372874</v>
      </c>
      <c r="AW398" s="298"/>
      <c r="AX398" s="24">
        <f t="shared" si="340"/>
        <v>63138.447300771208</v>
      </c>
      <c r="AY398" s="308"/>
      <c r="AZ398" s="111"/>
      <c r="BA398" s="65">
        <f t="shared" si="341"/>
        <v>1435195</v>
      </c>
      <c r="BB398" s="66"/>
      <c r="BC398" s="66">
        <v>420822699</v>
      </c>
      <c r="BD398" s="66"/>
      <c r="BE398" s="66">
        <f t="shared" si="342"/>
        <v>56522</v>
      </c>
      <c r="BF398" s="66"/>
      <c r="BG398" s="144">
        <f t="shared" si="343"/>
        <v>3.9382801640195232E-2</v>
      </c>
      <c r="BH398" s="66"/>
      <c r="BI398" s="170"/>
      <c r="BJ398" s="66"/>
      <c r="BK398" s="66">
        <f t="shared" si="344"/>
        <v>9843003</v>
      </c>
      <c r="BL398" s="66"/>
      <c r="BM398" s="144">
        <f t="shared" si="345"/>
        <v>4.8173408054432168E-2</v>
      </c>
      <c r="BN398" s="65">
        <f t="shared" si="346"/>
        <v>1081806.4241645245</v>
      </c>
      <c r="BO398" s="66"/>
      <c r="BP398" s="66">
        <f t="shared" si="347"/>
        <v>30759965</v>
      </c>
      <c r="BQ398" s="66"/>
      <c r="BR398" s="435">
        <f t="shared" si="348"/>
        <v>7.3094833223338082E-2</v>
      </c>
      <c r="BS398" s="66"/>
      <c r="BT398" s="75"/>
      <c r="BU398" s="170"/>
      <c r="BV398" s="1"/>
      <c r="BW398" s="61">
        <f t="shared" si="186"/>
        <v>389</v>
      </c>
    </row>
    <row r="399" spans="2:75" x14ac:dyDescent="0.3">
      <c r="B399" s="158">
        <f t="shared" si="161"/>
        <v>44299</v>
      </c>
      <c r="C399" s="61"/>
      <c r="D399" s="17">
        <v>77720</v>
      </c>
      <c r="E399" s="16"/>
      <c r="F399" s="16"/>
      <c r="G399" s="16"/>
      <c r="H399" s="16">
        <f t="shared" si="325"/>
        <v>31744663</v>
      </c>
      <c r="I399" s="16"/>
      <c r="J399" s="436">
        <f t="shared" si="326"/>
        <v>2.4542943725259494E-3</v>
      </c>
      <c r="K399" s="16"/>
      <c r="L399" s="16"/>
      <c r="M399" s="16"/>
      <c r="N399" s="16">
        <f t="shared" si="327"/>
        <v>489608</v>
      </c>
      <c r="O399" s="16">
        <f t="shared" si="328"/>
        <v>81396.571794871794</v>
      </c>
      <c r="P399" s="41"/>
      <c r="Q399" s="17">
        <f t="shared" si="329"/>
        <v>489608</v>
      </c>
      <c r="R399" s="16"/>
      <c r="S399" s="60">
        <f t="shared" si="330"/>
        <v>0.20564892451273717</v>
      </c>
      <c r="T399" s="16"/>
      <c r="U399" s="41"/>
      <c r="V399" s="10">
        <f t="shared" si="349"/>
        <v>291</v>
      </c>
      <c r="W399" s="34">
        <v>819</v>
      </c>
      <c r="X399" s="33">
        <v>4256</v>
      </c>
      <c r="Y399" s="33"/>
      <c r="Z399" s="33">
        <f t="shared" si="331"/>
        <v>4235</v>
      </c>
      <c r="AA399" s="33">
        <f t="shared" si="332"/>
        <v>566000</v>
      </c>
      <c r="AB399" s="33"/>
      <c r="AC399" s="46">
        <f t="shared" si="333"/>
        <v>1.7829768739394083E-2</v>
      </c>
      <c r="AD399" s="33"/>
      <c r="AE399" s="33">
        <f t="shared" si="334"/>
        <v>1451.2820512820513</v>
      </c>
      <c r="AF399" s="50"/>
      <c r="AG399" s="33">
        <f t="shared" si="335"/>
        <v>5108</v>
      </c>
      <c r="AH399" s="33">
        <f>SUM(D370:D1051)</f>
        <v>1198158279.060914</v>
      </c>
      <c r="AI399" s="213">
        <f t="shared" si="336"/>
        <v>-8.6388839205866569E-2</v>
      </c>
      <c r="AJ399" s="50"/>
      <c r="AK399" s="111"/>
      <c r="AL399" s="23">
        <f t="shared" si="337"/>
        <v>65554</v>
      </c>
      <c r="AM399" s="24"/>
      <c r="AN399" s="24"/>
      <c r="AO399" s="24">
        <v>178263</v>
      </c>
      <c r="AP399" s="24">
        <v>24626410</v>
      </c>
      <c r="AQ399" s="24">
        <v>20336656</v>
      </c>
      <c r="AR399" s="461">
        <f t="shared" si="338"/>
        <v>2.6690437825131175E-3</v>
      </c>
      <c r="AS399" s="25"/>
      <c r="AT399" s="25"/>
      <c r="AU399" s="24"/>
      <c r="AV399" s="298">
        <f t="shared" si="339"/>
        <v>0.77576536251148731</v>
      </c>
      <c r="AW399" s="298"/>
      <c r="AX399" s="24">
        <f t="shared" si="340"/>
        <v>63144.641025641024</v>
      </c>
      <c r="AY399" s="308"/>
      <c r="AZ399" s="111"/>
      <c r="BA399" s="65">
        <f t="shared" si="341"/>
        <v>1304062</v>
      </c>
      <c r="BB399" s="66"/>
      <c r="BC399" s="66">
        <v>422126761</v>
      </c>
      <c r="BD399" s="66"/>
      <c r="BE399" s="66">
        <f t="shared" si="342"/>
        <v>77720</v>
      </c>
      <c r="BF399" s="66"/>
      <c r="BG399" s="144">
        <f t="shared" si="343"/>
        <v>5.959839332792459E-2</v>
      </c>
      <c r="BH399" s="66"/>
      <c r="BI399" s="170"/>
      <c r="BJ399" s="66"/>
      <c r="BK399" s="66">
        <f t="shared" si="344"/>
        <v>9915978</v>
      </c>
      <c r="BL399" s="66"/>
      <c r="BM399" s="144">
        <f t="shared" si="345"/>
        <v>4.9375664205789885E-2</v>
      </c>
      <c r="BN399" s="65">
        <f t="shared" si="346"/>
        <v>1082376.3102564102</v>
      </c>
      <c r="BO399" s="66"/>
      <c r="BP399" s="66">
        <f t="shared" si="347"/>
        <v>30837685</v>
      </c>
      <c r="BQ399" s="66"/>
      <c r="BR399" s="435">
        <f t="shared" si="348"/>
        <v>7.3053139125666564E-2</v>
      </c>
      <c r="BS399" s="66"/>
      <c r="BT399" s="75"/>
      <c r="BU399" s="170"/>
      <c r="BV399" s="1"/>
      <c r="BW399" s="61">
        <f t="shared" si="186"/>
        <v>390</v>
      </c>
    </row>
    <row r="400" spans="2:75" x14ac:dyDescent="0.3">
      <c r="B400" s="158">
        <f t="shared" si="161"/>
        <v>44300</v>
      </c>
      <c r="C400" s="61"/>
      <c r="D400" s="17">
        <v>78439</v>
      </c>
      <c r="E400" s="16"/>
      <c r="F400" s="16"/>
      <c r="G400" s="16"/>
      <c r="H400" s="16">
        <f t="shared" si="325"/>
        <v>31823102</v>
      </c>
      <c r="I400" s="16"/>
      <c r="J400" s="436">
        <f t="shared" si="326"/>
        <v>2.4709350355995273E-3</v>
      </c>
      <c r="K400" s="16"/>
      <c r="L400" s="16"/>
      <c r="M400" s="16"/>
      <c r="N400" s="16">
        <f t="shared" si="327"/>
        <v>492864</v>
      </c>
      <c r="O400" s="16">
        <f t="shared" si="328"/>
        <v>81389.007672634267</v>
      </c>
      <c r="P400" s="41"/>
      <c r="Q400" s="17">
        <f t="shared" si="329"/>
        <v>492864</v>
      </c>
      <c r="R400" s="16"/>
      <c r="S400" s="60">
        <f t="shared" si="330"/>
        <v>0.19475809774993819</v>
      </c>
      <c r="T400" s="16"/>
      <c r="U400" s="41"/>
      <c r="V400" s="10">
        <f t="shared" si="349"/>
        <v>292</v>
      </c>
      <c r="W400" s="34">
        <v>915</v>
      </c>
      <c r="X400" s="33">
        <v>4256</v>
      </c>
      <c r="Y400" s="33"/>
      <c r="Z400" s="33">
        <f t="shared" si="331"/>
        <v>4141</v>
      </c>
      <c r="AA400" s="33">
        <f t="shared" si="332"/>
        <v>566915</v>
      </c>
      <c r="AB400" s="33"/>
      <c r="AC400" s="46">
        <f t="shared" si="333"/>
        <v>1.7814573827529448E-2</v>
      </c>
      <c r="AD400" s="33"/>
      <c r="AE400" s="33">
        <f t="shared" si="334"/>
        <v>1449.9104859335039</v>
      </c>
      <c r="AF400" s="50"/>
      <c r="AG400" s="33">
        <f t="shared" si="335"/>
        <v>5150</v>
      </c>
      <c r="AH400" s="33">
        <f>SUM(D371:D1052)</f>
        <v>1198111512.060914</v>
      </c>
      <c r="AI400" s="213">
        <f t="shared" si="336"/>
        <v>-3.7203215554309214E-2</v>
      </c>
      <c r="AJ400" s="50"/>
      <c r="AK400" s="111"/>
      <c r="AL400" s="23">
        <f t="shared" si="337"/>
        <v>69751</v>
      </c>
      <c r="AM400" s="24"/>
      <c r="AN400" s="24"/>
      <c r="AO400" s="24">
        <v>178263</v>
      </c>
      <c r="AP400" s="24">
        <v>24696161</v>
      </c>
      <c r="AQ400" s="24">
        <v>20336656</v>
      </c>
      <c r="AR400" s="461">
        <f t="shared" si="338"/>
        <v>2.8323657406824623E-3</v>
      </c>
      <c r="AS400" s="25"/>
      <c r="AT400" s="25"/>
      <c r="AU400" s="24"/>
      <c r="AV400" s="298">
        <f t="shared" si="339"/>
        <v>0.77604505682695546</v>
      </c>
      <c r="AW400" s="298"/>
      <c r="AX400" s="24">
        <f t="shared" si="340"/>
        <v>63161.53708439898</v>
      </c>
      <c r="AY400" s="308"/>
      <c r="AZ400" s="111"/>
      <c r="BA400" s="65">
        <f t="shared" si="341"/>
        <v>1312618</v>
      </c>
      <c r="BB400" s="66"/>
      <c r="BC400" s="66">
        <v>423439379</v>
      </c>
      <c r="BD400" s="66"/>
      <c r="BE400" s="66">
        <f t="shared" si="342"/>
        <v>78439</v>
      </c>
      <c r="BF400" s="66"/>
      <c r="BG400" s="144">
        <f t="shared" si="343"/>
        <v>5.9757675119494022E-2</v>
      </c>
      <c r="BH400" s="66"/>
      <c r="BI400" s="170"/>
      <c r="BJ400" s="66"/>
      <c r="BK400" s="66">
        <f t="shared" si="344"/>
        <v>9960705</v>
      </c>
      <c r="BL400" s="66"/>
      <c r="BM400" s="144">
        <f t="shared" si="345"/>
        <v>4.9480834940900269E-2</v>
      </c>
      <c r="BN400" s="65">
        <f t="shared" si="346"/>
        <v>1082965.1636828645</v>
      </c>
      <c r="BO400" s="66"/>
      <c r="BP400" s="66">
        <f t="shared" si="347"/>
        <v>30916124</v>
      </c>
      <c r="BQ400" s="66"/>
      <c r="BR400" s="435">
        <f t="shared" si="348"/>
        <v>7.301192457114386E-2</v>
      </c>
      <c r="BS400" s="66"/>
      <c r="BT400" s="75"/>
      <c r="BU400" s="170"/>
      <c r="BV400" s="1"/>
      <c r="BW400" s="61">
        <f t="shared" si="186"/>
        <v>391</v>
      </c>
    </row>
    <row r="401" spans="2:75" x14ac:dyDescent="0.3">
      <c r="B401" s="158">
        <f t="shared" si="161"/>
        <v>44301</v>
      </c>
      <c r="C401" s="61"/>
      <c r="D401" s="17">
        <v>74479</v>
      </c>
      <c r="E401" s="16"/>
      <c r="F401" s="16"/>
      <c r="G401" s="16"/>
      <c r="H401" s="16">
        <f t="shared" si="325"/>
        <v>31897581</v>
      </c>
      <c r="I401" s="16"/>
      <c r="J401" s="436">
        <f t="shared" si="326"/>
        <v>2.3404066643157541E-3</v>
      </c>
      <c r="K401" s="16"/>
      <c r="L401" s="16"/>
      <c r="M401" s="16"/>
      <c r="N401" s="16">
        <f t="shared" si="327"/>
        <v>487182</v>
      </c>
      <c r="O401" s="16">
        <f t="shared" si="328"/>
        <v>81371.380102040814</v>
      </c>
      <c r="P401" s="41"/>
      <c r="Q401" s="17">
        <f t="shared" si="329"/>
        <v>487182</v>
      </c>
      <c r="R401" s="16"/>
      <c r="S401" s="60">
        <f t="shared" si="330"/>
        <v>8.6412209654975564E-2</v>
      </c>
      <c r="T401" s="16"/>
      <c r="U401" s="41"/>
      <c r="V401" s="10">
        <f t="shared" si="349"/>
        <v>293</v>
      </c>
      <c r="W401" s="34">
        <v>895</v>
      </c>
      <c r="X401" s="33">
        <v>4256</v>
      </c>
      <c r="Y401" s="33"/>
      <c r="Z401" s="33">
        <f t="shared" si="331"/>
        <v>4107</v>
      </c>
      <c r="AA401" s="33">
        <f t="shared" si="332"/>
        <v>567810</v>
      </c>
      <c r="AB401" s="33"/>
      <c r="AC401" s="46">
        <f t="shared" si="333"/>
        <v>1.7801036385799912E-2</v>
      </c>
      <c r="AD401" s="33"/>
      <c r="AE401" s="33">
        <f t="shared" si="334"/>
        <v>1448.4948979591836</v>
      </c>
      <c r="AF401" s="50"/>
      <c r="AG401" s="33">
        <f t="shared" si="335"/>
        <v>5036</v>
      </c>
      <c r="AH401" s="33">
        <f>SUM(D372:D1053)</f>
        <v>1198058281.060914</v>
      </c>
      <c r="AI401" s="213">
        <f t="shared" si="336"/>
        <v>-6.5677179962894253E-2</v>
      </c>
      <c r="AJ401" s="50"/>
      <c r="AK401" s="111"/>
      <c r="AL401" s="23">
        <f t="shared" si="337"/>
        <v>74819</v>
      </c>
      <c r="AM401" s="24"/>
      <c r="AN401" s="24"/>
      <c r="AO401" s="24">
        <v>178263</v>
      </c>
      <c r="AP401" s="24">
        <v>24770980</v>
      </c>
      <c r="AQ401" s="24">
        <v>20336656</v>
      </c>
      <c r="AR401" s="461">
        <f t="shared" si="338"/>
        <v>3.0295801845477118E-3</v>
      </c>
      <c r="AS401" s="25"/>
      <c r="AT401" s="25"/>
      <c r="AU401" s="24"/>
      <c r="AV401" s="298">
        <f t="shared" si="339"/>
        <v>0.77657863773431601</v>
      </c>
      <c r="AW401" s="298"/>
      <c r="AX401" s="24">
        <f t="shared" si="340"/>
        <v>63191.275510204083</v>
      </c>
      <c r="AY401" s="308"/>
      <c r="AZ401" s="111"/>
      <c r="BA401" s="65">
        <f t="shared" si="341"/>
        <v>1463953</v>
      </c>
      <c r="BB401" s="66"/>
      <c r="BC401" s="66">
        <v>424903332</v>
      </c>
      <c r="BD401" s="66"/>
      <c r="BE401" s="66">
        <f t="shared" si="342"/>
        <v>74479</v>
      </c>
      <c r="BF401" s="66"/>
      <c r="BG401" s="144">
        <f t="shared" si="343"/>
        <v>5.0875267170462438E-2</v>
      </c>
      <c r="BH401" s="66"/>
      <c r="BI401" s="170"/>
      <c r="BJ401" s="66"/>
      <c r="BK401" s="66">
        <f t="shared" si="344"/>
        <v>9736179</v>
      </c>
      <c r="BL401" s="66"/>
      <c r="BM401" s="144">
        <f t="shared" si="345"/>
        <v>5.0038315852656362E-2</v>
      </c>
      <c r="BN401" s="65">
        <f t="shared" si="346"/>
        <v>1083937.0714285714</v>
      </c>
      <c r="BO401" s="66"/>
      <c r="BP401" s="66">
        <f t="shared" si="347"/>
        <v>30990603</v>
      </c>
      <c r="BQ401" s="66"/>
      <c r="BR401" s="435">
        <f t="shared" si="348"/>
        <v>7.2935655397496385E-2</v>
      </c>
      <c r="BS401" s="66"/>
      <c r="BT401" s="75"/>
      <c r="BU401" s="170"/>
      <c r="BV401" s="1"/>
      <c r="BW401" s="61">
        <f t="shared" si="186"/>
        <v>392</v>
      </c>
    </row>
    <row r="402" spans="2:75" x14ac:dyDescent="0.3">
      <c r="B402" s="158">
        <f t="shared" si="161"/>
        <v>44302</v>
      </c>
      <c r="C402" s="61"/>
      <c r="D402" s="17">
        <v>81773</v>
      </c>
      <c r="E402" s="16"/>
      <c r="F402" s="16"/>
      <c r="G402" s="16"/>
      <c r="H402" s="16">
        <f t="shared" si="325"/>
        <v>31979354</v>
      </c>
      <c r="I402" s="16"/>
      <c r="J402" s="436">
        <f t="shared" si="326"/>
        <v>2.5636113283950906E-3</v>
      </c>
      <c r="K402" s="16"/>
      <c r="L402" s="16"/>
      <c r="M402" s="16"/>
      <c r="N402" s="16">
        <f t="shared" si="327"/>
        <v>483587</v>
      </c>
      <c r="O402" s="16">
        <f t="shared" si="328"/>
        <v>81372.40203562341</v>
      </c>
      <c r="P402" s="41"/>
      <c r="Q402" s="17">
        <f t="shared" si="329"/>
        <v>483587</v>
      </c>
      <c r="R402" s="16"/>
      <c r="S402" s="60">
        <f t="shared" si="330"/>
        <v>4.2716742565376387E-2</v>
      </c>
      <c r="T402" s="16"/>
      <c r="U402" s="41"/>
      <c r="V402" s="10">
        <f t="shared" si="349"/>
        <v>294</v>
      </c>
      <c r="W402" s="34">
        <v>887</v>
      </c>
      <c r="X402" s="33">
        <v>4256</v>
      </c>
      <c r="Y402" s="33"/>
      <c r="Z402" s="33">
        <f t="shared" si="331"/>
        <v>4252</v>
      </c>
      <c r="AA402" s="33">
        <f t="shared" si="332"/>
        <v>568697</v>
      </c>
      <c r="AB402" s="33"/>
      <c r="AC402" s="46">
        <f t="shared" si="333"/>
        <v>1.7783254783695756E-2</v>
      </c>
      <c r="AD402" s="33"/>
      <c r="AE402" s="33">
        <f t="shared" si="334"/>
        <v>1447.0661577608143</v>
      </c>
      <c r="AF402" s="50"/>
      <c r="AG402" s="33">
        <f t="shared" si="335"/>
        <v>4994</v>
      </c>
      <c r="AH402" s="33">
        <f>SUM(D373:D1054)</f>
        <v>1197994786.060914</v>
      </c>
      <c r="AI402" s="213">
        <f t="shared" si="336"/>
        <v>-6.0925159834524255E-2</v>
      </c>
      <c r="AJ402" s="50"/>
      <c r="AK402" s="111"/>
      <c r="AL402" s="23">
        <f t="shared" si="337"/>
        <v>65207</v>
      </c>
      <c r="AM402" s="24"/>
      <c r="AN402" s="24"/>
      <c r="AO402" s="24">
        <v>178263</v>
      </c>
      <c r="AP402" s="24">
        <v>24836187</v>
      </c>
      <c r="AQ402" s="24">
        <v>20336656</v>
      </c>
      <c r="AR402" s="461">
        <f t="shared" si="338"/>
        <v>2.6323948426747752E-3</v>
      </c>
      <c r="AS402" s="25"/>
      <c r="AT402" s="25"/>
      <c r="AU402" s="24"/>
      <c r="AV402" s="298">
        <f t="shared" si="339"/>
        <v>0.7766319169549204</v>
      </c>
      <c r="AW402" s="298"/>
      <c r="AX402" s="24">
        <f t="shared" si="340"/>
        <v>63196.404580152674</v>
      </c>
      <c r="AY402" s="308"/>
      <c r="AZ402" s="111"/>
      <c r="BA402" s="65">
        <f t="shared" si="341"/>
        <v>1659274</v>
      </c>
      <c r="BB402" s="66"/>
      <c r="BC402" s="66">
        <v>426562606</v>
      </c>
      <c r="BD402" s="66"/>
      <c r="BE402" s="66">
        <f t="shared" si="342"/>
        <v>81773</v>
      </c>
      <c r="BF402" s="66"/>
      <c r="BG402" s="144">
        <f t="shared" si="343"/>
        <v>4.9282397000133794E-2</v>
      </c>
      <c r="BH402" s="66"/>
      <c r="BI402" s="170"/>
      <c r="BJ402" s="66"/>
      <c r="BK402" s="66">
        <f t="shared" si="344"/>
        <v>9773276</v>
      </c>
      <c r="BL402" s="66"/>
      <c r="BM402" s="144">
        <f t="shared" si="345"/>
        <v>4.9480542655297978E-2</v>
      </c>
      <c r="BN402" s="65">
        <f t="shared" si="346"/>
        <v>1085401.0330788805</v>
      </c>
      <c r="BO402" s="66"/>
      <c r="BP402" s="66">
        <f t="shared" si="347"/>
        <v>31072376</v>
      </c>
      <c r="BQ402" s="66"/>
      <c r="BR402" s="435">
        <f t="shared" si="348"/>
        <v>7.2843647246472423E-2</v>
      </c>
      <c r="BS402" s="66"/>
      <c r="BT402" s="75"/>
      <c r="BU402" s="170"/>
      <c r="BV402" s="1"/>
      <c r="BW402" s="61">
        <f t="shared" si="186"/>
        <v>393</v>
      </c>
    </row>
    <row r="403" spans="2:75" x14ac:dyDescent="0.3">
      <c r="B403" s="158">
        <f t="shared" si="161"/>
        <v>44303</v>
      </c>
      <c r="C403" s="61"/>
      <c r="D403" s="17">
        <v>63581</v>
      </c>
      <c r="E403" s="16"/>
      <c r="F403" s="16"/>
      <c r="G403" s="16"/>
      <c r="H403" s="16">
        <f t="shared" si="325"/>
        <v>32042935</v>
      </c>
      <c r="I403" s="16"/>
      <c r="J403" s="436">
        <f t="shared" si="326"/>
        <v>1.9881890046934657E-3</v>
      </c>
      <c r="K403" s="16"/>
      <c r="L403" s="16"/>
      <c r="M403" s="16"/>
      <c r="N403" s="16">
        <f t="shared" si="327"/>
        <v>480388</v>
      </c>
      <c r="O403" s="16">
        <f t="shared" si="328"/>
        <v>81327.246192893406</v>
      </c>
      <c r="P403" s="41"/>
      <c r="Q403" s="17">
        <f t="shared" si="329"/>
        <v>480388</v>
      </c>
      <c r="R403" s="16"/>
      <c r="S403" s="60">
        <f t="shared" si="330"/>
        <v>3.442276303719622E-2</v>
      </c>
      <c r="T403" s="16"/>
      <c r="U403" s="41"/>
      <c r="V403" s="10">
        <f t="shared" si="349"/>
        <v>295</v>
      </c>
      <c r="W403" s="34">
        <v>738</v>
      </c>
      <c r="X403" s="33">
        <v>4256</v>
      </c>
      <c r="Y403" s="33"/>
      <c r="Z403" s="33">
        <f t="shared" si="331"/>
        <v>4714</v>
      </c>
      <c r="AA403" s="33">
        <f t="shared" si="332"/>
        <v>569435</v>
      </c>
      <c r="AB403" s="33"/>
      <c r="AC403" s="46">
        <f t="shared" si="333"/>
        <v>1.7771000066005189E-2</v>
      </c>
      <c r="AD403" s="33"/>
      <c r="AE403" s="33">
        <f t="shared" si="334"/>
        <v>1445.266497461929</v>
      </c>
      <c r="AF403" s="50"/>
      <c r="AG403" s="33">
        <f t="shared" si="335"/>
        <v>4990</v>
      </c>
      <c r="AH403" s="33">
        <f>SUM(D374:D1055)</f>
        <v>1197932157.060914</v>
      </c>
      <c r="AI403" s="213">
        <f t="shared" si="336"/>
        <v>-5.0066628593184843E-2</v>
      </c>
      <c r="AJ403" s="50"/>
      <c r="AK403" s="111"/>
      <c r="AL403" s="23">
        <f t="shared" si="337"/>
        <v>69145</v>
      </c>
      <c r="AM403" s="24"/>
      <c r="AN403" s="24"/>
      <c r="AO403" s="24">
        <v>178263</v>
      </c>
      <c r="AP403" s="24">
        <v>24905332</v>
      </c>
      <c r="AQ403" s="24">
        <v>20336656</v>
      </c>
      <c r="AR403" s="461">
        <f t="shared" si="338"/>
        <v>2.7840424941235949E-3</v>
      </c>
      <c r="AS403" s="25"/>
      <c r="AT403" s="25"/>
      <c r="AU403" s="24"/>
      <c r="AV403" s="298">
        <f t="shared" si="339"/>
        <v>0.77724877574416951</v>
      </c>
      <c r="AW403" s="298"/>
      <c r="AX403" s="24">
        <f t="shared" si="340"/>
        <v>63211.502538071065</v>
      </c>
      <c r="AY403" s="308"/>
      <c r="AZ403" s="111"/>
      <c r="BA403" s="65">
        <f t="shared" si="341"/>
        <v>1569235</v>
      </c>
      <c r="BB403" s="66"/>
      <c r="BC403" s="66">
        <v>428131841</v>
      </c>
      <c r="BD403" s="66"/>
      <c r="BE403" s="66">
        <f t="shared" si="342"/>
        <v>63581</v>
      </c>
      <c r="BF403" s="66"/>
      <c r="BG403" s="144">
        <f t="shared" si="343"/>
        <v>4.051719468403394E-2</v>
      </c>
      <c r="BH403" s="66"/>
      <c r="BI403" s="170"/>
      <c r="BJ403" s="66"/>
      <c r="BK403" s="66">
        <f t="shared" si="344"/>
        <v>9901210</v>
      </c>
      <c r="BL403" s="66"/>
      <c r="BM403" s="144">
        <f t="shared" si="345"/>
        <v>4.8518110412767733E-2</v>
      </c>
      <c r="BN403" s="65">
        <f t="shared" si="346"/>
        <v>1086629.0380710659</v>
      </c>
      <c r="BO403" s="66"/>
      <c r="BP403" s="66">
        <f t="shared" si="347"/>
        <v>31135957</v>
      </c>
      <c r="BQ403" s="66"/>
      <c r="BR403" s="435">
        <f t="shared" si="348"/>
        <v>7.27251608459554E-2</v>
      </c>
      <c r="BS403" s="66"/>
      <c r="BT403" s="75"/>
      <c r="BU403" s="170"/>
      <c r="BV403" s="1"/>
      <c r="BW403" s="61">
        <f t="shared" si="186"/>
        <v>394</v>
      </c>
    </row>
    <row r="404" spans="2:75" x14ac:dyDescent="0.3">
      <c r="B404" s="347">
        <f t="shared" si="161"/>
        <v>44304</v>
      </c>
      <c r="C404" s="61"/>
      <c r="D404" s="17">
        <v>43181</v>
      </c>
      <c r="E404" s="16"/>
      <c r="F404" s="16"/>
      <c r="G404" s="16"/>
      <c r="H404" s="16">
        <f t="shared" si="325"/>
        <v>32086116</v>
      </c>
      <c r="I404" s="16"/>
      <c r="J404" s="436">
        <f t="shared" si="326"/>
        <v>1.3475981522916051E-3</v>
      </c>
      <c r="K404" s="16"/>
      <c r="L404" s="16"/>
      <c r="M404" s="16"/>
      <c r="N404" s="577">
        <f t="shared" si="327"/>
        <v>475695</v>
      </c>
      <c r="O404" s="16">
        <f t="shared" si="328"/>
        <v>81230.673417721526</v>
      </c>
      <c r="P404" s="41"/>
      <c r="Q404" s="17">
        <f t="shared" si="329"/>
        <v>475695</v>
      </c>
      <c r="R404" s="16"/>
      <c r="S404" s="60">
        <f t="shared" si="330"/>
        <v>8.4579406808011053E-4</v>
      </c>
      <c r="T404" s="16"/>
      <c r="U404" s="41"/>
      <c r="V404" s="10">
        <f t="shared" si="349"/>
        <v>296</v>
      </c>
      <c r="W404" s="34">
        <v>310</v>
      </c>
      <c r="X404" s="33">
        <v>4256</v>
      </c>
      <c r="Y404" s="33"/>
      <c r="Z404" s="33">
        <f t="shared" si="331"/>
        <v>4564</v>
      </c>
      <c r="AA404" s="33">
        <f t="shared" si="332"/>
        <v>569745</v>
      </c>
      <c r="AB404" s="33"/>
      <c r="AC404" s="46">
        <f t="shared" si="333"/>
        <v>1.7756745627922059E-2</v>
      </c>
      <c r="AD404" s="33"/>
      <c r="AE404" s="33">
        <f t="shared" si="334"/>
        <v>1442.3924050632911</v>
      </c>
      <c r="AF404" s="50"/>
      <c r="AG404" s="33">
        <f t="shared" si="335"/>
        <v>5024</v>
      </c>
      <c r="AH404" s="33">
        <f>SUM(D375:D1056)</f>
        <v>1197865744.060914</v>
      </c>
      <c r="AI404" s="213">
        <f t="shared" si="336"/>
        <v>-4.4685301388096593E-2</v>
      </c>
      <c r="AJ404" s="50"/>
      <c r="AK404" s="111"/>
      <c r="AL404" s="23">
        <f t="shared" si="337"/>
        <v>55897</v>
      </c>
      <c r="AM404" s="24"/>
      <c r="AN404" s="24"/>
      <c r="AO404" s="24">
        <v>178263</v>
      </c>
      <c r="AP404" s="24">
        <v>24961229</v>
      </c>
      <c r="AQ404" s="24">
        <v>20336656</v>
      </c>
      <c r="AR404" s="461">
        <f t="shared" si="338"/>
        <v>2.2443788342191144E-3</v>
      </c>
      <c r="AS404" s="25"/>
      <c r="AT404" s="25"/>
      <c r="AU404" s="24"/>
      <c r="AV404" s="298">
        <f t="shared" si="339"/>
        <v>0.77794485939027336</v>
      </c>
      <c r="AW404" s="298"/>
      <c r="AX404" s="24">
        <f t="shared" si="340"/>
        <v>63192.984810126582</v>
      </c>
      <c r="AY404" s="308"/>
      <c r="AZ404" s="111"/>
      <c r="BA404" s="65">
        <f t="shared" si="341"/>
        <v>1088878</v>
      </c>
      <c r="BB404" s="66"/>
      <c r="BC404" s="66">
        <v>429220719</v>
      </c>
      <c r="BD404" s="66"/>
      <c r="BE404" s="66">
        <f t="shared" si="342"/>
        <v>43181</v>
      </c>
      <c r="BF404" s="66"/>
      <c r="BG404" s="144">
        <f t="shared" si="343"/>
        <v>3.9656416972332992E-2</v>
      </c>
      <c r="BH404" s="66"/>
      <c r="BI404" s="170"/>
      <c r="BJ404" s="66"/>
      <c r="BK404" s="66">
        <f t="shared" si="344"/>
        <v>9833215</v>
      </c>
      <c r="BL404" s="66"/>
      <c r="BM404" s="144">
        <f t="shared" si="345"/>
        <v>4.8376344867878916E-2</v>
      </c>
      <c r="BN404" s="65">
        <f t="shared" si="346"/>
        <v>1086634.7316455697</v>
      </c>
      <c r="BO404" s="66"/>
      <c r="BP404" s="66">
        <f t="shared" si="347"/>
        <v>31179138</v>
      </c>
      <c r="BQ404" s="66"/>
      <c r="BR404" s="435">
        <f t="shared" si="348"/>
        <v>7.2641269677384795E-2</v>
      </c>
      <c r="BS404" s="66"/>
      <c r="BT404" s="75"/>
      <c r="BU404" s="170"/>
      <c r="BV404" s="1"/>
      <c r="BW404" s="61">
        <f t="shared" si="186"/>
        <v>395</v>
      </c>
    </row>
    <row r="405" spans="2:75" x14ac:dyDescent="0.3">
      <c r="B405" s="158">
        <f t="shared" si="161"/>
        <v>44305</v>
      </c>
      <c r="C405" s="61"/>
      <c r="D405" s="17">
        <v>51650</v>
      </c>
      <c r="E405" s="16"/>
      <c r="F405" s="16"/>
      <c r="G405" s="16"/>
      <c r="H405" s="16">
        <f t="shared" si="325"/>
        <v>32137766</v>
      </c>
      <c r="I405" s="16"/>
      <c r="J405" s="436">
        <f t="shared" si="326"/>
        <v>1.6097305139705909E-3</v>
      </c>
      <c r="K405" s="16"/>
      <c r="L405" s="16"/>
      <c r="M405" s="16"/>
      <c r="N405" s="16">
        <f t="shared" si="327"/>
        <v>470823</v>
      </c>
      <c r="O405" s="16">
        <f t="shared" si="328"/>
        <v>81155.974747474742</v>
      </c>
      <c r="P405" s="41"/>
      <c r="Q405" s="17">
        <f t="shared" si="329"/>
        <v>470823</v>
      </c>
      <c r="R405" s="16"/>
      <c r="S405" s="60">
        <f t="shared" si="330"/>
        <v>-7.0607439088430125E-3</v>
      </c>
      <c r="T405" s="16"/>
      <c r="U405" s="41"/>
      <c r="V405" s="10">
        <f t="shared" si="349"/>
        <v>297</v>
      </c>
      <c r="W405" s="34">
        <v>488</v>
      </c>
      <c r="X405" s="33">
        <v>4256</v>
      </c>
      <c r="Y405" s="33"/>
      <c r="Z405" s="33">
        <f t="shared" si="331"/>
        <v>4233</v>
      </c>
      <c r="AA405" s="33">
        <f t="shared" si="332"/>
        <v>570233</v>
      </c>
      <c r="AB405" s="33"/>
      <c r="AC405" s="46">
        <f t="shared" si="333"/>
        <v>1.7743392617893851E-2</v>
      </c>
      <c r="AD405" s="33"/>
      <c r="AE405" s="33">
        <f t="shared" si="334"/>
        <v>1439.9823232323233</v>
      </c>
      <c r="AF405" s="50"/>
      <c r="AG405" s="33">
        <f t="shared" si="335"/>
        <v>5052</v>
      </c>
      <c r="AH405" s="33">
        <f>SUM(D376:D1057)</f>
        <v>1197809836.060914</v>
      </c>
      <c r="AI405" s="213">
        <f t="shared" si="336"/>
        <v>-2.7526467757459094E-2</v>
      </c>
      <c r="AJ405" s="50"/>
      <c r="AK405" s="111"/>
      <c r="AL405" s="23">
        <f t="shared" si="337"/>
        <v>82234</v>
      </c>
      <c r="AM405" s="24"/>
      <c r="AN405" s="24"/>
      <c r="AO405" s="24">
        <v>178263</v>
      </c>
      <c r="AP405" s="24">
        <v>25043463</v>
      </c>
      <c r="AQ405" s="24">
        <v>20336656</v>
      </c>
      <c r="AR405" s="461">
        <f t="shared" si="338"/>
        <v>3.2944691946057625E-3</v>
      </c>
      <c r="AS405" s="25"/>
      <c r="AT405" s="25"/>
      <c r="AU405" s="24"/>
      <c r="AV405" s="298">
        <f t="shared" si="339"/>
        <v>0.77925338680977385</v>
      </c>
      <c r="AW405" s="298"/>
      <c r="AX405" s="24">
        <f t="shared" si="340"/>
        <v>63241.068181818184</v>
      </c>
      <c r="AY405" s="308"/>
      <c r="AZ405" s="111"/>
      <c r="BA405" s="65">
        <f t="shared" si="341"/>
        <v>1665900</v>
      </c>
      <c r="BB405" s="66"/>
      <c r="BC405" s="66">
        <v>430886619</v>
      </c>
      <c r="BD405" s="66"/>
      <c r="BE405" s="66">
        <f t="shared" si="342"/>
        <v>51650</v>
      </c>
      <c r="BF405" s="66"/>
      <c r="BG405" s="144">
        <f t="shared" si="343"/>
        <v>3.1004261960501833E-2</v>
      </c>
      <c r="BH405" s="66"/>
      <c r="BI405" s="170"/>
      <c r="BJ405" s="66"/>
      <c r="BK405" s="66">
        <f t="shared" si="344"/>
        <v>10063920</v>
      </c>
      <c r="BL405" s="66"/>
      <c r="BM405" s="144">
        <f t="shared" si="345"/>
        <v>4.6783261393174826E-2</v>
      </c>
      <c r="BN405" s="65">
        <f t="shared" si="346"/>
        <v>1088097.5227272727</v>
      </c>
      <c r="BO405" s="66"/>
      <c r="BP405" s="66">
        <f t="shared" si="347"/>
        <v>31230788</v>
      </c>
      <c r="BQ405" s="66"/>
      <c r="BR405" s="435">
        <f t="shared" si="348"/>
        <v>7.2480292083519082E-2</v>
      </c>
      <c r="BS405" s="66"/>
      <c r="BT405" s="75"/>
      <c r="BU405" s="170"/>
      <c r="BV405" s="1"/>
      <c r="BW405" s="61">
        <f t="shared" si="186"/>
        <v>396</v>
      </c>
    </row>
    <row r="406" spans="2:75" x14ac:dyDescent="0.3">
      <c r="B406" s="158">
        <f t="shared" si="161"/>
        <v>44306</v>
      </c>
      <c r="C406" s="61"/>
      <c r="D406" s="17">
        <v>60317</v>
      </c>
      <c r="E406" s="16"/>
      <c r="F406" s="16"/>
      <c r="G406" s="16"/>
      <c r="H406" s="16">
        <f t="shared" si="325"/>
        <v>32198083</v>
      </c>
      <c r="I406" s="16"/>
      <c r="J406" s="436">
        <f t="shared" si="326"/>
        <v>1.8768261614699666E-3</v>
      </c>
      <c r="K406" s="16"/>
      <c r="L406" s="16"/>
      <c r="M406" s="16"/>
      <c r="N406" s="16">
        <f t="shared" si="327"/>
        <v>453420</v>
      </c>
      <c r="O406" s="16">
        <f t="shared" si="328"/>
        <v>81103.483627204027</v>
      </c>
      <c r="P406" s="41"/>
      <c r="Q406" s="17">
        <f t="shared" si="329"/>
        <v>453420</v>
      </c>
      <c r="R406" s="16"/>
      <c r="S406" s="60">
        <f t="shared" si="330"/>
        <v>-7.3912190977271613E-2</v>
      </c>
      <c r="T406" s="16"/>
      <c r="U406" s="41"/>
      <c r="V406" s="10">
        <f t="shared" si="349"/>
        <v>298</v>
      </c>
      <c r="W406" s="34">
        <v>883</v>
      </c>
      <c r="X406" s="33">
        <v>4256</v>
      </c>
      <c r="Y406" s="33"/>
      <c r="Z406" s="33">
        <f t="shared" si="331"/>
        <v>4201</v>
      </c>
      <c r="AA406" s="33">
        <f t="shared" si="332"/>
        <v>571116</v>
      </c>
      <c r="AB406" s="33"/>
      <c r="AC406" s="46">
        <f t="shared" si="333"/>
        <v>1.7737577730947522E-2</v>
      </c>
      <c r="AD406" s="33"/>
      <c r="AE406" s="33">
        <f t="shared" si="334"/>
        <v>1438.5793450881613</v>
      </c>
      <c r="AF406" s="50"/>
      <c r="AG406" s="33">
        <f t="shared" si="335"/>
        <v>5116</v>
      </c>
      <c r="AH406" s="33">
        <f>SUM(D377:D1058)</f>
        <v>1197770331.060914</v>
      </c>
      <c r="AI406" s="213">
        <f t="shared" si="336"/>
        <v>1.5661707126076742E-3</v>
      </c>
      <c r="AJ406" s="50"/>
      <c r="AK406" s="111"/>
      <c r="AL406" s="23">
        <f t="shared" si="337"/>
        <v>62072</v>
      </c>
      <c r="AM406" s="24"/>
      <c r="AN406" s="24"/>
      <c r="AO406" s="24">
        <v>178263</v>
      </c>
      <c r="AP406" s="24">
        <v>25105535</v>
      </c>
      <c r="AQ406" s="24">
        <v>20336656</v>
      </c>
      <c r="AR406" s="461">
        <f t="shared" si="338"/>
        <v>2.4785709548236202E-3</v>
      </c>
      <c r="AS406" s="25"/>
      <c r="AT406" s="25"/>
      <c r="AU406" s="24"/>
      <c r="AV406" s="298">
        <f t="shared" si="339"/>
        <v>0.7797214200609397</v>
      </c>
      <c r="AW406" s="298"/>
      <c r="AX406" s="24">
        <f t="shared" si="340"/>
        <v>63238.123425692698</v>
      </c>
      <c r="AY406" s="308"/>
      <c r="AZ406" s="111"/>
      <c r="BA406" s="65">
        <f t="shared" si="341"/>
        <v>1055104</v>
      </c>
      <c r="BB406" s="66"/>
      <c r="BC406" s="66">
        <v>431941723</v>
      </c>
      <c r="BD406" s="66"/>
      <c r="BE406" s="66">
        <f t="shared" si="342"/>
        <v>60317</v>
      </c>
      <c r="BF406" s="66"/>
      <c r="BG406" s="144">
        <f t="shared" si="343"/>
        <v>5.7166876440616278E-2</v>
      </c>
      <c r="BH406" s="66"/>
      <c r="BI406" s="170"/>
      <c r="BJ406" s="66"/>
      <c r="BK406" s="66">
        <f t="shared" si="344"/>
        <v>9814962</v>
      </c>
      <c r="BL406" s="66"/>
      <c r="BM406" s="144">
        <f t="shared" si="345"/>
        <v>4.6196816656040036E-2</v>
      </c>
      <c r="BN406" s="65">
        <f t="shared" si="346"/>
        <v>1088014.4156171284</v>
      </c>
      <c r="BO406" s="66"/>
      <c r="BP406" s="66">
        <f t="shared" si="347"/>
        <v>31291105</v>
      </c>
      <c r="BQ406" s="66"/>
      <c r="BR406" s="435">
        <f t="shared" si="348"/>
        <v>7.244288600478635E-2</v>
      </c>
      <c r="BS406" s="66"/>
      <c r="BT406" s="75"/>
      <c r="BU406" s="170"/>
      <c r="BV406" s="1"/>
      <c r="BW406" s="61">
        <f t="shared" si="186"/>
        <v>397</v>
      </c>
    </row>
    <row r="407" spans="2:75" x14ac:dyDescent="0.3">
      <c r="B407" s="158">
        <f t="shared" si="161"/>
        <v>44307</v>
      </c>
      <c r="C407" s="61"/>
      <c r="D407" s="17">
        <v>65057</v>
      </c>
      <c r="E407" s="16"/>
      <c r="F407" s="16"/>
      <c r="G407" s="16"/>
      <c r="H407" s="16">
        <f t="shared" si="325"/>
        <v>32263140</v>
      </c>
      <c r="I407" s="16"/>
      <c r="J407" s="436">
        <f t="shared" si="326"/>
        <v>2.020524016911193E-3</v>
      </c>
      <c r="K407" s="16"/>
      <c r="L407" s="16"/>
      <c r="M407" s="16"/>
      <c r="N407" s="16">
        <f t="shared" si="327"/>
        <v>440038</v>
      </c>
      <c r="O407" s="16">
        <f t="shared" si="328"/>
        <v>81063.165829145728</v>
      </c>
      <c r="P407" s="41"/>
      <c r="Q407" s="17">
        <f t="shared" si="329"/>
        <v>440038</v>
      </c>
      <c r="R407" s="16"/>
      <c r="S407" s="60">
        <f t="shared" si="330"/>
        <v>-0.10718169718218414</v>
      </c>
      <c r="T407" s="16"/>
      <c r="U407" s="41"/>
      <c r="V407" s="10">
        <f t="shared" si="349"/>
        <v>299</v>
      </c>
      <c r="W407" s="34">
        <v>876</v>
      </c>
      <c r="X407" s="33">
        <v>4256</v>
      </c>
      <c r="Y407" s="33"/>
      <c r="Z407" s="33">
        <f t="shared" si="331"/>
        <v>4182</v>
      </c>
      <c r="AA407" s="33">
        <f t="shared" si="332"/>
        <v>571992</v>
      </c>
      <c r="AB407" s="33"/>
      <c r="AC407" s="46">
        <f t="shared" si="333"/>
        <v>1.772896252503631E-2</v>
      </c>
      <c r="AD407" s="33"/>
      <c r="AE407" s="33">
        <f t="shared" si="334"/>
        <v>1437.1658291457286</v>
      </c>
      <c r="AF407" s="50"/>
      <c r="AG407" s="33">
        <f t="shared" si="335"/>
        <v>5077</v>
      </c>
      <c r="AH407" s="33">
        <f>SUM(D378:D1059)</f>
        <v>1197724583.060914</v>
      </c>
      <c r="AI407" s="213">
        <f t="shared" si="336"/>
        <v>-1.4174757281553398E-2</v>
      </c>
      <c r="AJ407" s="50"/>
      <c r="AK407" s="111"/>
      <c r="AL407" s="23">
        <f t="shared" si="337"/>
        <v>71899</v>
      </c>
      <c r="AM407" s="24"/>
      <c r="AN407" s="24"/>
      <c r="AO407" s="24">
        <v>178263</v>
      </c>
      <c r="AP407" s="24">
        <v>25177434</v>
      </c>
      <c r="AQ407" s="24">
        <v>20336656</v>
      </c>
      <c r="AR407" s="461">
        <f t="shared" si="338"/>
        <v>2.8638704572517574E-3</v>
      </c>
      <c r="AS407" s="25"/>
      <c r="AT407" s="25"/>
      <c r="AU407" s="24"/>
      <c r="AV407" s="298">
        <f t="shared" si="339"/>
        <v>0.78037766937750019</v>
      </c>
      <c r="AW407" s="298"/>
      <c r="AX407" s="24">
        <f t="shared" si="340"/>
        <v>63259.884422110554</v>
      </c>
      <c r="AY407" s="308"/>
      <c r="AZ407" s="111"/>
      <c r="BA407" s="65">
        <f t="shared" si="341"/>
        <v>1497923</v>
      </c>
      <c r="BB407" s="66"/>
      <c r="BC407" s="66">
        <v>433439646</v>
      </c>
      <c r="BD407" s="66"/>
      <c r="BE407" s="66">
        <f t="shared" si="342"/>
        <v>65057</v>
      </c>
      <c r="BF407" s="66"/>
      <c r="BG407" s="144">
        <f t="shared" si="343"/>
        <v>4.3431471444126298E-2</v>
      </c>
      <c r="BH407" s="66"/>
      <c r="BI407" s="170"/>
      <c r="BJ407" s="66"/>
      <c r="BK407" s="66">
        <f t="shared" si="344"/>
        <v>10000267</v>
      </c>
      <c r="BL407" s="66"/>
      <c r="BM407" s="144">
        <f t="shared" si="345"/>
        <v>4.4002625129909032E-2</v>
      </c>
      <c r="BN407" s="65">
        <f t="shared" si="346"/>
        <v>1089044.336683417</v>
      </c>
      <c r="BO407" s="66"/>
      <c r="BP407" s="66">
        <f t="shared" si="347"/>
        <v>31356162</v>
      </c>
      <c r="BQ407" s="66"/>
      <c r="BR407" s="435">
        <f t="shared" si="348"/>
        <v>7.2342625528999255E-2</v>
      </c>
      <c r="BS407" s="66"/>
      <c r="BT407" s="75"/>
      <c r="BU407" s="170"/>
      <c r="BV407" s="1"/>
      <c r="BW407" s="61">
        <f t="shared" si="186"/>
        <v>398</v>
      </c>
    </row>
    <row r="408" spans="2:75" x14ac:dyDescent="0.3">
      <c r="B408" s="158">
        <f t="shared" si="161"/>
        <v>44308</v>
      </c>
      <c r="C408" s="61"/>
      <c r="D408" s="17">
        <v>67070</v>
      </c>
      <c r="E408" s="16"/>
      <c r="F408" s="16"/>
      <c r="G408" s="16"/>
      <c r="H408" s="16">
        <f t="shared" si="325"/>
        <v>32330210</v>
      </c>
      <c r="I408" s="16"/>
      <c r="J408" s="436">
        <f t="shared" si="326"/>
        <v>2.0788429148557767E-3</v>
      </c>
      <c r="K408" s="16"/>
      <c r="L408" s="16"/>
      <c r="M408" s="16"/>
      <c r="N408" s="16">
        <f t="shared" si="327"/>
        <v>432629</v>
      </c>
      <c r="O408" s="16">
        <f t="shared" si="328"/>
        <v>81028.095238095237</v>
      </c>
      <c r="P408" s="41"/>
      <c r="Q408" s="17">
        <f t="shared" si="329"/>
        <v>432629</v>
      </c>
      <c r="R408" s="16"/>
      <c r="S408" s="60">
        <f t="shared" si="330"/>
        <v>-0.11197663296262998</v>
      </c>
      <c r="T408" s="16"/>
      <c r="U408" s="41"/>
      <c r="V408" s="10">
        <f t="shared" si="349"/>
        <v>300</v>
      </c>
      <c r="W408" s="34">
        <v>896</v>
      </c>
      <c r="X408" s="33">
        <v>4256</v>
      </c>
      <c r="Y408" s="33"/>
      <c r="Z408" s="33">
        <f t="shared" si="331"/>
        <v>4191</v>
      </c>
      <c r="AA408" s="33">
        <f t="shared" si="332"/>
        <v>572888</v>
      </c>
      <c r="AB408" s="33"/>
      <c r="AC408" s="46">
        <f t="shared" si="333"/>
        <v>1.7719897272550966E-2</v>
      </c>
      <c r="AD408" s="33"/>
      <c r="AE408" s="33">
        <f t="shared" si="334"/>
        <v>1435.8095238095239</v>
      </c>
      <c r="AF408" s="50"/>
      <c r="AG408" s="33">
        <f t="shared" si="335"/>
        <v>5078</v>
      </c>
      <c r="AH408" s="33">
        <f>SUM(D379:D1060)</f>
        <v>1197665878.060914</v>
      </c>
      <c r="AI408" s="213">
        <f t="shared" si="336"/>
        <v>8.339952343129467E-3</v>
      </c>
      <c r="AJ408" s="50"/>
      <c r="AK408" s="111"/>
      <c r="AL408" s="23">
        <f t="shared" si="337"/>
        <v>59224</v>
      </c>
      <c r="AM408" s="24"/>
      <c r="AN408" s="24"/>
      <c r="AO408" s="24">
        <v>178263</v>
      </c>
      <c r="AP408" s="24">
        <v>25236658</v>
      </c>
      <c r="AQ408" s="24">
        <v>20336656</v>
      </c>
      <c r="AR408" s="461">
        <f t="shared" si="338"/>
        <v>2.3522651275741601E-3</v>
      </c>
      <c r="AS408" s="25"/>
      <c r="AT408" s="25"/>
      <c r="AU408" s="24"/>
      <c r="AV408" s="298">
        <f t="shared" si="339"/>
        <v>0.78059059931871766</v>
      </c>
      <c r="AW408" s="298"/>
      <c r="AX408" s="24">
        <f t="shared" si="340"/>
        <v>63249.769423558901</v>
      </c>
      <c r="AY408" s="308"/>
      <c r="AZ408" s="111"/>
      <c r="BA408" s="65">
        <f t="shared" si="341"/>
        <v>1998966</v>
      </c>
      <c r="BB408" s="66"/>
      <c r="BC408" s="66">
        <v>435438612</v>
      </c>
      <c r="BD408" s="66"/>
      <c r="BE408" s="66">
        <f t="shared" si="342"/>
        <v>67070</v>
      </c>
      <c r="BF408" s="66"/>
      <c r="BG408" s="144">
        <f t="shared" si="343"/>
        <v>3.3552346563173158E-2</v>
      </c>
      <c r="BH408" s="66"/>
      <c r="BI408" s="170"/>
      <c r="BJ408" s="66"/>
      <c r="BK408" s="66">
        <f t="shared" si="344"/>
        <v>10535280</v>
      </c>
      <c r="BL408" s="66"/>
      <c r="BM408" s="144">
        <f t="shared" si="345"/>
        <v>4.1064784229749948E-2</v>
      </c>
      <c r="BN408" s="65">
        <f t="shared" si="346"/>
        <v>1091324.8421052631</v>
      </c>
      <c r="BO408" s="66"/>
      <c r="BP408" s="66">
        <f t="shared" si="347"/>
        <v>31423232</v>
      </c>
      <c r="BQ408" s="66"/>
      <c r="BR408" s="435">
        <f t="shared" si="348"/>
        <v>7.2164551176733954E-2</v>
      </c>
      <c r="BS408" s="66"/>
      <c r="BT408" s="75"/>
      <c r="BU408" s="170"/>
      <c r="BV408" s="1"/>
      <c r="BW408" s="61">
        <f t="shared" si="186"/>
        <v>399</v>
      </c>
    </row>
    <row r="409" spans="2:75" x14ac:dyDescent="0.3">
      <c r="B409" s="158">
        <f t="shared" si="161"/>
        <v>44309</v>
      </c>
      <c r="C409" s="61"/>
      <c r="D409" s="17">
        <v>66515</v>
      </c>
      <c r="E409" s="16"/>
      <c r="F409" s="16"/>
      <c r="G409" s="16"/>
      <c r="H409" s="16">
        <f t="shared" si="325"/>
        <v>32396725</v>
      </c>
      <c r="I409" s="16"/>
      <c r="J409" s="436">
        <f t="shared" si="326"/>
        <v>2.0573636855436448E-3</v>
      </c>
      <c r="K409" s="16"/>
      <c r="L409" s="16"/>
      <c r="M409" s="16"/>
      <c r="N409" s="16">
        <f t="shared" si="327"/>
        <v>417371</v>
      </c>
      <c r="O409" s="16">
        <f t="shared" si="328"/>
        <v>80991.8125</v>
      </c>
      <c r="P409" s="41"/>
      <c r="Q409" s="17">
        <f t="shared" si="329"/>
        <v>417371</v>
      </c>
      <c r="R409" s="16"/>
      <c r="S409" s="60">
        <f t="shared" si="330"/>
        <v>-0.13692675774989815</v>
      </c>
      <c r="T409" s="16"/>
      <c r="U409" s="41"/>
      <c r="V409" s="10">
        <f t="shared" si="349"/>
        <v>301</v>
      </c>
      <c r="W409" s="34">
        <v>790</v>
      </c>
      <c r="X409" s="33">
        <v>4256</v>
      </c>
      <c r="Y409" s="33"/>
      <c r="Z409" s="33">
        <f t="shared" si="331"/>
        <v>4243</v>
      </c>
      <c r="AA409" s="33">
        <f t="shared" si="332"/>
        <v>573678</v>
      </c>
      <c r="AB409" s="33"/>
      <c r="AC409" s="46">
        <f t="shared" si="333"/>
        <v>1.7707901030119558E-2</v>
      </c>
      <c r="AD409" s="33"/>
      <c r="AE409" s="33">
        <f t="shared" si="334"/>
        <v>1434.1949999999999</v>
      </c>
      <c r="AF409" s="50"/>
      <c r="AG409" s="33">
        <f t="shared" si="335"/>
        <v>4981</v>
      </c>
      <c r="AH409" s="33">
        <f>SUM(D380:D1061)</f>
        <v>1197599340.060914</v>
      </c>
      <c r="AI409" s="213">
        <f t="shared" si="336"/>
        <v>-2.603123748498198E-3</v>
      </c>
      <c r="AJ409" s="50"/>
      <c r="AK409" s="111"/>
      <c r="AL409" s="23">
        <f t="shared" si="337"/>
        <v>59389</v>
      </c>
      <c r="AM409" s="24"/>
      <c r="AN409" s="24"/>
      <c r="AO409" s="24">
        <v>178263</v>
      </c>
      <c r="AP409" s="24">
        <v>25296047</v>
      </c>
      <c r="AQ409" s="24">
        <v>20336656</v>
      </c>
      <c r="AR409" s="461">
        <f t="shared" si="338"/>
        <v>2.3532830694143417E-3</v>
      </c>
      <c r="AS409" s="25"/>
      <c r="AT409" s="25"/>
      <c r="AU409" s="24"/>
      <c r="AV409" s="298">
        <f t="shared" si="339"/>
        <v>0.78082111694932121</v>
      </c>
      <c r="AW409" s="298"/>
      <c r="AX409" s="24">
        <f t="shared" si="340"/>
        <v>63240.1175</v>
      </c>
      <c r="AY409" s="308"/>
      <c r="AZ409" s="111"/>
      <c r="BA409" s="65">
        <f t="shared" si="341"/>
        <v>1629469</v>
      </c>
      <c r="BB409" s="66"/>
      <c r="BC409" s="66">
        <v>437068081</v>
      </c>
      <c r="BD409" s="66"/>
      <c r="BE409" s="66">
        <f t="shared" si="342"/>
        <v>66515</v>
      </c>
      <c r="BF409" s="66"/>
      <c r="BG409" s="144">
        <f t="shared" si="343"/>
        <v>4.0820046285016773E-2</v>
      </c>
      <c r="BH409" s="66"/>
      <c r="BI409" s="170"/>
      <c r="BJ409" s="66"/>
      <c r="BK409" s="66">
        <f t="shared" si="344"/>
        <v>10505475</v>
      </c>
      <c r="BL409" s="66"/>
      <c r="BM409" s="144">
        <f t="shared" si="345"/>
        <v>3.9728903262346536E-2</v>
      </c>
      <c r="BN409" s="65">
        <f t="shared" si="346"/>
        <v>1092670.2024999999</v>
      </c>
      <c r="BO409" s="66"/>
      <c r="BP409" s="66">
        <f t="shared" si="347"/>
        <v>31489747</v>
      </c>
      <c r="BQ409" s="66"/>
      <c r="BR409" s="435">
        <f t="shared" si="348"/>
        <v>7.204769318306728E-2</v>
      </c>
      <c r="BS409" s="66"/>
      <c r="BT409" s="75"/>
      <c r="BU409" s="170"/>
      <c r="BV409" s="1"/>
      <c r="BW409" s="61">
        <f t="shared" si="186"/>
        <v>400</v>
      </c>
    </row>
    <row r="410" spans="2:75" x14ac:dyDescent="0.3">
      <c r="B410" s="158">
        <f t="shared" si="161"/>
        <v>44310</v>
      </c>
      <c r="C410" s="61"/>
      <c r="D410" s="17">
        <v>53280</v>
      </c>
      <c r="E410" s="16"/>
      <c r="F410" s="16"/>
      <c r="G410" s="16"/>
      <c r="H410" s="16">
        <f t="shared" si="325"/>
        <v>32450005</v>
      </c>
      <c r="I410" s="16"/>
      <c r="J410" s="436">
        <f t="shared" si="326"/>
        <v>1.6446106820982678E-3</v>
      </c>
      <c r="K410" s="16"/>
      <c r="L410" s="16"/>
      <c r="M410" s="16"/>
      <c r="N410" s="16">
        <f t="shared" si="327"/>
        <v>407070</v>
      </c>
      <c r="O410" s="16">
        <f t="shared" si="328"/>
        <v>80922.705735660842</v>
      </c>
      <c r="P410" s="41"/>
      <c r="Q410" s="17">
        <f t="shared" si="329"/>
        <v>407070</v>
      </c>
      <c r="R410" s="16"/>
      <c r="S410" s="60">
        <f t="shared" si="330"/>
        <v>-0.15262246350866382</v>
      </c>
      <c r="T410" s="16"/>
      <c r="U410" s="41"/>
      <c r="V410" s="10">
        <f t="shared" si="349"/>
        <v>302</v>
      </c>
      <c r="W410" s="34">
        <v>742</v>
      </c>
      <c r="X410" s="33">
        <v>4256</v>
      </c>
      <c r="Y410" s="33"/>
      <c r="Z410" s="33">
        <f t="shared" si="331"/>
        <v>4675</v>
      </c>
      <c r="AA410" s="33">
        <f t="shared" si="332"/>
        <v>574420</v>
      </c>
      <c r="AB410" s="33"/>
      <c r="AC410" s="46">
        <f t="shared" si="333"/>
        <v>1.7701692187720771E-2</v>
      </c>
      <c r="AD410" s="33"/>
      <c r="AE410" s="33">
        <f t="shared" si="334"/>
        <v>1432.4688279301745</v>
      </c>
      <c r="AF410" s="50"/>
      <c r="AG410" s="33">
        <f t="shared" si="335"/>
        <v>4985</v>
      </c>
      <c r="AH410" s="33">
        <f>SUM(D381:D1062)</f>
        <v>1197532294.060914</v>
      </c>
      <c r="AI410" s="213">
        <f t="shared" si="336"/>
        <v>-1.002004008016032E-3</v>
      </c>
      <c r="AJ410" s="50"/>
      <c r="AK410" s="111"/>
      <c r="AL410" s="23">
        <f t="shared" si="337"/>
        <v>43827</v>
      </c>
      <c r="AM410" s="24"/>
      <c r="AN410" s="24"/>
      <c r="AO410" s="24">
        <v>178263</v>
      </c>
      <c r="AP410" s="24">
        <v>25339874</v>
      </c>
      <c r="AQ410" s="24">
        <v>20336656</v>
      </c>
      <c r="AR410" s="461">
        <f t="shared" si="338"/>
        <v>1.7325631945576318E-3</v>
      </c>
      <c r="AS410" s="25"/>
      <c r="AT410" s="25"/>
      <c r="AU410" s="24"/>
      <c r="AV410" s="298">
        <f t="shared" si="339"/>
        <v>0.7808896793698491</v>
      </c>
      <c r="AW410" s="298"/>
      <c r="AX410" s="24">
        <f t="shared" si="340"/>
        <v>63191.705735660849</v>
      </c>
      <c r="AY410" s="308"/>
      <c r="AZ410" s="111"/>
      <c r="BA410" s="65">
        <f t="shared" si="341"/>
        <v>1523347</v>
      </c>
      <c r="BB410" s="66"/>
      <c r="BC410" s="66">
        <v>438591428</v>
      </c>
      <c r="BD410" s="66"/>
      <c r="BE410" s="66">
        <f t="shared" si="342"/>
        <v>53280</v>
      </c>
      <c r="BF410" s="66"/>
      <c r="BG410" s="144">
        <f t="shared" si="343"/>
        <v>3.4975616192502432E-2</v>
      </c>
      <c r="BH410" s="66"/>
      <c r="BI410" s="170"/>
      <c r="BJ410" s="66"/>
      <c r="BK410" s="66">
        <f t="shared" si="344"/>
        <v>10459587</v>
      </c>
      <c r="BL410" s="66"/>
      <c r="BM410" s="144">
        <f t="shared" si="345"/>
        <v>3.8918362646632225E-2</v>
      </c>
      <c r="BN410" s="65">
        <f t="shared" si="346"/>
        <v>1093744.2094763091</v>
      </c>
      <c r="BO410" s="66"/>
      <c r="BP410" s="66">
        <f t="shared" si="347"/>
        <v>31543027</v>
      </c>
      <c r="BQ410" s="66"/>
      <c r="BR410" s="435">
        <f t="shared" si="348"/>
        <v>7.1918931803655772E-2</v>
      </c>
      <c r="BS410" s="66"/>
      <c r="BT410" s="75"/>
      <c r="BU410" s="170"/>
      <c r="BV410" s="1"/>
      <c r="BW410" s="61">
        <f t="shared" si="186"/>
        <v>401</v>
      </c>
    </row>
    <row r="411" spans="2:75" x14ac:dyDescent="0.3">
      <c r="B411" s="347">
        <f t="shared" si="161"/>
        <v>44311</v>
      </c>
      <c r="C411" s="61"/>
      <c r="D411" s="17">
        <v>34736</v>
      </c>
      <c r="E411" s="16"/>
      <c r="F411" s="16"/>
      <c r="G411" s="16"/>
      <c r="H411" s="16">
        <f t="shared" si="325"/>
        <v>32484741</v>
      </c>
      <c r="I411" s="16"/>
      <c r="J411" s="436">
        <f t="shared" si="326"/>
        <v>1.0704466763564442E-3</v>
      </c>
      <c r="K411" s="16"/>
      <c r="L411" s="16"/>
      <c r="M411" s="16"/>
      <c r="N411" s="577">
        <f t="shared" si="327"/>
        <v>398625</v>
      </c>
      <c r="O411" s="16">
        <f t="shared" si="328"/>
        <v>80807.813432835814</v>
      </c>
      <c r="P411" s="41"/>
      <c r="Q411" s="17">
        <f t="shared" si="329"/>
        <v>398625</v>
      </c>
      <c r="R411" s="16"/>
      <c r="S411" s="60">
        <f t="shared" si="330"/>
        <v>-0.16201557720808502</v>
      </c>
      <c r="T411" s="16"/>
      <c r="U411" s="41"/>
      <c r="V411" s="10">
        <f t="shared" si="349"/>
        <v>303</v>
      </c>
      <c r="W411" s="34">
        <v>273</v>
      </c>
      <c r="X411" s="33">
        <v>4256</v>
      </c>
      <c r="Y411" s="33"/>
      <c r="Z411" s="33">
        <f t="shared" si="331"/>
        <v>4460</v>
      </c>
      <c r="AA411" s="33">
        <f t="shared" si="332"/>
        <v>574693</v>
      </c>
      <c r="AB411" s="33"/>
      <c r="AC411" s="46">
        <f t="shared" si="333"/>
        <v>1.7691167677772159E-2</v>
      </c>
      <c r="AD411" s="33"/>
      <c r="AE411" s="33">
        <f t="shared" si="334"/>
        <v>1429.5845771144279</v>
      </c>
      <c r="AF411" s="50"/>
      <c r="AG411" s="33">
        <f t="shared" si="335"/>
        <v>4948</v>
      </c>
      <c r="AH411" s="33">
        <f>SUM(D382:D1063)</f>
        <v>1197455318.060914</v>
      </c>
      <c r="AI411" s="213">
        <f t="shared" si="336"/>
        <v>-1.5127388535031847E-2</v>
      </c>
      <c r="AJ411" s="50"/>
      <c r="AK411" s="111"/>
      <c r="AL411" s="23">
        <f t="shared" si="337"/>
        <v>39957</v>
      </c>
      <c r="AM411" s="24"/>
      <c r="AN411" s="24"/>
      <c r="AO411" s="24">
        <v>178263</v>
      </c>
      <c r="AP411" s="24">
        <v>25379831</v>
      </c>
      <c r="AQ411" s="24">
        <v>20336656</v>
      </c>
      <c r="AR411" s="461">
        <f t="shared" si="338"/>
        <v>1.5768428840648536E-3</v>
      </c>
      <c r="AS411" s="25"/>
      <c r="AT411" s="25"/>
      <c r="AU411" s="24"/>
      <c r="AV411" s="298">
        <f t="shared" si="339"/>
        <v>0.78128469609777706</v>
      </c>
      <c r="AW411" s="298"/>
      <c r="AX411" s="24">
        <f t="shared" si="340"/>
        <v>63133.907960199002</v>
      </c>
      <c r="AY411" s="308"/>
      <c r="AZ411" s="111"/>
      <c r="BA411" s="65">
        <f t="shared" si="341"/>
        <v>1052064</v>
      </c>
      <c r="BB411" s="66"/>
      <c r="BC411" s="66">
        <v>439643492</v>
      </c>
      <c r="BD411" s="66"/>
      <c r="BE411" s="66">
        <f t="shared" si="342"/>
        <v>34736</v>
      </c>
      <c r="BF411" s="66"/>
      <c r="BG411" s="144">
        <f t="shared" si="343"/>
        <v>3.3017002767892448E-2</v>
      </c>
      <c r="BH411" s="66"/>
      <c r="BI411" s="170"/>
      <c r="BJ411" s="66"/>
      <c r="BK411" s="66">
        <f t="shared" si="344"/>
        <v>10422773</v>
      </c>
      <c r="BL411" s="66"/>
      <c r="BM411" s="144">
        <f t="shared" si="345"/>
        <v>3.8245580134960246E-2</v>
      </c>
      <c r="BN411" s="65">
        <f t="shared" si="346"/>
        <v>1093640.5273631841</v>
      </c>
      <c r="BO411" s="66"/>
      <c r="BP411" s="66">
        <f t="shared" si="347"/>
        <v>31577763</v>
      </c>
      <c r="BQ411" s="66"/>
      <c r="BR411" s="435">
        <f t="shared" si="348"/>
        <v>7.1825839741988043E-2</v>
      </c>
      <c r="BS411" s="66"/>
      <c r="BT411" s="75"/>
      <c r="BU411" s="170"/>
      <c r="BV411" s="1"/>
      <c r="BW411" s="61">
        <f t="shared" si="186"/>
        <v>402</v>
      </c>
    </row>
    <row r="412" spans="2:75" x14ac:dyDescent="0.3">
      <c r="B412" s="158">
        <f t="shared" si="161"/>
        <v>44312</v>
      </c>
      <c r="C412" s="61"/>
      <c r="D412" s="17">
        <v>47456</v>
      </c>
      <c r="E412" s="16"/>
      <c r="F412" s="16"/>
      <c r="G412" s="16"/>
      <c r="H412" s="16">
        <f t="shared" si="325"/>
        <v>32532197</v>
      </c>
      <c r="I412" s="16"/>
      <c r="J412" s="436">
        <f t="shared" si="326"/>
        <v>1.4608705053243305E-3</v>
      </c>
      <c r="K412" s="16"/>
      <c r="L412" s="16"/>
      <c r="M412" s="16"/>
      <c r="N412" s="16">
        <f t="shared" si="327"/>
        <v>394431</v>
      </c>
      <c r="O412" s="16">
        <f t="shared" si="328"/>
        <v>80725.054590570726</v>
      </c>
      <c r="P412" s="41"/>
      <c r="Q412" s="17">
        <f t="shared" si="329"/>
        <v>394431</v>
      </c>
      <c r="R412" s="16"/>
      <c r="S412" s="60">
        <f t="shared" si="330"/>
        <v>-0.16225205650531091</v>
      </c>
      <c r="T412" s="16"/>
      <c r="U412" s="41"/>
      <c r="V412" s="10">
        <f t="shared" si="349"/>
        <v>304</v>
      </c>
      <c r="W412" s="34">
        <v>455</v>
      </c>
      <c r="X412" s="33">
        <v>4256</v>
      </c>
      <c r="Y412" s="33"/>
      <c r="Z412" s="33">
        <f t="shared" si="331"/>
        <v>4032</v>
      </c>
      <c r="AA412" s="33">
        <f t="shared" si="332"/>
        <v>575148</v>
      </c>
      <c r="AB412" s="33"/>
      <c r="AC412" s="46">
        <f t="shared" si="333"/>
        <v>1.7679347017356375E-2</v>
      </c>
      <c r="AD412" s="33"/>
      <c r="AE412" s="33">
        <f t="shared" si="334"/>
        <v>1427.1662531017371</v>
      </c>
      <c r="AF412" s="50"/>
      <c r="AG412" s="33">
        <f t="shared" si="335"/>
        <v>4915</v>
      </c>
      <c r="AH412" s="33">
        <f>SUM(D383:D1064)</f>
        <v>1197391659.060914</v>
      </c>
      <c r="AI412" s="213">
        <f t="shared" si="336"/>
        <v>-2.7117973079968331E-2</v>
      </c>
      <c r="AJ412" s="50"/>
      <c r="AK412" s="111"/>
      <c r="AL412" s="23">
        <f t="shared" si="337"/>
        <v>95958</v>
      </c>
      <c r="AM412" s="24"/>
      <c r="AN412" s="24"/>
      <c r="AO412" s="24">
        <v>178263</v>
      </c>
      <c r="AP412" s="24">
        <v>25475789</v>
      </c>
      <c r="AQ412" s="24">
        <v>20336656</v>
      </c>
      <c r="AR412" s="461">
        <f t="shared" si="338"/>
        <v>3.7808762398772473E-3</v>
      </c>
      <c r="AS412" s="25"/>
      <c r="AT412" s="25"/>
      <c r="AU412" s="24"/>
      <c r="AV412" s="298">
        <f t="shared" si="339"/>
        <v>0.78309463698378567</v>
      </c>
      <c r="AW412" s="298"/>
      <c r="AX412" s="24">
        <f t="shared" si="340"/>
        <v>63215.357320099254</v>
      </c>
      <c r="AY412" s="308"/>
      <c r="AZ412" s="111"/>
      <c r="BA412" s="65">
        <f t="shared" si="341"/>
        <v>1545353</v>
      </c>
      <c r="BB412" s="66"/>
      <c r="BC412" s="66">
        <v>441188845</v>
      </c>
      <c r="BD412" s="66"/>
      <c r="BE412" s="66">
        <f t="shared" si="342"/>
        <v>47456</v>
      </c>
      <c r="BF412" s="66"/>
      <c r="BG412" s="144">
        <f t="shared" si="343"/>
        <v>3.0708841280924163E-2</v>
      </c>
      <c r="BH412" s="66"/>
      <c r="BI412" s="170"/>
      <c r="BJ412" s="66"/>
      <c r="BK412" s="66">
        <f t="shared" si="344"/>
        <v>10302226</v>
      </c>
      <c r="BL412" s="66"/>
      <c r="BM412" s="144">
        <f t="shared" si="345"/>
        <v>3.8285997608672143E-2</v>
      </c>
      <c r="BN412" s="65">
        <f t="shared" si="346"/>
        <v>1094761.4019851116</v>
      </c>
      <c r="BO412" s="66"/>
      <c r="BP412" s="66">
        <f t="shared" si="347"/>
        <v>31625219</v>
      </c>
      <c r="BQ412" s="66"/>
      <c r="BR412" s="435">
        <f t="shared" si="348"/>
        <v>7.1681819153881832E-2</v>
      </c>
      <c r="BS412" s="66"/>
      <c r="BT412" s="75"/>
      <c r="BU412" s="170"/>
      <c r="BV412" s="1"/>
      <c r="BW412" s="61">
        <f t="shared" si="186"/>
        <v>403</v>
      </c>
    </row>
    <row r="413" spans="2:75" x14ac:dyDescent="0.3">
      <c r="B413" s="158">
        <f t="shared" si="161"/>
        <v>44313</v>
      </c>
      <c r="C413" s="61"/>
      <c r="D413" s="17">
        <v>52046</v>
      </c>
      <c r="E413" s="16"/>
      <c r="F413" s="16"/>
      <c r="G413" s="16"/>
      <c r="H413" s="16">
        <f t="shared" si="325"/>
        <v>32584243</v>
      </c>
      <c r="I413" s="16"/>
      <c r="J413" s="436">
        <f t="shared" si="326"/>
        <v>1.5998304694884271E-3</v>
      </c>
      <c r="K413" s="16"/>
      <c r="L413" s="16"/>
      <c r="M413" s="16"/>
      <c r="N413" s="16">
        <f t="shared" si="327"/>
        <v>386160</v>
      </c>
      <c r="O413" s="16">
        <f t="shared" si="328"/>
        <v>80654.066831683172</v>
      </c>
      <c r="P413" s="41"/>
      <c r="Q413" s="17">
        <f t="shared" si="329"/>
        <v>386160</v>
      </c>
      <c r="R413" s="16"/>
      <c r="S413" s="60">
        <f t="shared" si="330"/>
        <v>-0.14833928807727934</v>
      </c>
      <c r="T413" s="16"/>
      <c r="U413" s="41"/>
      <c r="V413" s="10">
        <f t="shared" si="349"/>
        <v>305</v>
      </c>
      <c r="W413" s="34">
        <v>885</v>
      </c>
      <c r="X413" s="33">
        <v>4256</v>
      </c>
      <c r="Y413" s="33"/>
      <c r="Z413" s="33">
        <f t="shared" si="331"/>
        <v>4041</v>
      </c>
      <c r="AA413" s="33">
        <f t="shared" si="332"/>
        <v>576033</v>
      </c>
      <c r="AB413" s="33"/>
      <c r="AC413" s="46">
        <f t="shared" si="333"/>
        <v>1.7678268603631517E-2</v>
      </c>
      <c r="AD413" s="33"/>
      <c r="AE413" s="33">
        <f t="shared" si="334"/>
        <v>1425.8242574257426</v>
      </c>
      <c r="AF413" s="50"/>
      <c r="AG413" s="33">
        <f t="shared" si="335"/>
        <v>4917</v>
      </c>
      <c r="AH413" s="33">
        <f>SUM(D384:D1065)</f>
        <v>1197347563.060914</v>
      </c>
      <c r="AI413" s="213">
        <f t="shared" si="336"/>
        <v>-3.8897576231430808E-2</v>
      </c>
      <c r="AJ413" s="50"/>
      <c r="AK413" s="111"/>
      <c r="AL413" s="23">
        <f t="shared" si="337"/>
        <v>46124</v>
      </c>
      <c r="AM413" s="24"/>
      <c r="AN413" s="24"/>
      <c r="AO413" s="24">
        <v>178263</v>
      </c>
      <c r="AP413" s="24">
        <v>25521913</v>
      </c>
      <c r="AQ413" s="24">
        <v>20336656</v>
      </c>
      <c r="AR413" s="461">
        <f t="shared" si="338"/>
        <v>1.8105032978566434E-3</v>
      </c>
      <c r="AS413" s="25"/>
      <c r="AT413" s="25"/>
      <c r="AU413" s="24"/>
      <c r="AV413" s="298">
        <f t="shared" si="339"/>
        <v>0.78325935023256488</v>
      </c>
      <c r="AW413" s="298"/>
      <c r="AX413" s="24">
        <f t="shared" si="340"/>
        <v>63173.051980198019</v>
      </c>
      <c r="AY413" s="308"/>
      <c r="AZ413" s="111"/>
      <c r="BA413" s="65">
        <f t="shared" si="341"/>
        <v>1021807</v>
      </c>
      <c r="BB413" s="66"/>
      <c r="BC413" s="66">
        <v>442210652</v>
      </c>
      <c r="BD413" s="66"/>
      <c r="BE413" s="66">
        <f t="shared" si="342"/>
        <v>52046</v>
      </c>
      <c r="BF413" s="66"/>
      <c r="BG413" s="144">
        <f t="shared" si="343"/>
        <v>5.0935254896472625E-2</v>
      </c>
      <c r="BH413" s="66"/>
      <c r="BI413" s="170"/>
      <c r="BJ413" s="66"/>
      <c r="BK413" s="66">
        <f t="shared" si="344"/>
        <v>10268929</v>
      </c>
      <c r="BL413" s="66"/>
      <c r="BM413" s="144">
        <f t="shared" si="345"/>
        <v>3.7604700548616123E-2</v>
      </c>
      <c r="BN413" s="65">
        <f t="shared" si="346"/>
        <v>1094580.8217821782</v>
      </c>
      <c r="BO413" s="66"/>
      <c r="BP413" s="66">
        <f t="shared" si="347"/>
        <v>31677265</v>
      </c>
      <c r="BQ413" s="66"/>
      <c r="BR413" s="435">
        <f t="shared" si="348"/>
        <v>7.1633880497297478E-2</v>
      </c>
      <c r="BS413" s="66"/>
      <c r="BT413" s="75"/>
      <c r="BU413" s="170"/>
      <c r="BV413" s="1"/>
      <c r="BW413" s="61">
        <f t="shared" si="186"/>
        <v>404</v>
      </c>
    </row>
    <row r="414" spans="2:75" x14ac:dyDescent="0.3">
      <c r="B414" s="158">
        <f t="shared" si="161"/>
        <v>44314</v>
      </c>
      <c r="C414" s="61"/>
      <c r="D414" s="17">
        <v>56604</v>
      </c>
      <c r="E414" s="16"/>
      <c r="F414" s="16"/>
      <c r="G414" s="16"/>
      <c r="H414" s="16">
        <f t="shared" si="325"/>
        <v>32640847</v>
      </c>
      <c r="I414" s="16"/>
      <c r="J414" s="436">
        <f t="shared" si="326"/>
        <v>1.7371586628543128E-3</v>
      </c>
      <c r="K414" s="16"/>
      <c r="L414" s="16"/>
      <c r="M414" s="16"/>
      <c r="N414" s="16">
        <f t="shared" si="327"/>
        <v>377707</v>
      </c>
      <c r="O414" s="16">
        <f t="shared" si="328"/>
        <v>80594.683950617284</v>
      </c>
      <c r="P414" s="41"/>
      <c r="Q414" s="17">
        <f t="shared" si="329"/>
        <v>377707</v>
      </c>
      <c r="R414" s="16"/>
      <c r="S414" s="60">
        <f t="shared" si="330"/>
        <v>-0.14164913030238296</v>
      </c>
      <c r="T414" s="16"/>
      <c r="U414" s="41"/>
      <c r="V414" s="10">
        <f t="shared" si="349"/>
        <v>306</v>
      </c>
      <c r="W414" s="34">
        <v>954</v>
      </c>
      <c r="X414" s="33">
        <v>4256</v>
      </c>
      <c r="Y414" s="33"/>
      <c r="Z414" s="33">
        <f t="shared" si="331"/>
        <v>4099</v>
      </c>
      <c r="AA414" s="33">
        <f t="shared" si="332"/>
        <v>576987</v>
      </c>
      <c r="AB414" s="33"/>
      <c r="AC414" s="46">
        <f t="shared" si="333"/>
        <v>1.7676839084475964E-2</v>
      </c>
      <c r="AD414" s="33"/>
      <c r="AE414" s="33">
        <f t="shared" si="334"/>
        <v>1424.6592592592592</v>
      </c>
      <c r="AF414" s="50"/>
      <c r="AG414" s="33">
        <f t="shared" si="335"/>
        <v>4995</v>
      </c>
      <c r="AH414" s="33">
        <f>SUM(D385:D1066)</f>
        <v>1197287365.060914</v>
      </c>
      <c r="AI414" s="213">
        <f t="shared" si="336"/>
        <v>-1.6151270435296437E-2</v>
      </c>
      <c r="AJ414" s="50"/>
      <c r="AK414" s="111"/>
      <c r="AL414" s="23">
        <f t="shared" si="337"/>
        <v>62834</v>
      </c>
      <c r="AM414" s="24"/>
      <c r="AN414" s="24"/>
      <c r="AO414" s="24">
        <v>178263</v>
      </c>
      <c r="AP414" s="24">
        <v>25584747</v>
      </c>
      <c r="AQ414" s="24">
        <v>20336656</v>
      </c>
      <c r="AR414" s="461">
        <f t="shared" si="338"/>
        <v>2.461962784686242E-3</v>
      </c>
      <c r="AS414" s="25"/>
      <c r="AT414" s="25"/>
      <c r="AU414" s="24"/>
      <c r="AV414" s="298">
        <f t="shared" si="339"/>
        <v>0.78382607534663551</v>
      </c>
      <c r="AW414" s="298"/>
      <c r="AX414" s="24">
        <f t="shared" si="340"/>
        <v>63172.214814814812</v>
      </c>
      <c r="AY414" s="308"/>
      <c r="AZ414" s="111"/>
      <c r="BA414" s="65">
        <f t="shared" si="341"/>
        <v>1776345</v>
      </c>
      <c r="BB414" s="66"/>
      <c r="BC414" s="66">
        <v>443986997</v>
      </c>
      <c r="BD414" s="66"/>
      <c r="BE414" s="66">
        <f t="shared" si="342"/>
        <v>56604</v>
      </c>
      <c r="BF414" s="66"/>
      <c r="BG414" s="144">
        <f t="shared" si="343"/>
        <v>3.1865431546236798E-2</v>
      </c>
      <c r="BH414" s="66"/>
      <c r="BI414" s="170"/>
      <c r="BJ414" s="66"/>
      <c r="BK414" s="66">
        <f t="shared" si="344"/>
        <v>10547351</v>
      </c>
      <c r="BL414" s="66"/>
      <c r="BM414" s="144">
        <f t="shared" si="345"/>
        <v>3.5810603060427208E-2</v>
      </c>
      <c r="BN414" s="65">
        <f t="shared" si="346"/>
        <v>1096264.1901234568</v>
      </c>
      <c r="BO414" s="66"/>
      <c r="BP414" s="66">
        <f t="shared" si="347"/>
        <v>31733869</v>
      </c>
      <c r="BQ414" s="66"/>
      <c r="BR414" s="435">
        <f t="shared" si="348"/>
        <v>7.1474771140651219E-2</v>
      </c>
      <c r="BS414" s="66"/>
      <c r="BT414" s="75"/>
      <c r="BU414" s="170"/>
      <c r="BV414" s="1"/>
      <c r="BW414" s="61">
        <f t="shared" si="186"/>
        <v>405</v>
      </c>
    </row>
    <row r="415" spans="2:75" x14ac:dyDescent="0.3">
      <c r="B415" s="158">
        <f t="shared" si="161"/>
        <v>44315</v>
      </c>
      <c r="C415" s="61"/>
      <c r="D415" s="17">
        <v>59269</v>
      </c>
      <c r="E415" s="16"/>
      <c r="F415" s="16"/>
      <c r="G415" s="16"/>
      <c r="H415" s="16">
        <f t="shared" si="325"/>
        <v>32700116</v>
      </c>
      <c r="I415" s="16"/>
      <c r="J415" s="436">
        <f t="shared" si="326"/>
        <v>1.8157923414181011E-3</v>
      </c>
      <c r="K415" s="16"/>
      <c r="L415" s="16"/>
      <c r="M415" s="16"/>
      <c r="N415" s="16">
        <f t="shared" si="327"/>
        <v>369906</v>
      </c>
      <c r="O415" s="16">
        <f t="shared" si="328"/>
        <v>80542.157635467986</v>
      </c>
      <c r="P415" s="41"/>
      <c r="Q415" s="17">
        <f t="shared" si="329"/>
        <v>369906</v>
      </c>
      <c r="R415" s="16"/>
      <c r="S415" s="60">
        <f t="shared" si="330"/>
        <v>-0.14498103455847852</v>
      </c>
      <c r="T415" s="16"/>
      <c r="U415" s="41"/>
      <c r="V415" s="10">
        <f t="shared" si="349"/>
        <v>307</v>
      </c>
      <c r="W415" s="34">
        <v>870</v>
      </c>
      <c r="X415" s="33">
        <v>4256</v>
      </c>
      <c r="Y415" s="33"/>
      <c r="Z415" s="33">
        <f t="shared" si="331"/>
        <v>4179</v>
      </c>
      <c r="AA415" s="33">
        <f t="shared" si="332"/>
        <v>577857</v>
      </c>
      <c r="AB415" s="33"/>
      <c r="AC415" s="46">
        <f t="shared" si="333"/>
        <v>1.7671405202354634E-2</v>
      </c>
      <c r="AD415" s="33"/>
      <c r="AE415" s="33">
        <f t="shared" si="334"/>
        <v>1423.2931034482758</v>
      </c>
      <c r="AF415" s="50"/>
      <c r="AG415" s="33">
        <f t="shared" si="335"/>
        <v>4969</v>
      </c>
      <c r="AH415" s="33">
        <f>SUM(D386:D1067)</f>
        <v>1197224906.060914</v>
      </c>
      <c r="AI415" s="213">
        <f t="shared" si="336"/>
        <v>-2.1465143757384796E-2</v>
      </c>
      <c r="AJ415" s="50"/>
      <c r="AK415" s="111"/>
      <c r="AL415" s="23">
        <f t="shared" si="337"/>
        <v>56827</v>
      </c>
      <c r="AM415" s="24"/>
      <c r="AN415" s="24"/>
      <c r="AO415" s="24">
        <v>178263</v>
      </c>
      <c r="AP415" s="24">
        <v>25641574</v>
      </c>
      <c r="AQ415" s="24">
        <v>20336656</v>
      </c>
      <c r="AR415" s="461">
        <f t="shared" si="338"/>
        <v>2.2211280807271612E-3</v>
      </c>
      <c r="AS415" s="25"/>
      <c r="AT415" s="25"/>
      <c r="AU415" s="24"/>
      <c r="AV415" s="298">
        <f t="shared" si="339"/>
        <v>0.78414321221368144</v>
      </c>
      <c r="AW415" s="298"/>
      <c r="AX415" s="24">
        <f t="shared" si="340"/>
        <v>63156.586206896551</v>
      </c>
      <c r="AY415" s="308"/>
      <c r="AZ415" s="111"/>
      <c r="BA415" s="65">
        <f t="shared" si="341"/>
        <v>1145686</v>
      </c>
      <c r="BB415" s="66"/>
      <c r="BC415" s="66">
        <v>445132683</v>
      </c>
      <c r="BD415" s="66"/>
      <c r="BE415" s="66">
        <f t="shared" si="342"/>
        <v>59269</v>
      </c>
      <c r="BF415" s="66"/>
      <c r="BG415" s="144">
        <f t="shared" si="343"/>
        <v>5.1732324563623887E-2</v>
      </c>
      <c r="BH415" s="66"/>
      <c r="BI415" s="170"/>
      <c r="BJ415" s="66"/>
      <c r="BK415" s="66">
        <f t="shared" si="344"/>
        <v>9694071</v>
      </c>
      <c r="BL415" s="66"/>
      <c r="BM415" s="144">
        <f t="shared" si="345"/>
        <v>3.8157962738255169E-2</v>
      </c>
      <c r="BN415" s="65">
        <f t="shared" si="346"/>
        <v>1096385.9187192118</v>
      </c>
      <c r="BO415" s="66"/>
      <c r="BP415" s="66">
        <f t="shared" si="347"/>
        <v>31793138</v>
      </c>
      <c r="BQ415" s="66"/>
      <c r="BR415" s="435">
        <f t="shared" si="348"/>
        <v>7.142395787639795E-2</v>
      </c>
      <c r="BS415" s="66"/>
      <c r="BT415" s="75"/>
      <c r="BU415" s="170"/>
      <c r="BV415" s="1"/>
      <c r="BW415" s="61">
        <f t="shared" si="186"/>
        <v>406</v>
      </c>
    </row>
    <row r="416" spans="2:75" x14ac:dyDescent="0.3">
      <c r="B416" s="158">
        <f t="shared" si="161"/>
        <v>44316</v>
      </c>
      <c r="C416" s="61"/>
      <c r="D416" s="17">
        <v>59906</v>
      </c>
      <c r="E416" s="16"/>
      <c r="F416" s="16"/>
      <c r="G416" s="16"/>
      <c r="H416" s="16">
        <f t="shared" si="325"/>
        <v>32760022</v>
      </c>
      <c r="I416" s="16"/>
      <c r="J416" s="436">
        <f t="shared" si="326"/>
        <v>1.8319812688126244E-3</v>
      </c>
      <c r="K416" s="16"/>
      <c r="L416" s="16"/>
      <c r="M416" s="16"/>
      <c r="N416" s="16">
        <f t="shared" si="327"/>
        <v>363297</v>
      </c>
      <c r="O416" s="16">
        <f t="shared" si="328"/>
        <v>80491.454545454544</v>
      </c>
      <c r="P416" s="41"/>
      <c r="Q416" s="17">
        <f t="shared" si="329"/>
        <v>363297</v>
      </c>
      <c r="R416" s="16"/>
      <c r="S416" s="60">
        <f t="shared" si="330"/>
        <v>-0.12955859415244469</v>
      </c>
      <c r="T416" s="16"/>
      <c r="U416" s="41"/>
      <c r="V416" s="10">
        <f t="shared" si="349"/>
        <v>308</v>
      </c>
      <c r="W416" s="34">
        <v>784</v>
      </c>
      <c r="X416" s="33">
        <v>4256</v>
      </c>
      <c r="Y416" s="33"/>
      <c r="Z416" s="33">
        <f t="shared" si="331"/>
        <v>4221</v>
      </c>
      <c r="AA416" s="33">
        <f t="shared" si="332"/>
        <v>578641</v>
      </c>
      <c r="AB416" s="33"/>
      <c r="AC416" s="46">
        <f t="shared" si="333"/>
        <v>1.7663022326419683E-2</v>
      </c>
      <c r="AD416" s="33"/>
      <c r="AE416" s="33">
        <f t="shared" si="334"/>
        <v>1421.7223587223586</v>
      </c>
      <c r="AF416" s="50"/>
      <c r="AG416" s="33">
        <f t="shared" si="335"/>
        <v>4963</v>
      </c>
      <c r="AH416" s="33">
        <f>SUM(D387:D1068)</f>
        <v>1197156150.060914</v>
      </c>
      <c r="AI416" s="213">
        <f t="shared" si="336"/>
        <v>-3.6137321822927123E-3</v>
      </c>
      <c r="AJ416" s="50"/>
      <c r="AK416" s="111"/>
      <c r="AL416" s="23">
        <f t="shared" si="337"/>
        <v>68568</v>
      </c>
      <c r="AM416" s="24"/>
      <c r="AN416" s="24"/>
      <c r="AO416" s="24">
        <v>178263</v>
      </c>
      <c r="AP416" s="24">
        <v>25710142</v>
      </c>
      <c r="AQ416" s="24">
        <v>20336656</v>
      </c>
      <c r="AR416" s="461">
        <f t="shared" si="338"/>
        <v>2.6740948118083546E-3</v>
      </c>
      <c r="AS416" s="25"/>
      <c r="AT416" s="25"/>
      <c r="AU416" s="24"/>
      <c r="AV416" s="298">
        <f t="shared" si="339"/>
        <v>0.78480234231832935</v>
      </c>
      <c r="AW416" s="298"/>
      <c r="AX416" s="24">
        <f t="shared" si="340"/>
        <v>63169.882063882062</v>
      </c>
      <c r="AY416" s="308"/>
      <c r="AZ416" s="111"/>
      <c r="BA416" s="65">
        <f t="shared" si="341"/>
        <v>1494514</v>
      </c>
      <c r="BB416" s="66"/>
      <c r="BC416" s="66">
        <v>446627197</v>
      </c>
      <c r="BD416" s="66"/>
      <c r="BE416" s="66">
        <f t="shared" si="342"/>
        <v>59906</v>
      </c>
      <c r="BF416" s="66"/>
      <c r="BG416" s="144">
        <f t="shared" si="343"/>
        <v>4.0083933639965902E-2</v>
      </c>
      <c r="BH416" s="66"/>
      <c r="BI416" s="170"/>
      <c r="BJ416" s="66"/>
      <c r="BK416" s="66">
        <f t="shared" si="344"/>
        <v>9559116</v>
      </c>
      <c r="BL416" s="66"/>
      <c r="BM416" s="144">
        <f t="shared" si="345"/>
        <v>3.8005292539603032E-2</v>
      </c>
      <c r="BN416" s="65">
        <f t="shared" si="346"/>
        <v>1097364.1203931205</v>
      </c>
      <c r="BO416" s="66"/>
      <c r="BP416" s="66">
        <f t="shared" si="347"/>
        <v>31853044</v>
      </c>
      <c r="BQ416" s="66"/>
      <c r="BR416" s="435">
        <f t="shared" si="348"/>
        <v>7.1319087180443247E-2</v>
      </c>
      <c r="BS416" s="66"/>
      <c r="BT416" s="75"/>
      <c r="BU416" s="170"/>
      <c r="BV416" s="1"/>
      <c r="BW416" s="61">
        <f t="shared" si="186"/>
        <v>407</v>
      </c>
    </row>
    <row r="417" spans="2:75" x14ac:dyDescent="0.3">
      <c r="B417" s="158">
        <f t="shared" si="161"/>
        <v>44317</v>
      </c>
      <c r="C417" s="61"/>
      <c r="D417" s="17">
        <v>42034</v>
      </c>
      <c r="E417" s="16"/>
      <c r="F417" s="16"/>
      <c r="G417" s="16"/>
      <c r="H417" s="16">
        <f t="shared" si="325"/>
        <v>32802056</v>
      </c>
      <c r="I417" s="16"/>
      <c r="J417" s="436">
        <f t="shared" si="326"/>
        <v>1.2830882714303428E-3</v>
      </c>
      <c r="K417" s="16"/>
      <c r="L417" s="16"/>
      <c r="M417" s="16"/>
      <c r="N417" s="16">
        <f t="shared" si="327"/>
        <v>352051</v>
      </c>
      <c r="O417" s="16">
        <f t="shared" si="328"/>
        <v>80397.196078431371</v>
      </c>
      <c r="P417" s="41"/>
      <c r="Q417" s="17">
        <f t="shared" si="329"/>
        <v>352051</v>
      </c>
      <c r="R417" s="16"/>
      <c r="S417" s="60">
        <f t="shared" si="330"/>
        <v>-0.13515857223573341</v>
      </c>
      <c r="T417" s="16"/>
      <c r="U417" s="41"/>
      <c r="V417" s="10">
        <f t="shared" si="349"/>
        <v>309</v>
      </c>
      <c r="W417" s="34">
        <v>661</v>
      </c>
      <c r="X417" s="33">
        <v>4256</v>
      </c>
      <c r="Y417" s="33"/>
      <c r="Z417" s="33">
        <f t="shared" si="331"/>
        <v>4609</v>
      </c>
      <c r="AA417" s="33">
        <f t="shared" si="332"/>
        <v>579302</v>
      </c>
      <c r="AB417" s="33"/>
      <c r="AC417" s="46">
        <f t="shared" si="333"/>
        <v>1.7660539327169003E-2</v>
      </c>
      <c r="AD417" s="33"/>
      <c r="AE417" s="33">
        <f t="shared" si="334"/>
        <v>1419.8578431372548</v>
      </c>
      <c r="AF417" s="50"/>
      <c r="AG417" s="33">
        <f t="shared" si="335"/>
        <v>4882</v>
      </c>
      <c r="AH417" s="33">
        <f>SUM(D388:D1069)</f>
        <v>1197111899.060914</v>
      </c>
      <c r="AI417" s="213">
        <f t="shared" si="336"/>
        <v>-2.0661985957873621E-2</v>
      </c>
      <c r="AJ417" s="50"/>
      <c r="AK417" s="111"/>
      <c r="AL417" s="23">
        <f t="shared" si="337"/>
        <v>67785</v>
      </c>
      <c r="AM417" s="24"/>
      <c r="AN417" s="24"/>
      <c r="AO417" s="24">
        <v>178263</v>
      </c>
      <c r="AP417" s="24">
        <v>25777927</v>
      </c>
      <c r="AQ417" s="24">
        <v>20336656</v>
      </c>
      <c r="AR417" s="461">
        <f t="shared" si="338"/>
        <v>2.6365081919812036E-3</v>
      </c>
      <c r="AS417" s="25"/>
      <c r="AT417" s="25"/>
      <c r="AU417" s="24"/>
      <c r="AV417" s="298">
        <f t="shared" si="339"/>
        <v>0.78586314833436055</v>
      </c>
      <c r="AW417" s="298"/>
      <c r="AX417" s="24">
        <f t="shared" si="340"/>
        <v>63181.193627450979</v>
      </c>
      <c r="AY417" s="308"/>
      <c r="AZ417" s="111"/>
      <c r="BA417" s="65">
        <f t="shared" si="341"/>
        <v>1105485</v>
      </c>
      <c r="BB417" s="66"/>
      <c r="BC417" s="66">
        <v>447732682</v>
      </c>
      <c r="BD417" s="66"/>
      <c r="BE417" s="66">
        <f t="shared" si="342"/>
        <v>42034</v>
      </c>
      <c r="BF417" s="66"/>
      <c r="BG417" s="144">
        <f t="shared" si="343"/>
        <v>3.8023130119359379E-2</v>
      </c>
      <c r="BH417" s="66"/>
      <c r="BI417" s="170"/>
      <c r="BJ417" s="66"/>
      <c r="BK417" s="66">
        <f t="shared" si="344"/>
        <v>9141254</v>
      </c>
      <c r="BL417" s="66"/>
      <c r="BM417" s="144">
        <f t="shared" si="345"/>
        <v>3.8512331021542556E-2</v>
      </c>
      <c r="BN417" s="65">
        <f t="shared" si="346"/>
        <v>1097384.0245098039</v>
      </c>
      <c r="BO417" s="66"/>
      <c r="BP417" s="66">
        <f t="shared" si="347"/>
        <v>31895078</v>
      </c>
      <c r="BQ417" s="66"/>
      <c r="BR417" s="435">
        <f t="shared" si="348"/>
        <v>7.1236877007785637E-2</v>
      </c>
      <c r="BS417" s="66"/>
      <c r="BT417" s="75"/>
      <c r="BU417" s="170"/>
      <c r="BV417" s="1"/>
      <c r="BW417" s="61">
        <f t="shared" si="186"/>
        <v>408</v>
      </c>
    </row>
    <row r="418" spans="2:75" x14ac:dyDescent="0.3">
      <c r="B418" s="347">
        <f t="shared" si="161"/>
        <v>44318</v>
      </c>
      <c r="C418" s="61"/>
      <c r="D418" s="17">
        <v>30701</v>
      </c>
      <c r="E418" s="16"/>
      <c r="F418" s="16"/>
      <c r="G418" s="16"/>
      <c r="H418" s="16">
        <f t="shared" si="325"/>
        <v>32832757</v>
      </c>
      <c r="I418" s="16"/>
      <c r="J418" s="436">
        <f t="shared" si="326"/>
        <v>9.3594742963672769E-4</v>
      </c>
      <c r="K418" s="16"/>
      <c r="L418" s="16"/>
      <c r="M418" s="16"/>
      <c r="N418" s="577">
        <f t="shared" si="327"/>
        <v>348016</v>
      </c>
      <c r="O418" s="16">
        <f t="shared" si="328"/>
        <v>80275.689486552568</v>
      </c>
      <c r="P418" s="41"/>
      <c r="Q418" s="17">
        <f t="shared" si="329"/>
        <v>348016</v>
      </c>
      <c r="R418" s="16"/>
      <c r="S418" s="60">
        <f t="shared" si="330"/>
        <v>-0.12695892129194106</v>
      </c>
      <c r="T418" s="16"/>
      <c r="U418" s="41"/>
      <c r="V418" s="10">
        <f t="shared" si="349"/>
        <v>310</v>
      </c>
      <c r="W418" s="34">
        <v>312</v>
      </c>
      <c r="X418" s="33">
        <v>4256</v>
      </c>
      <c r="Y418" s="33"/>
      <c r="Z418" s="33">
        <f t="shared" si="331"/>
        <v>4466</v>
      </c>
      <c r="AA418" s="33">
        <f t="shared" si="332"/>
        <v>579614</v>
      </c>
      <c r="AB418" s="33"/>
      <c r="AC418" s="46">
        <f t="shared" si="333"/>
        <v>1.7653528151778421E-2</v>
      </c>
      <c r="AD418" s="33"/>
      <c r="AE418" s="33">
        <f t="shared" si="334"/>
        <v>1417.1491442542788</v>
      </c>
      <c r="AF418" s="50"/>
      <c r="AG418" s="33">
        <f t="shared" si="335"/>
        <v>4921</v>
      </c>
      <c r="AH418" s="33">
        <f>SUM(D389:D1070)</f>
        <v>1197041875.060914</v>
      </c>
      <c r="AI418" s="213">
        <f t="shared" si="336"/>
        <v>-5.4567502021018593E-3</v>
      </c>
      <c r="AJ418" s="50"/>
      <c r="AK418" s="111"/>
      <c r="AL418" s="23">
        <f t="shared" si="337"/>
        <v>45873</v>
      </c>
      <c r="AM418" s="24"/>
      <c r="AN418" s="24"/>
      <c r="AO418" s="24">
        <v>178263</v>
      </c>
      <c r="AP418" s="24">
        <v>25823800</v>
      </c>
      <c r="AQ418" s="24">
        <v>20336656</v>
      </c>
      <c r="AR418" s="461">
        <f t="shared" si="338"/>
        <v>1.7795457330606918E-3</v>
      </c>
      <c r="AS418" s="25"/>
      <c r="AT418" s="25"/>
      <c r="AU418" s="24"/>
      <c r="AV418" s="298">
        <f t="shared" si="339"/>
        <v>0.78652548124423427</v>
      </c>
      <c r="AW418" s="298"/>
      <c r="AX418" s="24">
        <f t="shared" si="340"/>
        <v>63138.875305623471</v>
      </c>
      <c r="AY418" s="308"/>
      <c r="AZ418" s="111"/>
      <c r="BA418" s="65">
        <f t="shared" si="341"/>
        <v>1251998</v>
      </c>
      <c r="BB418" s="66"/>
      <c r="BC418" s="66">
        <v>448984680</v>
      </c>
      <c r="BD418" s="66"/>
      <c r="BE418" s="66">
        <f t="shared" si="342"/>
        <v>30701</v>
      </c>
      <c r="BF418" s="66"/>
      <c r="BG418" s="144">
        <f t="shared" si="343"/>
        <v>2.4521604667100107E-2</v>
      </c>
      <c r="BH418" s="66"/>
      <c r="BI418" s="170"/>
      <c r="BJ418" s="66"/>
      <c r="BK418" s="66">
        <f t="shared" si="344"/>
        <v>9341188</v>
      </c>
      <c r="BL418" s="66"/>
      <c r="BM418" s="144">
        <f t="shared" si="345"/>
        <v>3.7256074923232463E-2</v>
      </c>
      <c r="BN418" s="65">
        <f t="shared" si="346"/>
        <v>1097762.0537897311</v>
      </c>
      <c r="BO418" s="66"/>
      <c r="BP418" s="66">
        <f t="shared" si="347"/>
        <v>31925779</v>
      </c>
      <c r="BQ418" s="66"/>
      <c r="BR418" s="435">
        <f t="shared" si="348"/>
        <v>7.1106611031806252E-2</v>
      </c>
      <c r="BS418" s="66"/>
      <c r="BT418" s="75"/>
      <c r="BU418" s="170"/>
      <c r="BV418" s="1"/>
      <c r="BW418" s="61">
        <f t="shared" si="186"/>
        <v>409</v>
      </c>
    </row>
    <row r="419" spans="2:75" x14ac:dyDescent="0.3">
      <c r="B419" s="158">
        <f t="shared" si="161"/>
        <v>44319</v>
      </c>
      <c r="C419" s="61"/>
      <c r="D419" s="17">
        <v>40454</v>
      </c>
      <c r="E419" s="16"/>
      <c r="F419" s="16"/>
      <c r="G419" s="16"/>
      <c r="H419" s="16">
        <f t="shared" ref="H419:H439" si="350">+H418+D419</f>
        <v>32873211</v>
      </c>
      <c r="I419" s="16"/>
      <c r="J419" s="436">
        <f t="shared" ref="J419:J439" si="351">+D419/H418</f>
        <v>1.2321231506693148E-3</v>
      </c>
      <c r="K419" s="16"/>
      <c r="L419" s="16"/>
      <c r="M419" s="16"/>
      <c r="N419" s="16">
        <f t="shared" ref="N419:N439" si="352">SUM(D413:D419)</f>
        <v>341014</v>
      </c>
      <c r="O419" s="16">
        <f t="shared" ref="O419:O439" si="353">+H419/BW419</f>
        <v>80178.563414634147</v>
      </c>
      <c r="P419" s="41"/>
      <c r="Q419" s="17">
        <f t="shared" ref="Q419:Q439" si="354">SUM(D413:D419)</f>
        <v>341014</v>
      </c>
      <c r="R419" s="16"/>
      <c r="S419" s="60">
        <f t="shared" ref="S419:S439" si="355">+(Q419-Q412)/Q412</f>
        <v>-0.135427996278183</v>
      </c>
      <c r="T419" s="16"/>
      <c r="U419" s="41"/>
      <c r="V419" s="10">
        <f t="shared" si="349"/>
        <v>311</v>
      </c>
      <c r="W419" s="34">
        <v>460</v>
      </c>
      <c r="X419" s="33">
        <v>4256</v>
      </c>
      <c r="Y419" s="33"/>
      <c r="Z419" s="33">
        <f t="shared" ref="Z419:Z439" si="356">SUM(W414:W419)</f>
        <v>4041</v>
      </c>
      <c r="AA419" s="33">
        <f t="shared" ref="AA419:AA439" si="357">+AA418+W419</f>
        <v>580074</v>
      </c>
      <c r="AB419" s="33"/>
      <c r="AC419" s="46">
        <f t="shared" ref="AC419:AC439" si="358">+AA419/H419</f>
        <v>1.7645796755297195E-2</v>
      </c>
      <c r="AD419" s="33"/>
      <c r="AE419" s="33">
        <f t="shared" ref="AE419:AE439" si="359">+AA419/BW419</f>
        <v>1414.8146341463414</v>
      </c>
      <c r="AF419" s="50"/>
      <c r="AG419" s="33">
        <f t="shared" ref="AG419:AG439" si="360">SUM(W413:W419)</f>
        <v>4926</v>
      </c>
      <c r="AH419" s="33">
        <f>SUM(D390:D1071)</f>
        <v>1196975721.060914</v>
      </c>
      <c r="AI419" s="213">
        <f t="shared" ref="AI419:AI439" si="361">+(AG419-AG412)/AG412</f>
        <v>2.2380467955239063E-3</v>
      </c>
      <c r="AJ419" s="50"/>
      <c r="AK419" s="111"/>
      <c r="AL419" s="23">
        <f t="shared" ref="AL419:AL439" si="362">+AP419-AP418</f>
        <v>84884</v>
      </c>
      <c r="AM419" s="24"/>
      <c r="AN419" s="24"/>
      <c r="AO419" s="24">
        <v>178263</v>
      </c>
      <c r="AP419" s="24">
        <v>25908684</v>
      </c>
      <c r="AQ419" s="24">
        <v>20336656</v>
      </c>
      <c r="AR419" s="461">
        <f t="shared" ref="AR419:AR439" si="363">+AL419/AP418</f>
        <v>3.2870452838079599E-3</v>
      </c>
      <c r="AS419" s="25"/>
      <c r="AT419" s="25"/>
      <c r="AU419" s="24"/>
      <c r="AV419" s="298">
        <f t="shared" ref="AV419:AV439" si="364">+AP419/H419</f>
        <v>0.78813974089723093</v>
      </c>
      <c r="AW419" s="298"/>
      <c r="AX419" s="24">
        <f t="shared" ref="AX419:AX439" si="365">+AP419/BW419</f>
        <v>63191.912195121949</v>
      </c>
      <c r="AY419" s="308"/>
      <c r="AZ419" s="111"/>
      <c r="BA419" s="65">
        <f t="shared" ref="BA419:BA439" si="366">+BC419-BC418</f>
        <v>1302508</v>
      </c>
      <c r="BB419" s="66"/>
      <c r="BC419" s="66">
        <v>450287188</v>
      </c>
      <c r="BD419" s="66"/>
      <c r="BE419" s="66">
        <f t="shared" ref="BE419:BE439" si="367">+D419</f>
        <v>40454</v>
      </c>
      <c r="BF419" s="66"/>
      <c r="BG419" s="144">
        <f t="shared" ref="BG419:BG439" si="368">+BE419/BA419</f>
        <v>3.1058542442733556E-2</v>
      </c>
      <c r="BH419" s="66"/>
      <c r="BI419" s="170"/>
      <c r="BJ419" s="66"/>
      <c r="BK419" s="66">
        <f t="shared" ref="BK419:BK439" si="369">SUM(BA413:BA419)</f>
        <v>9098343</v>
      </c>
      <c r="BL419" s="66"/>
      <c r="BM419" s="144">
        <f t="shared" ref="BM419:BM439" si="370">+Q419/BK419</f>
        <v>3.7480890751206017E-2</v>
      </c>
      <c r="BN419" s="65">
        <f t="shared" ref="BN419:BN439" si="371">+BC419/BW419</f>
        <v>1098261.4341463414</v>
      </c>
      <c r="BO419" s="66"/>
      <c r="BP419" s="66">
        <f t="shared" ref="BP419:BP439" si="372">+BP418+BE419</f>
        <v>31966233</v>
      </c>
      <c r="BQ419" s="66"/>
      <c r="BR419" s="435">
        <f t="shared" ref="BR419:BR439" si="373">+BP419/BC419</f>
        <v>7.0990767341130745E-2</v>
      </c>
      <c r="BS419" s="66"/>
      <c r="BT419" s="75"/>
      <c r="BU419" s="170"/>
      <c r="BV419" s="1"/>
      <c r="BW419" s="61">
        <f t="shared" si="186"/>
        <v>410</v>
      </c>
    </row>
    <row r="420" spans="2:75" x14ac:dyDescent="0.3">
      <c r="B420" s="158">
        <f t="shared" si="161"/>
        <v>44320</v>
      </c>
      <c r="C420" s="61"/>
      <c r="D420" s="17">
        <v>42354</v>
      </c>
      <c r="E420" s="16"/>
      <c r="F420" s="16"/>
      <c r="G420" s="16"/>
      <c r="H420" s="16">
        <f t="shared" si="350"/>
        <v>32915565</v>
      </c>
      <c r="I420" s="16"/>
      <c r="J420" s="436">
        <f t="shared" si="351"/>
        <v>1.2884047134914809E-3</v>
      </c>
      <c r="K420" s="16"/>
      <c r="L420" s="16"/>
      <c r="M420" s="16"/>
      <c r="N420" s="16">
        <f t="shared" si="352"/>
        <v>331322</v>
      </c>
      <c r="O420" s="16">
        <f t="shared" si="353"/>
        <v>80086.53284671533</v>
      </c>
      <c r="P420" s="41"/>
      <c r="Q420" s="17">
        <f t="shared" si="354"/>
        <v>331322</v>
      </c>
      <c r="R420" s="16"/>
      <c r="S420" s="60">
        <f t="shared" si="355"/>
        <v>-0.14200849388854361</v>
      </c>
      <c r="T420" s="16"/>
      <c r="U420" s="41"/>
      <c r="V420" s="10">
        <f t="shared" si="349"/>
        <v>312</v>
      </c>
      <c r="W420" s="34">
        <v>853</v>
      </c>
      <c r="X420" s="33">
        <v>4256</v>
      </c>
      <c r="Y420" s="33"/>
      <c r="Z420" s="33">
        <f t="shared" si="356"/>
        <v>3940</v>
      </c>
      <c r="AA420" s="33">
        <f t="shared" si="357"/>
        <v>580927</v>
      </c>
      <c r="AB420" s="33"/>
      <c r="AC420" s="46">
        <f t="shared" si="358"/>
        <v>1.764900587305732E-2</v>
      </c>
      <c r="AD420" s="33"/>
      <c r="AE420" s="33">
        <f t="shared" si="359"/>
        <v>1413.4476885644769</v>
      </c>
      <c r="AF420" s="50"/>
      <c r="AG420" s="33">
        <f t="shared" si="360"/>
        <v>4894</v>
      </c>
      <c r="AH420" s="33">
        <f>SUM(D391:D1072)</f>
        <v>1196938738.060914</v>
      </c>
      <c r="AI420" s="213">
        <f t="shared" si="361"/>
        <v>-4.6776489729509867E-3</v>
      </c>
      <c r="AJ420" s="50"/>
      <c r="AK420" s="111"/>
      <c r="AL420" s="23">
        <f t="shared" si="362"/>
        <v>57705</v>
      </c>
      <c r="AM420" s="24"/>
      <c r="AN420" s="24"/>
      <c r="AO420" s="24">
        <v>178263</v>
      </c>
      <c r="AP420" s="24">
        <v>25966389</v>
      </c>
      <c r="AQ420" s="24">
        <v>20336656</v>
      </c>
      <c r="AR420" s="461">
        <f t="shared" si="363"/>
        <v>2.227245505792575E-3</v>
      </c>
      <c r="AS420" s="25"/>
      <c r="AT420" s="25"/>
      <c r="AU420" s="24"/>
      <c r="AV420" s="298">
        <f t="shared" si="364"/>
        <v>0.78887872652345481</v>
      </c>
      <c r="AW420" s="298"/>
      <c r="AX420" s="24">
        <f t="shared" si="365"/>
        <v>63178.562043795624</v>
      </c>
      <c r="AY420" s="308"/>
      <c r="AZ420" s="111"/>
      <c r="BA420" s="65">
        <f t="shared" si="366"/>
        <v>959207</v>
      </c>
      <c r="BB420" s="66"/>
      <c r="BC420" s="66">
        <v>451246395</v>
      </c>
      <c r="BD420" s="66"/>
      <c r="BE420" s="66">
        <f t="shared" si="367"/>
        <v>42354</v>
      </c>
      <c r="BF420" s="66"/>
      <c r="BG420" s="144">
        <f t="shared" si="368"/>
        <v>4.4155224054870323E-2</v>
      </c>
      <c r="BH420" s="66"/>
      <c r="BI420" s="170"/>
      <c r="BJ420" s="66"/>
      <c r="BK420" s="66">
        <f t="shared" si="369"/>
        <v>9035743</v>
      </c>
      <c r="BL420" s="66"/>
      <c r="BM420" s="144">
        <f t="shared" si="370"/>
        <v>3.666793090507333E-2</v>
      </c>
      <c r="BN420" s="65">
        <f t="shared" si="371"/>
        <v>1097923.1021897809</v>
      </c>
      <c r="BO420" s="66"/>
      <c r="BP420" s="66">
        <f t="shared" si="372"/>
        <v>32008587</v>
      </c>
      <c r="BQ420" s="66"/>
      <c r="BR420" s="435">
        <f t="shared" si="373"/>
        <v>7.0933723470522125E-2</v>
      </c>
      <c r="BS420" s="66"/>
      <c r="BT420" s="75"/>
      <c r="BU420" s="170"/>
      <c r="BV420" s="1"/>
      <c r="BW420" s="61">
        <f t="shared" si="186"/>
        <v>411</v>
      </c>
    </row>
    <row r="421" spans="2:75" x14ac:dyDescent="0.3">
      <c r="B421" s="158">
        <f t="shared" si="161"/>
        <v>44321</v>
      </c>
      <c r="C421" s="61"/>
      <c r="D421" s="17">
        <v>46129</v>
      </c>
      <c r="E421" s="16"/>
      <c r="F421" s="16"/>
      <c r="G421" s="16"/>
      <c r="H421" s="16">
        <f t="shared" si="350"/>
        <v>32961694</v>
      </c>
      <c r="I421" s="16"/>
      <c r="J421" s="436">
        <f t="shared" si="351"/>
        <v>1.4014342454701902E-3</v>
      </c>
      <c r="K421" s="16"/>
      <c r="L421" s="16"/>
      <c r="M421" s="16"/>
      <c r="N421" s="16">
        <f t="shared" si="352"/>
        <v>320847</v>
      </c>
      <c r="O421" s="16">
        <f t="shared" si="353"/>
        <v>80004.111650485444</v>
      </c>
      <c r="P421" s="41"/>
      <c r="Q421" s="17">
        <f t="shared" si="354"/>
        <v>320847</v>
      </c>
      <c r="R421" s="16"/>
      <c r="S421" s="60">
        <f t="shared" si="355"/>
        <v>-0.15053996881180387</v>
      </c>
      <c r="T421" s="16"/>
      <c r="U421" s="41"/>
      <c r="V421" s="10">
        <f t="shared" si="349"/>
        <v>313</v>
      </c>
      <c r="W421" s="34">
        <v>743</v>
      </c>
      <c r="X421" s="33">
        <v>4256</v>
      </c>
      <c r="Y421" s="33"/>
      <c r="Z421" s="33">
        <f t="shared" si="356"/>
        <v>3813</v>
      </c>
      <c r="AA421" s="33">
        <f t="shared" si="357"/>
        <v>581670</v>
      </c>
      <c r="AB421" s="33"/>
      <c r="AC421" s="46">
        <f t="shared" si="358"/>
        <v>1.7646847883485601E-2</v>
      </c>
      <c r="AD421" s="33"/>
      <c r="AE421" s="33">
        <f t="shared" si="359"/>
        <v>1411.8203883495146</v>
      </c>
      <c r="AF421" s="50"/>
      <c r="AG421" s="33">
        <f t="shared" si="360"/>
        <v>4683</v>
      </c>
      <c r="AH421" s="33">
        <f>SUM(D392:D1073)</f>
        <v>1196881094.060914</v>
      </c>
      <c r="AI421" s="213">
        <f t="shared" si="361"/>
        <v>-6.2462462462462461E-2</v>
      </c>
      <c r="AJ421" s="50"/>
      <c r="AK421" s="111"/>
      <c r="AL421" s="23">
        <f t="shared" si="362"/>
        <v>68925</v>
      </c>
      <c r="AM421" s="24"/>
      <c r="AN421" s="24"/>
      <c r="AO421" s="24">
        <v>178263</v>
      </c>
      <c r="AP421" s="24">
        <v>26035314</v>
      </c>
      <c r="AQ421" s="24">
        <v>20336656</v>
      </c>
      <c r="AR421" s="461">
        <f t="shared" si="363"/>
        <v>2.654392953906683E-3</v>
      </c>
      <c r="AS421" s="25"/>
      <c r="AT421" s="25"/>
      <c r="AU421" s="24"/>
      <c r="AV421" s="298">
        <f t="shared" si="364"/>
        <v>0.78986577570922178</v>
      </c>
      <c r="AW421" s="298"/>
      <c r="AX421" s="24">
        <f t="shared" si="365"/>
        <v>63192.509708737867</v>
      </c>
      <c r="AY421" s="308"/>
      <c r="AZ421" s="111"/>
      <c r="BA421" s="65">
        <f t="shared" si="366"/>
        <v>1834660</v>
      </c>
      <c r="BB421" s="66"/>
      <c r="BC421" s="66">
        <v>453081055</v>
      </c>
      <c r="BD421" s="66"/>
      <c r="BE421" s="66">
        <f t="shared" si="367"/>
        <v>46129</v>
      </c>
      <c r="BF421" s="66"/>
      <c r="BG421" s="144">
        <f t="shared" si="368"/>
        <v>2.5143078281534455E-2</v>
      </c>
      <c r="BH421" s="66"/>
      <c r="BI421" s="170"/>
      <c r="BJ421" s="66"/>
      <c r="BK421" s="66">
        <f t="shared" si="369"/>
        <v>9094058</v>
      </c>
      <c r="BL421" s="66"/>
      <c r="BM421" s="144">
        <f t="shared" si="370"/>
        <v>3.5280949384752111E-2</v>
      </c>
      <c r="BN421" s="65">
        <f t="shared" si="371"/>
        <v>1099711.2985436893</v>
      </c>
      <c r="BO421" s="66"/>
      <c r="BP421" s="66">
        <f t="shared" si="372"/>
        <v>32054716</v>
      </c>
      <c r="BQ421" s="66"/>
      <c r="BR421" s="435">
        <f t="shared" si="373"/>
        <v>7.0748303523748085E-2</v>
      </c>
      <c r="BS421" s="66"/>
      <c r="BT421" s="75"/>
      <c r="BU421" s="170"/>
      <c r="BV421" s="1"/>
      <c r="BW421" s="61">
        <f t="shared" si="186"/>
        <v>412</v>
      </c>
    </row>
    <row r="422" spans="2:75" x14ac:dyDescent="0.3">
      <c r="B422" s="158">
        <f t="shared" si="161"/>
        <v>44322</v>
      </c>
      <c r="C422" s="61"/>
      <c r="D422" s="17">
        <v>47819</v>
      </c>
      <c r="E422" s="16"/>
      <c r="F422" s="16"/>
      <c r="G422" s="16"/>
      <c r="H422" s="16">
        <f t="shared" si="350"/>
        <v>33009513</v>
      </c>
      <c r="I422" s="16"/>
      <c r="J422" s="436">
        <f t="shared" si="351"/>
        <v>1.4507446128223871E-3</v>
      </c>
      <c r="K422" s="16"/>
      <c r="L422" s="16"/>
      <c r="M422" s="16"/>
      <c r="N422" s="16">
        <f t="shared" si="352"/>
        <v>309397</v>
      </c>
      <c r="O422" s="16">
        <f t="shared" si="353"/>
        <v>79926.181598062947</v>
      </c>
      <c r="P422" s="41"/>
      <c r="Q422" s="17">
        <f t="shared" si="354"/>
        <v>309397</v>
      </c>
      <c r="R422" s="16"/>
      <c r="S422" s="60">
        <f t="shared" si="355"/>
        <v>-0.16357939584651235</v>
      </c>
      <c r="T422" s="16"/>
      <c r="U422" s="41"/>
      <c r="V422" s="10">
        <f t="shared" si="349"/>
        <v>314</v>
      </c>
      <c r="W422" s="34">
        <v>860</v>
      </c>
      <c r="X422" s="33">
        <v>4256</v>
      </c>
      <c r="Y422" s="33"/>
      <c r="Z422" s="33">
        <f t="shared" si="356"/>
        <v>3889</v>
      </c>
      <c r="AA422" s="33">
        <f t="shared" si="357"/>
        <v>582530</v>
      </c>
      <c r="AB422" s="33"/>
      <c r="AC422" s="46">
        <f t="shared" si="358"/>
        <v>1.7647336996459172E-2</v>
      </c>
      <c r="AD422" s="33"/>
      <c r="AE422" s="33">
        <f t="shared" si="359"/>
        <v>1410.4842615012108</v>
      </c>
      <c r="AF422" s="50"/>
      <c r="AG422" s="33">
        <f t="shared" si="360"/>
        <v>4673</v>
      </c>
      <c r="AH422" s="33">
        <f>SUM(D393:D1074)</f>
        <v>1196818811.060914</v>
      </c>
      <c r="AI422" s="213">
        <f t="shared" si="361"/>
        <v>-5.9569329845039244E-2</v>
      </c>
      <c r="AJ422" s="50"/>
      <c r="AK422" s="111"/>
      <c r="AL422" s="23">
        <f t="shared" si="362"/>
        <v>70097</v>
      </c>
      <c r="AM422" s="24"/>
      <c r="AN422" s="24"/>
      <c r="AO422" s="24">
        <v>178263</v>
      </c>
      <c r="AP422" s="24">
        <v>26105411</v>
      </c>
      <c r="AQ422" s="24">
        <v>20336656</v>
      </c>
      <c r="AR422" s="461">
        <f t="shared" si="363"/>
        <v>2.692381586025811E-3</v>
      </c>
      <c r="AS422" s="25"/>
      <c r="AT422" s="25"/>
      <c r="AU422" s="24"/>
      <c r="AV422" s="298">
        <f t="shared" si="364"/>
        <v>0.79084508153755551</v>
      </c>
      <c r="AW422" s="298"/>
      <c r="AX422" s="24">
        <f t="shared" si="365"/>
        <v>63209.227602905572</v>
      </c>
      <c r="AY422" s="308"/>
      <c r="AZ422" s="111"/>
      <c r="BA422" s="65">
        <f t="shared" si="366"/>
        <v>1372147</v>
      </c>
      <c r="BB422" s="66"/>
      <c r="BC422" s="66">
        <v>454453202</v>
      </c>
      <c r="BD422" s="66"/>
      <c r="BE422" s="66">
        <f t="shared" si="367"/>
        <v>47819</v>
      </c>
      <c r="BF422" s="66"/>
      <c r="BG422" s="144">
        <f t="shared" si="368"/>
        <v>3.4849764638919881E-2</v>
      </c>
      <c r="BH422" s="66"/>
      <c r="BI422" s="170"/>
      <c r="BJ422" s="66"/>
      <c r="BK422" s="66">
        <f t="shared" si="369"/>
        <v>9320519</v>
      </c>
      <c r="BL422" s="66"/>
      <c r="BM422" s="144">
        <f t="shared" si="370"/>
        <v>3.3195254470271454E-2</v>
      </c>
      <c r="BN422" s="65">
        <f t="shared" si="371"/>
        <v>1100370.9491525423</v>
      </c>
      <c r="BO422" s="66"/>
      <c r="BP422" s="66">
        <f t="shared" si="372"/>
        <v>32102535</v>
      </c>
      <c r="BQ422" s="66"/>
      <c r="BR422" s="435">
        <f t="shared" si="373"/>
        <v>7.0639913766082349E-2</v>
      </c>
      <c r="BS422" s="66"/>
      <c r="BT422" s="75"/>
      <c r="BU422" s="170"/>
      <c r="BV422" s="1"/>
      <c r="BW422" s="61">
        <f t="shared" si="186"/>
        <v>413</v>
      </c>
    </row>
    <row r="423" spans="2:75" x14ac:dyDescent="0.3">
      <c r="B423" s="158">
        <f t="shared" si="161"/>
        <v>44323</v>
      </c>
      <c r="C423" s="61"/>
      <c r="D423" s="17">
        <v>49491</v>
      </c>
      <c r="E423" s="16"/>
      <c r="F423" s="16"/>
      <c r="G423" s="16"/>
      <c r="H423" s="16">
        <f t="shared" si="350"/>
        <v>33059004</v>
      </c>
      <c r="I423" s="16"/>
      <c r="J423" s="436">
        <f t="shared" si="351"/>
        <v>1.4992950668493656E-3</v>
      </c>
      <c r="K423" s="16"/>
      <c r="L423" s="16"/>
      <c r="M423" s="16"/>
      <c r="N423" s="16">
        <f t="shared" si="352"/>
        <v>298982</v>
      </c>
      <c r="O423" s="16">
        <f t="shared" si="353"/>
        <v>79852.666666666672</v>
      </c>
      <c r="P423" s="41"/>
      <c r="Q423" s="17">
        <f t="shared" si="354"/>
        <v>298982</v>
      </c>
      <c r="R423" s="16"/>
      <c r="S423" s="60">
        <f t="shared" si="355"/>
        <v>-0.17703146461435135</v>
      </c>
      <c r="T423" s="16"/>
      <c r="U423" s="41"/>
      <c r="V423" s="10">
        <f t="shared" si="349"/>
        <v>315</v>
      </c>
      <c r="W423" s="34">
        <v>774</v>
      </c>
      <c r="X423" s="33">
        <v>4256</v>
      </c>
      <c r="Y423" s="33"/>
      <c r="Z423" s="33">
        <f t="shared" si="356"/>
        <v>4002</v>
      </c>
      <c r="AA423" s="33">
        <f t="shared" si="357"/>
        <v>583304</v>
      </c>
      <c r="AB423" s="33"/>
      <c r="AC423" s="46">
        <f t="shared" si="358"/>
        <v>1.7644330724543304E-2</v>
      </c>
      <c r="AD423" s="33"/>
      <c r="AE423" s="33">
        <f t="shared" si="359"/>
        <v>1408.9468599033817</v>
      </c>
      <c r="AF423" s="50"/>
      <c r="AG423" s="33">
        <f t="shared" si="360"/>
        <v>4663</v>
      </c>
      <c r="AH423" s="33">
        <f>SUM(D394:D1075)</f>
        <v>1196743628.060914</v>
      </c>
      <c r="AI423" s="213">
        <f t="shared" si="361"/>
        <v>-6.0447310094700786E-2</v>
      </c>
      <c r="AJ423" s="50"/>
      <c r="AK423" s="111"/>
      <c r="AL423" s="23">
        <f t="shared" si="362"/>
        <v>219346</v>
      </c>
      <c r="AM423" s="24"/>
      <c r="AN423" s="24"/>
      <c r="AO423" s="24">
        <v>178263</v>
      </c>
      <c r="AP423" s="24">
        <v>26324757</v>
      </c>
      <c r="AQ423" s="24">
        <v>20336656</v>
      </c>
      <c r="AR423" s="461">
        <f t="shared" si="363"/>
        <v>8.4023193505744845E-3</v>
      </c>
      <c r="AS423" s="25"/>
      <c r="AT423" s="25"/>
      <c r="AU423" s="24"/>
      <c r="AV423" s="298">
        <f t="shared" si="364"/>
        <v>0.79629613160759471</v>
      </c>
      <c r="AW423" s="298"/>
      <c r="AX423" s="24">
        <f t="shared" si="365"/>
        <v>63586.369565217392</v>
      </c>
      <c r="AY423" s="308"/>
      <c r="AZ423" s="111"/>
      <c r="BA423" s="65">
        <f t="shared" si="366"/>
        <v>1536629</v>
      </c>
      <c r="BB423" s="66"/>
      <c r="BC423" s="66">
        <v>455989831</v>
      </c>
      <c r="BD423" s="66"/>
      <c r="BE423" s="66">
        <f t="shared" si="367"/>
        <v>49491</v>
      </c>
      <c r="BF423" s="66"/>
      <c r="BG423" s="144">
        <f t="shared" si="368"/>
        <v>3.2207513980277609E-2</v>
      </c>
      <c r="BH423" s="66"/>
      <c r="BI423" s="170"/>
      <c r="BJ423" s="66"/>
      <c r="BK423" s="66">
        <f t="shared" si="369"/>
        <v>9362634</v>
      </c>
      <c r="BL423" s="66"/>
      <c r="BM423" s="144">
        <f t="shared" si="370"/>
        <v>3.1933534943264896E-2</v>
      </c>
      <c r="BN423" s="65">
        <f t="shared" si="371"/>
        <v>1101424.7125603864</v>
      </c>
      <c r="BO423" s="66"/>
      <c r="BP423" s="66">
        <f t="shared" si="372"/>
        <v>32152026</v>
      </c>
      <c r="BQ423" s="66"/>
      <c r="BR423" s="435">
        <f t="shared" si="373"/>
        <v>7.0510401360244362E-2</v>
      </c>
      <c r="BS423" s="66"/>
      <c r="BT423" s="75"/>
      <c r="BU423" s="170"/>
      <c r="BV423" s="1"/>
      <c r="BW423" s="61">
        <f t="shared" si="186"/>
        <v>414</v>
      </c>
    </row>
    <row r="424" spans="2:75" x14ac:dyDescent="0.3">
      <c r="B424" s="158">
        <f t="shared" si="161"/>
        <v>44324</v>
      </c>
      <c r="C424" s="61"/>
      <c r="D424" s="17">
        <v>35755</v>
      </c>
      <c r="E424" s="16"/>
      <c r="F424" s="16"/>
      <c r="G424" s="16"/>
      <c r="H424" s="16">
        <f t="shared" si="350"/>
        <v>33094759</v>
      </c>
      <c r="I424" s="16"/>
      <c r="J424" s="436">
        <f t="shared" si="351"/>
        <v>1.0815510352338504E-3</v>
      </c>
      <c r="K424" s="16"/>
      <c r="L424" s="16"/>
      <c r="M424" s="16"/>
      <c r="N424" s="16">
        <f t="shared" si="352"/>
        <v>292703</v>
      </c>
      <c r="O424" s="16">
        <f t="shared" si="353"/>
        <v>79746.407228915661</v>
      </c>
      <c r="P424" s="41"/>
      <c r="Q424" s="17">
        <f t="shared" si="354"/>
        <v>292703</v>
      </c>
      <c r="R424" s="16"/>
      <c r="S424" s="60">
        <f t="shared" si="355"/>
        <v>-0.16857784809587248</v>
      </c>
      <c r="T424" s="16"/>
      <c r="U424" s="41"/>
      <c r="V424" s="10">
        <f t="shared" si="349"/>
        <v>316</v>
      </c>
      <c r="W424" s="34">
        <v>648</v>
      </c>
      <c r="X424" s="33">
        <v>4256</v>
      </c>
      <c r="Y424" s="33"/>
      <c r="Z424" s="33">
        <f t="shared" si="356"/>
        <v>4338</v>
      </c>
      <c r="AA424" s="33">
        <f t="shared" si="357"/>
        <v>583952</v>
      </c>
      <c r="AB424" s="33"/>
      <c r="AC424" s="46">
        <f t="shared" si="358"/>
        <v>1.7644848237148365E-2</v>
      </c>
      <c r="AD424" s="33"/>
      <c r="AE424" s="33">
        <f t="shared" si="359"/>
        <v>1407.1132530120483</v>
      </c>
      <c r="AF424" s="50"/>
      <c r="AG424" s="33">
        <f t="shared" si="360"/>
        <v>4650</v>
      </c>
      <c r="AH424" s="33">
        <f>SUM(D395:D1076)</f>
        <v>1196663467.060914</v>
      </c>
      <c r="AI424" s="213">
        <f t="shared" si="361"/>
        <v>-4.7521507578861123E-2</v>
      </c>
      <c r="AJ424" s="50"/>
      <c r="AK424" s="111"/>
      <c r="AL424" s="23">
        <f t="shared" si="362"/>
        <v>81114</v>
      </c>
      <c r="AM424" s="24"/>
      <c r="AN424" s="24"/>
      <c r="AO424" s="24">
        <v>178263</v>
      </c>
      <c r="AP424" s="24">
        <v>26405871</v>
      </c>
      <c r="AQ424" s="24">
        <v>20336656</v>
      </c>
      <c r="AR424" s="461">
        <f t="shared" si="363"/>
        <v>3.081282003856674E-3</v>
      </c>
      <c r="AS424" s="25"/>
      <c r="AT424" s="25"/>
      <c r="AU424" s="24"/>
      <c r="AV424" s="298">
        <f t="shared" si="364"/>
        <v>0.79788678926472922</v>
      </c>
      <c r="AW424" s="298"/>
      <c r="AX424" s="24">
        <f t="shared" si="365"/>
        <v>63628.604819277105</v>
      </c>
      <c r="AY424" s="308"/>
      <c r="AZ424" s="111"/>
      <c r="BA424" s="65">
        <f t="shared" si="366"/>
        <v>1304842</v>
      </c>
      <c r="BB424" s="66"/>
      <c r="BC424" s="66">
        <v>457294673</v>
      </c>
      <c r="BD424" s="66"/>
      <c r="BE424" s="66">
        <f t="shared" si="367"/>
        <v>35755</v>
      </c>
      <c r="BF424" s="66"/>
      <c r="BG424" s="144">
        <f t="shared" si="368"/>
        <v>2.7401785043706443E-2</v>
      </c>
      <c r="BH424" s="66"/>
      <c r="BI424" s="170"/>
      <c r="BJ424" s="66"/>
      <c r="BK424" s="66">
        <f t="shared" si="369"/>
        <v>9561991</v>
      </c>
      <c r="BL424" s="66"/>
      <c r="BM424" s="144">
        <f t="shared" si="370"/>
        <v>3.0611093442777765E-2</v>
      </c>
      <c r="BN424" s="65">
        <f t="shared" si="371"/>
        <v>1101914.8746987951</v>
      </c>
      <c r="BO424" s="66"/>
      <c r="BP424" s="66">
        <f t="shared" si="372"/>
        <v>32187781</v>
      </c>
      <c r="BQ424" s="66"/>
      <c r="BR424" s="435">
        <f t="shared" si="373"/>
        <v>7.0387395481425169E-2</v>
      </c>
      <c r="BS424" s="66"/>
      <c r="BT424" s="75"/>
      <c r="BU424" s="170"/>
      <c r="BV424" s="1"/>
      <c r="BW424" s="61">
        <f t="shared" si="186"/>
        <v>415</v>
      </c>
    </row>
    <row r="425" spans="2:75" x14ac:dyDescent="0.3">
      <c r="B425" s="347">
        <f t="shared" si="161"/>
        <v>44325</v>
      </c>
      <c r="C425" s="61"/>
      <c r="D425" s="17">
        <v>22200</v>
      </c>
      <c r="E425" s="16"/>
      <c r="F425" s="16"/>
      <c r="G425" s="16"/>
      <c r="H425" s="16">
        <f t="shared" si="350"/>
        <v>33116959</v>
      </c>
      <c r="I425" s="16"/>
      <c r="J425" s="436">
        <f t="shared" si="351"/>
        <v>6.7080107759660672E-4</v>
      </c>
      <c r="K425" s="16"/>
      <c r="L425" s="16"/>
      <c r="M425" s="16"/>
      <c r="N425" s="577">
        <f t="shared" si="352"/>
        <v>284202</v>
      </c>
      <c r="O425" s="16">
        <f t="shared" si="353"/>
        <v>79608.074519230766</v>
      </c>
      <c r="P425" s="41"/>
      <c r="Q425" s="17">
        <f t="shared" si="354"/>
        <v>284202</v>
      </c>
      <c r="R425" s="16"/>
      <c r="S425" s="60">
        <f t="shared" si="355"/>
        <v>-0.18336513263757989</v>
      </c>
      <c r="T425" s="16"/>
      <c r="U425" s="41"/>
      <c r="V425" s="10">
        <f t="shared" si="349"/>
        <v>317</v>
      </c>
      <c r="W425" s="34">
        <v>241</v>
      </c>
      <c r="X425" s="33">
        <v>4256</v>
      </c>
      <c r="Y425" s="33"/>
      <c r="Z425" s="33">
        <f t="shared" si="356"/>
        <v>4119</v>
      </c>
      <c r="AA425" s="33">
        <f t="shared" si="357"/>
        <v>584193</v>
      </c>
      <c r="AB425" s="33"/>
      <c r="AC425" s="46">
        <f t="shared" si="358"/>
        <v>1.7640297226566001E-2</v>
      </c>
      <c r="AD425" s="33"/>
      <c r="AE425" s="33">
        <f t="shared" si="359"/>
        <v>1404.3100961538462</v>
      </c>
      <c r="AF425" s="50"/>
      <c r="AG425" s="33">
        <f t="shared" si="360"/>
        <v>4579</v>
      </c>
      <c r="AH425" s="33">
        <f>SUM(D396:D1077)</f>
        <v>1196578099.060914</v>
      </c>
      <c r="AI425" s="213">
        <f t="shared" si="361"/>
        <v>-6.9498069498069498E-2</v>
      </c>
      <c r="AJ425" s="50"/>
      <c r="AK425" s="111"/>
      <c r="AL425" s="23">
        <f t="shared" si="362"/>
        <v>33841</v>
      </c>
      <c r="AM425" s="24"/>
      <c r="AN425" s="24"/>
      <c r="AO425" s="24">
        <v>178263</v>
      </c>
      <c r="AP425" s="24">
        <v>26439712</v>
      </c>
      <c r="AQ425" s="24">
        <v>20336656</v>
      </c>
      <c r="AR425" s="461">
        <f t="shared" si="363"/>
        <v>1.2815710566790241E-3</v>
      </c>
      <c r="AS425" s="25"/>
      <c r="AT425" s="25"/>
      <c r="AU425" s="24"/>
      <c r="AV425" s="298">
        <f t="shared" si="364"/>
        <v>0.79837378788312052</v>
      </c>
      <c r="AW425" s="298"/>
      <c r="AX425" s="24">
        <f t="shared" si="365"/>
        <v>63557</v>
      </c>
      <c r="AY425" s="308"/>
      <c r="AZ425" s="111"/>
      <c r="BA425" s="65">
        <f t="shared" si="366"/>
        <v>873630</v>
      </c>
      <c r="BB425" s="66"/>
      <c r="BC425" s="66">
        <v>458168303</v>
      </c>
      <c r="BD425" s="66"/>
      <c r="BE425" s="66">
        <f t="shared" si="367"/>
        <v>22200</v>
      </c>
      <c r="BF425" s="66"/>
      <c r="BG425" s="144">
        <f t="shared" si="368"/>
        <v>2.541121527420075E-2</v>
      </c>
      <c r="BH425" s="66"/>
      <c r="BI425" s="170"/>
      <c r="BJ425" s="66"/>
      <c r="BK425" s="66">
        <f t="shared" si="369"/>
        <v>9183623</v>
      </c>
      <c r="BL425" s="66"/>
      <c r="BM425" s="144">
        <f t="shared" si="370"/>
        <v>3.0946610068814891E-2</v>
      </c>
      <c r="BN425" s="65">
        <f t="shared" si="371"/>
        <v>1101366.1129807692</v>
      </c>
      <c r="BO425" s="66"/>
      <c r="BP425" s="66">
        <f t="shared" si="372"/>
        <v>32209981</v>
      </c>
      <c r="BQ425" s="66"/>
      <c r="BR425" s="435">
        <f t="shared" si="373"/>
        <v>7.0301635423260608E-2</v>
      </c>
      <c r="BS425" s="66"/>
      <c r="BT425" s="75"/>
      <c r="BU425" s="170"/>
      <c r="BV425" s="1"/>
      <c r="BW425" s="61">
        <f t="shared" si="186"/>
        <v>416</v>
      </c>
    </row>
    <row r="426" spans="2:75" x14ac:dyDescent="0.3">
      <c r="B426" s="158">
        <f t="shared" si="161"/>
        <v>44326</v>
      </c>
      <c r="C426" s="61"/>
      <c r="D426" s="17">
        <v>30152</v>
      </c>
      <c r="E426" s="16"/>
      <c r="F426" s="16"/>
      <c r="G426" s="16"/>
      <c r="H426" s="16">
        <f t="shared" si="350"/>
        <v>33147111</v>
      </c>
      <c r="I426" s="16"/>
      <c r="J426" s="436">
        <f t="shared" si="351"/>
        <v>9.1047007063661855E-4</v>
      </c>
      <c r="K426" s="16"/>
      <c r="L426" s="16"/>
      <c r="M426" s="16"/>
      <c r="N426" s="16">
        <f t="shared" si="352"/>
        <v>273900</v>
      </c>
      <c r="O426" s="16">
        <f t="shared" si="353"/>
        <v>79489.474820143878</v>
      </c>
      <c r="P426" s="41"/>
      <c r="Q426" s="17">
        <f t="shared" si="354"/>
        <v>273900</v>
      </c>
      <c r="R426" s="16"/>
      <c r="S426" s="60">
        <f t="shared" si="355"/>
        <v>-0.19680716920712932</v>
      </c>
      <c r="T426" s="16"/>
      <c r="U426" s="41"/>
      <c r="V426" s="10">
        <f t="shared" si="349"/>
        <v>318</v>
      </c>
      <c r="W426" s="34">
        <v>387</v>
      </c>
      <c r="X426" s="33">
        <v>4256</v>
      </c>
      <c r="Y426" s="33"/>
      <c r="Z426" s="33">
        <f t="shared" si="356"/>
        <v>3653</v>
      </c>
      <c r="AA426" s="33">
        <f t="shared" si="357"/>
        <v>584580</v>
      </c>
      <c r="AB426" s="33"/>
      <c r="AC426" s="46">
        <f t="shared" si="358"/>
        <v>1.7635926099260957E-2</v>
      </c>
      <c r="AD426" s="33"/>
      <c r="AE426" s="33">
        <f t="shared" si="359"/>
        <v>1401.8705035971223</v>
      </c>
      <c r="AF426" s="50"/>
      <c r="AG426" s="33">
        <f t="shared" si="360"/>
        <v>4506</v>
      </c>
      <c r="AH426" s="33">
        <f>SUM(D397:D1078)</f>
        <v>1196511319.060914</v>
      </c>
      <c r="AI426" s="213">
        <f t="shared" si="361"/>
        <v>-8.5261875761266745E-2</v>
      </c>
      <c r="AJ426" s="50"/>
      <c r="AK426" s="111"/>
      <c r="AL426" s="23">
        <f t="shared" si="362"/>
        <v>67715</v>
      </c>
      <c r="AM426" s="24"/>
      <c r="AN426" s="24"/>
      <c r="AO426" s="24">
        <v>178263</v>
      </c>
      <c r="AP426" s="24">
        <v>26507427</v>
      </c>
      <c r="AQ426" s="24">
        <v>20336656</v>
      </c>
      <c r="AR426" s="461">
        <f t="shared" si="363"/>
        <v>2.5611095915114355E-3</v>
      </c>
      <c r="AS426" s="25"/>
      <c r="AT426" s="25"/>
      <c r="AU426" s="24"/>
      <c r="AV426" s="298">
        <f t="shared" si="364"/>
        <v>0.79969041645891858</v>
      </c>
      <c r="AW426" s="298"/>
      <c r="AX426" s="24">
        <f t="shared" si="365"/>
        <v>63566.971223021581</v>
      </c>
      <c r="AY426" s="308"/>
      <c r="AZ426" s="111"/>
      <c r="BA426" s="65">
        <f t="shared" si="366"/>
        <v>1252631</v>
      </c>
      <c r="BB426" s="66"/>
      <c r="BC426" s="66">
        <v>459420934</v>
      </c>
      <c r="BD426" s="66"/>
      <c r="BE426" s="66">
        <f t="shared" si="367"/>
        <v>30152</v>
      </c>
      <c r="BF426" s="66"/>
      <c r="BG426" s="144">
        <f t="shared" si="368"/>
        <v>2.4070935494970188E-2</v>
      </c>
      <c r="BH426" s="66"/>
      <c r="BI426" s="170"/>
      <c r="BJ426" s="66"/>
      <c r="BK426" s="66">
        <f t="shared" si="369"/>
        <v>9133746</v>
      </c>
      <c r="BL426" s="66"/>
      <c r="BM426" s="144">
        <f t="shared" si="370"/>
        <v>2.9987696176355244E-2</v>
      </c>
      <c r="BN426" s="65">
        <f t="shared" si="371"/>
        <v>1101728.8585131895</v>
      </c>
      <c r="BO426" s="66"/>
      <c r="BP426" s="66">
        <f t="shared" si="372"/>
        <v>32240133</v>
      </c>
      <c r="BQ426" s="66"/>
      <c r="BR426" s="435">
        <f t="shared" si="373"/>
        <v>7.0175585425108211E-2</v>
      </c>
      <c r="BS426" s="66"/>
      <c r="BT426" s="75"/>
      <c r="BU426" s="170"/>
      <c r="BV426" s="1"/>
      <c r="BW426" s="61">
        <f t="shared" si="186"/>
        <v>417</v>
      </c>
    </row>
    <row r="427" spans="2:75" x14ac:dyDescent="0.3">
      <c r="B427" s="158">
        <f t="shared" si="161"/>
        <v>44327</v>
      </c>
      <c r="C427" s="61"/>
      <c r="D427" s="17">
        <v>34904</v>
      </c>
      <c r="E427" s="16"/>
      <c r="F427" s="16"/>
      <c r="G427" s="16"/>
      <c r="H427" s="16">
        <f t="shared" si="350"/>
        <v>33182015</v>
      </c>
      <c r="I427" s="16"/>
      <c r="J427" s="436">
        <f t="shared" si="351"/>
        <v>1.0530027790355545E-3</v>
      </c>
      <c r="K427" s="16"/>
      <c r="L427" s="16"/>
      <c r="M427" s="16"/>
      <c r="N427" s="16">
        <f t="shared" si="352"/>
        <v>266450</v>
      </c>
      <c r="O427" s="16">
        <f t="shared" si="353"/>
        <v>79382.811004784686</v>
      </c>
      <c r="P427" s="41"/>
      <c r="Q427" s="17">
        <f t="shared" si="354"/>
        <v>266450</v>
      </c>
      <c r="R427" s="16"/>
      <c r="S427" s="60">
        <f t="shared" si="355"/>
        <v>-0.19579744176360156</v>
      </c>
      <c r="T427" s="16"/>
      <c r="U427" s="41"/>
      <c r="V427" s="10">
        <f t="shared" si="349"/>
        <v>319</v>
      </c>
      <c r="W427" s="34">
        <v>743</v>
      </c>
      <c r="X427" s="33">
        <v>4256</v>
      </c>
      <c r="Y427" s="33"/>
      <c r="Z427" s="33">
        <f t="shared" si="356"/>
        <v>3653</v>
      </c>
      <c r="AA427" s="33">
        <f t="shared" si="357"/>
        <v>585323</v>
      </c>
      <c r="AB427" s="33"/>
      <c r="AC427" s="46">
        <f t="shared" si="358"/>
        <v>1.7639766602480289E-2</v>
      </c>
      <c r="AD427" s="33"/>
      <c r="AE427" s="33">
        <f t="shared" si="359"/>
        <v>1400.2942583732058</v>
      </c>
      <c r="AF427" s="50"/>
      <c r="AG427" s="33">
        <f t="shared" si="360"/>
        <v>4396</v>
      </c>
      <c r="AH427" s="33">
        <f>SUM(D398:D1079)</f>
        <v>1196463445.060914</v>
      </c>
      <c r="AI427" s="213">
        <f t="shared" si="361"/>
        <v>-0.10175725378013895</v>
      </c>
      <c r="AJ427" s="50"/>
      <c r="AK427" s="111"/>
      <c r="AL427" s="23">
        <f t="shared" si="362"/>
        <v>50711</v>
      </c>
      <c r="AM427" s="24"/>
      <c r="AN427" s="24"/>
      <c r="AO427" s="24">
        <v>178263</v>
      </c>
      <c r="AP427" s="24">
        <v>26558138</v>
      </c>
      <c r="AQ427" s="24">
        <v>20336656</v>
      </c>
      <c r="AR427" s="461">
        <f t="shared" si="363"/>
        <v>1.9130864719536906E-3</v>
      </c>
      <c r="AS427" s="25"/>
      <c r="AT427" s="25"/>
      <c r="AU427" s="24"/>
      <c r="AV427" s="298">
        <f t="shared" si="364"/>
        <v>0.80037749365130473</v>
      </c>
      <c r="AW427" s="298"/>
      <c r="AX427" s="24">
        <f t="shared" si="365"/>
        <v>63536.215311004788</v>
      </c>
      <c r="AY427" s="308"/>
      <c r="AZ427" s="111"/>
      <c r="BA427" s="65">
        <f t="shared" si="366"/>
        <v>979552</v>
      </c>
      <c r="BB427" s="66"/>
      <c r="BC427" s="66">
        <v>460400486</v>
      </c>
      <c r="BD427" s="66"/>
      <c r="BE427" s="66">
        <f t="shared" si="367"/>
        <v>34904</v>
      </c>
      <c r="BF427" s="66"/>
      <c r="BG427" s="144">
        <f t="shared" si="368"/>
        <v>3.5632615726372871E-2</v>
      </c>
      <c r="BH427" s="66"/>
      <c r="BI427" s="170"/>
      <c r="BJ427" s="66"/>
      <c r="BK427" s="66">
        <f t="shared" si="369"/>
        <v>9154091</v>
      </c>
      <c r="BL427" s="66"/>
      <c r="BM427" s="144">
        <f t="shared" si="370"/>
        <v>2.9107204636702869E-2</v>
      </c>
      <c r="BN427" s="65">
        <f t="shared" si="371"/>
        <v>1101436.5693779904</v>
      </c>
      <c r="BO427" s="66"/>
      <c r="BP427" s="66">
        <f t="shared" si="372"/>
        <v>32275037</v>
      </c>
      <c r="BQ427" s="66"/>
      <c r="BR427" s="435">
        <f t="shared" si="373"/>
        <v>7.0102091508217917E-2</v>
      </c>
      <c r="BS427" s="66"/>
      <c r="BT427" s="75"/>
      <c r="BU427" s="170"/>
      <c r="BV427" s="1"/>
      <c r="BW427" s="61">
        <f t="shared" si="186"/>
        <v>418</v>
      </c>
    </row>
    <row r="428" spans="2:75" x14ac:dyDescent="0.3">
      <c r="B428" s="158">
        <f t="shared" si="161"/>
        <v>44328</v>
      </c>
      <c r="C428" s="61"/>
      <c r="D428" s="17">
        <v>35816</v>
      </c>
      <c r="E428" s="16"/>
      <c r="F428" s="16"/>
      <c r="G428" s="16"/>
      <c r="H428" s="16">
        <f t="shared" si="350"/>
        <v>33217831</v>
      </c>
      <c r="I428" s="16"/>
      <c r="J428" s="436">
        <f t="shared" si="351"/>
        <v>1.079379899020599E-3</v>
      </c>
      <c r="K428" s="16"/>
      <c r="L428" s="16"/>
      <c r="M428" s="16"/>
      <c r="N428" s="16">
        <f t="shared" si="352"/>
        <v>256137</v>
      </c>
      <c r="O428" s="16">
        <f t="shared" si="353"/>
        <v>79278.832935560858</v>
      </c>
      <c r="P428" s="41"/>
      <c r="Q428" s="17">
        <f t="shared" si="354"/>
        <v>256137</v>
      </c>
      <c r="R428" s="16"/>
      <c r="S428" s="60">
        <f t="shared" si="355"/>
        <v>-0.2016849152399742</v>
      </c>
      <c r="T428" s="16"/>
      <c r="U428" s="41"/>
      <c r="V428" s="10">
        <f t="shared" si="349"/>
        <v>320</v>
      </c>
      <c r="W428" s="34">
        <v>841</v>
      </c>
      <c r="X428" s="33">
        <v>4256</v>
      </c>
      <c r="Y428" s="33"/>
      <c r="Z428" s="33">
        <f t="shared" si="356"/>
        <v>3634</v>
      </c>
      <c r="AA428" s="33">
        <f t="shared" si="357"/>
        <v>586164</v>
      </c>
      <c r="AB428" s="33"/>
      <c r="AC428" s="46">
        <f t="shared" si="358"/>
        <v>1.7646064849929546E-2</v>
      </c>
      <c r="AD428" s="33"/>
      <c r="AE428" s="33">
        <f t="shared" si="359"/>
        <v>1398.9594272076372</v>
      </c>
      <c r="AF428" s="50"/>
      <c r="AG428" s="33">
        <f t="shared" si="360"/>
        <v>4494</v>
      </c>
      <c r="AH428" s="33">
        <f>SUM(D399:D1080)</f>
        <v>1196406923.060914</v>
      </c>
      <c r="AI428" s="213">
        <f t="shared" si="361"/>
        <v>-4.0358744394618833E-2</v>
      </c>
      <c r="AJ428" s="50"/>
      <c r="AK428" s="111"/>
      <c r="AL428" s="23">
        <f t="shared" si="362"/>
        <v>62091</v>
      </c>
      <c r="AM428" s="24"/>
      <c r="AN428" s="24"/>
      <c r="AO428" s="24">
        <v>178263</v>
      </c>
      <c r="AP428" s="24">
        <v>26620229</v>
      </c>
      <c r="AQ428" s="24">
        <v>20336656</v>
      </c>
      <c r="AR428" s="461">
        <f t="shared" si="363"/>
        <v>2.3379274556070157E-3</v>
      </c>
      <c r="AS428" s="25"/>
      <c r="AT428" s="25"/>
      <c r="AU428" s="24"/>
      <c r="AV428" s="298">
        <f t="shared" si="364"/>
        <v>0.80138372068904795</v>
      </c>
      <c r="AW428" s="298"/>
      <c r="AX428" s="24">
        <f t="shared" si="365"/>
        <v>63532.766109785203</v>
      </c>
      <c r="AY428" s="308"/>
      <c r="AZ428" s="111"/>
      <c r="BA428" s="65">
        <f t="shared" si="366"/>
        <v>1076057</v>
      </c>
      <c r="BB428" s="66"/>
      <c r="BC428" s="66">
        <v>461476543</v>
      </c>
      <c r="BD428" s="66"/>
      <c r="BE428" s="66">
        <f t="shared" si="367"/>
        <v>35816</v>
      </c>
      <c r="BF428" s="66"/>
      <c r="BG428" s="144">
        <f t="shared" si="368"/>
        <v>3.3284482141745279E-2</v>
      </c>
      <c r="BH428" s="66"/>
      <c r="BI428" s="170"/>
      <c r="BJ428" s="66"/>
      <c r="BK428" s="66">
        <f t="shared" si="369"/>
        <v>8395488</v>
      </c>
      <c r="BL428" s="66"/>
      <c r="BM428" s="144">
        <f t="shared" si="370"/>
        <v>3.0508887631070403E-2</v>
      </c>
      <c r="BN428" s="65">
        <f t="shared" si="371"/>
        <v>1101375.9976133651</v>
      </c>
      <c r="BO428" s="66"/>
      <c r="BP428" s="66">
        <f t="shared" si="372"/>
        <v>32310853</v>
      </c>
      <c r="BQ428" s="66"/>
      <c r="BR428" s="435">
        <f t="shared" si="373"/>
        <v>7.0016241323884579E-2</v>
      </c>
      <c r="BS428" s="66"/>
      <c r="BT428" s="75"/>
      <c r="BU428" s="170"/>
      <c r="BV428" s="1"/>
      <c r="BW428" s="61">
        <f t="shared" si="186"/>
        <v>419</v>
      </c>
    </row>
    <row r="429" spans="2:75" x14ac:dyDescent="0.3">
      <c r="B429" s="158">
        <f t="shared" si="161"/>
        <v>44329</v>
      </c>
      <c r="C429" s="61"/>
      <c r="D429" s="17">
        <v>39825</v>
      </c>
      <c r="E429" s="16"/>
      <c r="F429" s="16"/>
      <c r="G429" s="16"/>
      <c r="H429" s="16">
        <f t="shared" si="350"/>
        <v>33257656</v>
      </c>
      <c r="I429" s="16"/>
      <c r="J429" s="436">
        <f t="shared" si="351"/>
        <v>1.198904287278721E-3</v>
      </c>
      <c r="K429" s="16"/>
      <c r="L429" s="16"/>
      <c r="M429" s="16"/>
      <c r="N429" s="16">
        <f t="shared" si="352"/>
        <v>248143</v>
      </c>
      <c r="O429" s="16">
        <f t="shared" si="353"/>
        <v>79184.89523809524</v>
      </c>
      <c r="P429" s="41"/>
      <c r="Q429" s="17">
        <f t="shared" si="354"/>
        <v>248143</v>
      </c>
      <c r="R429" s="16"/>
      <c r="S429" s="60">
        <f t="shared" si="355"/>
        <v>-0.19797864879103547</v>
      </c>
      <c r="T429" s="16"/>
      <c r="U429" s="41"/>
      <c r="V429" s="10">
        <f t="shared" si="349"/>
        <v>321</v>
      </c>
      <c r="W429" s="34">
        <v>762</v>
      </c>
      <c r="X429" s="33">
        <v>4256</v>
      </c>
      <c r="Y429" s="33"/>
      <c r="Z429" s="33">
        <f t="shared" si="356"/>
        <v>3622</v>
      </c>
      <c r="AA429" s="33">
        <f t="shared" si="357"/>
        <v>586926</v>
      </c>
      <c r="AB429" s="33"/>
      <c r="AC429" s="46">
        <f t="shared" si="358"/>
        <v>1.7647846258317182E-2</v>
      </c>
      <c r="AD429" s="33"/>
      <c r="AE429" s="33">
        <f t="shared" si="359"/>
        <v>1397.4428571428571</v>
      </c>
      <c r="AF429" s="50"/>
      <c r="AG429" s="33">
        <f t="shared" si="360"/>
        <v>4396</v>
      </c>
      <c r="AH429" s="33">
        <f>SUM(D400:D1081)</f>
        <v>1196329203.060914</v>
      </c>
      <c r="AI429" s="213">
        <f t="shared" si="361"/>
        <v>-5.9276695912689921E-2</v>
      </c>
      <c r="AJ429" s="50"/>
      <c r="AK429" s="111"/>
      <c r="AL429" s="23">
        <f t="shared" si="362"/>
        <v>46970</v>
      </c>
      <c r="AM429" s="24"/>
      <c r="AN429" s="24"/>
      <c r="AO429" s="24">
        <v>178263</v>
      </c>
      <c r="AP429" s="24">
        <v>26667199</v>
      </c>
      <c r="AQ429" s="24">
        <v>20336656</v>
      </c>
      <c r="AR429" s="461">
        <f t="shared" si="363"/>
        <v>1.7644476311604984E-3</v>
      </c>
      <c r="AS429" s="25"/>
      <c r="AT429" s="25"/>
      <c r="AU429" s="24"/>
      <c r="AV429" s="298">
        <f t="shared" si="364"/>
        <v>0.80183639520476124</v>
      </c>
      <c r="AW429" s="298"/>
      <c r="AX429" s="24">
        <f t="shared" si="365"/>
        <v>63493.330952380951</v>
      </c>
      <c r="AY429" s="308"/>
      <c r="AZ429" s="111"/>
      <c r="BA429" s="65">
        <f t="shared" si="366"/>
        <v>1318757</v>
      </c>
      <c r="BB429" s="66"/>
      <c r="BC429" s="66">
        <v>462795300</v>
      </c>
      <c r="BD429" s="66"/>
      <c r="BE429" s="66">
        <f t="shared" si="367"/>
        <v>39825</v>
      </c>
      <c r="BF429" s="66"/>
      <c r="BG429" s="144">
        <f t="shared" si="368"/>
        <v>3.0198891835266087E-2</v>
      </c>
      <c r="BH429" s="66"/>
      <c r="BI429" s="170"/>
      <c r="BJ429" s="66"/>
      <c r="BK429" s="66">
        <f t="shared" si="369"/>
        <v>8342098</v>
      </c>
      <c r="BL429" s="66"/>
      <c r="BM429" s="144">
        <f t="shared" si="370"/>
        <v>2.9745874479057906E-2</v>
      </c>
      <c r="BN429" s="65">
        <f t="shared" si="371"/>
        <v>1101893.5714285714</v>
      </c>
      <c r="BO429" s="66"/>
      <c r="BP429" s="66">
        <f t="shared" si="372"/>
        <v>32350678</v>
      </c>
      <c r="BQ429" s="66"/>
      <c r="BR429" s="435">
        <f t="shared" si="373"/>
        <v>6.9902779911550528E-2</v>
      </c>
      <c r="BS429" s="66"/>
      <c r="BT429" s="75"/>
      <c r="BU429" s="170"/>
      <c r="BV429" s="1"/>
      <c r="BW429" s="61">
        <f t="shared" si="186"/>
        <v>420</v>
      </c>
    </row>
    <row r="430" spans="2:75" x14ac:dyDescent="0.3">
      <c r="B430" s="158">
        <f t="shared" si="161"/>
        <v>44330</v>
      </c>
      <c r="C430" s="61"/>
      <c r="D430" s="17">
        <v>39095</v>
      </c>
      <c r="E430" s="16"/>
      <c r="F430" s="16"/>
      <c r="G430" s="16"/>
      <c r="H430" s="16">
        <f t="shared" si="350"/>
        <v>33296751</v>
      </c>
      <c r="I430" s="16"/>
      <c r="J430" s="436">
        <f t="shared" si="351"/>
        <v>1.1755188038507585E-3</v>
      </c>
      <c r="K430" s="16"/>
      <c r="L430" s="16"/>
      <c r="M430" s="16"/>
      <c r="N430" s="16">
        <f t="shared" si="352"/>
        <v>237747</v>
      </c>
      <c r="O430" s="16">
        <f t="shared" si="353"/>
        <v>79089.669833729218</v>
      </c>
      <c r="P430" s="41"/>
      <c r="Q430" s="17">
        <f t="shared" si="354"/>
        <v>237747</v>
      </c>
      <c r="R430" s="16"/>
      <c r="S430" s="60">
        <f t="shared" si="355"/>
        <v>-0.20481166090266303</v>
      </c>
      <c r="T430" s="16"/>
      <c r="U430" s="41"/>
      <c r="V430" s="10">
        <f t="shared" si="349"/>
        <v>322</v>
      </c>
      <c r="W430" s="34">
        <v>733</v>
      </c>
      <c r="X430" s="33">
        <v>4256</v>
      </c>
      <c r="Y430" s="33"/>
      <c r="Z430" s="33">
        <f t="shared" si="356"/>
        <v>3707</v>
      </c>
      <c r="AA430" s="33">
        <f t="shared" si="357"/>
        <v>587659</v>
      </c>
      <c r="AB430" s="33"/>
      <c r="AC430" s="46">
        <f t="shared" si="358"/>
        <v>1.7649139401018435E-2</v>
      </c>
      <c r="AD430" s="33"/>
      <c r="AE430" s="33">
        <f t="shared" si="359"/>
        <v>1395.8646080760095</v>
      </c>
      <c r="AF430" s="50"/>
      <c r="AG430" s="33">
        <f t="shared" si="360"/>
        <v>4355</v>
      </c>
      <c r="AH430" s="33">
        <f>SUM(D401:D1082)</f>
        <v>1196250764.060914</v>
      </c>
      <c r="AI430" s="213">
        <f t="shared" si="361"/>
        <v>-6.6051897919794128E-2</v>
      </c>
      <c r="AJ430" s="50"/>
      <c r="AK430" s="111"/>
      <c r="AL430" s="23">
        <f t="shared" si="362"/>
        <v>45622</v>
      </c>
      <c r="AM430" s="24"/>
      <c r="AN430" s="24"/>
      <c r="AO430" s="24">
        <v>178263</v>
      </c>
      <c r="AP430" s="24">
        <v>26712821</v>
      </c>
      <c r="AQ430" s="24">
        <v>20336656</v>
      </c>
      <c r="AR430" s="461">
        <f t="shared" si="363"/>
        <v>1.71079084833769E-3</v>
      </c>
      <c r="AS430" s="25"/>
      <c r="AT430" s="25"/>
      <c r="AU430" s="24"/>
      <c r="AV430" s="298">
        <f t="shared" si="364"/>
        <v>0.80226509187037498</v>
      </c>
      <c r="AW430" s="298"/>
      <c r="AX430" s="24">
        <f t="shared" si="365"/>
        <v>63450.881235154397</v>
      </c>
      <c r="AY430" s="308"/>
      <c r="AZ430" s="111"/>
      <c r="BA430" s="65">
        <f t="shared" si="366"/>
        <v>1304242</v>
      </c>
      <c r="BB430" s="66"/>
      <c r="BC430" s="66">
        <v>464099542</v>
      </c>
      <c r="BD430" s="66"/>
      <c r="BE430" s="66">
        <f t="shared" si="367"/>
        <v>39095</v>
      </c>
      <c r="BF430" s="66"/>
      <c r="BG430" s="144">
        <f t="shared" si="368"/>
        <v>2.9975265326526824E-2</v>
      </c>
      <c r="BH430" s="66"/>
      <c r="BI430" s="170"/>
      <c r="BJ430" s="66"/>
      <c r="BK430" s="66">
        <f t="shared" si="369"/>
        <v>8109711</v>
      </c>
      <c r="BL430" s="66"/>
      <c r="BM430" s="144">
        <f t="shared" si="370"/>
        <v>2.9316334453841821E-2</v>
      </c>
      <c r="BN430" s="65">
        <f t="shared" si="371"/>
        <v>1102374.2090261283</v>
      </c>
      <c r="BO430" s="66"/>
      <c r="BP430" s="66">
        <f t="shared" si="372"/>
        <v>32389773</v>
      </c>
      <c r="BQ430" s="66"/>
      <c r="BR430" s="435">
        <f t="shared" si="373"/>
        <v>6.9790573074946058E-2</v>
      </c>
      <c r="BS430" s="66"/>
      <c r="BT430" s="75"/>
      <c r="BU430" s="170"/>
      <c r="BV430" s="1"/>
      <c r="BW430" s="61">
        <f t="shared" si="186"/>
        <v>421</v>
      </c>
    </row>
    <row r="431" spans="2:75" x14ac:dyDescent="0.3">
      <c r="B431" s="158">
        <f t="shared" si="161"/>
        <v>44331</v>
      </c>
      <c r="C431" s="61"/>
      <c r="D431" s="17">
        <v>25642</v>
      </c>
      <c r="E431" s="16"/>
      <c r="F431" s="16"/>
      <c r="G431" s="16"/>
      <c r="H431" s="16">
        <f t="shared" si="350"/>
        <v>33322393</v>
      </c>
      <c r="I431" s="16"/>
      <c r="J431" s="436">
        <f t="shared" si="351"/>
        <v>7.7010516731797641E-4</v>
      </c>
      <c r="K431" s="16"/>
      <c r="L431" s="16"/>
      <c r="M431" s="16"/>
      <c r="N431" s="16">
        <f t="shared" si="352"/>
        <v>227634</v>
      </c>
      <c r="O431" s="16">
        <f t="shared" si="353"/>
        <v>78963.016587677732</v>
      </c>
      <c r="P431" s="41"/>
      <c r="Q431" s="17">
        <f t="shared" si="354"/>
        <v>227634</v>
      </c>
      <c r="R431" s="16"/>
      <c r="S431" s="60">
        <f t="shared" si="355"/>
        <v>-0.22230383699517942</v>
      </c>
      <c r="T431" s="16"/>
      <c r="U431" s="41"/>
      <c r="V431" s="10">
        <f t="shared" si="349"/>
        <v>323</v>
      </c>
      <c r="W431" s="34">
        <v>499</v>
      </c>
      <c r="X431" s="33">
        <v>4256</v>
      </c>
      <c r="Y431" s="33"/>
      <c r="Z431" s="33">
        <f t="shared" si="356"/>
        <v>3965</v>
      </c>
      <c r="AA431" s="33">
        <f t="shared" si="357"/>
        <v>588158</v>
      </c>
      <c r="AB431" s="33"/>
      <c r="AC431" s="46">
        <f t="shared" si="358"/>
        <v>1.7650533081462666E-2</v>
      </c>
      <c r="AD431" s="33"/>
      <c r="AE431" s="33">
        <f t="shared" si="359"/>
        <v>1393.739336492891</v>
      </c>
      <c r="AF431" s="50"/>
      <c r="AG431" s="33">
        <f t="shared" si="360"/>
        <v>4206</v>
      </c>
      <c r="AH431" s="33">
        <f>SUM(D402:D1083)</f>
        <v>1196176285.060914</v>
      </c>
      <c r="AI431" s="213">
        <f t="shared" si="361"/>
        <v>-9.5483870967741941E-2</v>
      </c>
      <c r="AJ431" s="50"/>
      <c r="AK431" s="111"/>
      <c r="AL431" s="23">
        <f t="shared" si="362"/>
        <v>385799</v>
      </c>
      <c r="AM431" s="24"/>
      <c r="AN431" s="24"/>
      <c r="AO431" s="24">
        <v>178263</v>
      </c>
      <c r="AP431" s="24">
        <v>27098620</v>
      </c>
      <c r="AQ431" s="24">
        <v>20336656</v>
      </c>
      <c r="AR431" s="461">
        <f t="shared" si="363"/>
        <v>1.4442465660964823E-2</v>
      </c>
      <c r="AS431" s="25"/>
      <c r="AT431" s="25"/>
      <c r="AU431" s="24"/>
      <c r="AV431" s="298">
        <f t="shared" si="364"/>
        <v>0.81322550874422495</v>
      </c>
      <c r="AW431" s="298"/>
      <c r="AX431" s="24">
        <f t="shared" si="365"/>
        <v>64214.739336492894</v>
      </c>
      <c r="AY431" s="308"/>
      <c r="AZ431" s="111"/>
      <c r="BA431" s="65">
        <f t="shared" si="366"/>
        <v>1125402</v>
      </c>
      <c r="BB431" s="66"/>
      <c r="BC431" s="66">
        <v>465224944</v>
      </c>
      <c r="BD431" s="66"/>
      <c r="BE431" s="66">
        <f t="shared" si="367"/>
        <v>25642</v>
      </c>
      <c r="BF431" s="66"/>
      <c r="BG431" s="144">
        <f t="shared" si="368"/>
        <v>2.2784747139244464E-2</v>
      </c>
      <c r="BH431" s="66"/>
      <c r="BI431" s="170"/>
      <c r="BJ431" s="66"/>
      <c r="BK431" s="66">
        <f t="shared" si="369"/>
        <v>7930271</v>
      </c>
      <c r="BL431" s="66"/>
      <c r="BM431" s="144">
        <f t="shared" si="370"/>
        <v>2.8704441500170676E-2</v>
      </c>
      <c r="BN431" s="65">
        <f t="shared" si="371"/>
        <v>1102428.7772511849</v>
      </c>
      <c r="BO431" s="66"/>
      <c r="BP431" s="66">
        <f t="shared" si="372"/>
        <v>32415415</v>
      </c>
      <c r="BQ431" s="66"/>
      <c r="BR431" s="435">
        <f t="shared" si="373"/>
        <v>6.9676863672211001E-2</v>
      </c>
      <c r="BS431" s="66"/>
      <c r="BT431" s="75"/>
      <c r="BU431" s="170"/>
      <c r="BV431" s="1"/>
      <c r="BW431" s="61">
        <f t="shared" si="186"/>
        <v>422</v>
      </c>
    </row>
    <row r="432" spans="2:75" x14ac:dyDescent="0.3">
      <c r="B432" s="347">
        <f t="shared" si="161"/>
        <v>44332</v>
      </c>
      <c r="C432" s="61"/>
      <c r="D432" s="17">
        <v>17834</v>
      </c>
      <c r="E432" s="16"/>
      <c r="F432" s="16"/>
      <c r="G432" s="16"/>
      <c r="H432" s="16">
        <f t="shared" si="350"/>
        <v>33340227</v>
      </c>
      <c r="I432" s="16"/>
      <c r="J432" s="436">
        <f t="shared" si="351"/>
        <v>5.3519565656644165E-4</v>
      </c>
      <c r="K432" s="16"/>
      <c r="L432" s="16"/>
      <c r="M432" s="16"/>
      <c r="N432" s="577">
        <f t="shared" si="352"/>
        <v>223268</v>
      </c>
      <c r="O432" s="16">
        <f t="shared" si="353"/>
        <v>78818.503546099295</v>
      </c>
      <c r="P432" s="41"/>
      <c r="Q432" s="17">
        <f t="shared" si="354"/>
        <v>223268</v>
      </c>
      <c r="R432" s="16"/>
      <c r="S432" s="60">
        <f t="shared" si="355"/>
        <v>-0.21440383952259309</v>
      </c>
      <c r="T432" s="16"/>
      <c r="U432" s="41"/>
      <c r="V432" s="10">
        <f t="shared" si="349"/>
        <v>324</v>
      </c>
      <c r="W432" s="34">
        <v>289</v>
      </c>
      <c r="X432" s="33">
        <v>4256</v>
      </c>
      <c r="Y432" s="33"/>
      <c r="Z432" s="33">
        <f t="shared" si="356"/>
        <v>3867</v>
      </c>
      <c r="AA432" s="33">
        <f t="shared" si="357"/>
        <v>588447</v>
      </c>
      <c r="AB432" s="33"/>
      <c r="AC432" s="46">
        <f t="shared" si="358"/>
        <v>1.7649759853164766E-2</v>
      </c>
      <c r="AD432" s="33"/>
      <c r="AE432" s="33">
        <f t="shared" si="359"/>
        <v>1391.127659574468</v>
      </c>
      <c r="AF432" s="50"/>
      <c r="AG432" s="33">
        <f t="shared" si="360"/>
        <v>4254</v>
      </c>
      <c r="AH432" s="33">
        <f>SUM(D403:D1084)</f>
        <v>1196094512.060914</v>
      </c>
      <c r="AI432" s="213">
        <f t="shared" si="361"/>
        <v>-7.0976195675911777E-2</v>
      </c>
      <c r="AJ432" s="50"/>
      <c r="AK432" s="111"/>
      <c r="AL432" s="23">
        <f t="shared" si="362"/>
        <v>37400</v>
      </c>
      <c r="AM432" s="24"/>
      <c r="AN432" s="24"/>
      <c r="AO432" s="24">
        <v>178263</v>
      </c>
      <c r="AP432" s="24">
        <v>27136020</v>
      </c>
      <c r="AQ432" s="24">
        <v>20336656</v>
      </c>
      <c r="AR432" s="461">
        <f t="shared" si="363"/>
        <v>1.3801440811377112E-3</v>
      </c>
      <c r="AS432" s="25"/>
      <c r="AT432" s="25"/>
      <c r="AU432" s="24"/>
      <c r="AV432" s="298">
        <f t="shared" si="364"/>
        <v>0.8139122748024481</v>
      </c>
      <c r="AW432" s="298"/>
      <c r="AX432" s="24">
        <f t="shared" si="365"/>
        <v>64151.347517730494</v>
      </c>
      <c r="AY432" s="308"/>
      <c r="AZ432" s="111"/>
      <c r="BA432" s="65">
        <f t="shared" si="366"/>
        <v>831508</v>
      </c>
      <c r="BB432" s="66"/>
      <c r="BC432" s="66">
        <v>466056452</v>
      </c>
      <c r="BD432" s="66"/>
      <c r="BE432" s="66">
        <f t="shared" si="367"/>
        <v>17834</v>
      </c>
      <c r="BF432" s="66"/>
      <c r="BG432" s="144">
        <f t="shared" si="368"/>
        <v>2.1447779215593838E-2</v>
      </c>
      <c r="BH432" s="66"/>
      <c r="BI432" s="170"/>
      <c r="BJ432" s="66"/>
      <c r="BK432" s="66">
        <f t="shared" si="369"/>
        <v>7888149</v>
      </c>
      <c r="BL432" s="66"/>
      <c r="BM432" s="144">
        <f t="shared" si="370"/>
        <v>2.8304232082837177E-2</v>
      </c>
      <c r="BN432" s="65">
        <f t="shared" si="371"/>
        <v>1101788.3026004727</v>
      </c>
      <c r="BO432" s="66"/>
      <c r="BP432" s="66">
        <f t="shared" si="372"/>
        <v>32433249</v>
      </c>
      <c r="BQ432" s="66"/>
      <c r="BR432" s="435">
        <f t="shared" si="373"/>
        <v>6.9590816436117059E-2</v>
      </c>
      <c r="BS432" s="66"/>
      <c r="BT432" s="75"/>
      <c r="BU432" s="170"/>
      <c r="BV432" s="1"/>
      <c r="BW432" s="61">
        <f t="shared" si="186"/>
        <v>423</v>
      </c>
    </row>
    <row r="433" spans="2:75" x14ac:dyDescent="0.3">
      <c r="B433" s="158">
        <f t="shared" si="161"/>
        <v>44333</v>
      </c>
      <c r="C433" s="61"/>
      <c r="D433" s="17">
        <v>25030</v>
      </c>
      <c r="E433" s="16"/>
      <c r="F433" s="16"/>
      <c r="G433" s="16"/>
      <c r="H433" s="16">
        <f t="shared" si="350"/>
        <v>33365257</v>
      </c>
      <c r="I433" s="16"/>
      <c r="J433" s="436">
        <f t="shared" si="351"/>
        <v>7.5074473848063485E-4</v>
      </c>
      <c r="K433" s="16"/>
      <c r="L433" s="16"/>
      <c r="M433" s="16"/>
      <c r="N433" s="16">
        <f t="shared" si="352"/>
        <v>218146</v>
      </c>
      <c r="O433" s="16">
        <f t="shared" si="353"/>
        <v>78691.643867924533</v>
      </c>
      <c r="P433" s="41"/>
      <c r="Q433" s="17">
        <f t="shared" si="354"/>
        <v>218146</v>
      </c>
      <c r="R433" s="16"/>
      <c r="S433" s="60">
        <f t="shared" si="355"/>
        <v>-0.20355604235122307</v>
      </c>
      <c r="T433" s="16"/>
      <c r="U433" s="41"/>
      <c r="V433" s="10">
        <f t="shared" si="349"/>
        <v>325</v>
      </c>
      <c r="W433" s="34">
        <v>369</v>
      </c>
      <c r="X433" s="33">
        <v>4256</v>
      </c>
      <c r="Y433" s="33"/>
      <c r="Z433" s="33">
        <f t="shared" si="356"/>
        <v>3493</v>
      </c>
      <c r="AA433" s="33">
        <f t="shared" si="357"/>
        <v>588816</v>
      </c>
      <c r="AB433" s="33"/>
      <c r="AC433" s="46">
        <f t="shared" si="358"/>
        <v>1.7647578737367435E-2</v>
      </c>
      <c r="AD433" s="33"/>
      <c r="AE433" s="33">
        <f t="shared" si="359"/>
        <v>1388.7169811320755</v>
      </c>
      <c r="AF433" s="50"/>
      <c r="AG433" s="33">
        <f t="shared" si="360"/>
        <v>4236</v>
      </c>
      <c r="AH433" s="33">
        <f>SUM(D404:D1085)</f>
        <v>1196030931.060914</v>
      </c>
      <c r="AI433" s="213">
        <f t="shared" si="361"/>
        <v>-5.9920106524633823E-2</v>
      </c>
      <c r="AJ433" s="50"/>
      <c r="AK433" s="111"/>
      <c r="AL433" s="23">
        <f t="shared" si="362"/>
        <v>66289</v>
      </c>
      <c r="AM433" s="24"/>
      <c r="AN433" s="24"/>
      <c r="AO433" s="24">
        <v>178263</v>
      </c>
      <c r="AP433" s="24">
        <v>27202309</v>
      </c>
      <c r="AQ433" s="24">
        <v>20336656</v>
      </c>
      <c r="AR433" s="461">
        <f t="shared" si="363"/>
        <v>2.4428416547452427E-3</v>
      </c>
      <c r="AS433" s="25"/>
      <c r="AT433" s="25"/>
      <c r="AU433" s="24"/>
      <c r="AV433" s="298">
        <f t="shared" si="364"/>
        <v>0.81528846008888822</v>
      </c>
      <c r="AW433" s="298"/>
      <c r="AX433" s="24">
        <f t="shared" si="365"/>
        <v>64156.389150943396</v>
      </c>
      <c r="AY433" s="308"/>
      <c r="AZ433" s="111"/>
      <c r="BA433" s="65">
        <f t="shared" si="366"/>
        <v>1166344</v>
      </c>
      <c r="BB433" s="66"/>
      <c r="BC433" s="66">
        <v>467222796</v>
      </c>
      <c r="BD433" s="66"/>
      <c r="BE433" s="66">
        <f t="shared" si="367"/>
        <v>25030</v>
      </c>
      <c r="BF433" s="66"/>
      <c r="BG433" s="144">
        <f t="shared" si="368"/>
        <v>2.1460220998264664E-2</v>
      </c>
      <c r="BH433" s="66"/>
      <c r="BI433" s="170"/>
      <c r="BJ433" s="66"/>
      <c r="BK433" s="66">
        <f t="shared" si="369"/>
        <v>7801862</v>
      </c>
      <c r="BL433" s="66"/>
      <c r="BM433" s="144">
        <f t="shared" si="370"/>
        <v>2.7960761161886741E-2</v>
      </c>
      <c r="BN433" s="65">
        <f t="shared" si="371"/>
        <v>1101940.5566037735</v>
      </c>
      <c r="BO433" s="66"/>
      <c r="BP433" s="66">
        <f t="shared" si="372"/>
        <v>32458279</v>
      </c>
      <c r="BQ433" s="66"/>
      <c r="BR433" s="435">
        <f t="shared" si="373"/>
        <v>6.9470666409864129E-2</v>
      </c>
      <c r="BS433" s="66"/>
      <c r="BT433" s="75"/>
      <c r="BU433" s="170"/>
      <c r="BV433" s="1"/>
      <c r="BW433" s="61">
        <f t="shared" si="186"/>
        <v>424</v>
      </c>
    </row>
    <row r="434" spans="2:75" x14ac:dyDescent="0.3">
      <c r="B434" s="158">
        <f t="shared" si="161"/>
        <v>44334</v>
      </c>
      <c r="C434" s="61"/>
      <c r="D434" s="17">
        <v>27506</v>
      </c>
      <c r="E434" s="16"/>
      <c r="F434" s="16"/>
      <c r="G434" s="16"/>
      <c r="H434" s="16">
        <f t="shared" si="350"/>
        <v>33392763</v>
      </c>
      <c r="I434" s="16"/>
      <c r="J434" s="436">
        <f t="shared" si="351"/>
        <v>8.243904730001031E-4</v>
      </c>
      <c r="K434" s="16"/>
      <c r="L434" s="16"/>
      <c r="M434" s="16"/>
      <c r="N434" s="16">
        <f t="shared" si="352"/>
        <v>210748</v>
      </c>
      <c r="O434" s="16">
        <f t="shared" si="353"/>
        <v>78571.207058823536</v>
      </c>
      <c r="P434" s="41"/>
      <c r="Q434" s="17">
        <f t="shared" si="354"/>
        <v>210748</v>
      </c>
      <c r="R434" s="16"/>
      <c r="S434" s="60">
        <f t="shared" si="355"/>
        <v>-0.20905235503846875</v>
      </c>
      <c r="T434" s="16"/>
      <c r="U434" s="41"/>
      <c r="V434" s="10">
        <f t="shared" si="349"/>
        <v>326</v>
      </c>
      <c r="W434" s="34">
        <v>733</v>
      </c>
      <c r="X434" s="33">
        <v>4256</v>
      </c>
      <c r="Y434" s="33"/>
      <c r="Z434" s="33">
        <f t="shared" si="356"/>
        <v>3385</v>
      </c>
      <c r="AA434" s="33">
        <f t="shared" si="357"/>
        <v>589549</v>
      </c>
      <c r="AB434" s="33"/>
      <c r="AC434" s="46">
        <f t="shared" si="358"/>
        <v>1.765499308937089E-2</v>
      </c>
      <c r="AD434" s="33"/>
      <c r="AE434" s="33">
        <f t="shared" si="359"/>
        <v>1387.1741176470589</v>
      </c>
      <c r="AF434" s="50"/>
      <c r="AG434" s="33">
        <f t="shared" si="360"/>
        <v>4226</v>
      </c>
      <c r="AH434" s="33">
        <f>SUM(D405:D1086)</f>
        <v>1195987750.060914</v>
      </c>
      <c r="AI434" s="213">
        <f t="shared" si="361"/>
        <v>-3.8671519563239311E-2</v>
      </c>
      <c r="AJ434" s="50"/>
      <c r="AK434" s="111"/>
      <c r="AL434" s="23">
        <f t="shared" si="362"/>
        <v>51018</v>
      </c>
      <c r="AM434" s="24"/>
      <c r="AN434" s="24"/>
      <c r="AO434" s="24">
        <v>178263</v>
      </c>
      <c r="AP434" s="24">
        <v>27253327</v>
      </c>
      <c r="AQ434" s="24">
        <v>20336656</v>
      </c>
      <c r="AR434" s="461">
        <f t="shared" si="363"/>
        <v>1.8755025538457048E-3</v>
      </c>
      <c r="AS434" s="25"/>
      <c r="AT434" s="25"/>
      <c r="AU434" s="24"/>
      <c r="AV434" s="298">
        <f t="shared" si="364"/>
        <v>0.81614471375129993</v>
      </c>
      <c r="AW434" s="298"/>
      <c r="AX434" s="24">
        <f t="shared" si="365"/>
        <v>64125.475294117648</v>
      </c>
      <c r="AY434" s="308"/>
      <c r="AZ434" s="111"/>
      <c r="BA434" s="65">
        <f t="shared" si="366"/>
        <v>845306</v>
      </c>
      <c r="BB434" s="66"/>
      <c r="BC434" s="66">
        <v>468068102</v>
      </c>
      <c r="BD434" s="66"/>
      <c r="BE434" s="66">
        <f t="shared" si="367"/>
        <v>27506</v>
      </c>
      <c r="BF434" s="66"/>
      <c r="BG434" s="144">
        <f t="shared" si="368"/>
        <v>3.2539695684166446E-2</v>
      </c>
      <c r="BH434" s="66"/>
      <c r="BI434" s="170"/>
      <c r="BJ434" s="66"/>
      <c r="BK434" s="66">
        <f t="shared" si="369"/>
        <v>7667616</v>
      </c>
      <c r="BL434" s="66"/>
      <c r="BM434" s="144">
        <f t="shared" si="370"/>
        <v>2.7485466147496172E-2</v>
      </c>
      <c r="BN434" s="65">
        <f t="shared" si="371"/>
        <v>1101336.7105882354</v>
      </c>
      <c r="BO434" s="66"/>
      <c r="BP434" s="66">
        <f t="shared" si="372"/>
        <v>32485785</v>
      </c>
      <c r="BQ434" s="66"/>
      <c r="BR434" s="435">
        <f t="shared" si="373"/>
        <v>6.9403971048640267E-2</v>
      </c>
      <c r="BS434" s="66"/>
      <c r="BT434" s="75"/>
      <c r="BU434" s="170"/>
      <c r="BV434" s="1"/>
      <c r="BW434" s="61">
        <f t="shared" si="186"/>
        <v>425</v>
      </c>
    </row>
    <row r="435" spans="2:75" x14ac:dyDescent="0.3">
      <c r="B435" s="158">
        <f t="shared" si="161"/>
        <v>44335</v>
      </c>
      <c r="C435" s="61"/>
      <c r="D435" s="17">
        <v>28541</v>
      </c>
      <c r="E435" s="16"/>
      <c r="F435" s="16"/>
      <c r="G435" s="16"/>
      <c r="H435" s="16">
        <f t="shared" si="350"/>
        <v>33421304</v>
      </c>
      <c r="I435" s="16"/>
      <c r="J435" s="436">
        <f t="shared" si="351"/>
        <v>8.5470615294697236E-4</v>
      </c>
      <c r="K435" s="16"/>
      <c r="L435" s="16"/>
      <c r="M435" s="16"/>
      <c r="N435" s="16">
        <f t="shared" si="352"/>
        <v>203473</v>
      </c>
      <c r="O435" s="16">
        <f t="shared" si="353"/>
        <v>78453.765258215964</v>
      </c>
      <c r="P435" s="41"/>
      <c r="Q435" s="17">
        <f t="shared" si="354"/>
        <v>203473</v>
      </c>
      <c r="R435" s="16"/>
      <c r="S435" s="60">
        <f t="shared" si="355"/>
        <v>-0.20560871720993062</v>
      </c>
      <c r="T435" s="16"/>
      <c r="U435" s="41"/>
      <c r="V435" s="10">
        <f t="shared" si="349"/>
        <v>327</v>
      </c>
      <c r="W435" s="34">
        <v>636</v>
      </c>
      <c r="X435" s="33">
        <v>4256</v>
      </c>
      <c r="Y435" s="33"/>
      <c r="Z435" s="33">
        <f t="shared" si="356"/>
        <v>3259</v>
      </c>
      <c r="AA435" s="33">
        <f t="shared" si="357"/>
        <v>590185</v>
      </c>
      <c r="AB435" s="33"/>
      <c r="AC435" s="46">
        <f t="shared" si="358"/>
        <v>1.765894592263665E-2</v>
      </c>
      <c r="AD435" s="33"/>
      <c r="AE435" s="33">
        <f t="shared" si="359"/>
        <v>1385.4107981220657</v>
      </c>
      <c r="AF435" s="50"/>
      <c r="AG435" s="33">
        <f t="shared" si="360"/>
        <v>4021</v>
      </c>
      <c r="AH435" s="33">
        <f>SUM(D406:D1087)</f>
        <v>1195936100.060914</v>
      </c>
      <c r="AI435" s="213">
        <f t="shared" si="361"/>
        <v>-0.1052514463729417</v>
      </c>
      <c r="AJ435" s="50"/>
      <c r="AK435" s="111"/>
      <c r="AL435" s="23">
        <f t="shared" si="362"/>
        <v>45853</v>
      </c>
      <c r="AM435" s="24"/>
      <c r="AN435" s="24"/>
      <c r="AO435" s="24">
        <v>178263</v>
      </c>
      <c r="AP435" s="24">
        <v>27299180</v>
      </c>
      <c r="AQ435" s="24">
        <v>20336656</v>
      </c>
      <c r="AR435" s="461">
        <f t="shared" si="363"/>
        <v>1.682473482962282E-3</v>
      </c>
      <c r="AS435" s="25"/>
      <c r="AT435" s="25"/>
      <c r="AU435" s="24"/>
      <c r="AV435" s="298">
        <f t="shared" si="364"/>
        <v>0.81681971475439741</v>
      </c>
      <c r="AW435" s="298"/>
      <c r="AX435" s="24">
        <f t="shared" si="365"/>
        <v>64082.582159624413</v>
      </c>
      <c r="AY435" s="308"/>
      <c r="AZ435" s="111"/>
      <c r="BA435" s="65">
        <f t="shared" si="366"/>
        <v>877500</v>
      </c>
      <c r="BB435" s="66"/>
      <c r="BC435" s="66">
        <v>468945602</v>
      </c>
      <c r="BD435" s="66"/>
      <c r="BE435" s="66">
        <f t="shared" si="367"/>
        <v>28541</v>
      </c>
      <c r="BF435" s="66"/>
      <c r="BG435" s="144">
        <f t="shared" si="368"/>
        <v>3.2525356125356127E-2</v>
      </c>
      <c r="BH435" s="66"/>
      <c r="BI435" s="170"/>
      <c r="BJ435" s="66"/>
      <c r="BK435" s="66">
        <f t="shared" si="369"/>
        <v>7469059</v>
      </c>
      <c r="BL435" s="66"/>
      <c r="BM435" s="144">
        <f t="shared" si="370"/>
        <v>2.7242119790458208E-2</v>
      </c>
      <c r="BN435" s="65">
        <f t="shared" si="371"/>
        <v>1100811.2723004695</v>
      </c>
      <c r="BO435" s="66"/>
      <c r="BP435" s="66">
        <f t="shared" si="372"/>
        <v>32514326</v>
      </c>
      <c r="BQ435" s="66"/>
      <c r="BR435" s="435">
        <f t="shared" si="373"/>
        <v>6.9334963077444536E-2</v>
      </c>
      <c r="BS435" s="66"/>
      <c r="BT435" s="75"/>
      <c r="BU435" s="170"/>
      <c r="BV435" s="1"/>
      <c r="BW435" s="61">
        <f t="shared" si="186"/>
        <v>426</v>
      </c>
    </row>
    <row r="436" spans="2:75" x14ac:dyDescent="0.3">
      <c r="B436" s="158">
        <f t="shared" si="161"/>
        <v>44336</v>
      </c>
      <c r="C436" s="61"/>
      <c r="D436" s="17">
        <v>30214</v>
      </c>
      <c r="E436" s="16"/>
      <c r="F436" s="16"/>
      <c r="G436" s="16"/>
      <c r="H436" s="16">
        <f t="shared" si="350"/>
        <v>33451518</v>
      </c>
      <c r="I436" s="16"/>
      <c r="J436" s="436">
        <f t="shared" si="351"/>
        <v>9.0403414540617566E-4</v>
      </c>
      <c r="K436" s="16"/>
      <c r="L436" s="16"/>
      <c r="M436" s="16"/>
      <c r="N436" s="16">
        <f t="shared" si="352"/>
        <v>193862</v>
      </c>
      <c r="O436" s="16">
        <f t="shared" si="353"/>
        <v>78340.79156908665</v>
      </c>
      <c r="P436" s="41"/>
      <c r="Q436" s="17">
        <f t="shared" si="354"/>
        <v>193862</v>
      </c>
      <c r="R436" s="16"/>
      <c r="S436" s="60">
        <f t="shared" si="355"/>
        <v>-0.2187488665809634</v>
      </c>
      <c r="T436" s="16"/>
      <c r="U436" s="41"/>
      <c r="V436" s="10">
        <f t="shared" si="349"/>
        <v>328</v>
      </c>
      <c r="W436" s="34">
        <v>659</v>
      </c>
      <c r="X436" s="33">
        <v>4256</v>
      </c>
      <c r="Y436" s="33"/>
      <c r="Z436" s="33">
        <f t="shared" si="356"/>
        <v>3185</v>
      </c>
      <c r="AA436" s="33">
        <f t="shared" si="357"/>
        <v>590844</v>
      </c>
      <c r="AB436" s="33"/>
      <c r="AC436" s="46">
        <f t="shared" si="358"/>
        <v>1.7662696204100513E-2</v>
      </c>
      <c r="AD436" s="33"/>
      <c r="AE436" s="33">
        <f t="shared" si="359"/>
        <v>1383.7096018735363</v>
      </c>
      <c r="AF436" s="50"/>
      <c r="AG436" s="33">
        <f t="shared" si="360"/>
        <v>3918</v>
      </c>
      <c r="AH436" s="33">
        <f>SUM(D407:D1088)</f>
        <v>1195875783.060914</v>
      </c>
      <c r="AI436" s="213">
        <f t="shared" si="361"/>
        <v>-0.10873521383075523</v>
      </c>
      <c r="AJ436" s="50"/>
      <c r="AK436" s="111"/>
      <c r="AL436" s="23">
        <f t="shared" si="362"/>
        <v>59471</v>
      </c>
      <c r="AM436" s="24"/>
      <c r="AN436" s="24"/>
      <c r="AO436" s="24">
        <v>178263</v>
      </c>
      <c r="AP436" s="24">
        <v>27358651</v>
      </c>
      <c r="AQ436" s="24">
        <v>20336656</v>
      </c>
      <c r="AR436" s="461">
        <f t="shared" si="363"/>
        <v>2.1784903429333774E-3</v>
      </c>
      <c r="AS436" s="25"/>
      <c r="AT436" s="25"/>
      <c r="AU436" s="24"/>
      <c r="AV436" s="298">
        <f t="shared" si="364"/>
        <v>0.81785977545174482</v>
      </c>
      <c r="AW436" s="298"/>
      <c r="AX436" s="24">
        <f t="shared" si="365"/>
        <v>64071.782201405149</v>
      </c>
      <c r="AY436" s="308"/>
      <c r="AZ436" s="111"/>
      <c r="BA436" s="65">
        <f t="shared" si="366"/>
        <v>1172702</v>
      </c>
      <c r="BB436" s="66"/>
      <c r="BC436" s="66">
        <v>470118304</v>
      </c>
      <c r="BD436" s="66"/>
      <c r="BE436" s="66">
        <f t="shared" si="367"/>
        <v>30214</v>
      </c>
      <c r="BF436" s="66"/>
      <c r="BG436" s="144">
        <f t="shared" si="368"/>
        <v>2.5764431202470874E-2</v>
      </c>
      <c r="BH436" s="66"/>
      <c r="BI436" s="170"/>
      <c r="BJ436" s="66"/>
      <c r="BK436" s="66">
        <f t="shared" si="369"/>
        <v>7323004</v>
      </c>
      <c r="BL436" s="66"/>
      <c r="BM436" s="144">
        <f t="shared" si="370"/>
        <v>2.647301571868594E-2</v>
      </c>
      <c r="BN436" s="65">
        <f t="shared" si="371"/>
        <v>1100979.6346604216</v>
      </c>
      <c r="BO436" s="66"/>
      <c r="BP436" s="66">
        <f t="shared" si="372"/>
        <v>32544540</v>
      </c>
      <c r="BQ436" s="66"/>
      <c r="BR436" s="435">
        <f t="shared" si="373"/>
        <v>6.9226277137254377E-2</v>
      </c>
      <c r="BS436" s="66"/>
      <c r="BT436" s="75"/>
      <c r="BU436" s="170"/>
      <c r="BV436" s="1"/>
      <c r="BW436" s="61">
        <f t="shared" si="186"/>
        <v>427</v>
      </c>
    </row>
    <row r="437" spans="2:75" x14ac:dyDescent="0.3">
      <c r="B437" s="158">
        <f t="shared" si="161"/>
        <v>44337</v>
      </c>
      <c r="C437" s="61"/>
      <c r="D437" s="17">
        <v>29014</v>
      </c>
      <c r="E437" s="16"/>
      <c r="F437" s="16"/>
      <c r="G437" s="16"/>
      <c r="H437" s="16">
        <f t="shared" si="350"/>
        <v>33480532</v>
      </c>
      <c r="I437" s="16"/>
      <c r="J437" s="436">
        <f t="shared" si="351"/>
        <v>8.6734479433788327E-4</v>
      </c>
      <c r="K437" s="16"/>
      <c r="L437" s="16"/>
      <c r="M437" s="16"/>
      <c r="N437" s="16">
        <f t="shared" si="352"/>
        <v>183781</v>
      </c>
      <c r="O437" s="16">
        <f t="shared" si="353"/>
        <v>78225.542056074773</v>
      </c>
      <c r="P437" s="41"/>
      <c r="Q437" s="17">
        <f t="shared" si="354"/>
        <v>183781</v>
      </c>
      <c r="R437" s="16"/>
      <c r="S437" s="60">
        <f t="shared" si="355"/>
        <v>-0.22698919439572318</v>
      </c>
      <c r="T437" s="16"/>
      <c r="U437" s="41"/>
      <c r="V437" s="10">
        <f t="shared" si="349"/>
        <v>329</v>
      </c>
      <c r="W437" s="34">
        <v>657</v>
      </c>
      <c r="X437" s="33">
        <v>4256</v>
      </c>
      <c r="Y437" s="33"/>
      <c r="Z437" s="33">
        <f t="shared" si="356"/>
        <v>3343</v>
      </c>
      <c r="AA437" s="33">
        <f t="shared" si="357"/>
        <v>591501</v>
      </c>
      <c r="AB437" s="33"/>
      <c r="AC437" s="46">
        <f t="shared" si="358"/>
        <v>1.7667013176493135E-2</v>
      </c>
      <c r="AD437" s="33"/>
      <c r="AE437" s="33">
        <f t="shared" si="359"/>
        <v>1382.0116822429907</v>
      </c>
      <c r="AF437" s="50"/>
      <c r="AG437" s="33">
        <f t="shared" si="360"/>
        <v>3842</v>
      </c>
      <c r="AH437" s="33">
        <f>SUM(D408:D1089)</f>
        <v>1195810726.060914</v>
      </c>
      <c r="AI437" s="213">
        <f t="shared" si="361"/>
        <v>-0.11779563719862228</v>
      </c>
      <c r="AJ437" s="50"/>
      <c r="AK437" s="111"/>
      <c r="AL437" s="23">
        <f t="shared" si="362"/>
        <v>40778</v>
      </c>
      <c r="AM437" s="24"/>
      <c r="AN437" s="24"/>
      <c r="AO437" s="24">
        <v>178263</v>
      </c>
      <c r="AP437" s="24">
        <v>27399429</v>
      </c>
      <c r="AQ437" s="24">
        <v>20336656</v>
      </c>
      <c r="AR437" s="461">
        <f t="shared" si="363"/>
        <v>1.4904974664138228E-3</v>
      </c>
      <c r="AS437" s="25"/>
      <c r="AT437" s="25"/>
      <c r="AU437" s="24"/>
      <c r="AV437" s="298">
        <f t="shared" si="364"/>
        <v>0.81836898529569357</v>
      </c>
      <c r="AW437" s="298"/>
      <c r="AX437" s="24">
        <f t="shared" si="365"/>
        <v>64017.357476635516</v>
      </c>
      <c r="AY437" s="308"/>
      <c r="AZ437" s="111"/>
      <c r="BA437" s="65">
        <f t="shared" si="366"/>
        <v>1425608</v>
      </c>
      <c r="BB437" s="66"/>
      <c r="BC437" s="66">
        <v>471543912</v>
      </c>
      <c r="BD437" s="66"/>
      <c r="BE437" s="66">
        <f t="shared" si="367"/>
        <v>29014</v>
      </c>
      <c r="BF437" s="66"/>
      <c r="BG437" s="144">
        <f t="shared" si="368"/>
        <v>2.0352018226609279E-2</v>
      </c>
      <c r="BH437" s="66"/>
      <c r="BI437" s="170"/>
      <c r="BJ437" s="66"/>
      <c r="BK437" s="66">
        <f t="shared" si="369"/>
        <v>7444370</v>
      </c>
      <c r="BL437" s="66"/>
      <c r="BM437" s="144">
        <f t="shared" si="370"/>
        <v>2.4687246872468725E-2</v>
      </c>
      <c r="BN437" s="65">
        <f t="shared" si="371"/>
        <v>1101738.1121495327</v>
      </c>
      <c r="BO437" s="66"/>
      <c r="BP437" s="66">
        <f t="shared" si="372"/>
        <v>32573554</v>
      </c>
      <c r="BQ437" s="66"/>
      <c r="BR437" s="435">
        <f t="shared" si="373"/>
        <v>6.9078516700264381E-2</v>
      </c>
      <c r="BS437" s="66"/>
      <c r="BT437" s="75"/>
      <c r="BU437" s="170"/>
      <c r="BV437" s="1"/>
      <c r="BW437" s="61">
        <f t="shared" si="186"/>
        <v>428</v>
      </c>
    </row>
    <row r="438" spans="2:75" x14ac:dyDescent="0.3">
      <c r="B438" s="158">
        <f t="shared" si="161"/>
        <v>44338</v>
      </c>
      <c r="C438" s="61"/>
      <c r="D438" s="17">
        <v>19639</v>
      </c>
      <c r="E438" s="16"/>
      <c r="F438" s="16"/>
      <c r="G438" s="16"/>
      <c r="H438" s="16">
        <f t="shared" si="350"/>
        <v>33500171</v>
      </c>
      <c r="I438" s="16"/>
      <c r="J438" s="436">
        <f t="shared" si="351"/>
        <v>5.8657968756290965E-4</v>
      </c>
      <c r="K438" s="16"/>
      <c r="L438" s="16"/>
      <c r="M438" s="16"/>
      <c r="N438" s="16">
        <f t="shared" si="352"/>
        <v>177778</v>
      </c>
      <c r="O438" s="16">
        <f t="shared" si="353"/>
        <v>78088.976689976684</v>
      </c>
      <c r="P438" s="41"/>
      <c r="Q438" s="17">
        <f t="shared" si="354"/>
        <v>177778</v>
      </c>
      <c r="R438" s="16"/>
      <c r="S438" s="60">
        <f t="shared" si="355"/>
        <v>-0.21901824859203808</v>
      </c>
      <c r="T438" s="16"/>
      <c r="U438" s="41"/>
      <c r="V438" s="10">
        <f t="shared" si="349"/>
        <v>330</v>
      </c>
      <c r="W438" s="34">
        <v>468</v>
      </c>
      <c r="X438" s="33">
        <v>4256</v>
      </c>
      <c r="Y438" s="33"/>
      <c r="Z438" s="33">
        <f t="shared" si="356"/>
        <v>3522</v>
      </c>
      <c r="AA438" s="33">
        <f t="shared" si="357"/>
        <v>591969</v>
      </c>
      <c r="AB438" s="33"/>
      <c r="AC438" s="46">
        <f t="shared" si="358"/>
        <v>1.7670626218594526E-2</v>
      </c>
      <c r="AD438" s="33"/>
      <c r="AE438" s="33">
        <f t="shared" si="359"/>
        <v>1379.8811188811189</v>
      </c>
      <c r="AF438" s="50"/>
      <c r="AG438" s="33">
        <f t="shared" si="360"/>
        <v>3811</v>
      </c>
      <c r="AH438" s="33">
        <f>SUM(D409:D1090)</f>
        <v>1195743656.060914</v>
      </c>
      <c r="AI438" s="213">
        <f t="shared" si="361"/>
        <v>-9.3913456966238706E-2</v>
      </c>
      <c r="AJ438" s="50"/>
      <c r="AK438" s="111"/>
      <c r="AL438" s="23">
        <f t="shared" si="362"/>
        <v>71813</v>
      </c>
      <c r="AM438" s="24"/>
      <c r="AN438" s="24"/>
      <c r="AO438" s="24">
        <v>178263</v>
      </c>
      <c r="AP438" s="24">
        <v>27471242</v>
      </c>
      <c r="AQ438" s="24">
        <v>20336656</v>
      </c>
      <c r="AR438" s="461">
        <f t="shared" si="363"/>
        <v>2.6209670281814998E-3</v>
      </c>
      <c r="AS438" s="25"/>
      <c r="AT438" s="25"/>
      <c r="AU438" s="24"/>
      <c r="AV438" s="298">
        <f t="shared" si="364"/>
        <v>0.82003288878734382</v>
      </c>
      <c r="AW438" s="298"/>
      <c r="AX438" s="24">
        <f t="shared" si="365"/>
        <v>64035.529137529134</v>
      </c>
      <c r="AY438" s="308"/>
      <c r="AZ438" s="111"/>
      <c r="BA438" s="65">
        <f t="shared" si="366"/>
        <v>994699</v>
      </c>
      <c r="BB438" s="66"/>
      <c r="BC438" s="66">
        <v>472538611</v>
      </c>
      <c r="BD438" s="66"/>
      <c r="BE438" s="66">
        <f t="shared" si="367"/>
        <v>19639</v>
      </c>
      <c r="BF438" s="66"/>
      <c r="BG438" s="144">
        <f t="shared" si="368"/>
        <v>1.9743661147744191E-2</v>
      </c>
      <c r="BH438" s="66"/>
      <c r="BI438" s="170"/>
      <c r="BJ438" s="66"/>
      <c r="BK438" s="66">
        <f t="shared" si="369"/>
        <v>7313667</v>
      </c>
      <c r="BL438" s="66"/>
      <c r="BM438" s="144">
        <f t="shared" si="370"/>
        <v>2.4307642117148621E-2</v>
      </c>
      <c r="BN438" s="65">
        <f t="shared" si="371"/>
        <v>1101488.6037296038</v>
      </c>
      <c r="BO438" s="66"/>
      <c r="BP438" s="66">
        <f t="shared" si="372"/>
        <v>32593193</v>
      </c>
      <c r="BQ438" s="66"/>
      <c r="BR438" s="435">
        <f t="shared" si="373"/>
        <v>6.8974666283936739E-2</v>
      </c>
      <c r="BS438" s="66"/>
      <c r="BT438" s="75"/>
      <c r="BU438" s="170"/>
      <c r="BV438" s="1"/>
      <c r="BW438" s="61">
        <f t="shared" si="186"/>
        <v>429</v>
      </c>
    </row>
    <row r="439" spans="2:75" x14ac:dyDescent="0.3">
      <c r="B439" s="347">
        <f t="shared" si="161"/>
        <v>44339</v>
      </c>
      <c r="C439" s="61"/>
      <c r="D439" s="17">
        <v>13541</v>
      </c>
      <c r="E439" s="16"/>
      <c r="F439" s="16"/>
      <c r="G439" s="16"/>
      <c r="H439" s="16">
        <f t="shared" si="350"/>
        <v>33513712</v>
      </c>
      <c r="I439" s="16"/>
      <c r="J439" s="436">
        <f t="shared" si="351"/>
        <v>4.0420689195884999E-4</v>
      </c>
      <c r="K439" s="16"/>
      <c r="L439" s="16"/>
      <c r="M439" s="16"/>
      <c r="N439" s="7">
        <f t="shared" si="352"/>
        <v>173485</v>
      </c>
      <c r="O439" s="16">
        <f t="shared" si="353"/>
        <v>77938.865116279063</v>
      </c>
      <c r="P439" s="41"/>
      <c r="Q439" s="17">
        <f t="shared" si="354"/>
        <v>173485</v>
      </c>
      <c r="R439" s="16"/>
      <c r="S439" s="60">
        <f t="shared" si="355"/>
        <v>-0.22297418349248438</v>
      </c>
      <c r="T439" s="16"/>
      <c r="U439" s="41"/>
      <c r="V439" s="10">
        <f t="shared" si="349"/>
        <v>331</v>
      </c>
      <c r="W439" s="34">
        <v>228</v>
      </c>
      <c r="X439" s="33">
        <v>4256</v>
      </c>
      <c r="Y439" s="33"/>
      <c r="Z439" s="33">
        <f t="shared" si="356"/>
        <v>3381</v>
      </c>
      <c r="AA439" s="33">
        <f t="shared" si="357"/>
        <v>592197</v>
      </c>
      <c r="AB439" s="33"/>
      <c r="AC439" s="46">
        <f t="shared" si="358"/>
        <v>1.7670289701122933E-2</v>
      </c>
      <c r="AD439" s="33"/>
      <c r="AE439" s="33">
        <f t="shared" si="359"/>
        <v>1377.2023255813954</v>
      </c>
      <c r="AF439" s="50"/>
      <c r="AG439" s="33">
        <f t="shared" si="360"/>
        <v>3750</v>
      </c>
      <c r="AH439" s="33">
        <f>SUM(D410:D1091)</f>
        <v>1195677141.060914</v>
      </c>
      <c r="AI439" s="213">
        <f t="shared" si="361"/>
        <v>-0.11847672778561354</v>
      </c>
      <c r="AJ439" s="50"/>
      <c r="AK439" s="111"/>
      <c r="AL439" s="23">
        <f t="shared" si="362"/>
        <v>31013</v>
      </c>
      <c r="AM439" s="24"/>
      <c r="AN439" s="24"/>
      <c r="AO439" s="24">
        <v>178263</v>
      </c>
      <c r="AP439" s="24">
        <v>27502255</v>
      </c>
      <c r="AQ439" s="24">
        <v>20336656</v>
      </c>
      <c r="AR439" s="461">
        <f t="shared" si="363"/>
        <v>1.128926023803365E-3</v>
      </c>
      <c r="AS439" s="25"/>
      <c r="AT439" s="25"/>
      <c r="AU439" s="24"/>
      <c r="AV439" s="298">
        <f t="shared" si="364"/>
        <v>0.82062694219011012</v>
      </c>
      <c r="AW439" s="298"/>
      <c r="AX439" s="24">
        <f t="shared" si="365"/>
        <v>63958.732558139534</v>
      </c>
      <c r="AY439" s="308"/>
      <c r="AZ439" s="111"/>
      <c r="BA439" s="65">
        <f t="shared" si="366"/>
        <v>766245</v>
      </c>
      <c r="BB439" s="66"/>
      <c r="BC439" s="66">
        <v>473304856</v>
      </c>
      <c r="BD439" s="66"/>
      <c r="BE439" s="66">
        <f t="shared" si="367"/>
        <v>13541</v>
      </c>
      <c r="BF439" s="66"/>
      <c r="BG439" s="144">
        <f t="shared" si="368"/>
        <v>1.7671893454443421E-2</v>
      </c>
      <c r="BH439" s="66"/>
      <c r="BI439" s="170"/>
      <c r="BJ439" s="66"/>
      <c r="BK439" s="66">
        <f t="shared" si="369"/>
        <v>7248404</v>
      </c>
      <c r="BL439" s="66"/>
      <c r="BM439" s="144">
        <f t="shared" si="370"/>
        <v>2.3934234350072098E-2</v>
      </c>
      <c r="BN439" s="65">
        <f t="shared" si="371"/>
        <v>1100708.9674418604</v>
      </c>
      <c r="BO439" s="66"/>
      <c r="BP439" s="66">
        <f t="shared" si="372"/>
        <v>32606734</v>
      </c>
      <c r="BQ439" s="66"/>
      <c r="BR439" s="435">
        <f t="shared" si="373"/>
        <v>6.8891610949370866E-2</v>
      </c>
      <c r="BS439" s="66"/>
      <c r="BT439" s="75"/>
      <c r="BU439" s="170"/>
      <c r="BV439" s="1"/>
      <c r="BW439" s="61">
        <f t="shared" si="186"/>
        <v>430</v>
      </c>
    </row>
    <row r="440" spans="2:75" x14ac:dyDescent="0.3">
      <c r="B440" s="158">
        <f t="shared" si="161"/>
        <v>44340</v>
      </c>
      <c r="C440" s="61"/>
      <c r="D440" s="17">
        <v>20366</v>
      </c>
      <c r="E440" s="16"/>
      <c r="F440" s="16"/>
      <c r="G440" s="16"/>
      <c r="H440" s="16">
        <f t="shared" ref="H440:H471" si="374">+H439+D440</f>
        <v>33534078</v>
      </c>
      <c r="I440" s="16"/>
      <c r="J440" s="436">
        <f t="shared" ref="J440:J471" si="375">+D440/H439</f>
        <v>6.0769156218803814E-4</v>
      </c>
      <c r="K440" s="16"/>
      <c r="L440" s="16"/>
      <c r="M440" s="16"/>
      <c r="N440" s="16">
        <f t="shared" ref="N440:N471" si="376">SUM(D434:D440)</f>
        <v>168821</v>
      </c>
      <c r="O440" s="16">
        <f t="shared" ref="O440:O471" si="377">+H440/BW440</f>
        <v>77805.285382830625</v>
      </c>
      <c r="P440" s="41"/>
      <c r="Q440" s="17">
        <f t="shared" ref="Q440:Q471" si="378">SUM(D434:D440)</f>
        <v>168821</v>
      </c>
      <c r="R440" s="16"/>
      <c r="S440" s="60">
        <f t="shared" ref="S440:S471" si="379">+(Q440-Q433)/Q433</f>
        <v>-0.22611003639764193</v>
      </c>
      <c r="T440" s="16"/>
      <c r="U440" s="41"/>
      <c r="V440" s="10">
        <f t="shared" si="349"/>
        <v>332</v>
      </c>
      <c r="W440" s="34">
        <v>365</v>
      </c>
      <c r="X440" s="33">
        <v>4256</v>
      </c>
      <c r="Y440" s="33"/>
      <c r="Z440" s="33">
        <f t="shared" ref="Z440:Z471" si="380">SUM(W435:W440)</f>
        <v>3013</v>
      </c>
      <c r="AA440" s="33">
        <f t="shared" ref="AA440:AA471" si="381">+AA439+W440</f>
        <v>592562</v>
      </c>
      <c r="AB440" s="33"/>
      <c r="AC440" s="46">
        <f t="shared" ref="AC440:AC471" si="382">+AA440/H440</f>
        <v>1.767044258679186E-2</v>
      </c>
      <c r="AD440" s="33"/>
      <c r="AE440" s="33">
        <f t="shared" ref="AE440:AE471" si="383">+AA440/BW440</f>
        <v>1374.8538283062644</v>
      </c>
      <c r="AF440" s="50"/>
      <c r="AG440" s="33">
        <f t="shared" ref="AG440:AG471" si="384">SUM(W434:W440)</f>
        <v>3746</v>
      </c>
      <c r="AH440" s="33">
        <f>SUM(D411:D1092)</f>
        <v>1195623861.060914</v>
      </c>
      <c r="AI440" s="213">
        <f t="shared" ref="AI440:AI471" si="385">+(AG440-AG433)/AG433</f>
        <v>-0.11567516525023608</v>
      </c>
      <c r="AJ440" s="50"/>
      <c r="AK440" s="111"/>
      <c r="AL440" s="23">
        <f t="shared" ref="AL440:AL471" si="386">+AP440-AP439</f>
        <v>61675</v>
      </c>
      <c r="AM440" s="24"/>
      <c r="AN440" s="24"/>
      <c r="AO440" s="24">
        <v>178263</v>
      </c>
      <c r="AP440" s="24">
        <v>27563930</v>
      </c>
      <c r="AQ440" s="24">
        <v>20336656</v>
      </c>
      <c r="AR440" s="461">
        <f t="shared" ref="AR440:AR471" si="387">+AL440/AP439</f>
        <v>2.2425433841697707E-3</v>
      </c>
      <c r="AS440" s="25"/>
      <c r="AT440" s="25"/>
      <c r="AU440" s="24"/>
      <c r="AV440" s="298">
        <f t="shared" ref="AV440:AV471" si="388">+AP440/H440</f>
        <v>0.82196773085575814</v>
      </c>
      <c r="AW440" s="298"/>
      <c r="AX440" s="24">
        <f t="shared" ref="AX440:AX471" si="389">+AP440/BW440</f>
        <v>63953.433874709975</v>
      </c>
      <c r="AY440" s="308"/>
      <c r="AZ440" s="111"/>
      <c r="BA440" s="65">
        <f t="shared" ref="BA440:BA471" si="390">+BC440-BC439</f>
        <v>1063757</v>
      </c>
      <c r="BB440" s="66"/>
      <c r="BC440" s="66">
        <v>474368613</v>
      </c>
      <c r="BD440" s="66"/>
      <c r="BE440" s="66">
        <f t="shared" ref="BE440:BE471" si="391">+D440</f>
        <v>20366</v>
      </c>
      <c r="BF440" s="66"/>
      <c r="BG440" s="144">
        <f t="shared" ref="BG440:BG471" si="392">+BE440/BA440</f>
        <v>1.9145349924841858E-2</v>
      </c>
      <c r="BH440" s="66"/>
      <c r="BI440" s="170"/>
      <c r="BJ440" s="66"/>
      <c r="BK440" s="66">
        <f t="shared" ref="BK440:BK471" si="393">SUM(BA434:BA440)</f>
        <v>7145817</v>
      </c>
      <c r="BL440" s="66"/>
      <c r="BM440" s="144">
        <f t="shared" ref="BM440:BM471" si="394">+Q440/BK440</f>
        <v>2.3625150210255873E-2</v>
      </c>
      <c r="BN440" s="65">
        <f t="shared" ref="BN440:BN471" si="395">+BC440/BW440</f>
        <v>1100623.2320185616</v>
      </c>
      <c r="BO440" s="66"/>
      <c r="BP440" s="66">
        <f t="shared" ref="BP440:BP471" si="396">+BP439+BE440</f>
        <v>32627100</v>
      </c>
      <c r="BQ440" s="66"/>
      <c r="BR440" s="435">
        <f t="shared" ref="BR440:BR471" si="397">+BP440/BC440</f>
        <v>6.878005649163807E-2</v>
      </c>
      <c r="BS440" s="66"/>
      <c r="BT440" s="75"/>
      <c r="BU440" s="170"/>
      <c r="BV440" s="1"/>
      <c r="BW440" s="61">
        <f t="shared" si="186"/>
        <v>431</v>
      </c>
    </row>
    <row r="441" spans="2:75" x14ac:dyDescent="0.3">
      <c r="B441" s="158">
        <f t="shared" si="161"/>
        <v>44341</v>
      </c>
      <c r="C441" s="61"/>
      <c r="D441" s="17">
        <v>22738</v>
      </c>
      <c r="E441" s="16"/>
      <c r="F441" s="16"/>
      <c r="G441" s="16"/>
      <c r="H441" s="16">
        <f t="shared" si="374"/>
        <v>33556816</v>
      </c>
      <c r="I441" s="16"/>
      <c r="J441" s="436">
        <f t="shared" si="375"/>
        <v>6.780565131386645E-4</v>
      </c>
      <c r="K441" s="16"/>
      <c r="L441" s="16"/>
      <c r="M441" s="16"/>
      <c r="N441" s="16">
        <f t="shared" si="376"/>
        <v>164053</v>
      </c>
      <c r="O441" s="16">
        <f t="shared" si="377"/>
        <v>77677.814814814818</v>
      </c>
      <c r="P441" s="41"/>
      <c r="Q441" s="17">
        <f t="shared" si="378"/>
        <v>164053</v>
      </c>
      <c r="R441" s="16"/>
      <c r="S441" s="60">
        <f t="shared" si="379"/>
        <v>-0.22156793896027482</v>
      </c>
      <c r="T441" s="16"/>
      <c r="U441" s="41"/>
      <c r="V441" s="10">
        <f t="shared" si="349"/>
        <v>333</v>
      </c>
      <c r="W441" s="34">
        <v>669</v>
      </c>
      <c r="X441" s="33">
        <v>4256</v>
      </c>
      <c r="Y441" s="33"/>
      <c r="Z441" s="33">
        <f t="shared" si="380"/>
        <v>3046</v>
      </c>
      <c r="AA441" s="33">
        <f t="shared" si="381"/>
        <v>593231</v>
      </c>
      <c r="AB441" s="33"/>
      <c r="AC441" s="46">
        <f t="shared" si="382"/>
        <v>1.7678405484000629E-2</v>
      </c>
      <c r="AD441" s="33"/>
      <c r="AE441" s="33">
        <f t="shared" si="383"/>
        <v>1373.2199074074074</v>
      </c>
      <c r="AF441" s="50"/>
      <c r="AG441" s="33">
        <f t="shared" si="384"/>
        <v>3682</v>
      </c>
      <c r="AH441" s="33">
        <f>SUM(D412:D1093)</f>
        <v>1195589125.060914</v>
      </c>
      <c r="AI441" s="213">
        <f t="shared" si="385"/>
        <v>-0.12872692853762424</v>
      </c>
      <c r="AJ441" s="50"/>
      <c r="AK441" s="111"/>
      <c r="AL441" s="23">
        <f t="shared" si="386"/>
        <v>42512</v>
      </c>
      <c r="AM441" s="24"/>
      <c r="AN441" s="24"/>
      <c r="AO441" s="24">
        <v>178263</v>
      </c>
      <c r="AP441" s="24">
        <v>27606442</v>
      </c>
      <c r="AQ441" s="24">
        <v>20336656</v>
      </c>
      <c r="AR441" s="461">
        <f t="shared" si="387"/>
        <v>1.5423054695030789E-3</v>
      </c>
      <c r="AS441" s="25"/>
      <c r="AT441" s="25"/>
      <c r="AU441" s="24"/>
      <c r="AV441" s="298">
        <f t="shared" si="388"/>
        <v>0.82267763425469209</v>
      </c>
      <c r="AW441" s="298"/>
      <c r="AX441" s="24">
        <f t="shared" si="389"/>
        <v>63903.800925925927</v>
      </c>
      <c r="AY441" s="308"/>
      <c r="AZ441" s="111"/>
      <c r="BA441" s="65">
        <f t="shared" si="390"/>
        <v>858209</v>
      </c>
      <c r="BB441" s="66"/>
      <c r="BC441" s="66">
        <v>475226822</v>
      </c>
      <c r="BD441" s="66"/>
      <c r="BE441" s="66">
        <f t="shared" si="391"/>
        <v>22738</v>
      </c>
      <c r="BF441" s="66"/>
      <c r="BG441" s="144">
        <f t="shared" si="392"/>
        <v>2.6494711661145479E-2</v>
      </c>
      <c r="BH441" s="66"/>
      <c r="BI441" s="170"/>
      <c r="BJ441" s="66"/>
      <c r="BK441" s="66">
        <f t="shared" si="393"/>
        <v>7158720</v>
      </c>
      <c r="BL441" s="66"/>
      <c r="BM441" s="144">
        <f t="shared" si="394"/>
        <v>2.2916526976889725E-2</v>
      </c>
      <c r="BN441" s="65">
        <f t="shared" si="395"/>
        <v>1100062.0879629629</v>
      </c>
      <c r="BO441" s="66"/>
      <c r="BP441" s="66">
        <f t="shared" si="396"/>
        <v>32649838</v>
      </c>
      <c r="BQ441" s="66"/>
      <c r="BR441" s="435">
        <f t="shared" si="397"/>
        <v>6.8703693664832755E-2</v>
      </c>
      <c r="BS441" s="66"/>
      <c r="BT441" s="75"/>
      <c r="BU441" s="170"/>
      <c r="BV441" s="1"/>
      <c r="BW441" s="61">
        <f t="shared" si="186"/>
        <v>432</v>
      </c>
    </row>
    <row r="442" spans="2:75" x14ac:dyDescent="0.3">
      <c r="B442" s="158">
        <f t="shared" ref="B442:B518" si="398">1+B441</f>
        <v>44342</v>
      </c>
      <c r="C442" s="61"/>
      <c r="D442" s="17">
        <v>23500</v>
      </c>
      <c r="E442" s="16"/>
      <c r="F442" s="16"/>
      <c r="G442" s="16"/>
      <c r="H442" s="16">
        <f t="shared" si="374"/>
        <v>33580316</v>
      </c>
      <c r="I442" s="16"/>
      <c r="J442" s="436">
        <f t="shared" si="375"/>
        <v>7.0030482033813933E-4</v>
      </c>
      <c r="K442" s="16"/>
      <c r="L442" s="16"/>
      <c r="M442" s="16"/>
      <c r="N442" s="16">
        <f t="shared" si="376"/>
        <v>159012</v>
      </c>
      <c r="O442" s="16">
        <f t="shared" si="377"/>
        <v>77552.692840646647</v>
      </c>
      <c r="P442" s="41"/>
      <c r="Q442" s="17">
        <f t="shared" si="378"/>
        <v>159012</v>
      </c>
      <c r="R442" s="16"/>
      <c r="S442" s="60">
        <f t="shared" si="379"/>
        <v>-0.21851056405518177</v>
      </c>
      <c r="T442" s="16"/>
      <c r="U442" s="41"/>
      <c r="V442" s="10">
        <f t="shared" si="349"/>
        <v>334</v>
      </c>
      <c r="W442" s="34">
        <v>607</v>
      </c>
      <c r="X442" s="33">
        <v>4256</v>
      </c>
      <c r="Y442" s="33"/>
      <c r="Z442" s="33">
        <f t="shared" si="380"/>
        <v>2994</v>
      </c>
      <c r="AA442" s="33">
        <f t="shared" si="381"/>
        <v>593838</v>
      </c>
      <c r="AB442" s="33"/>
      <c r="AC442" s="46">
        <f t="shared" si="382"/>
        <v>1.7684109941073813E-2</v>
      </c>
      <c r="AD442" s="33"/>
      <c r="AE442" s="33">
        <f t="shared" si="383"/>
        <v>1371.4503464203233</v>
      </c>
      <c r="AF442" s="50"/>
      <c r="AG442" s="33">
        <f t="shared" si="384"/>
        <v>3653</v>
      </c>
      <c r="AH442" s="33">
        <f>SUM(D413:D1094)</f>
        <v>1195541669.060914</v>
      </c>
      <c r="AI442" s="213">
        <f t="shared" si="385"/>
        <v>-9.1519522506839091E-2</v>
      </c>
      <c r="AJ442" s="50"/>
      <c r="AK442" s="111"/>
      <c r="AL442" s="23">
        <f t="shared" si="386"/>
        <v>55826</v>
      </c>
      <c r="AM442" s="24"/>
      <c r="AN442" s="24"/>
      <c r="AO442" s="24">
        <v>178263</v>
      </c>
      <c r="AP442" s="24">
        <v>27662268</v>
      </c>
      <c r="AQ442" s="24">
        <v>20336656</v>
      </c>
      <c r="AR442" s="461">
        <f t="shared" si="387"/>
        <v>2.0222091640784423E-3</v>
      </c>
      <c r="AS442" s="25"/>
      <c r="AT442" s="25"/>
      <c r="AU442" s="24"/>
      <c r="AV442" s="298">
        <f t="shared" si="388"/>
        <v>0.82376437434358862</v>
      </c>
      <c r="AW442" s="298"/>
      <c r="AX442" s="24">
        <f t="shared" si="389"/>
        <v>63885.145496535799</v>
      </c>
      <c r="AY442" s="308"/>
      <c r="AZ442" s="111"/>
      <c r="BA442" s="65">
        <f t="shared" si="390"/>
        <v>913421</v>
      </c>
      <c r="BB442" s="66"/>
      <c r="BC442" s="66">
        <v>476140243</v>
      </c>
      <c r="BD442" s="66"/>
      <c r="BE442" s="66">
        <f t="shared" si="391"/>
        <v>23500</v>
      </c>
      <c r="BF442" s="66"/>
      <c r="BG442" s="144">
        <f t="shared" si="392"/>
        <v>2.5727457546958085E-2</v>
      </c>
      <c r="BH442" s="66"/>
      <c r="BI442" s="170"/>
      <c r="BJ442" s="66"/>
      <c r="BK442" s="66">
        <f t="shared" si="393"/>
        <v>7194641</v>
      </c>
      <c r="BL442" s="66"/>
      <c r="BM442" s="144">
        <f t="shared" si="394"/>
        <v>2.2101450232193655E-2</v>
      </c>
      <c r="BN442" s="65">
        <f t="shared" si="395"/>
        <v>1099631.0461893764</v>
      </c>
      <c r="BO442" s="66"/>
      <c r="BP442" s="66">
        <f t="shared" si="396"/>
        <v>32673338</v>
      </c>
      <c r="BQ442" s="66"/>
      <c r="BR442" s="435">
        <f t="shared" si="397"/>
        <v>6.862124863493213E-2</v>
      </c>
      <c r="BS442" s="66"/>
      <c r="BT442" s="75"/>
      <c r="BU442" s="170"/>
      <c r="BV442" s="1"/>
      <c r="BW442" s="61">
        <f t="shared" si="186"/>
        <v>433</v>
      </c>
    </row>
    <row r="443" spans="2:75" x14ac:dyDescent="0.3">
      <c r="B443" s="158">
        <f t="shared" si="398"/>
        <v>44343</v>
      </c>
      <c r="C443" s="61"/>
      <c r="D443" s="17">
        <v>24393</v>
      </c>
      <c r="E443" s="16"/>
      <c r="F443" s="16"/>
      <c r="G443" s="16"/>
      <c r="H443" s="16">
        <f t="shared" si="374"/>
        <v>33604709</v>
      </c>
      <c r="I443" s="16"/>
      <c r="J443" s="436">
        <f t="shared" si="375"/>
        <v>7.2640769669945929E-4</v>
      </c>
      <c r="K443" s="16"/>
      <c r="L443" s="16"/>
      <c r="M443" s="16"/>
      <c r="N443" s="16">
        <f t="shared" si="376"/>
        <v>153191</v>
      </c>
      <c r="O443" s="16">
        <f t="shared" si="377"/>
        <v>77430.205069124422</v>
      </c>
      <c r="P443" s="41"/>
      <c r="Q443" s="17">
        <f t="shared" si="378"/>
        <v>153191</v>
      </c>
      <c r="R443" s="16"/>
      <c r="S443" s="60">
        <f t="shared" si="379"/>
        <v>-0.20979356449433101</v>
      </c>
      <c r="T443" s="16"/>
      <c r="U443" s="41"/>
      <c r="V443" s="10">
        <f t="shared" si="349"/>
        <v>335</v>
      </c>
      <c r="W443" s="34">
        <v>630</v>
      </c>
      <c r="X443" s="33">
        <v>4256</v>
      </c>
      <c r="Y443" s="33"/>
      <c r="Z443" s="33">
        <f t="shared" si="380"/>
        <v>2967</v>
      </c>
      <c r="AA443" s="33">
        <f t="shared" si="381"/>
        <v>594468</v>
      </c>
      <c r="AB443" s="33"/>
      <c r="AC443" s="46">
        <f t="shared" si="382"/>
        <v>1.7690020764649383E-2</v>
      </c>
      <c r="AD443" s="33"/>
      <c r="AE443" s="33">
        <f t="shared" si="383"/>
        <v>1369.741935483871</v>
      </c>
      <c r="AF443" s="50"/>
      <c r="AG443" s="33">
        <f t="shared" si="384"/>
        <v>3624</v>
      </c>
      <c r="AH443" s="33">
        <f>SUM(D414:D1095)</f>
        <v>1195489623.060914</v>
      </c>
      <c r="AI443" s="213">
        <f t="shared" si="385"/>
        <v>-7.5038284839203676E-2</v>
      </c>
      <c r="AJ443" s="50"/>
      <c r="AK443" s="111"/>
      <c r="AL443" s="23">
        <f t="shared" si="386"/>
        <v>39611</v>
      </c>
      <c r="AM443" s="24"/>
      <c r="AN443" s="24"/>
      <c r="AO443" s="24">
        <v>178263</v>
      </c>
      <c r="AP443" s="24">
        <v>27701879</v>
      </c>
      <c r="AQ443" s="24">
        <v>20336656</v>
      </c>
      <c r="AR443" s="461">
        <f t="shared" si="387"/>
        <v>1.4319505544520066E-3</v>
      </c>
      <c r="AS443" s="25"/>
      <c r="AT443" s="25"/>
      <c r="AU443" s="24"/>
      <c r="AV443" s="298">
        <f t="shared" si="388"/>
        <v>0.82434515353190529</v>
      </c>
      <c r="AW443" s="298"/>
      <c r="AX443" s="24">
        <f t="shared" si="389"/>
        <v>63829.214285714283</v>
      </c>
      <c r="AY443" s="308"/>
      <c r="AZ443" s="111"/>
      <c r="BA443" s="65">
        <f t="shared" si="390"/>
        <v>1008406</v>
      </c>
      <c r="BB443" s="66"/>
      <c r="BC443" s="66">
        <v>477148649</v>
      </c>
      <c r="BD443" s="66"/>
      <c r="BE443" s="66">
        <f t="shared" si="391"/>
        <v>24393</v>
      </c>
      <c r="BF443" s="66"/>
      <c r="BG443" s="144">
        <f t="shared" si="392"/>
        <v>2.4189661703718543E-2</v>
      </c>
      <c r="BH443" s="66"/>
      <c r="BI443" s="170"/>
      <c r="BJ443" s="66"/>
      <c r="BK443" s="66">
        <f t="shared" si="393"/>
        <v>7030345</v>
      </c>
      <c r="BL443" s="66"/>
      <c r="BM443" s="144">
        <f t="shared" si="394"/>
        <v>2.1789969055572664E-2</v>
      </c>
      <c r="BN443" s="65">
        <f t="shared" si="395"/>
        <v>1099420.8502304147</v>
      </c>
      <c r="BO443" s="66"/>
      <c r="BP443" s="66">
        <f t="shared" si="396"/>
        <v>32697731</v>
      </c>
      <c r="BQ443" s="66"/>
      <c r="BR443" s="435">
        <f t="shared" si="397"/>
        <v>6.8527346914902407E-2</v>
      </c>
      <c r="BS443" s="66"/>
      <c r="BT443" s="75"/>
      <c r="BU443" s="170"/>
      <c r="BV443" s="1"/>
      <c r="BW443" s="61">
        <f t="shared" si="186"/>
        <v>434</v>
      </c>
    </row>
    <row r="444" spans="2:75" x14ac:dyDescent="0.3">
      <c r="B444" s="158">
        <f t="shared" si="398"/>
        <v>44344</v>
      </c>
      <c r="C444" s="61"/>
      <c r="D444" s="17">
        <v>22813</v>
      </c>
      <c r="E444" s="16"/>
      <c r="F444" s="16"/>
      <c r="G444" s="16"/>
      <c r="H444" s="16">
        <f t="shared" si="374"/>
        <v>33627522</v>
      </c>
      <c r="I444" s="16"/>
      <c r="J444" s="436">
        <f t="shared" si="375"/>
        <v>6.7886319146521991E-4</v>
      </c>
      <c r="K444" s="16"/>
      <c r="L444" s="16"/>
      <c r="M444" s="16"/>
      <c r="N444" s="16">
        <f t="shared" si="376"/>
        <v>146990</v>
      </c>
      <c r="O444" s="16">
        <f t="shared" si="377"/>
        <v>77304.64827586207</v>
      </c>
      <c r="P444" s="41"/>
      <c r="Q444" s="17">
        <f t="shared" si="378"/>
        <v>146990</v>
      </c>
      <c r="R444" s="16"/>
      <c r="S444" s="60">
        <f t="shared" si="379"/>
        <v>-0.20018935580936006</v>
      </c>
      <c r="T444" s="16"/>
      <c r="U444" s="41"/>
      <c r="V444" s="10">
        <f t="shared" si="349"/>
        <v>336</v>
      </c>
      <c r="W444" s="34">
        <v>627</v>
      </c>
      <c r="X444" s="33">
        <v>4256</v>
      </c>
      <c r="Y444" s="33"/>
      <c r="Z444" s="33">
        <f t="shared" si="380"/>
        <v>3126</v>
      </c>
      <c r="AA444" s="33">
        <f t="shared" si="381"/>
        <v>595095</v>
      </c>
      <c r="AB444" s="33"/>
      <c r="AC444" s="46">
        <f t="shared" si="382"/>
        <v>1.7696665249375198E-2</v>
      </c>
      <c r="AD444" s="33"/>
      <c r="AE444" s="33">
        <f t="shared" si="383"/>
        <v>1368.0344827586207</v>
      </c>
      <c r="AF444" s="50"/>
      <c r="AG444" s="33">
        <f t="shared" si="384"/>
        <v>3594</v>
      </c>
      <c r="AH444" s="33">
        <f>SUM(D415:D1096)</f>
        <v>1195433019.060914</v>
      </c>
      <c r="AI444" s="213">
        <f t="shared" si="385"/>
        <v>-6.4549713690786048E-2</v>
      </c>
      <c r="AJ444" s="50"/>
      <c r="AK444" s="111"/>
      <c r="AL444" s="23">
        <f t="shared" si="386"/>
        <v>65161</v>
      </c>
      <c r="AM444" s="24"/>
      <c r="AN444" s="24"/>
      <c r="AO444" s="24">
        <v>178263</v>
      </c>
      <c r="AP444" s="24">
        <v>27767040</v>
      </c>
      <c r="AQ444" s="24">
        <v>20336656</v>
      </c>
      <c r="AR444" s="461">
        <f t="shared" si="387"/>
        <v>2.3522231109304897E-3</v>
      </c>
      <c r="AS444" s="25"/>
      <c r="AT444" s="25"/>
      <c r="AU444" s="24"/>
      <c r="AV444" s="298">
        <f t="shared" si="388"/>
        <v>0.82572364386528396</v>
      </c>
      <c r="AW444" s="298"/>
      <c r="AX444" s="24">
        <f t="shared" si="389"/>
        <v>63832.275862068964</v>
      </c>
      <c r="AY444" s="308"/>
      <c r="AZ444" s="111"/>
      <c r="BA444" s="65">
        <f t="shared" si="390"/>
        <v>992768</v>
      </c>
      <c r="BB444" s="66"/>
      <c r="BC444" s="66">
        <v>478141417</v>
      </c>
      <c r="BD444" s="66"/>
      <c r="BE444" s="66">
        <f t="shared" si="391"/>
        <v>22813</v>
      </c>
      <c r="BF444" s="66"/>
      <c r="BG444" s="144">
        <f t="shared" si="392"/>
        <v>2.297918546931408E-2</v>
      </c>
      <c r="BH444" s="66"/>
      <c r="BI444" s="170"/>
      <c r="BJ444" s="66"/>
      <c r="BK444" s="66">
        <f t="shared" si="393"/>
        <v>6597505</v>
      </c>
      <c r="BL444" s="66"/>
      <c r="BM444" s="144">
        <f t="shared" si="394"/>
        <v>2.2279634498192879E-2</v>
      </c>
      <c r="BN444" s="65">
        <f t="shared" si="395"/>
        <v>1099175.6712643679</v>
      </c>
      <c r="BO444" s="66"/>
      <c r="BP444" s="66">
        <f t="shared" si="396"/>
        <v>32720544</v>
      </c>
      <c r="BQ444" s="66"/>
      <c r="BR444" s="435">
        <f t="shared" si="397"/>
        <v>6.8432774983807773E-2</v>
      </c>
      <c r="BS444" s="66"/>
      <c r="BT444" s="75"/>
      <c r="BU444" s="170"/>
      <c r="BV444" s="1"/>
      <c r="BW444" s="61">
        <f t="shared" si="186"/>
        <v>435</v>
      </c>
    </row>
    <row r="445" spans="2:75" x14ac:dyDescent="0.3">
      <c r="B445" s="158">
        <f t="shared" si="398"/>
        <v>44345</v>
      </c>
      <c r="C445" s="61"/>
      <c r="D445" s="17">
        <v>12661</v>
      </c>
      <c r="E445" s="16"/>
      <c r="F445" s="16"/>
      <c r="G445" s="16"/>
      <c r="H445" s="16">
        <f t="shared" si="374"/>
        <v>33640183</v>
      </c>
      <c r="I445" s="16"/>
      <c r="J445" s="436">
        <f t="shared" si="375"/>
        <v>3.7650707655473395E-4</v>
      </c>
      <c r="K445" s="16"/>
      <c r="L445" s="16"/>
      <c r="M445" s="16"/>
      <c r="N445" s="16">
        <f t="shared" si="376"/>
        <v>140012</v>
      </c>
      <c r="O445" s="16">
        <f t="shared" si="377"/>
        <v>77156.383027522941</v>
      </c>
      <c r="P445" s="41"/>
      <c r="Q445" s="17">
        <f t="shared" si="378"/>
        <v>140012</v>
      </c>
      <c r="R445" s="16"/>
      <c r="S445" s="60">
        <f t="shared" si="379"/>
        <v>-0.21243348445814442</v>
      </c>
      <c r="T445" s="16"/>
      <c r="U445" s="41"/>
      <c r="V445" s="10">
        <f t="shared" si="349"/>
        <v>337</v>
      </c>
      <c r="W445" s="34">
        <v>350</v>
      </c>
      <c r="X445" s="33">
        <v>4256</v>
      </c>
      <c r="Y445" s="33"/>
      <c r="Z445" s="33">
        <f t="shared" si="380"/>
        <v>3248</v>
      </c>
      <c r="AA445" s="33">
        <f t="shared" si="381"/>
        <v>595445</v>
      </c>
      <c r="AB445" s="33"/>
      <c r="AC445" s="46">
        <f t="shared" si="382"/>
        <v>1.770040906138947E-2</v>
      </c>
      <c r="AD445" s="33"/>
      <c r="AE445" s="33">
        <f t="shared" si="383"/>
        <v>1365.6995412844037</v>
      </c>
      <c r="AF445" s="50"/>
      <c r="AG445" s="33">
        <f t="shared" si="384"/>
        <v>3476</v>
      </c>
      <c r="AH445" s="33">
        <f>SUM(D416:D1097)</f>
        <v>1195373750.060914</v>
      </c>
      <c r="AI445" s="213">
        <f t="shared" si="385"/>
        <v>-8.7903437418000524E-2</v>
      </c>
      <c r="AJ445" s="50"/>
      <c r="AK445" s="111"/>
      <c r="AL445" s="23">
        <f t="shared" si="386"/>
        <v>51921</v>
      </c>
      <c r="AM445" s="24"/>
      <c r="AN445" s="24"/>
      <c r="AO445" s="24">
        <v>178263</v>
      </c>
      <c r="AP445" s="24">
        <v>27818961</v>
      </c>
      <c r="AQ445" s="24">
        <v>20336656</v>
      </c>
      <c r="AR445" s="461">
        <f t="shared" si="387"/>
        <v>1.8698788203567972E-3</v>
      </c>
      <c r="AS445" s="25"/>
      <c r="AT445" s="25"/>
      <c r="AU445" s="24"/>
      <c r="AV445" s="298">
        <f t="shared" si="388"/>
        <v>0.82695629212242994</v>
      </c>
      <c r="AW445" s="298"/>
      <c r="AX445" s="24">
        <f t="shared" si="389"/>
        <v>63804.956422018346</v>
      </c>
      <c r="AY445" s="308"/>
      <c r="AZ445" s="111"/>
      <c r="BA445" s="65">
        <f t="shared" si="390"/>
        <v>775719</v>
      </c>
      <c r="BB445" s="66"/>
      <c r="BC445" s="66">
        <v>478917136</v>
      </c>
      <c r="BD445" s="66"/>
      <c r="BE445" s="66">
        <f t="shared" si="391"/>
        <v>12661</v>
      </c>
      <c r="BF445" s="66"/>
      <c r="BG445" s="144">
        <f t="shared" si="392"/>
        <v>1.6321631931150327E-2</v>
      </c>
      <c r="BH445" s="66"/>
      <c r="BI445" s="170"/>
      <c r="BJ445" s="66"/>
      <c r="BK445" s="66">
        <f t="shared" si="393"/>
        <v>6378525</v>
      </c>
      <c r="BL445" s="66"/>
      <c r="BM445" s="144">
        <f t="shared" si="394"/>
        <v>2.1950529315162989E-2</v>
      </c>
      <c r="BN445" s="65">
        <f t="shared" si="395"/>
        <v>1098433.7981651376</v>
      </c>
      <c r="BO445" s="66"/>
      <c r="BP445" s="66">
        <f t="shared" si="396"/>
        <v>32733205</v>
      </c>
      <c r="BQ445" s="66"/>
      <c r="BR445" s="435">
        <f t="shared" si="397"/>
        <v>6.8348368724897746E-2</v>
      </c>
      <c r="BS445" s="66"/>
      <c r="BT445" s="75"/>
      <c r="BU445" s="170"/>
      <c r="BV445" s="1"/>
      <c r="BW445" s="61">
        <f t="shared" si="186"/>
        <v>436</v>
      </c>
    </row>
    <row r="446" spans="2:75" x14ac:dyDescent="0.3">
      <c r="B446" s="347">
        <f t="shared" si="398"/>
        <v>44346</v>
      </c>
      <c r="C446" s="61"/>
      <c r="D446" s="17">
        <v>7750</v>
      </c>
      <c r="E446" s="16"/>
      <c r="F446" s="16"/>
      <c r="G446" s="16"/>
      <c r="H446" s="16">
        <f t="shared" si="374"/>
        <v>33647933</v>
      </c>
      <c r="I446" s="16"/>
      <c r="J446" s="436">
        <f t="shared" si="375"/>
        <v>2.3037924615332801E-4</v>
      </c>
      <c r="K446" s="16"/>
      <c r="L446" s="16"/>
      <c r="M446" s="16"/>
      <c r="N446" s="16">
        <f t="shared" si="376"/>
        <v>134221</v>
      </c>
      <c r="O446" s="16">
        <f t="shared" si="377"/>
        <v>76997.558352402746</v>
      </c>
      <c r="P446" s="41"/>
      <c r="Q446" s="17">
        <f t="shared" si="378"/>
        <v>134221</v>
      </c>
      <c r="R446" s="16"/>
      <c r="S446" s="60">
        <f t="shared" si="379"/>
        <v>-0.2263250425108799</v>
      </c>
      <c r="T446" s="16"/>
      <c r="U446" s="41"/>
      <c r="V446" s="10">
        <f t="shared" si="349"/>
        <v>338</v>
      </c>
      <c r="W446" s="34">
        <v>124</v>
      </c>
      <c r="X446" s="33">
        <v>4256</v>
      </c>
      <c r="Y446" s="33"/>
      <c r="Z446" s="33">
        <f t="shared" si="380"/>
        <v>3007</v>
      </c>
      <c r="AA446" s="33">
        <f t="shared" si="381"/>
        <v>595569</v>
      </c>
      <c r="AB446" s="33"/>
      <c r="AC446" s="46">
        <f t="shared" si="382"/>
        <v>1.7700017412659495E-2</v>
      </c>
      <c r="AD446" s="33"/>
      <c r="AE446" s="33">
        <f t="shared" si="383"/>
        <v>1362.8581235697941</v>
      </c>
      <c r="AF446" s="50"/>
      <c r="AG446" s="33">
        <f t="shared" si="384"/>
        <v>3372</v>
      </c>
      <c r="AH446" s="33">
        <f>SUM(D417:D1098)</f>
        <v>1195313844.060914</v>
      </c>
      <c r="AI446" s="213">
        <f t="shared" si="385"/>
        <v>-0.1008</v>
      </c>
      <c r="AJ446" s="50"/>
      <c r="AK446" s="111"/>
      <c r="AL446" s="23">
        <f t="shared" si="386"/>
        <v>21923</v>
      </c>
      <c r="AM446" s="24"/>
      <c r="AN446" s="24"/>
      <c r="AO446" s="24">
        <v>178263</v>
      </c>
      <c r="AP446" s="24">
        <v>27840884</v>
      </c>
      <c r="AQ446" s="24">
        <v>20336656</v>
      </c>
      <c r="AR446" s="461">
        <f t="shared" si="387"/>
        <v>7.880596259508038E-4</v>
      </c>
      <c r="AS446" s="25"/>
      <c r="AT446" s="25"/>
      <c r="AU446" s="24"/>
      <c r="AV446" s="298">
        <f t="shared" si="388"/>
        <v>0.82741736320028925</v>
      </c>
      <c r="AW446" s="298"/>
      <c r="AX446" s="24">
        <f t="shared" si="389"/>
        <v>63709.116704805492</v>
      </c>
      <c r="AY446" s="308"/>
      <c r="AZ446" s="111"/>
      <c r="BA446" s="65">
        <f t="shared" si="390"/>
        <v>573759</v>
      </c>
      <c r="BB446" s="66"/>
      <c r="BC446" s="66">
        <v>479490895</v>
      </c>
      <c r="BD446" s="66"/>
      <c r="BE446" s="66">
        <f t="shared" si="391"/>
        <v>7750</v>
      </c>
      <c r="BF446" s="66"/>
      <c r="BG446" s="144">
        <f t="shared" si="392"/>
        <v>1.350741339133678E-2</v>
      </c>
      <c r="BH446" s="66"/>
      <c r="BI446" s="170"/>
      <c r="BJ446" s="66"/>
      <c r="BK446" s="66">
        <f t="shared" si="393"/>
        <v>6186039</v>
      </c>
      <c r="BL446" s="66"/>
      <c r="BM446" s="144">
        <f t="shared" si="394"/>
        <v>2.1697406046098319E-2</v>
      </c>
      <c r="BN446" s="65">
        <f t="shared" si="395"/>
        <v>1097233.1693363844</v>
      </c>
      <c r="BO446" s="66"/>
      <c r="BP446" s="66">
        <f t="shared" si="396"/>
        <v>32740955</v>
      </c>
      <c r="BQ446" s="66"/>
      <c r="BR446" s="435">
        <f t="shared" si="397"/>
        <v>6.8282746015437892E-2</v>
      </c>
      <c r="BS446" s="66"/>
      <c r="BT446" s="75"/>
      <c r="BU446" s="170"/>
      <c r="BV446" s="1"/>
      <c r="BW446" s="61">
        <f t="shared" si="186"/>
        <v>437</v>
      </c>
    </row>
    <row r="447" spans="2:75" x14ac:dyDescent="0.3">
      <c r="B447" s="158">
        <f t="shared" si="398"/>
        <v>44347</v>
      </c>
      <c r="C447" s="61"/>
      <c r="D447" s="17">
        <v>5235</v>
      </c>
      <c r="E447" s="16"/>
      <c r="F447" s="16"/>
      <c r="G447" s="16"/>
      <c r="H447" s="16">
        <f t="shared" si="374"/>
        <v>33653168</v>
      </c>
      <c r="I447" s="16"/>
      <c r="J447" s="436">
        <f t="shared" si="375"/>
        <v>1.5558162220544126E-4</v>
      </c>
      <c r="K447" s="16"/>
      <c r="L447" s="16"/>
      <c r="M447" s="16"/>
      <c r="N447" s="16">
        <f t="shared" si="376"/>
        <v>119090</v>
      </c>
      <c r="O447" s="16">
        <f t="shared" si="377"/>
        <v>76833.716894977173</v>
      </c>
      <c r="P447" s="41"/>
      <c r="Q447" s="17">
        <f t="shared" si="378"/>
        <v>119090</v>
      </c>
      <c r="R447" s="16"/>
      <c r="S447" s="60">
        <f t="shared" si="379"/>
        <v>-0.2945782811380101</v>
      </c>
      <c r="T447" s="16"/>
      <c r="U447" s="41"/>
      <c r="V447" s="10">
        <f t="shared" si="349"/>
        <v>339</v>
      </c>
      <c r="W447" s="34">
        <v>115</v>
      </c>
      <c r="X447" s="33">
        <v>4256</v>
      </c>
      <c r="Y447" s="33"/>
      <c r="Z447" s="33">
        <f t="shared" si="380"/>
        <v>2453</v>
      </c>
      <c r="AA447" s="33">
        <f t="shared" si="381"/>
        <v>595684</v>
      </c>
      <c r="AB447" s="33"/>
      <c r="AC447" s="46">
        <f t="shared" si="382"/>
        <v>1.770068125532788E-2</v>
      </c>
      <c r="AD447" s="33"/>
      <c r="AE447" s="33">
        <f t="shared" si="383"/>
        <v>1360.0091324200914</v>
      </c>
      <c r="AF447" s="50"/>
      <c r="AG447" s="33">
        <f t="shared" si="384"/>
        <v>3122</v>
      </c>
      <c r="AH447" s="33">
        <f>SUM(D418:D1099)</f>
        <v>1195271810.060914</v>
      </c>
      <c r="AI447" s="213">
        <f t="shared" si="385"/>
        <v>-0.16657768286171917</v>
      </c>
      <c r="AJ447" s="50"/>
      <c r="AK447" s="111"/>
      <c r="AL447" s="23">
        <f t="shared" si="386"/>
        <v>22956</v>
      </c>
      <c r="AM447" s="24"/>
      <c r="AN447" s="24"/>
      <c r="AO447" s="24">
        <v>178263</v>
      </c>
      <c r="AP447" s="24">
        <v>27863840</v>
      </c>
      <c r="AQ447" s="24">
        <v>20336656</v>
      </c>
      <c r="AR447" s="461">
        <f t="shared" si="387"/>
        <v>8.2454278391447624E-4</v>
      </c>
      <c r="AS447" s="25"/>
      <c r="AT447" s="25"/>
      <c r="AU447" s="24"/>
      <c r="AV447" s="298">
        <f t="shared" si="388"/>
        <v>0.82797078717819372</v>
      </c>
      <c r="AW447" s="298"/>
      <c r="AX447" s="24">
        <f t="shared" si="389"/>
        <v>63616.07305936073</v>
      </c>
      <c r="AY447" s="308"/>
      <c r="AZ447" s="111"/>
      <c r="BA447" s="65">
        <f t="shared" si="390"/>
        <v>439228</v>
      </c>
      <c r="BB447" s="66"/>
      <c r="BC447" s="66">
        <v>479930123</v>
      </c>
      <c r="BD447" s="66"/>
      <c r="BE447" s="66">
        <f t="shared" si="391"/>
        <v>5235</v>
      </c>
      <c r="BF447" s="66"/>
      <c r="BG447" s="144">
        <f t="shared" si="392"/>
        <v>1.1918639066726164E-2</v>
      </c>
      <c r="BH447" s="66"/>
      <c r="BI447" s="170"/>
      <c r="BJ447" s="66"/>
      <c r="BK447" s="66">
        <f t="shared" si="393"/>
        <v>5561510</v>
      </c>
      <c r="BL447" s="66"/>
      <c r="BM447" s="144">
        <f t="shared" si="394"/>
        <v>2.1413249279422314E-2</v>
      </c>
      <c r="BN447" s="65">
        <f t="shared" si="395"/>
        <v>1095730.8744292238</v>
      </c>
      <c r="BO447" s="66"/>
      <c r="BP447" s="66">
        <f t="shared" si="396"/>
        <v>32746190</v>
      </c>
      <c r="BQ447" s="66"/>
      <c r="BR447" s="435">
        <f t="shared" si="397"/>
        <v>6.8231162060231845E-2</v>
      </c>
      <c r="BS447" s="66"/>
      <c r="BT447" s="75"/>
      <c r="BU447" s="170"/>
      <c r="BV447" s="1"/>
      <c r="BW447" s="61">
        <f t="shared" si="186"/>
        <v>438</v>
      </c>
    </row>
    <row r="448" spans="2:75" x14ac:dyDescent="0.3">
      <c r="B448" s="158">
        <f t="shared" si="398"/>
        <v>44348</v>
      </c>
      <c r="C448" s="61"/>
      <c r="D448" s="17">
        <v>12976</v>
      </c>
      <c r="E448" s="16"/>
      <c r="F448" s="16"/>
      <c r="G448" s="16"/>
      <c r="H448" s="16">
        <f t="shared" si="374"/>
        <v>33666144</v>
      </c>
      <c r="I448" s="16"/>
      <c r="J448" s="436">
        <f t="shared" si="375"/>
        <v>3.855803412029441E-4</v>
      </c>
      <c r="K448" s="16"/>
      <c r="L448" s="16"/>
      <c r="M448" s="16"/>
      <c r="N448" s="16">
        <f t="shared" si="376"/>
        <v>109328</v>
      </c>
      <c r="O448" s="16">
        <f t="shared" si="377"/>
        <v>76688.255125284733</v>
      </c>
      <c r="P448" s="41"/>
      <c r="Q448" s="17">
        <f t="shared" si="378"/>
        <v>109328</v>
      </c>
      <c r="R448" s="16"/>
      <c r="S448" s="60">
        <f t="shared" si="379"/>
        <v>-0.33358122070306545</v>
      </c>
      <c r="T448" s="16"/>
      <c r="U448" s="41"/>
      <c r="V448" s="10">
        <f t="shared" si="349"/>
        <v>340</v>
      </c>
      <c r="W448" s="34">
        <v>287</v>
      </c>
      <c r="X448" s="33">
        <v>4256</v>
      </c>
      <c r="Y448" s="33"/>
      <c r="Z448" s="33">
        <f t="shared" si="380"/>
        <v>2133</v>
      </c>
      <c r="AA448" s="33">
        <f t="shared" si="381"/>
        <v>595971</v>
      </c>
      <c r="AB448" s="33"/>
      <c r="AC448" s="46">
        <f t="shared" si="382"/>
        <v>1.7702383736016812E-2</v>
      </c>
      <c r="AD448" s="33"/>
      <c r="AE448" s="33">
        <f t="shared" si="383"/>
        <v>1357.5649202733484</v>
      </c>
      <c r="AF448" s="50"/>
      <c r="AG448" s="33">
        <f t="shared" si="384"/>
        <v>2740</v>
      </c>
      <c r="AH448" s="33">
        <f>SUM(D419:D1100)</f>
        <v>1195241109.060914</v>
      </c>
      <c r="AI448" s="213">
        <f t="shared" si="385"/>
        <v>-0.25583921781640412</v>
      </c>
      <c r="AJ448" s="50"/>
      <c r="AK448" s="111"/>
      <c r="AL448" s="23">
        <f t="shared" si="386"/>
        <v>77078</v>
      </c>
      <c r="AM448" s="24"/>
      <c r="AN448" s="24"/>
      <c r="AO448" s="24">
        <v>178263</v>
      </c>
      <c r="AP448" s="24">
        <v>27940918</v>
      </c>
      <c r="AQ448" s="24">
        <v>20336656</v>
      </c>
      <c r="AR448" s="461">
        <f t="shared" si="387"/>
        <v>2.7662375322281495E-3</v>
      </c>
      <c r="AS448" s="25"/>
      <c r="AT448" s="25"/>
      <c r="AU448" s="24"/>
      <c r="AV448" s="298">
        <f t="shared" si="388"/>
        <v>0.82994114205654201</v>
      </c>
      <c r="AW448" s="298"/>
      <c r="AX448" s="24">
        <f t="shared" si="389"/>
        <v>63646.738041002282</v>
      </c>
      <c r="AY448" s="308"/>
      <c r="AZ448" s="111"/>
      <c r="BA448" s="65">
        <f t="shared" si="390"/>
        <v>1018663</v>
      </c>
      <c r="BB448" s="66"/>
      <c r="BC448" s="66">
        <v>480948786</v>
      </c>
      <c r="BD448" s="66"/>
      <c r="BE448" s="66">
        <f t="shared" si="391"/>
        <v>12976</v>
      </c>
      <c r="BF448" s="66"/>
      <c r="BG448" s="144">
        <f t="shared" si="392"/>
        <v>1.2738265746375396E-2</v>
      </c>
      <c r="BH448" s="66"/>
      <c r="BI448" s="170"/>
      <c r="BJ448" s="66"/>
      <c r="BK448" s="66">
        <f t="shared" si="393"/>
        <v>5721964</v>
      </c>
      <c r="BL448" s="66"/>
      <c r="BM448" s="144">
        <f t="shared" si="394"/>
        <v>1.91067262918816E-2</v>
      </c>
      <c r="BN448" s="65">
        <f t="shared" si="395"/>
        <v>1095555.3211845104</v>
      </c>
      <c r="BO448" s="66"/>
      <c r="BP448" s="66">
        <f t="shared" si="396"/>
        <v>32759166</v>
      </c>
      <c r="BQ448" s="66"/>
      <c r="BR448" s="435">
        <f t="shared" si="397"/>
        <v>6.8113626551497317E-2</v>
      </c>
      <c r="BS448" s="66"/>
      <c r="BT448" s="75"/>
      <c r="BU448" s="170"/>
      <c r="BV448" s="1"/>
      <c r="BW448" s="61">
        <f t="shared" si="186"/>
        <v>439</v>
      </c>
    </row>
    <row r="449" spans="2:75" x14ac:dyDescent="0.3">
      <c r="B449" s="158">
        <f t="shared" si="398"/>
        <v>44349</v>
      </c>
      <c r="C449" s="61"/>
      <c r="D449" s="17">
        <v>16974</v>
      </c>
      <c r="E449" s="16"/>
      <c r="F449" s="16"/>
      <c r="G449" s="16"/>
      <c r="H449" s="16">
        <f t="shared" si="374"/>
        <v>33683118</v>
      </c>
      <c r="I449" s="16"/>
      <c r="J449" s="436">
        <f t="shared" si="375"/>
        <v>5.0418604518533518E-4</v>
      </c>
      <c r="K449" s="16"/>
      <c r="L449" s="16"/>
      <c r="M449" s="16"/>
      <c r="N449" s="16">
        <f t="shared" si="376"/>
        <v>102802</v>
      </c>
      <c r="O449" s="16">
        <f t="shared" si="377"/>
        <v>76552.540909090909</v>
      </c>
      <c r="P449" s="41"/>
      <c r="Q449" s="17">
        <f t="shared" si="378"/>
        <v>102802</v>
      </c>
      <c r="R449" s="16"/>
      <c r="S449" s="60">
        <f t="shared" si="379"/>
        <v>-0.35349533368550801</v>
      </c>
      <c r="T449" s="16"/>
      <c r="U449" s="41"/>
      <c r="V449" s="10">
        <f t="shared" si="349"/>
        <v>341</v>
      </c>
      <c r="W449" s="34">
        <v>514</v>
      </c>
      <c r="X449" s="33">
        <v>4256</v>
      </c>
      <c r="Y449" s="33"/>
      <c r="Z449" s="33">
        <f t="shared" si="380"/>
        <v>2017</v>
      </c>
      <c r="AA449" s="33">
        <f t="shared" si="381"/>
        <v>596485</v>
      </c>
      <c r="AB449" s="33"/>
      <c r="AC449" s="46">
        <f t="shared" si="382"/>
        <v>1.7708722808856353E-2</v>
      </c>
      <c r="AD449" s="33"/>
      <c r="AE449" s="33">
        <f t="shared" si="383"/>
        <v>1355.6477272727273</v>
      </c>
      <c r="AF449" s="50"/>
      <c r="AG449" s="33">
        <f t="shared" si="384"/>
        <v>2647</v>
      </c>
      <c r="AH449" s="33">
        <f>SUM(D420:D1101)</f>
        <v>1195200655.060914</v>
      </c>
      <c r="AI449" s="213">
        <f t="shared" si="385"/>
        <v>-0.27539009033670958</v>
      </c>
      <c r="AJ449" s="50"/>
      <c r="AK449" s="111"/>
      <c r="AL449" s="23">
        <f t="shared" si="386"/>
        <v>45593</v>
      </c>
      <c r="AM449" s="24"/>
      <c r="AN449" s="24"/>
      <c r="AO449" s="24">
        <v>178263</v>
      </c>
      <c r="AP449" s="24">
        <v>27986511</v>
      </c>
      <c r="AQ449" s="24">
        <v>20336656</v>
      </c>
      <c r="AR449" s="461">
        <f t="shared" si="387"/>
        <v>1.6317645683652914E-3</v>
      </c>
      <c r="AS449" s="25"/>
      <c r="AT449" s="25"/>
      <c r="AU449" s="24"/>
      <c r="AV449" s="298">
        <f t="shared" si="388"/>
        <v>0.83087649427229393</v>
      </c>
      <c r="AW449" s="298"/>
      <c r="AX449" s="24">
        <f t="shared" si="389"/>
        <v>63605.706818181818</v>
      </c>
      <c r="AY449" s="308"/>
      <c r="AZ449" s="111"/>
      <c r="BA449" s="65">
        <f t="shared" si="390"/>
        <v>659207</v>
      </c>
      <c r="BB449" s="66"/>
      <c r="BC449" s="66">
        <v>481607993</v>
      </c>
      <c r="BD449" s="66"/>
      <c r="BE449" s="66">
        <f t="shared" si="391"/>
        <v>16974</v>
      </c>
      <c r="BF449" s="66"/>
      <c r="BG449" s="144">
        <f t="shared" si="392"/>
        <v>2.5749119775730536E-2</v>
      </c>
      <c r="BH449" s="66"/>
      <c r="BI449" s="170"/>
      <c r="BJ449" s="66"/>
      <c r="BK449" s="66">
        <f t="shared" si="393"/>
        <v>5467750</v>
      </c>
      <c r="BL449" s="66"/>
      <c r="BM449" s="144">
        <f t="shared" si="394"/>
        <v>1.8801517991861368E-2</v>
      </c>
      <c r="BN449" s="65">
        <f t="shared" si="395"/>
        <v>1094563.6204545454</v>
      </c>
      <c r="BO449" s="66"/>
      <c r="BP449" s="66">
        <f t="shared" si="396"/>
        <v>32776140</v>
      </c>
      <c r="BQ449" s="66"/>
      <c r="BR449" s="435">
        <f t="shared" si="397"/>
        <v>6.8055639599818682E-2</v>
      </c>
      <c r="BS449" s="66"/>
      <c r="BT449" s="75"/>
      <c r="BU449" s="170"/>
      <c r="BV449" s="1"/>
      <c r="BW449" s="61">
        <f t="shared" si="186"/>
        <v>440</v>
      </c>
    </row>
    <row r="450" spans="2:75" x14ac:dyDescent="0.3">
      <c r="B450" s="158">
        <f t="shared" si="398"/>
        <v>44350</v>
      </c>
      <c r="C450" s="61"/>
      <c r="D450" s="17">
        <v>17821</v>
      </c>
      <c r="E450" s="16"/>
      <c r="F450" s="16"/>
      <c r="G450" s="16"/>
      <c r="H450" s="16">
        <f t="shared" si="374"/>
        <v>33700939</v>
      </c>
      <c r="I450" s="16"/>
      <c r="J450" s="436">
        <f t="shared" si="375"/>
        <v>5.2907809781742884E-4</v>
      </c>
      <c r="K450" s="16"/>
      <c r="L450" s="16"/>
      <c r="M450" s="16"/>
      <c r="N450" s="16">
        <f t="shared" si="376"/>
        <v>96230</v>
      </c>
      <c r="O450" s="16">
        <f t="shared" si="377"/>
        <v>76419.36281179139</v>
      </c>
      <c r="P450" s="41"/>
      <c r="Q450" s="17">
        <f t="shared" si="378"/>
        <v>96230</v>
      </c>
      <c r="R450" s="16"/>
      <c r="S450" s="60">
        <f t="shared" si="379"/>
        <v>-0.37182993779007906</v>
      </c>
      <c r="T450" s="16"/>
      <c r="U450" s="41"/>
      <c r="V450" s="10">
        <f t="shared" si="349"/>
        <v>342</v>
      </c>
      <c r="W450" s="34">
        <v>574</v>
      </c>
      <c r="X450" s="33">
        <v>4256</v>
      </c>
      <c r="Y450" s="33"/>
      <c r="Z450" s="33">
        <f t="shared" si="380"/>
        <v>1964</v>
      </c>
      <c r="AA450" s="33">
        <f t="shared" si="381"/>
        <v>597059</v>
      </c>
      <c r="AB450" s="33"/>
      <c r="AC450" s="46">
        <f t="shared" si="382"/>
        <v>1.7716390632320365E-2</v>
      </c>
      <c r="AD450" s="33"/>
      <c r="AE450" s="33">
        <f t="shared" si="383"/>
        <v>1353.875283446712</v>
      </c>
      <c r="AF450" s="50"/>
      <c r="AG450" s="33">
        <f t="shared" si="384"/>
        <v>2591</v>
      </c>
      <c r="AH450" s="33">
        <f>SUM(D421:D1102)</f>
        <v>1195158301.060914</v>
      </c>
      <c r="AI450" s="213">
        <f t="shared" si="385"/>
        <v>-0.28504415011037526</v>
      </c>
      <c r="AJ450" s="50"/>
      <c r="AK450" s="111"/>
      <c r="AL450" s="23">
        <f t="shared" si="386"/>
        <v>39064</v>
      </c>
      <c r="AM450" s="24"/>
      <c r="AN450" s="24"/>
      <c r="AO450" s="24">
        <v>178263</v>
      </c>
      <c r="AP450" s="24">
        <v>28025575</v>
      </c>
      <c r="AQ450" s="24">
        <v>20336656</v>
      </c>
      <c r="AR450" s="461">
        <f t="shared" si="387"/>
        <v>1.3958152911593732E-3</v>
      </c>
      <c r="AS450" s="25"/>
      <c r="AT450" s="25"/>
      <c r="AU450" s="24"/>
      <c r="AV450" s="298">
        <f t="shared" si="388"/>
        <v>0.83159626501801631</v>
      </c>
      <c r="AW450" s="298"/>
      <c r="AX450" s="24">
        <f t="shared" si="389"/>
        <v>63550.056689342404</v>
      </c>
      <c r="AY450" s="308"/>
      <c r="AZ450" s="111"/>
      <c r="BA450" s="65">
        <f t="shared" si="390"/>
        <v>782831</v>
      </c>
      <c r="BB450" s="66"/>
      <c r="BC450" s="66">
        <v>482390824</v>
      </c>
      <c r="BD450" s="66"/>
      <c r="BE450" s="66">
        <f t="shared" si="391"/>
        <v>17821</v>
      </c>
      <c r="BF450" s="66"/>
      <c r="BG450" s="144">
        <f t="shared" si="392"/>
        <v>2.2764811306654947E-2</v>
      </c>
      <c r="BH450" s="66"/>
      <c r="BI450" s="170"/>
      <c r="BJ450" s="66"/>
      <c r="BK450" s="66">
        <f t="shared" si="393"/>
        <v>5242175</v>
      </c>
      <c r="BL450" s="66"/>
      <c r="BM450" s="144">
        <f t="shared" si="394"/>
        <v>1.835688430851698E-2</v>
      </c>
      <c r="BN450" s="65">
        <f t="shared" si="395"/>
        <v>1093856.7437641723</v>
      </c>
      <c r="BO450" s="66"/>
      <c r="BP450" s="66">
        <f t="shared" si="396"/>
        <v>32793961</v>
      </c>
      <c r="BQ450" s="66"/>
      <c r="BR450" s="435">
        <f t="shared" si="397"/>
        <v>6.7982140970409499E-2</v>
      </c>
      <c r="BS450" s="66"/>
      <c r="BT450" s="75"/>
      <c r="BU450" s="170"/>
      <c r="BV450" s="1"/>
      <c r="BW450" s="61">
        <f t="shared" si="186"/>
        <v>441</v>
      </c>
    </row>
    <row r="451" spans="2:75" x14ac:dyDescent="0.3">
      <c r="B451" s="158">
        <f t="shared" si="398"/>
        <v>44351</v>
      </c>
      <c r="C451" s="61"/>
      <c r="D451" s="17">
        <v>16925</v>
      </c>
      <c r="E451" s="16"/>
      <c r="F451" s="16"/>
      <c r="G451" s="16"/>
      <c r="H451" s="16">
        <f t="shared" si="374"/>
        <v>33717864</v>
      </c>
      <c r="I451" s="16"/>
      <c r="J451" s="436">
        <f t="shared" si="375"/>
        <v>5.0221152591623636E-4</v>
      </c>
      <c r="K451" s="16"/>
      <c r="L451" s="16"/>
      <c r="M451" s="16"/>
      <c r="N451" s="16">
        <f t="shared" si="376"/>
        <v>90342</v>
      </c>
      <c r="O451" s="16">
        <f t="shared" si="377"/>
        <v>76284.760180995479</v>
      </c>
      <c r="P451" s="41"/>
      <c r="Q451" s="17">
        <f t="shared" si="378"/>
        <v>90342</v>
      </c>
      <c r="R451" s="16"/>
      <c r="S451" s="60">
        <f t="shared" si="379"/>
        <v>-0.38538676100414992</v>
      </c>
      <c r="T451" s="16"/>
      <c r="U451" s="41"/>
      <c r="V451" s="10">
        <f t="shared" si="349"/>
        <v>343</v>
      </c>
      <c r="W451" s="34">
        <v>520</v>
      </c>
      <c r="X451" s="33">
        <v>4256</v>
      </c>
      <c r="Y451" s="33"/>
      <c r="Z451" s="33">
        <f t="shared" si="380"/>
        <v>2134</v>
      </c>
      <c r="AA451" s="33">
        <f t="shared" si="381"/>
        <v>597579</v>
      </c>
      <c r="AB451" s="33"/>
      <c r="AC451" s="46">
        <f t="shared" si="382"/>
        <v>1.7722919814849483E-2</v>
      </c>
      <c r="AD451" s="33"/>
      <c r="AE451" s="33">
        <f t="shared" si="383"/>
        <v>1351.9886877828055</v>
      </c>
      <c r="AF451" s="50"/>
      <c r="AG451" s="33">
        <f t="shared" si="384"/>
        <v>2484</v>
      </c>
      <c r="AH451" s="33">
        <f>SUM(D422:D1103)</f>
        <v>1195112172.060914</v>
      </c>
      <c r="AI451" s="213">
        <f t="shared" si="385"/>
        <v>-0.30884808013355591</v>
      </c>
      <c r="AJ451" s="50"/>
      <c r="AK451" s="111"/>
      <c r="AL451" s="23">
        <f t="shared" si="386"/>
        <v>29420</v>
      </c>
      <c r="AM451" s="24"/>
      <c r="AN451" s="24"/>
      <c r="AO451" s="24">
        <v>178263</v>
      </c>
      <c r="AP451" s="24">
        <v>28054995</v>
      </c>
      <c r="AQ451" s="24">
        <v>20336656</v>
      </c>
      <c r="AR451" s="461">
        <f t="shared" si="387"/>
        <v>1.0497554465876257E-3</v>
      </c>
      <c r="AS451" s="25"/>
      <c r="AT451" s="25"/>
      <c r="AU451" s="24"/>
      <c r="AV451" s="298">
        <f t="shared" si="388"/>
        <v>0.8320513719374395</v>
      </c>
      <c r="AW451" s="298"/>
      <c r="AX451" s="24">
        <f t="shared" si="389"/>
        <v>63472.839366515836</v>
      </c>
      <c r="AY451" s="308"/>
      <c r="AZ451" s="111"/>
      <c r="BA451" s="65">
        <f t="shared" si="390"/>
        <v>973509</v>
      </c>
      <c r="BB451" s="66"/>
      <c r="BC451" s="66">
        <v>483364333</v>
      </c>
      <c r="BD451" s="66"/>
      <c r="BE451" s="66">
        <f t="shared" si="391"/>
        <v>16925</v>
      </c>
      <c r="BF451" s="66"/>
      <c r="BG451" s="144">
        <f t="shared" si="392"/>
        <v>1.7385560893633238E-2</v>
      </c>
      <c r="BH451" s="66"/>
      <c r="BI451" s="170"/>
      <c r="BJ451" s="66"/>
      <c r="BK451" s="66">
        <f t="shared" si="393"/>
        <v>5222916</v>
      </c>
      <c r="BL451" s="66"/>
      <c r="BM451" s="144">
        <f t="shared" si="394"/>
        <v>1.7297233958960857E-2</v>
      </c>
      <c r="BN451" s="65">
        <f t="shared" si="395"/>
        <v>1093584.463800905</v>
      </c>
      <c r="BO451" s="66"/>
      <c r="BP451" s="66">
        <f t="shared" si="396"/>
        <v>32810886</v>
      </c>
      <c r="BQ451" s="66"/>
      <c r="BR451" s="435">
        <f t="shared" si="397"/>
        <v>6.788023807292376E-2</v>
      </c>
      <c r="BS451" s="66"/>
      <c r="BT451" s="75"/>
      <c r="BU451" s="170"/>
      <c r="BV451" s="1"/>
      <c r="BW451" s="61">
        <f t="shared" si="186"/>
        <v>442</v>
      </c>
    </row>
    <row r="452" spans="2:75" x14ac:dyDescent="0.3">
      <c r="B452" s="158">
        <f t="shared" si="398"/>
        <v>44352</v>
      </c>
      <c r="C452" s="61"/>
      <c r="D452" s="17">
        <v>11603</v>
      </c>
      <c r="E452" s="16"/>
      <c r="F452" s="16"/>
      <c r="G452" s="16"/>
      <c r="H452" s="16">
        <f t="shared" si="374"/>
        <v>33729467</v>
      </c>
      <c r="I452" s="16"/>
      <c r="J452" s="436">
        <f t="shared" si="375"/>
        <v>3.4412025625348035E-4</v>
      </c>
      <c r="K452" s="16"/>
      <c r="L452" s="16"/>
      <c r="M452" s="16"/>
      <c r="N452" s="16">
        <f t="shared" si="376"/>
        <v>89284</v>
      </c>
      <c r="O452" s="16">
        <f t="shared" si="377"/>
        <v>76138.751693002254</v>
      </c>
      <c r="P452" s="41"/>
      <c r="Q452" s="17">
        <f t="shared" si="378"/>
        <v>89284</v>
      </c>
      <c r="R452" s="16"/>
      <c r="S452" s="60">
        <f t="shared" si="379"/>
        <v>-0.36231180184555611</v>
      </c>
      <c r="T452" s="16"/>
      <c r="U452" s="41"/>
      <c r="V452" s="10">
        <f t="shared" si="349"/>
        <v>344</v>
      </c>
      <c r="W452" s="34">
        <v>388</v>
      </c>
      <c r="X452" s="33">
        <v>4256</v>
      </c>
      <c r="Y452" s="33"/>
      <c r="Z452" s="33">
        <f t="shared" si="380"/>
        <v>2398</v>
      </c>
      <c r="AA452" s="33">
        <f t="shared" si="381"/>
        <v>597967</v>
      </c>
      <c r="AB452" s="33"/>
      <c r="AC452" s="46">
        <f t="shared" si="382"/>
        <v>1.7728326391875684E-2</v>
      </c>
      <c r="AD452" s="33"/>
      <c r="AE452" s="33">
        <f t="shared" si="383"/>
        <v>1349.8126410835214</v>
      </c>
      <c r="AF452" s="50"/>
      <c r="AG452" s="33">
        <f t="shared" si="384"/>
        <v>2522</v>
      </c>
      <c r="AH452" s="33">
        <f>SUM(D423:D1104)</f>
        <v>1195064353.060914</v>
      </c>
      <c r="AI452" s="213">
        <f t="shared" si="385"/>
        <v>-0.27445339470655927</v>
      </c>
      <c r="AJ452" s="50"/>
      <c r="AK452" s="111"/>
      <c r="AL452" s="23">
        <f t="shared" si="386"/>
        <v>48496</v>
      </c>
      <c r="AM452" s="24"/>
      <c r="AN452" s="24"/>
      <c r="AO452" s="24">
        <v>178263</v>
      </c>
      <c r="AP452" s="24">
        <v>28103491</v>
      </c>
      <c r="AQ452" s="24">
        <v>20336656</v>
      </c>
      <c r="AR452" s="461">
        <f t="shared" si="387"/>
        <v>1.7286048348966023E-3</v>
      </c>
      <c r="AS452" s="25"/>
      <c r="AT452" s="25"/>
      <c r="AU452" s="24"/>
      <c r="AV452" s="298">
        <f t="shared" si="388"/>
        <v>0.83320293795333322</v>
      </c>
      <c r="AW452" s="298"/>
      <c r="AX452" s="24">
        <f t="shared" si="389"/>
        <v>63439.031602708805</v>
      </c>
      <c r="AY452" s="308"/>
      <c r="AZ452" s="111"/>
      <c r="BA452" s="65">
        <f t="shared" si="390"/>
        <v>2921876</v>
      </c>
      <c r="BB452" s="66"/>
      <c r="BC452" s="66">
        <v>486286209</v>
      </c>
      <c r="BD452" s="66"/>
      <c r="BE452" s="66">
        <f t="shared" si="391"/>
        <v>11603</v>
      </c>
      <c r="BF452" s="66"/>
      <c r="BG452" s="144">
        <f t="shared" si="392"/>
        <v>3.971078854817932E-3</v>
      </c>
      <c r="BH452" s="66"/>
      <c r="BI452" s="170"/>
      <c r="BJ452" s="66"/>
      <c r="BK452" s="66">
        <f t="shared" si="393"/>
        <v>7369073</v>
      </c>
      <c r="BL452" s="66"/>
      <c r="BM452" s="144">
        <f t="shared" si="394"/>
        <v>1.2116042275602373E-2</v>
      </c>
      <c r="BN452" s="65">
        <f t="shared" si="395"/>
        <v>1097711.5327313771</v>
      </c>
      <c r="BO452" s="66"/>
      <c r="BP452" s="66">
        <f t="shared" si="396"/>
        <v>32822489</v>
      </c>
      <c r="BQ452" s="66"/>
      <c r="BR452" s="435">
        <f t="shared" si="397"/>
        <v>6.7496236563023726E-2</v>
      </c>
      <c r="BS452" s="66"/>
      <c r="BT452" s="75"/>
      <c r="BU452" s="170"/>
      <c r="BV452" s="1"/>
      <c r="BW452" s="61">
        <f t="shared" si="186"/>
        <v>443</v>
      </c>
    </row>
    <row r="453" spans="2:75" x14ac:dyDescent="0.3">
      <c r="B453" s="347">
        <f t="shared" si="398"/>
        <v>44353</v>
      </c>
      <c r="C453" s="61"/>
      <c r="D453" s="17">
        <v>6408</v>
      </c>
      <c r="E453" s="16"/>
      <c r="F453" s="16"/>
      <c r="G453" s="16"/>
      <c r="H453" s="16">
        <f t="shared" si="374"/>
        <v>33735875</v>
      </c>
      <c r="I453" s="16"/>
      <c r="J453" s="436">
        <f t="shared" si="375"/>
        <v>1.8998224905243834E-4</v>
      </c>
      <c r="K453" s="16"/>
      <c r="L453" s="16"/>
      <c r="M453" s="16"/>
      <c r="N453" s="16">
        <f t="shared" si="376"/>
        <v>87942</v>
      </c>
      <c r="O453" s="16">
        <f t="shared" si="377"/>
        <v>75981.700450450444</v>
      </c>
      <c r="P453" s="41"/>
      <c r="Q453" s="17">
        <f t="shared" si="378"/>
        <v>87942</v>
      </c>
      <c r="R453" s="16"/>
      <c r="S453" s="60">
        <f t="shared" si="379"/>
        <v>-0.34479701388009326</v>
      </c>
      <c r="T453" s="16"/>
      <c r="U453" s="41"/>
      <c r="V453" s="10">
        <f t="shared" si="349"/>
        <v>345</v>
      </c>
      <c r="W453" s="34">
        <v>164</v>
      </c>
      <c r="X453" s="33">
        <v>4256</v>
      </c>
      <c r="Y453" s="33"/>
      <c r="Z453" s="33">
        <f t="shared" si="380"/>
        <v>2447</v>
      </c>
      <c r="AA453" s="33">
        <f t="shared" si="381"/>
        <v>598131</v>
      </c>
      <c r="AB453" s="33"/>
      <c r="AC453" s="46">
        <f t="shared" si="382"/>
        <v>1.7729820258108021E-2</v>
      </c>
      <c r="AD453" s="33"/>
      <c r="AE453" s="33">
        <f t="shared" si="383"/>
        <v>1347.1418918918919</v>
      </c>
      <c r="AF453" s="50"/>
      <c r="AG453" s="33">
        <f t="shared" si="384"/>
        <v>2562</v>
      </c>
      <c r="AH453" s="33">
        <f>SUM(D424:D1105)</f>
        <v>1195014862.060914</v>
      </c>
      <c r="AI453" s="213">
        <f t="shared" si="385"/>
        <v>-0.2402135231316726</v>
      </c>
      <c r="AJ453" s="50"/>
      <c r="AK453" s="111"/>
      <c r="AL453" s="23">
        <f t="shared" si="386"/>
        <v>19246</v>
      </c>
      <c r="AM453" s="24"/>
      <c r="AN453" s="24"/>
      <c r="AO453" s="24">
        <v>178263</v>
      </c>
      <c r="AP453" s="24">
        <v>28122737</v>
      </c>
      <c r="AQ453" s="24">
        <v>20336656</v>
      </c>
      <c r="AR453" s="461">
        <f t="shared" si="387"/>
        <v>6.8482595276152703E-4</v>
      </c>
      <c r="AS453" s="25"/>
      <c r="AT453" s="25"/>
      <c r="AU453" s="24"/>
      <c r="AV453" s="298">
        <f t="shared" si="388"/>
        <v>0.83361516486529552</v>
      </c>
      <c r="AW453" s="298"/>
      <c r="AX453" s="24">
        <f t="shared" si="389"/>
        <v>63339.497747747744</v>
      </c>
      <c r="AY453" s="308"/>
      <c r="AZ453" s="111"/>
      <c r="BA453" s="65">
        <f t="shared" si="390"/>
        <v>582741</v>
      </c>
      <c r="BB453" s="66"/>
      <c r="BC453" s="66">
        <v>486868950</v>
      </c>
      <c r="BD453" s="66"/>
      <c r="BE453" s="66">
        <f t="shared" si="391"/>
        <v>6408</v>
      </c>
      <c r="BF453" s="66"/>
      <c r="BG453" s="144">
        <f t="shared" si="392"/>
        <v>1.0996308823302291E-2</v>
      </c>
      <c r="BH453" s="66"/>
      <c r="BI453" s="170"/>
      <c r="BJ453" s="66"/>
      <c r="BK453" s="66">
        <f t="shared" si="393"/>
        <v>7378055</v>
      </c>
      <c r="BL453" s="66"/>
      <c r="BM453" s="144">
        <f t="shared" si="394"/>
        <v>1.1919401522487973E-2</v>
      </c>
      <c r="BN453" s="65">
        <f t="shared" si="395"/>
        <v>1096551.6891891891</v>
      </c>
      <c r="BO453" s="66"/>
      <c r="BP453" s="66">
        <f t="shared" si="396"/>
        <v>32828897</v>
      </c>
      <c r="BQ453" s="66"/>
      <c r="BR453" s="435">
        <f t="shared" si="397"/>
        <v>6.7428610922918783E-2</v>
      </c>
      <c r="BS453" s="66"/>
      <c r="BT453" s="75"/>
      <c r="BU453" s="170"/>
      <c r="BV453" s="1"/>
      <c r="BW453" s="61">
        <f t="shared" si="186"/>
        <v>444</v>
      </c>
    </row>
    <row r="454" spans="2:75" x14ac:dyDescent="0.3">
      <c r="B454" s="158">
        <f t="shared" si="398"/>
        <v>44354</v>
      </c>
      <c r="C454" s="61"/>
      <c r="D454" s="17">
        <v>12283</v>
      </c>
      <c r="E454" s="16"/>
      <c r="F454" s="16"/>
      <c r="G454" s="16"/>
      <c r="H454" s="16">
        <f t="shared" si="374"/>
        <v>33748158</v>
      </c>
      <c r="I454" s="16"/>
      <c r="J454" s="436">
        <f t="shared" si="375"/>
        <v>3.6409312045411599E-4</v>
      </c>
      <c r="K454" s="16"/>
      <c r="L454" s="16"/>
      <c r="M454" s="16"/>
      <c r="N454" s="16">
        <f t="shared" si="376"/>
        <v>94990</v>
      </c>
      <c r="O454" s="16">
        <f t="shared" si="377"/>
        <v>75838.557303370791</v>
      </c>
      <c r="P454" s="41"/>
      <c r="Q454" s="17">
        <f t="shared" si="378"/>
        <v>94990</v>
      </c>
      <c r="R454" s="16"/>
      <c r="S454" s="60">
        <f t="shared" si="379"/>
        <v>-0.20236795700730539</v>
      </c>
      <c r="T454" s="16"/>
      <c r="U454" s="41"/>
      <c r="V454" s="10">
        <f t="shared" si="349"/>
        <v>346</v>
      </c>
      <c r="W454" s="34">
        <v>312</v>
      </c>
      <c r="X454" s="33">
        <v>4256</v>
      </c>
      <c r="Y454" s="33"/>
      <c r="Z454" s="33">
        <f t="shared" si="380"/>
        <v>2472</v>
      </c>
      <c r="AA454" s="33">
        <f t="shared" si="381"/>
        <v>598443</v>
      </c>
      <c r="AB454" s="33"/>
      <c r="AC454" s="46">
        <f t="shared" si="382"/>
        <v>1.7732612251015301E-2</v>
      </c>
      <c r="AD454" s="33"/>
      <c r="AE454" s="33">
        <f t="shared" si="383"/>
        <v>1344.8157303370785</v>
      </c>
      <c r="AF454" s="50"/>
      <c r="AG454" s="33">
        <f t="shared" si="384"/>
        <v>2759</v>
      </c>
      <c r="AH454" s="33">
        <f>SUM(D425:D1106)</f>
        <v>1194979107.060914</v>
      </c>
      <c r="AI454" s="213">
        <f t="shared" si="385"/>
        <v>-0.11627162075592569</v>
      </c>
      <c r="AJ454" s="50"/>
      <c r="AK454" s="111"/>
      <c r="AL454" s="23">
        <f t="shared" si="386"/>
        <v>54922</v>
      </c>
      <c r="AM454" s="24"/>
      <c r="AN454" s="24"/>
      <c r="AO454" s="24">
        <v>178263</v>
      </c>
      <c r="AP454" s="24">
        <v>28177659</v>
      </c>
      <c r="AQ454" s="24">
        <v>20336656</v>
      </c>
      <c r="AR454" s="461">
        <f t="shared" si="387"/>
        <v>1.9529393600629982E-3</v>
      </c>
      <c r="AS454" s="25"/>
      <c r="AT454" s="25"/>
      <c r="AU454" s="24"/>
      <c r="AV454" s="298">
        <f t="shared" si="388"/>
        <v>0.83493916912443045</v>
      </c>
      <c r="AW454" s="298"/>
      <c r="AX454" s="24">
        <f t="shared" si="389"/>
        <v>63320.582022471914</v>
      </c>
      <c r="AY454" s="308"/>
      <c r="AZ454" s="111"/>
      <c r="BA454" s="65">
        <f t="shared" si="390"/>
        <v>2864658</v>
      </c>
      <c r="BB454" s="66"/>
      <c r="BC454" s="66">
        <v>489733608</v>
      </c>
      <c r="BD454" s="66"/>
      <c r="BE454" s="66">
        <f t="shared" si="391"/>
        <v>12283</v>
      </c>
      <c r="BF454" s="66"/>
      <c r="BG454" s="144">
        <f t="shared" si="392"/>
        <v>4.2877718736407623E-3</v>
      </c>
      <c r="BH454" s="66"/>
      <c r="BI454" s="170"/>
      <c r="BJ454" s="66"/>
      <c r="BK454" s="66">
        <f t="shared" si="393"/>
        <v>9803485</v>
      </c>
      <c r="BL454" s="66"/>
      <c r="BM454" s="144">
        <f t="shared" si="394"/>
        <v>9.6894114694927366E-3</v>
      </c>
      <c r="BN454" s="65">
        <f t="shared" si="395"/>
        <v>1100524.9617977529</v>
      </c>
      <c r="BO454" s="66"/>
      <c r="BP454" s="66">
        <f t="shared" si="396"/>
        <v>32841180</v>
      </c>
      <c r="BQ454" s="66"/>
      <c r="BR454" s="435">
        <f t="shared" si="397"/>
        <v>6.7059273579606976E-2</v>
      </c>
      <c r="BS454" s="66"/>
      <c r="BT454" s="75"/>
      <c r="BU454" s="170"/>
      <c r="BV454" s="1"/>
      <c r="BW454" s="61">
        <f t="shared" si="186"/>
        <v>445</v>
      </c>
    </row>
    <row r="455" spans="2:75" x14ac:dyDescent="0.3">
      <c r="B455" s="158">
        <f t="shared" si="398"/>
        <v>44355</v>
      </c>
      <c r="C455" s="61"/>
      <c r="D455" s="17">
        <v>13542</v>
      </c>
      <c r="E455" s="16"/>
      <c r="F455" s="16"/>
      <c r="G455" s="16"/>
      <c r="H455" s="16">
        <f t="shared" si="374"/>
        <v>33761700</v>
      </c>
      <c r="I455" s="16"/>
      <c r="J455" s="436">
        <f t="shared" si="375"/>
        <v>4.0126634466983353E-4</v>
      </c>
      <c r="K455" s="16"/>
      <c r="L455" s="16"/>
      <c r="M455" s="16"/>
      <c r="N455" s="16">
        <f t="shared" si="376"/>
        <v>95556</v>
      </c>
      <c r="O455" s="16">
        <f t="shared" si="377"/>
        <v>75698.87892376681</v>
      </c>
      <c r="P455" s="41"/>
      <c r="Q455" s="17">
        <f t="shared" si="378"/>
        <v>95556</v>
      </c>
      <c r="R455" s="16"/>
      <c r="S455" s="60">
        <f t="shared" si="379"/>
        <v>-0.12596955949070687</v>
      </c>
      <c r="T455" s="16"/>
      <c r="U455" s="41"/>
      <c r="V455" s="10">
        <f t="shared" si="349"/>
        <v>347</v>
      </c>
      <c r="W455" s="34">
        <v>401</v>
      </c>
      <c r="X455" s="33">
        <v>4256</v>
      </c>
      <c r="Y455" s="33"/>
      <c r="Z455" s="33">
        <f t="shared" si="380"/>
        <v>2359</v>
      </c>
      <c r="AA455" s="33">
        <f t="shared" si="381"/>
        <v>598844</v>
      </c>
      <c r="AB455" s="33"/>
      <c r="AC455" s="46">
        <f t="shared" si="382"/>
        <v>1.7737376968576819E-2</v>
      </c>
      <c r="AD455" s="33"/>
      <c r="AE455" s="33">
        <f t="shared" si="383"/>
        <v>1342.6995515695066</v>
      </c>
      <c r="AF455" s="50"/>
      <c r="AG455" s="33">
        <f t="shared" si="384"/>
        <v>2873</v>
      </c>
      <c r="AH455" s="33">
        <f>SUM(D426:D1107)</f>
        <v>1194956907.060914</v>
      </c>
      <c r="AI455" s="213">
        <f t="shared" si="385"/>
        <v>4.8540145985401462E-2</v>
      </c>
      <c r="AJ455" s="50"/>
      <c r="AK455" s="111"/>
      <c r="AL455" s="23">
        <f t="shared" si="386"/>
        <v>43204</v>
      </c>
      <c r="AM455" s="24"/>
      <c r="AN455" s="24"/>
      <c r="AO455" s="24">
        <v>178263</v>
      </c>
      <c r="AP455" s="24">
        <v>28220863</v>
      </c>
      <c r="AQ455" s="24">
        <v>20336656</v>
      </c>
      <c r="AR455" s="461">
        <f t="shared" si="387"/>
        <v>1.533271447425778E-3</v>
      </c>
      <c r="AS455" s="25"/>
      <c r="AT455" s="25"/>
      <c r="AU455" s="24"/>
      <c r="AV455" s="298">
        <f t="shared" si="388"/>
        <v>0.83588394541744049</v>
      </c>
      <c r="AW455" s="298"/>
      <c r="AX455" s="24">
        <f t="shared" si="389"/>
        <v>63275.477578475336</v>
      </c>
      <c r="AY455" s="308"/>
      <c r="AZ455" s="111"/>
      <c r="BA455" s="65">
        <f t="shared" si="390"/>
        <v>589126</v>
      </c>
      <c r="BB455" s="66"/>
      <c r="BC455" s="66">
        <v>490322734</v>
      </c>
      <c r="BD455" s="66"/>
      <c r="BE455" s="66">
        <f t="shared" si="391"/>
        <v>13542</v>
      </c>
      <c r="BF455" s="66"/>
      <c r="BG455" s="144">
        <f t="shared" si="392"/>
        <v>2.2986593699819733E-2</v>
      </c>
      <c r="BH455" s="66"/>
      <c r="BI455" s="170"/>
      <c r="BJ455" s="66"/>
      <c r="BK455" s="66">
        <f t="shared" si="393"/>
        <v>9373948</v>
      </c>
      <c r="BL455" s="66"/>
      <c r="BM455" s="144">
        <f t="shared" si="394"/>
        <v>1.0193783878468282E-2</v>
      </c>
      <c r="BN455" s="65">
        <f t="shared" si="395"/>
        <v>1099378.32735426</v>
      </c>
      <c r="BO455" s="66"/>
      <c r="BP455" s="66">
        <f t="shared" si="396"/>
        <v>32854722</v>
      </c>
      <c r="BQ455" s="66"/>
      <c r="BR455" s="435">
        <f t="shared" si="397"/>
        <v>6.7006319963944405E-2</v>
      </c>
      <c r="BS455" s="66"/>
      <c r="BT455" s="75"/>
      <c r="BU455" s="170"/>
      <c r="BV455" s="1"/>
      <c r="BW455" s="61">
        <f t="shared" si="186"/>
        <v>446</v>
      </c>
    </row>
    <row r="456" spans="2:75" x14ac:dyDescent="0.3">
      <c r="B456" s="158">
        <f t="shared" si="398"/>
        <v>44356</v>
      </c>
      <c r="C456" s="61"/>
      <c r="D456" s="17">
        <v>14201</v>
      </c>
      <c r="E456" s="16"/>
      <c r="F456" s="16"/>
      <c r="G456" s="16"/>
      <c r="H456" s="16">
        <f t="shared" si="374"/>
        <v>33775901</v>
      </c>
      <c r="I456" s="16"/>
      <c r="J456" s="436">
        <f t="shared" si="375"/>
        <v>4.2062455385836616E-4</v>
      </c>
      <c r="K456" s="16"/>
      <c r="L456" s="16"/>
      <c r="M456" s="16"/>
      <c r="N456" s="16">
        <f t="shared" si="376"/>
        <v>92783</v>
      </c>
      <c r="O456" s="16">
        <f t="shared" si="377"/>
        <v>75561.299776286352</v>
      </c>
      <c r="P456" s="41"/>
      <c r="Q456" s="17">
        <f t="shared" si="378"/>
        <v>92783</v>
      </c>
      <c r="R456" s="16"/>
      <c r="S456" s="60">
        <f t="shared" si="379"/>
        <v>-9.7459193400906599E-2</v>
      </c>
      <c r="T456" s="16"/>
      <c r="U456" s="41"/>
      <c r="V456" s="10">
        <f t="shared" si="349"/>
        <v>348</v>
      </c>
      <c r="W456" s="34">
        <v>452</v>
      </c>
      <c r="X456" s="33">
        <v>4256</v>
      </c>
      <c r="Y456" s="33"/>
      <c r="Z456" s="33">
        <f t="shared" si="380"/>
        <v>2237</v>
      </c>
      <c r="AA456" s="33">
        <f t="shared" si="381"/>
        <v>599296</v>
      </c>
      <c r="AB456" s="33"/>
      <c r="AC456" s="46">
        <f t="shared" si="382"/>
        <v>1.7743301651671706E-2</v>
      </c>
      <c r="AD456" s="33"/>
      <c r="AE456" s="33">
        <f t="shared" si="383"/>
        <v>1340.7069351230425</v>
      </c>
      <c r="AF456" s="50"/>
      <c r="AG456" s="33">
        <f t="shared" si="384"/>
        <v>2811</v>
      </c>
      <c r="AH456" s="33">
        <f>SUM(D427:D1108)</f>
        <v>1194926755.060914</v>
      </c>
      <c r="AI456" s="213">
        <f t="shared" si="385"/>
        <v>6.1956932376275031E-2</v>
      </c>
      <c r="AJ456" s="50"/>
      <c r="AK456" s="111"/>
      <c r="AL456" s="23">
        <f t="shared" si="386"/>
        <v>33228</v>
      </c>
      <c r="AM456" s="24"/>
      <c r="AN456" s="24"/>
      <c r="AO456" s="24">
        <v>178263</v>
      </c>
      <c r="AP456" s="24">
        <v>28254091</v>
      </c>
      <c r="AQ456" s="24">
        <v>20336656</v>
      </c>
      <c r="AR456" s="461">
        <f t="shared" si="387"/>
        <v>1.1774267852829306E-3</v>
      </c>
      <c r="AS456" s="25"/>
      <c r="AT456" s="25"/>
      <c r="AU456" s="24"/>
      <c r="AV456" s="298">
        <f t="shared" si="388"/>
        <v>0.83651627827781705</v>
      </c>
      <c r="AW456" s="298"/>
      <c r="AX456" s="24">
        <f t="shared" si="389"/>
        <v>63208.25727069351</v>
      </c>
      <c r="AY456" s="308"/>
      <c r="AZ456" s="111"/>
      <c r="BA456" s="65">
        <f t="shared" si="390"/>
        <v>758547</v>
      </c>
      <c r="BB456" s="66"/>
      <c r="BC456" s="66">
        <v>491081281</v>
      </c>
      <c r="BD456" s="66"/>
      <c r="BE456" s="66">
        <f t="shared" si="391"/>
        <v>14201</v>
      </c>
      <c r="BF456" s="66"/>
      <c r="BG456" s="144">
        <f t="shared" si="392"/>
        <v>1.8721318520803588E-2</v>
      </c>
      <c r="BH456" s="66"/>
      <c r="BI456" s="170"/>
      <c r="BJ456" s="66"/>
      <c r="BK456" s="66">
        <f t="shared" si="393"/>
        <v>9473288</v>
      </c>
      <c r="BL456" s="66"/>
      <c r="BM456" s="144">
        <f t="shared" si="394"/>
        <v>9.7941707250956585E-3</v>
      </c>
      <c r="BN456" s="65">
        <f t="shared" si="395"/>
        <v>1098615.8411633109</v>
      </c>
      <c r="BO456" s="66"/>
      <c r="BP456" s="66">
        <f t="shared" si="396"/>
        <v>32868923</v>
      </c>
      <c r="BQ456" s="66"/>
      <c r="BR456" s="435">
        <f t="shared" si="397"/>
        <v>6.6931736703684297E-2</v>
      </c>
      <c r="BS456" s="66"/>
      <c r="BT456" s="75"/>
      <c r="BU456" s="170"/>
      <c r="BV456" s="1"/>
      <c r="BW456" s="61">
        <f t="shared" si="186"/>
        <v>447</v>
      </c>
    </row>
    <row r="457" spans="2:75" x14ac:dyDescent="0.3">
      <c r="B457" s="158">
        <f t="shared" si="398"/>
        <v>44357</v>
      </c>
      <c r="C457" s="61"/>
      <c r="D457" s="17">
        <v>16764</v>
      </c>
      <c r="E457" s="16"/>
      <c r="F457" s="16"/>
      <c r="G457" s="16"/>
      <c r="H457" s="16">
        <f t="shared" si="374"/>
        <v>33792665</v>
      </c>
      <c r="I457" s="16"/>
      <c r="J457" s="436">
        <f t="shared" si="375"/>
        <v>4.9633020892618084E-4</v>
      </c>
      <c r="K457" s="16"/>
      <c r="L457" s="16"/>
      <c r="M457" s="16"/>
      <c r="N457" s="16">
        <f t="shared" si="376"/>
        <v>91726</v>
      </c>
      <c r="O457" s="16">
        <f t="shared" si="377"/>
        <v>75430.055803571435</v>
      </c>
      <c r="P457" s="41"/>
      <c r="Q457" s="17">
        <f t="shared" si="378"/>
        <v>91726</v>
      </c>
      <c r="R457" s="16"/>
      <c r="S457" s="60">
        <f t="shared" si="379"/>
        <v>-4.6804530811597217E-2</v>
      </c>
      <c r="T457" s="16"/>
      <c r="U457" s="41"/>
      <c r="V457" s="10">
        <f t="shared" si="349"/>
        <v>349</v>
      </c>
      <c r="W457" s="34">
        <v>481</v>
      </c>
      <c r="X457" s="33">
        <v>4256</v>
      </c>
      <c r="Y457" s="33"/>
      <c r="Z457" s="33">
        <f t="shared" si="380"/>
        <v>2198</v>
      </c>
      <c r="AA457" s="33">
        <f t="shared" si="381"/>
        <v>599777</v>
      </c>
      <c r="AB457" s="33"/>
      <c r="AC457" s="46">
        <f t="shared" si="382"/>
        <v>1.7748733341984124E-2</v>
      </c>
      <c r="AD457" s="33"/>
      <c r="AE457" s="33">
        <f t="shared" si="383"/>
        <v>1338.7879464285713</v>
      </c>
      <c r="AF457" s="50"/>
      <c r="AG457" s="33">
        <f t="shared" si="384"/>
        <v>2718</v>
      </c>
      <c r="AH457" s="33">
        <f>SUM(D428:D1109)</f>
        <v>1194891851.060914</v>
      </c>
      <c r="AI457" s="213">
        <f t="shared" si="385"/>
        <v>4.901582400617522E-2</v>
      </c>
      <c r="AJ457" s="50"/>
      <c r="AK457" s="111"/>
      <c r="AL457" s="23">
        <f t="shared" si="386"/>
        <v>45909</v>
      </c>
      <c r="AM457" s="24"/>
      <c r="AN457" s="24"/>
      <c r="AO457" s="24">
        <v>178263</v>
      </c>
      <c r="AP457" s="24">
        <v>28300000</v>
      </c>
      <c r="AQ457" s="24">
        <v>20336656</v>
      </c>
      <c r="AR457" s="461">
        <f t="shared" si="387"/>
        <v>1.6248620421021509E-3</v>
      </c>
      <c r="AS457" s="25"/>
      <c r="AT457" s="25"/>
      <c r="AU457" s="24"/>
      <c r="AV457" s="298">
        <f t="shared" si="388"/>
        <v>0.83745984520605288</v>
      </c>
      <c r="AW457" s="298"/>
      <c r="AX457" s="24">
        <f t="shared" si="389"/>
        <v>63169.642857142855</v>
      </c>
      <c r="AY457" s="308"/>
      <c r="AZ457" s="111"/>
      <c r="BA457" s="65">
        <f t="shared" si="390"/>
        <v>918719</v>
      </c>
      <c r="BB457" s="66"/>
      <c r="BC457" s="66">
        <v>492000000</v>
      </c>
      <c r="BD457" s="66"/>
      <c r="BE457" s="66">
        <f t="shared" si="391"/>
        <v>16764</v>
      </c>
      <c r="BF457" s="66"/>
      <c r="BG457" s="144">
        <f t="shared" si="392"/>
        <v>1.8247146298269654E-2</v>
      </c>
      <c r="BH457" s="66"/>
      <c r="BI457" s="170"/>
      <c r="BJ457" s="66"/>
      <c r="BK457" s="66">
        <f t="shared" si="393"/>
        <v>9609176</v>
      </c>
      <c r="BL457" s="66"/>
      <c r="BM457" s="144">
        <f t="shared" si="394"/>
        <v>9.5456675993862532E-3</v>
      </c>
      <c r="BN457" s="65">
        <f t="shared" si="395"/>
        <v>1098214.2857142857</v>
      </c>
      <c r="BO457" s="66"/>
      <c r="BP457" s="66">
        <f t="shared" si="396"/>
        <v>32885687</v>
      </c>
      <c r="BQ457" s="66"/>
      <c r="BR457" s="435">
        <f t="shared" si="397"/>
        <v>6.6840827235772352E-2</v>
      </c>
      <c r="BS457" s="66"/>
      <c r="BT457" s="75"/>
      <c r="BU457" s="170"/>
      <c r="BV457" s="1"/>
      <c r="BW457" s="61">
        <f t="shared" si="186"/>
        <v>448</v>
      </c>
    </row>
    <row r="458" spans="2:75" x14ac:dyDescent="0.3">
      <c r="B458" s="158">
        <f t="shared" si="398"/>
        <v>44358</v>
      </c>
      <c r="C458" s="61"/>
      <c r="D458" s="17">
        <v>16145</v>
      </c>
      <c r="E458" s="16"/>
      <c r="F458" s="16"/>
      <c r="G458" s="16"/>
      <c r="H458" s="16">
        <f t="shared" si="374"/>
        <v>33808810</v>
      </c>
      <c r="I458" s="16"/>
      <c r="J458" s="436">
        <f t="shared" si="375"/>
        <v>4.7776640285695138E-4</v>
      </c>
      <c r="K458" s="16"/>
      <c r="L458" s="16"/>
      <c r="M458" s="16"/>
      <c r="N458" s="16">
        <f t="shared" si="376"/>
        <v>90946</v>
      </c>
      <c r="O458" s="16">
        <f t="shared" si="377"/>
        <v>75298.017817371932</v>
      </c>
      <c r="P458" s="41"/>
      <c r="Q458" s="17">
        <f t="shared" si="378"/>
        <v>90946</v>
      </c>
      <c r="R458" s="16"/>
      <c r="S458" s="60">
        <f t="shared" si="379"/>
        <v>6.6857054304753048E-3</v>
      </c>
      <c r="T458" s="16"/>
      <c r="U458" s="41"/>
      <c r="V458" s="10">
        <f t="shared" si="349"/>
        <v>350</v>
      </c>
      <c r="W458" s="34">
        <v>421</v>
      </c>
      <c r="X458" s="33">
        <v>4256</v>
      </c>
      <c r="Y458" s="33"/>
      <c r="Z458" s="33">
        <f t="shared" si="380"/>
        <v>2231</v>
      </c>
      <c r="AA458" s="33">
        <f t="shared" si="381"/>
        <v>600198</v>
      </c>
      <c r="AB458" s="33"/>
      <c r="AC458" s="46">
        <f t="shared" si="382"/>
        <v>1.7752710018483348E-2</v>
      </c>
      <c r="AD458" s="33"/>
      <c r="AE458" s="33">
        <f t="shared" si="383"/>
        <v>1336.7438752783964</v>
      </c>
      <c r="AF458" s="50"/>
      <c r="AG458" s="33">
        <f t="shared" si="384"/>
        <v>2619</v>
      </c>
      <c r="AH458" s="33">
        <f>SUM(D429:D1110)</f>
        <v>1194856035.060914</v>
      </c>
      <c r="AI458" s="213">
        <f t="shared" si="385"/>
        <v>5.434782608695652E-2</v>
      </c>
      <c r="AJ458" s="50"/>
      <c r="AK458" s="111"/>
      <c r="AL458" s="23">
        <f t="shared" si="386"/>
        <v>46324</v>
      </c>
      <c r="AM458" s="24"/>
      <c r="AN458" s="24"/>
      <c r="AO458" s="24">
        <v>178263</v>
      </c>
      <c r="AP458" s="24">
        <v>28346324</v>
      </c>
      <c r="AQ458" s="24">
        <v>20336656</v>
      </c>
      <c r="AR458" s="461">
        <f t="shared" si="387"/>
        <v>1.6368904593639577E-3</v>
      </c>
      <c r="AS458" s="25"/>
      <c r="AT458" s="25"/>
      <c r="AU458" s="24"/>
      <c r="AV458" s="298">
        <f t="shared" si="388"/>
        <v>0.83843010150312891</v>
      </c>
      <c r="AW458" s="298"/>
      <c r="AX458" s="24">
        <f t="shared" si="389"/>
        <v>63132.124721603563</v>
      </c>
      <c r="AY458" s="308"/>
      <c r="AZ458" s="111"/>
      <c r="BA458" s="65">
        <f t="shared" si="390"/>
        <v>1246114</v>
      </c>
      <c r="BB458" s="66"/>
      <c r="BC458" s="66">
        <v>493246114</v>
      </c>
      <c r="BD458" s="66"/>
      <c r="BE458" s="66">
        <f t="shared" si="391"/>
        <v>16145</v>
      </c>
      <c r="BF458" s="66"/>
      <c r="BG458" s="144">
        <f t="shared" si="392"/>
        <v>1.2956278478534066E-2</v>
      </c>
      <c r="BH458" s="66"/>
      <c r="BI458" s="170"/>
      <c r="BJ458" s="66"/>
      <c r="BK458" s="66">
        <f t="shared" si="393"/>
        <v>9881781</v>
      </c>
      <c r="BL458" s="66"/>
      <c r="BM458" s="144">
        <f t="shared" si="394"/>
        <v>9.2034016944921165E-3</v>
      </c>
      <c r="BN458" s="65">
        <f t="shared" si="395"/>
        <v>1098543.6837416482</v>
      </c>
      <c r="BO458" s="66"/>
      <c r="BP458" s="66">
        <f t="shared" si="396"/>
        <v>32901832</v>
      </c>
      <c r="BQ458" s="66"/>
      <c r="BR458" s="435">
        <f t="shared" si="397"/>
        <v>6.6704695822499674E-2</v>
      </c>
      <c r="BS458" s="66"/>
      <c r="BT458" s="75"/>
      <c r="BU458" s="170"/>
      <c r="BV458" s="1"/>
      <c r="BW458" s="61">
        <f t="shared" si="186"/>
        <v>449</v>
      </c>
    </row>
    <row r="459" spans="2:75" x14ac:dyDescent="0.3">
      <c r="B459" s="158">
        <f t="shared" si="398"/>
        <v>44359</v>
      </c>
      <c r="C459" s="61"/>
      <c r="D459" s="17">
        <v>9427</v>
      </c>
      <c r="E459" s="16"/>
      <c r="F459" s="16"/>
      <c r="G459" s="16"/>
      <c r="H459" s="16">
        <f t="shared" si="374"/>
        <v>33818237</v>
      </c>
      <c r="I459" s="16"/>
      <c r="J459" s="436">
        <f t="shared" si="375"/>
        <v>2.7883264746674018E-4</v>
      </c>
      <c r="K459" s="16"/>
      <c r="L459" s="16"/>
      <c r="M459" s="16"/>
      <c r="N459" s="16">
        <f t="shared" si="376"/>
        <v>88770</v>
      </c>
      <c r="O459" s="16">
        <f t="shared" si="377"/>
        <v>75151.637777777782</v>
      </c>
      <c r="P459" s="41"/>
      <c r="Q459" s="17">
        <f t="shared" si="378"/>
        <v>88770</v>
      </c>
      <c r="R459" s="16"/>
      <c r="S459" s="60">
        <f t="shared" si="379"/>
        <v>-5.7569105326822278E-3</v>
      </c>
      <c r="T459" s="16"/>
      <c r="U459" s="41"/>
      <c r="V459" s="10">
        <f t="shared" si="349"/>
        <v>351</v>
      </c>
      <c r="W459" s="34">
        <v>308</v>
      </c>
      <c r="X459" s="33">
        <v>4256</v>
      </c>
      <c r="Y459" s="33"/>
      <c r="Z459" s="33">
        <f t="shared" si="380"/>
        <v>2375</v>
      </c>
      <c r="AA459" s="33">
        <f t="shared" si="381"/>
        <v>600506</v>
      </c>
      <c r="AB459" s="33"/>
      <c r="AC459" s="46">
        <f t="shared" si="382"/>
        <v>1.7756868875216648E-2</v>
      </c>
      <c r="AD459" s="33"/>
      <c r="AE459" s="33">
        <f t="shared" si="383"/>
        <v>1334.4577777777777</v>
      </c>
      <c r="AF459" s="50"/>
      <c r="AG459" s="33">
        <f t="shared" si="384"/>
        <v>2539</v>
      </c>
      <c r="AH459" s="33">
        <f>SUM(D430:D1111)</f>
        <v>1194816210.060914</v>
      </c>
      <c r="AI459" s="213">
        <f t="shared" si="385"/>
        <v>6.7406819984139575E-3</v>
      </c>
      <c r="AJ459" s="50"/>
      <c r="AK459" s="111"/>
      <c r="AL459" s="23">
        <f t="shared" si="386"/>
        <v>35299</v>
      </c>
      <c r="AM459" s="24"/>
      <c r="AN459" s="24"/>
      <c r="AO459" s="24">
        <v>178263</v>
      </c>
      <c r="AP459" s="24">
        <v>28381623</v>
      </c>
      <c r="AQ459" s="24">
        <v>20336656</v>
      </c>
      <c r="AR459" s="461">
        <f t="shared" si="387"/>
        <v>1.2452761070535989E-3</v>
      </c>
      <c r="AS459" s="25"/>
      <c r="AT459" s="25"/>
      <c r="AU459" s="24"/>
      <c r="AV459" s="298">
        <f t="shared" si="388"/>
        <v>0.83924017091724801</v>
      </c>
      <c r="AW459" s="298"/>
      <c r="AX459" s="24">
        <f t="shared" si="389"/>
        <v>63070.273333333331</v>
      </c>
      <c r="AY459" s="308"/>
      <c r="AZ459" s="111"/>
      <c r="BA459" s="65">
        <f t="shared" si="390"/>
        <v>648739</v>
      </c>
      <c r="BB459" s="66"/>
      <c r="BC459" s="66">
        <v>493894853</v>
      </c>
      <c r="BD459" s="66"/>
      <c r="BE459" s="66">
        <f t="shared" si="391"/>
        <v>9427</v>
      </c>
      <c r="BF459" s="66"/>
      <c r="BG459" s="144">
        <f t="shared" si="392"/>
        <v>1.4531267582186364E-2</v>
      </c>
      <c r="BH459" s="66"/>
      <c r="BI459" s="170"/>
      <c r="BJ459" s="66"/>
      <c r="BK459" s="66">
        <f t="shared" si="393"/>
        <v>7608644</v>
      </c>
      <c r="BL459" s="66"/>
      <c r="BM459" s="144">
        <f t="shared" si="394"/>
        <v>1.1666993487932936E-2</v>
      </c>
      <c r="BN459" s="65">
        <f t="shared" si="395"/>
        <v>1097544.1177777778</v>
      </c>
      <c r="BO459" s="66"/>
      <c r="BP459" s="66">
        <f t="shared" si="396"/>
        <v>32911259</v>
      </c>
      <c r="BQ459" s="66"/>
      <c r="BR459" s="435">
        <f t="shared" si="397"/>
        <v>6.6636165167730549E-2</v>
      </c>
      <c r="BS459" s="66"/>
      <c r="BT459" s="75"/>
      <c r="BU459" s="170"/>
      <c r="BV459" s="1"/>
      <c r="BW459" s="61">
        <f t="shared" si="186"/>
        <v>450</v>
      </c>
    </row>
    <row r="460" spans="2:75" x14ac:dyDescent="0.3">
      <c r="B460" s="347">
        <f t="shared" si="398"/>
        <v>44360</v>
      </c>
      <c r="C460" s="61"/>
      <c r="D460" s="17">
        <v>5285</v>
      </c>
      <c r="E460" s="16"/>
      <c r="F460" s="16"/>
      <c r="G460" s="16"/>
      <c r="H460" s="16">
        <f t="shared" si="374"/>
        <v>33823522</v>
      </c>
      <c r="I460" s="16"/>
      <c r="J460" s="436">
        <f t="shared" si="375"/>
        <v>1.5627662672066555E-4</v>
      </c>
      <c r="K460" s="16"/>
      <c r="L460" s="16"/>
      <c r="M460" s="16"/>
      <c r="N460" s="16">
        <f t="shared" si="376"/>
        <v>87647</v>
      </c>
      <c r="O460" s="16">
        <f t="shared" si="377"/>
        <v>74996.722838137473</v>
      </c>
      <c r="P460" s="41"/>
      <c r="Q460" s="17">
        <f t="shared" si="378"/>
        <v>87647</v>
      </c>
      <c r="R460" s="16"/>
      <c r="S460" s="60">
        <f t="shared" si="379"/>
        <v>-3.3544836369425305E-3</v>
      </c>
      <c r="T460" s="16"/>
      <c r="U460" s="41"/>
      <c r="V460" s="10">
        <f t="shared" si="349"/>
        <v>352</v>
      </c>
      <c r="W460" s="34">
        <v>100</v>
      </c>
      <c r="X460" s="33">
        <v>4256</v>
      </c>
      <c r="Y460" s="33"/>
      <c r="Z460" s="33">
        <f t="shared" si="380"/>
        <v>2163</v>
      </c>
      <c r="AA460" s="33">
        <f t="shared" si="381"/>
        <v>600606</v>
      </c>
      <c r="AB460" s="33"/>
      <c r="AC460" s="46">
        <f t="shared" si="382"/>
        <v>1.7757050847632013E-2</v>
      </c>
      <c r="AD460" s="33"/>
      <c r="AE460" s="33">
        <f t="shared" si="383"/>
        <v>1331.7206208425721</v>
      </c>
      <c r="AF460" s="50"/>
      <c r="AG460" s="33">
        <f t="shared" si="384"/>
        <v>2475</v>
      </c>
      <c r="AH460" s="33">
        <f>SUM(D431:D1112)</f>
        <v>1194777115.060914</v>
      </c>
      <c r="AI460" s="213">
        <f t="shared" si="385"/>
        <v>-3.3957845433255272E-2</v>
      </c>
      <c r="AJ460" s="50"/>
      <c r="AK460" s="111"/>
      <c r="AL460" s="23">
        <f t="shared" si="386"/>
        <v>18509</v>
      </c>
      <c r="AM460" s="24"/>
      <c r="AN460" s="24"/>
      <c r="AO460" s="24">
        <v>178263</v>
      </c>
      <c r="AP460" s="24">
        <v>28400132</v>
      </c>
      <c r="AQ460" s="24">
        <v>20336656</v>
      </c>
      <c r="AR460" s="461">
        <f t="shared" si="387"/>
        <v>6.5214734196138114E-4</v>
      </c>
      <c r="AS460" s="25"/>
      <c r="AT460" s="25"/>
      <c r="AU460" s="24"/>
      <c r="AV460" s="298">
        <f t="shared" si="388"/>
        <v>0.83965626051598052</v>
      </c>
      <c r="AW460" s="298"/>
      <c r="AX460" s="24">
        <f t="shared" si="389"/>
        <v>62971.467849223947</v>
      </c>
      <c r="AY460" s="308"/>
      <c r="AZ460" s="111"/>
      <c r="BA460" s="65">
        <f t="shared" si="390"/>
        <v>454808</v>
      </c>
      <c r="BB460" s="66"/>
      <c r="BC460" s="66">
        <v>494349661</v>
      </c>
      <c r="BD460" s="66"/>
      <c r="BE460" s="66">
        <f t="shared" si="391"/>
        <v>5285</v>
      </c>
      <c r="BF460" s="66"/>
      <c r="BG460" s="144">
        <f t="shared" si="392"/>
        <v>1.1620288121580976E-2</v>
      </c>
      <c r="BH460" s="66"/>
      <c r="BI460" s="170"/>
      <c r="BJ460" s="66"/>
      <c r="BK460" s="66">
        <f t="shared" si="393"/>
        <v>7480711</v>
      </c>
      <c r="BL460" s="66"/>
      <c r="BM460" s="144">
        <f t="shared" si="394"/>
        <v>1.1716399684468495E-2</v>
      </c>
      <c r="BN460" s="65">
        <f t="shared" si="395"/>
        <v>1096118.9822616407</v>
      </c>
      <c r="BO460" s="66"/>
      <c r="BP460" s="66">
        <f t="shared" si="396"/>
        <v>32916544</v>
      </c>
      <c r="BQ460" s="66"/>
      <c r="BR460" s="435">
        <f t="shared" si="397"/>
        <v>6.6585549858402759E-2</v>
      </c>
      <c r="BS460" s="66"/>
      <c r="BT460" s="75"/>
      <c r="BU460" s="170"/>
      <c r="BV460" s="1"/>
      <c r="BW460" s="61">
        <f t="shared" si="186"/>
        <v>451</v>
      </c>
    </row>
    <row r="461" spans="2:75" x14ac:dyDescent="0.3">
      <c r="B461" s="158">
        <f t="shared" si="398"/>
        <v>44361</v>
      </c>
      <c r="C461" s="61"/>
      <c r="D461" s="17">
        <v>11521</v>
      </c>
      <c r="E461" s="16"/>
      <c r="F461" s="16"/>
      <c r="G461" s="16"/>
      <c r="H461" s="16">
        <f t="shared" si="374"/>
        <v>33835043</v>
      </c>
      <c r="I461" s="16"/>
      <c r="J461" s="436">
        <f t="shared" si="375"/>
        <v>3.4062094420563298E-4</v>
      </c>
      <c r="K461" s="16"/>
      <c r="L461" s="16"/>
      <c r="M461" s="16"/>
      <c r="N461" s="16">
        <f t="shared" si="376"/>
        <v>86885</v>
      </c>
      <c r="O461" s="16">
        <f t="shared" si="377"/>
        <v>74856.289823008847</v>
      </c>
      <c r="P461" s="41"/>
      <c r="Q461" s="17">
        <f t="shared" si="378"/>
        <v>86885</v>
      </c>
      <c r="R461" s="16"/>
      <c r="S461" s="60">
        <f t="shared" si="379"/>
        <v>-8.5324771028529325E-2</v>
      </c>
      <c r="T461" s="16"/>
      <c r="U461" s="41"/>
      <c r="V461" s="10">
        <f t="shared" si="349"/>
        <v>353</v>
      </c>
      <c r="W461" s="34">
        <v>252</v>
      </c>
      <c r="X461" s="33">
        <v>4256</v>
      </c>
      <c r="Y461" s="33"/>
      <c r="Z461" s="33">
        <f t="shared" si="380"/>
        <v>2014</v>
      </c>
      <c r="AA461" s="33">
        <f t="shared" si="381"/>
        <v>600858</v>
      </c>
      <c r="AB461" s="33"/>
      <c r="AC461" s="46">
        <f t="shared" si="382"/>
        <v>1.7758452383228832E-2</v>
      </c>
      <c r="AD461" s="33"/>
      <c r="AE461" s="33">
        <f t="shared" si="383"/>
        <v>1329.3318584070796</v>
      </c>
      <c r="AF461" s="50"/>
      <c r="AG461" s="33">
        <f t="shared" si="384"/>
        <v>2415</v>
      </c>
      <c r="AH461" s="33">
        <f>SUM(D432:D1113)</f>
        <v>1194751473.060914</v>
      </c>
      <c r="AI461" s="213">
        <f t="shared" si="385"/>
        <v>-0.12468285610728524</v>
      </c>
      <c r="AJ461" s="50"/>
      <c r="AK461" s="111"/>
      <c r="AL461" s="23">
        <f t="shared" si="386"/>
        <v>146152</v>
      </c>
      <c r="AM461" s="24"/>
      <c r="AN461" s="24"/>
      <c r="AO461" s="24">
        <v>178263</v>
      </c>
      <c r="AP461" s="24">
        <v>28546284</v>
      </c>
      <c r="AQ461" s="24">
        <v>20336656</v>
      </c>
      <c r="AR461" s="461">
        <f t="shared" si="387"/>
        <v>5.1461732642651093E-3</v>
      </c>
      <c r="AS461" s="25"/>
      <c r="AT461" s="25"/>
      <c r="AU461" s="24"/>
      <c r="AV461" s="298">
        <f t="shared" si="388"/>
        <v>0.84368989866512067</v>
      </c>
      <c r="AW461" s="298"/>
      <c r="AX461" s="24">
        <f t="shared" si="389"/>
        <v>63155.495575221241</v>
      </c>
      <c r="AY461" s="308"/>
      <c r="AZ461" s="111"/>
      <c r="BA461" s="65">
        <f t="shared" si="390"/>
        <v>1054127</v>
      </c>
      <c r="BB461" s="66"/>
      <c r="BC461" s="66">
        <v>495403788</v>
      </c>
      <c r="BD461" s="66"/>
      <c r="BE461" s="66">
        <f t="shared" si="391"/>
        <v>11521</v>
      </c>
      <c r="BF461" s="66"/>
      <c r="BG461" s="144">
        <f t="shared" si="392"/>
        <v>1.0929423115051603E-2</v>
      </c>
      <c r="BH461" s="66"/>
      <c r="BI461" s="170"/>
      <c r="BJ461" s="66"/>
      <c r="BK461" s="66">
        <f t="shared" si="393"/>
        <v>5670180</v>
      </c>
      <c r="BL461" s="66"/>
      <c r="BM461" s="144">
        <f t="shared" si="394"/>
        <v>1.5323146707864653E-2</v>
      </c>
      <c r="BN461" s="65">
        <f t="shared" si="395"/>
        <v>1096026.0796460176</v>
      </c>
      <c r="BO461" s="66"/>
      <c r="BP461" s="66">
        <f t="shared" si="396"/>
        <v>32928065</v>
      </c>
      <c r="BQ461" s="66"/>
      <c r="BR461" s="435">
        <f t="shared" si="397"/>
        <v>6.6467123985737467E-2</v>
      </c>
      <c r="BS461" s="66"/>
      <c r="BT461" s="75"/>
      <c r="BU461" s="170"/>
      <c r="BV461" s="1"/>
      <c r="BW461" s="61">
        <f t="shared" si="186"/>
        <v>452</v>
      </c>
    </row>
    <row r="462" spans="2:75" x14ac:dyDescent="0.3">
      <c r="B462" s="158">
        <f t="shared" si="398"/>
        <v>44362</v>
      </c>
      <c r="C462" s="61"/>
      <c r="D462" s="17">
        <v>12580</v>
      </c>
      <c r="E462" s="16"/>
      <c r="F462" s="16"/>
      <c r="G462" s="16"/>
      <c r="H462" s="16">
        <f t="shared" si="374"/>
        <v>33847623</v>
      </c>
      <c r="I462" s="16"/>
      <c r="J462" s="436">
        <f t="shared" si="375"/>
        <v>3.7180387209793112E-4</v>
      </c>
      <c r="K462" s="16"/>
      <c r="L462" s="16"/>
      <c r="M462" s="16"/>
      <c r="N462" s="16">
        <f t="shared" si="376"/>
        <v>85923</v>
      </c>
      <c r="O462" s="16">
        <f t="shared" si="377"/>
        <v>74718.814569536422</v>
      </c>
      <c r="P462" s="41"/>
      <c r="Q462" s="17">
        <f t="shared" si="378"/>
        <v>85923</v>
      </c>
      <c r="R462" s="16"/>
      <c r="S462" s="60">
        <f t="shared" si="379"/>
        <v>-0.10080999623257567</v>
      </c>
      <c r="T462" s="16"/>
      <c r="U462" s="41"/>
      <c r="V462" s="10">
        <f t="shared" si="349"/>
        <v>354</v>
      </c>
      <c r="W462" s="34">
        <v>353</v>
      </c>
      <c r="X462" s="33">
        <v>4256</v>
      </c>
      <c r="Y462" s="33"/>
      <c r="Z462" s="33">
        <f t="shared" si="380"/>
        <v>1915</v>
      </c>
      <c r="AA462" s="33">
        <f t="shared" si="381"/>
        <v>601211</v>
      </c>
      <c r="AB462" s="33"/>
      <c r="AC462" s="46">
        <f t="shared" si="382"/>
        <v>1.7762281268613751E-2</v>
      </c>
      <c r="AD462" s="33"/>
      <c r="AE462" s="33">
        <f t="shared" si="383"/>
        <v>1327.176600441501</v>
      </c>
      <c r="AF462" s="50"/>
      <c r="AG462" s="33">
        <f t="shared" si="384"/>
        <v>2367</v>
      </c>
      <c r="AH462" s="33">
        <f>SUM(D433:D1114)</f>
        <v>1194733639.060914</v>
      </c>
      <c r="AI462" s="213">
        <f t="shared" si="385"/>
        <v>-0.17612252001392273</v>
      </c>
      <c r="AJ462" s="50"/>
      <c r="AK462" s="111"/>
      <c r="AL462" s="23">
        <f t="shared" si="386"/>
        <v>32417</v>
      </c>
      <c r="AM462" s="24"/>
      <c r="AN462" s="24"/>
      <c r="AO462" s="24">
        <v>178263</v>
      </c>
      <c r="AP462" s="24">
        <v>28578701</v>
      </c>
      <c r="AQ462" s="24">
        <v>20336656</v>
      </c>
      <c r="AR462" s="461">
        <f t="shared" si="387"/>
        <v>1.1355943911999194E-3</v>
      </c>
      <c r="AS462" s="25"/>
      <c r="AT462" s="25"/>
      <c r="AU462" s="24"/>
      <c r="AV462" s="298">
        <f t="shared" si="388"/>
        <v>0.84433406150854373</v>
      </c>
      <c r="AW462" s="298"/>
      <c r="AX462" s="24">
        <f t="shared" si="389"/>
        <v>63087.640176600442</v>
      </c>
      <c r="AY462" s="308"/>
      <c r="AZ462" s="111"/>
      <c r="BA462" s="65">
        <f t="shared" si="390"/>
        <v>613617</v>
      </c>
      <c r="BB462" s="66"/>
      <c r="BC462" s="66">
        <v>496017405</v>
      </c>
      <c r="BD462" s="66"/>
      <c r="BE462" s="66">
        <f t="shared" si="391"/>
        <v>12580</v>
      </c>
      <c r="BF462" s="66"/>
      <c r="BG462" s="144">
        <f t="shared" si="392"/>
        <v>2.0501387673418435E-2</v>
      </c>
      <c r="BH462" s="66"/>
      <c r="BI462" s="170"/>
      <c r="BJ462" s="66"/>
      <c r="BK462" s="66">
        <f t="shared" si="393"/>
        <v>5694671</v>
      </c>
      <c r="BL462" s="66"/>
      <c r="BM462" s="144">
        <f t="shared" si="394"/>
        <v>1.5088316778967565E-2</v>
      </c>
      <c r="BN462" s="65">
        <f t="shared" si="395"/>
        <v>1094961.1589403974</v>
      </c>
      <c r="BO462" s="66"/>
      <c r="BP462" s="66">
        <f t="shared" si="396"/>
        <v>32940645</v>
      </c>
      <c r="BQ462" s="66"/>
      <c r="BR462" s="435">
        <f t="shared" si="397"/>
        <v>6.6410260341570077E-2</v>
      </c>
      <c r="BS462" s="66"/>
      <c r="BT462" s="75"/>
      <c r="BU462" s="170"/>
      <c r="BV462" s="1"/>
      <c r="BW462" s="61">
        <f t="shared" si="186"/>
        <v>453</v>
      </c>
    </row>
    <row r="463" spans="2:75" x14ac:dyDescent="0.3">
      <c r="B463" s="158">
        <f t="shared" si="398"/>
        <v>44363</v>
      </c>
      <c r="C463" s="61"/>
      <c r="D463" s="17">
        <v>14063</v>
      </c>
      <c r="E463" s="16"/>
      <c r="F463" s="16"/>
      <c r="G463" s="16"/>
      <c r="H463" s="16">
        <f t="shared" si="374"/>
        <v>33861686</v>
      </c>
      <c r="I463" s="16"/>
      <c r="J463" s="436">
        <f t="shared" si="375"/>
        <v>4.1547969262125143E-4</v>
      </c>
      <c r="K463" s="16"/>
      <c r="L463" s="16"/>
      <c r="M463" s="16"/>
      <c r="N463" s="16">
        <f t="shared" si="376"/>
        <v>85785</v>
      </c>
      <c r="O463" s="16">
        <f t="shared" si="377"/>
        <v>74585.211453744487</v>
      </c>
      <c r="P463" s="41"/>
      <c r="Q463" s="17">
        <f t="shared" si="378"/>
        <v>85785</v>
      </c>
      <c r="R463" s="16"/>
      <c r="S463" s="60">
        <f t="shared" si="379"/>
        <v>-7.5423299526852977E-2</v>
      </c>
      <c r="T463" s="16"/>
      <c r="U463" s="41"/>
      <c r="V463" s="10">
        <f t="shared" si="349"/>
        <v>355</v>
      </c>
      <c r="W463" s="34">
        <v>434</v>
      </c>
      <c r="X463" s="33">
        <v>4256</v>
      </c>
      <c r="Y463" s="33"/>
      <c r="Z463" s="33">
        <f t="shared" si="380"/>
        <v>1868</v>
      </c>
      <c r="AA463" s="33">
        <f t="shared" si="381"/>
        <v>601645</v>
      </c>
      <c r="AB463" s="33"/>
      <c r="AC463" s="46">
        <f t="shared" si="382"/>
        <v>1.7767721311927588E-2</v>
      </c>
      <c r="AD463" s="33"/>
      <c r="AE463" s="33">
        <f t="shared" si="383"/>
        <v>1325.2092511013216</v>
      </c>
      <c r="AF463" s="50"/>
      <c r="AG463" s="33">
        <f t="shared" si="384"/>
        <v>2349</v>
      </c>
      <c r="AH463" s="33">
        <f>SUM(D434:D1115)</f>
        <v>1194708609.060914</v>
      </c>
      <c r="AI463" s="213">
        <f t="shared" si="385"/>
        <v>-0.16435432230522945</v>
      </c>
      <c r="AJ463" s="50"/>
      <c r="AK463" s="111"/>
      <c r="AL463" s="23">
        <f t="shared" si="386"/>
        <v>37794</v>
      </c>
      <c r="AM463" s="24"/>
      <c r="AN463" s="24"/>
      <c r="AO463" s="24">
        <v>178263</v>
      </c>
      <c r="AP463" s="24">
        <v>28616495</v>
      </c>
      <c r="AQ463" s="24">
        <v>20336656</v>
      </c>
      <c r="AR463" s="461">
        <f t="shared" si="387"/>
        <v>1.3224533893265477E-3</v>
      </c>
      <c r="AS463" s="25"/>
      <c r="AT463" s="25"/>
      <c r="AU463" s="24"/>
      <c r="AV463" s="298">
        <f t="shared" si="388"/>
        <v>0.84509953225601353</v>
      </c>
      <c r="AW463" s="298"/>
      <c r="AX463" s="24">
        <f t="shared" si="389"/>
        <v>63031.927312775333</v>
      </c>
      <c r="AY463" s="308"/>
      <c r="AZ463" s="111"/>
      <c r="BA463" s="65">
        <f t="shared" si="390"/>
        <v>607828</v>
      </c>
      <c r="BB463" s="66"/>
      <c r="BC463" s="66">
        <v>496625233</v>
      </c>
      <c r="BD463" s="66"/>
      <c r="BE463" s="66">
        <f t="shared" si="391"/>
        <v>14063</v>
      </c>
      <c r="BF463" s="66"/>
      <c r="BG463" s="144">
        <f t="shared" si="392"/>
        <v>2.3136479398777287E-2</v>
      </c>
      <c r="BH463" s="66"/>
      <c r="BI463" s="170"/>
      <c r="BJ463" s="66"/>
      <c r="BK463" s="66">
        <f t="shared" si="393"/>
        <v>5543952</v>
      </c>
      <c r="BL463" s="66"/>
      <c r="BM463" s="144">
        <f t="shared" si="394"/>
        <v>1.5473618819210557E-2</v>
      </c>
      <c r="BN463" s="65">
        <f t="shared" si="395"/>
        <v>1093888.1784140968</v>
      </c>
      <c r="BO463" s="66"/>
      <c r="BP463" s="66">
        <f t="shared" si="396"/>
        <v>32954708</v>
      </c>
      <c r="BQ463" s="66"/>
      <c r="BR463" s="435">
        <f t="shared" si="397"/>
        <v>6.6357296831109663E-2</v>
      </c>
      <c r="BS463" s="66"/>
      <c r="BT463" s="75"/>
      <c r="BU463" s="170"/>
      <c r="BV463" s="1"/>
      <c r="BW463" s="61">
        <f t="shared" si="186"/>
        <v>454</v>
      </c>
    </row>
    <row r="464" spans="2:75" x14ac:dyDescent="0.3">
      <c r="B464" s="158">
        <f t="shared" si="398"/>
        <v>44364</v>
      </c>
      <c r="C464" s="61"/>
      <c r="D464" s="17">
        <v>13733</v>
      </c>
      <c r="E464" s="16"/>
      <c r="F464" s="16"/>
      <c r="G464" s="16"/>
      <c r="H464" s="16">
        <f t="shared" si="374"/>
        <v>33875419</v>
      </c>
      <c r="I464" s="16"/>
      <c r="J464" s="436">
        <f t="shared" si="375"/>
        <v>4.0556161320496562E-4</v>
      </c>
      <c r="K464" s="16"/>
      <c r="L464" s="16"/>
      <c r="M464" s="16"/>
      <c r="N464" s="16">
        <f t="shared" si="376"/>
        <v>82754</v>
      </c>
      <c r="O464" s="16">
        <f t="shared" si="377"/>
        <v>74451.470329670323</v>
      </c>
      <c r="P464" s="41"/>
      <c r="Q464" s="17">
        <f t="shared" si="378"/>
        <v>82754</v>
      </c>
      <c r="R464" s="16"/>
      <c r="S464" s="60">
        <f t="shared" si="379"/>
        <v>-9.7813051915487434E-2</v>
      </c>
      <c r="T464" s="16"/>
      <c r="U464" s="41"/>
      <c r="V464" s="10">
        <f t="shared" si="349"/>
        <v>356</v>
      </c>
      <c r="W464" s="34">
        <v>375</v>
      </c>
      <c r="X464" s="33">
        <v>4256</v>
      </c>
      <c r="Y464" s="33"/>
      <c r="Z464" s="33">
        <f t="shared" si="380"/>
        <v>1822</v>
      </c>
      <c r="AA464" s="33">
        <f t="shared" si="381"/>
        <v>602020</v>
      </c>
      <c r="AB464" s="33"/>
      <c r="AC464" s="46">
        <f t="shared" si="382"/>
        <v>1.7771588301239906E-2</v>
      </c>
      <c r="AD464" s="33"/>
      <c r="AE464" s="33">
        <f t="shared" si="383"/>
        <v>1323.1208791208792</v>
      </c>
      <c r="AF464" s="50"/>
      <c r="AG464" s="33">
        <f t="shared" si="384"/>
        <v>2243</v>
      </c>
      <c r="AH464" s="33">
        <f>SUM(D435:D1116)</f>
        <v>1194681103.060914</v>
      </c>
      <c r="AI464" s="213">
        <f t="shared" si="385"/>
        <v>-0.17476085356880058</v>
      </c>
      <c r="AJ464" s="50"/>
      <c r="AK464" s="111"/>
      <c r="AL464" s="23">
        <f t="shared" si="386"/>
        <v>29308</v>
      </c>
      <c r="AM464" s="24"/>
      <c r="AN464" s="24"/>
      <c r="AO464" s="24">
        <v>178263</v>
      </c>
      <c r="AP464" s="24">
        <v>28645803</v>
      </c>
      <c r="AQ464" s="24">
        <v>20336656</v>
      </c>
      <c r="AR464" s="461">
        <f t="shared" si="387"/>
        <v>1.0241645596359723E-3</v>
      </c>
      <c r="AS464" s="25"/>
      <c r="AT464" s="25"/>
      <c r="AU464" s="24"/>
      <c r="AV464" s="298">
        <f t="shared" si="388"/>
        <v>0.84562210138271643</v>
      </c>
      <c r="AW464" s="298"/>
      <c r="AX464" s="24">
        <f t="shared" si="389"/>
        <v>62957.808791208794</v>
      </c>
      <c r="AY464" s="308"/>
      <c r="AZ464" s="111"/>
      <c r="BA464" s="65">
        <f t="shared" si="390"/>
        <v>784478</v>
      </c>
      <c r="BB464" s="66"/>
      <c r="BC464" s="66">
        <v>497409711</v>
      </c>
      <c r="BD464" s="66"/>
      <c r="BE464" s="66">
        <f t="shared" si="391"/>
        <v>13733</v>
      </c>
      <c r="BF464" s="66"/>
      <c r="BG464" s="144">
        <f t="shared" si="392"/>
        <v>1.750590838748824E-2</v>
      </c>
      <c r="BH464" s="66"/>
      <c r="BI464" s="170"/>
      <c r="BJ464" s="66"/>
      <c r="BK464" s="66">
        <f t="shared" si="393"/>
        <v>5409711</v>
      </c>
      <c r="BL464" s="66"/>
      <c r="BM464" s="144">
        <f t="shared" si="394"/>
        <v>1.5297305161033557E-2</v>
      </c>
      <c r="BN464" s="65">
        <f t="shared" si="395"/>
        <v>1093208.1560439561</v>
      </c>
      <c r="BO464" s="66"/>
      <c r="BP464" s="66">
        <f t="shared" si="396"/>
        <v>32968441</v>
      </c>
      <c r="BQ464" s="66"/>
      <c r="BR464" s="435">
        <f t="shared" si="397"/>
        <v>6.6280252015425575E-2</v>
      </c>
      <c r="BS464" s="66"/>
      <c r="BT464" s="75"/>
      <c r="BU464" s="170"/>
      <c r="BV464" s="1"/>
      <c r="BW464" s="61">
        <f t="shared" si="186"/>
        <v>455</v>
      </c>
    </row>
    <row r="465" spans="2:75" x14ac:dyDescent="0.3">
      <c r="B465" s="158">
        <f t="shared" si="398"/>
        <v>44365</v>
      </c>
      <c r="C465" s="61"/>
      <c r="D465" s="17">
        <v>13389</v>
      </c>
      <c r="E465" s="16"/>
      <c r="F465" s="16"/>
      <c r="G465" s="16"/>
      <c r="H465" s="16">
        <f t="shared" si="374"/>
        <v>33888808</v>
      </c>
      <c r="I465" s="16"/>
      <c r="J465" s="436">
        <f t="shared" si="375"/>
        <v>3.952423437183168E-4</v>
      </c>
      <c r="K465" s="16"/>
      <c r="L465" s="16"/>
      <c r="M465" s="16"/>
      <c r="N465" s="16">
        <f t="shared" si="376"/>
        <v>79998</v>
      </c>
      <c r="O465" s="16">
        <f t="shared" si="377"/>
        <v>74317.561403508778</v>
      </c>
      <c r="P465" s="41"/>
      <c r="Q465" s="17">
        <f t="shared" si="378"/>
        <v>79998</v>
      </c>
      <c r="R465" s="16"/>
      <c r="S465" s="60">
        <f t="shared" si="379"/>
        <v>-0.12037912607481363</v>
      </c>
      <c r="T465" s="16"/>
      <c r="U465" s="41"/>
      <c r="V465" s="10">
        <f t="shared" si="349"/>
        <v>357</v>
      </c>
      <c r="W465" s="34">
        <v>393</v>
      </c>
      <c r="X465" s="33">
        <v>4256</v>
      </c>
      <c r="Y465" s="33"/>
      <c r="Z465" s="33">
        <f t="shared" si="380"/>
        <v>1907</v>
      </c>
      <c r="AA465" s="33">
        <f t="shared" si="381"/>
        <v>602413</v>
      </c>
      <c r="AB465" s="33"/>
      <c r="AC465" s="46">
        <f t="shared" si="382"/>
        <v>1.7776163741138374E-2</v>
      </c>
      <c r="AD465" s="33"/>
      <c r="AE465" s="33">
        <f t="shared" si="383"/>
        <v>1321.0811403508771</v>
      </c>
      <c r="AF465" s="50"/>
      <c r="AG465" s="33">
        <f t="shared" si="384"/>
        <v>2215</v>
      </c>
      <c r="AH465" s="33">
        <f>SUM(D436:D1117)</f>
        <v>1194652562.060914</v>
      </c>
      <c r="AI465" s="213">
        <f t="shared" si="385"/>
        <v>-0.15425735013363878</v>
      </c>
      <c r="AJ465" s="50"/>
      <c r="AK465" s="111"/>
      <c r="AL465" s="23">
        <f t="shared" si="386"/>
        <v>30126</v>
      </c>
      <c r="AM465" s="24"/>
      <c r="AN465" s="24"/>
      <c r="AO465" s="24">
        <v>178263</v>
      </c>
      <c r="AP465" s="24">
        <v>28675929</v>
      </c>
      <c r="AQ465" s="24">
        <v>20336656</v>
      </c>
      <c r="AR465" s="461">
        <f t="shared" si="387"/>
        <v>1.0516723863527233E-3</v>
      </c>
      <c r="AS465" s="25"/>
      <c r="AT465" s="25"/>
      <c r="AU465" s="24"/>
      <c r="AV465" s="298">
        <f t="shared" si="388"/>
        <v>0.8461769738256949</v>
      </c>
      <c r="AW465" s="298"/>
      <c r="AX465" s="24">
        <f t="shared" si="389"/>
        <v>62885.809210526313</v>
      </c>
      <c r="AY465" s="308"/>
      <c r="AZ465" s="111"/>
      <c r="BA465" s="65">
        <f t="shared" si="390"/>
        <v>820364</v>
      </c>
      <c r="BB465" s="66"/>
      <c r="BC465" s="66">
        <v>498230075</v>
      </c>
      <c r="BD465" s="66"/>
      <c r="BE465" s="66">
        <f t="shared" si="391"/>
        <v>13389</v>
      </c>
      <c r="BF465" s="66"/>
      <c r="BG465" s="144">
        <f t="shared" si="392"/>
        <v>1.6320803935813859E-2</v>
      </c>
      <c r="BH465" s="66"/>
      <c r="BI465" s="170"/>
      <c r="BJ465" s="66"/>
      <c r="BK465" s="66">
        <f t="shared" si="393"/>
        <v>4983961</v>
      </c>
      <c r="BL465" s="66"/>
      <c r="BM465" s="144">
        <f t="shared" si="394"/>
        <v>1.6051088682275002E-2</v>
      </c>
      <c r="BN465" s="65">
        <f t="shared" si="395"/>
        <v>1092609.8135964912</v>
      </c>
      <c r="BO465" s="66"/>
      <c r="BP465" s="66">
        <f t="shared" si="396"/>
        <v>32981830</v>
      </c>
      <c r="BQ465" s="66"/>
      <c r="BR465" s="435">
        <f t="shared" si="397"/>
        <v>6.619799095829372E-2</v>
      </c>
      <c r="BS465" s="66"/>
      <c r="BT465" s="75"/>
      <c r="BU465" s="170"/>
      <c r="BV465" s="1"/>
      <c r="BW465" s="61">
        <f t="shared" si="186"/>
        <v>456</v>
      </c>
    </row>
    <row r="466" spans="2:75" x14ac:dyDescent="0.3">
      <c r="B466" s="158">
        <f t="shared" si="398"/>
        <v>44366</v>
      </c>
      <c r="C466" s="61"/>
      <c r="D466" s="17">
        <v>7782</v>
      </c>
      <c r="E466" s="16"/>
      <c r="F466" s="16"/>
      <c r="G466" s="16"/>
      <c r="H466" s="16">
        <f t="shared" si="374"/>
        <v>33896590</v>
      </c>
      <c r="I466" s="16"/>
      <c r="J466" s="436">
        <f t="shared" si="375"/>
        <v>2.2963333499366516E-4</v>
      </c>
      <c r="K466" s="16"/>
      <c r="L466" s="16"/>
      <c r="M466" s="16"/>
      <c r="N466" s="16">
        <f t="shared" si="376"/>
        <v>78353</v>
      </c>
      <c r="O466" s="16">
        <f t="shared" si="377"/>
        <v>74171.969365426703</v>
      </c>
      <c r="P466" s="41"/>
      <c r="Q466" s="17">
        <f t="shared" si="378"/>
        <v>78353</v>
      </c>
      <c r="R466" s="16"/>
      <c r="S466" s="60">
        <f t="shared" si="379"/>
        <v>-0.11734820322180917</v>
      </c>
      <c r="T466" s="16"/>
      <c r="U466" s="41"/>
      <c r="V466" s="10">
        <f t="shared" si="349"/>
        <v>358</v>
      </c>
      <c r="W466" s="34">
        <v>170</v>
      </c>
      <c r="X466" s="33">
        <v>4256</v>
      </c>
      <c r="Y466" s="33"/>
      <c r="Z466" s="33">
        <f t="shared" si="380"/>
        <v>1977</v>
      </c>
      <c r="AA466" s="33">
        <f t="shared" si="381"/>
        <v>602583</v>
      </c>
      <c r="AB466" s="33"/>
      <c r="AC466" s="46">
        <f t="shared" si="382"/>
        <v>1.7777097932269881E-2</v>
      </c>
      <c r="AD466" s="33"/>
      <c r="AE466" s="33">
        <f t="shared" si="383"/>
        <v>1318.562363238512</v>
      </c>
      <c r="AF466" s="50"/>
      <c r="AG466" s="33">
        <f t="shared" si="384"/>
        <v>2077</v>
      </c>
      <c r="AH466" s="33">
        <f>SUM(D437:D1118)</f>
        <v>1194622348.060914</v>
      </c>
      <c r="AI466" s="213">
        <f t="shared" si="385"/>
        <v>-0.18196140212682158</v>
      </c>
      <c r="AJ466" s="50"/>
      <c r="AK466" s="111"/>
      <c r="AL466" s="23">
        <f t="shared" si="386"/>
        <v>18914</v>
      </c>
      <c r="AM466" s="24"/>
      <c r="AN466" s="24"/>
      <c r="AO466" s="24">
        <v>178263</v>
      </c>
      <c r="AP466" s="24">
        <v>28694843</v>
      </c>
      <c r="AQ466" s="24">
        <v>20336656</v>
      </c>
      <c r="AR466" s="461">
        <f t="shared" si="387"/>
        <v>6.5957758508887368E-4</v>
      </c>
      <c r="AS466" s="25"/>
      <c r="AT466" s="25"/>
      <c r="AU466" s="24"/>
      <c r="AV466" s="298">
        <f t="shared" si="388"/>
        <v>0.84654069922667741</v>
      </c>
      <c r="AW466" s="298"/>
      <c r="AX466" s="24">
        <f t="shared" si="389"/>
        <v>62789.590809628011</v>
      </c>
      <c r="AY466" s="308"/>
      <c r="AZ466" s="111"/>
      <c r="BA466" s="65">
        <f t="shared" si="390"/>
        <v>459136</v>
      </c>
      <c r="BB466" s="66"/>
      <c r="BC466" s="66">
        <v>498689211</v>
      </c>
      <c r="BD466" s="66"/>
      <c r="BE466" s="66">
        <f t="shared" si="391"/>
        <v>7782</v>
      </c>
      <c r="BF466" s="66"/>
      <c r="BG466" s="144">
        <f t="shared" si="392"/>
        <v>1.6949226373013659E-2</v>
      </c>
      <c r="BH466" s="66"/>
      <c r="BI466" s="170"/>
      <c r="BJ466" s="66"/>
      <c r="BK466" s="66">
        <f t="shared" si="393"/>
        <v>4794358</v>
      </c>
      <c r="BL466" s="66"/>
      <c r="BM466" s="144">
        <f t="shared" si="394"/>
        <v>1.6342751208816696E-2</v>
      </c>
      <c r="BN466" s="65">
        <f t="shared" si="395"/>
        <v>1091223.6564551422</v>
      </c>
      <c r="BO466" s="66"/>
      <c r="BP466" s="66">
        <f t="shared" si="396"/>
        <v>32989612</v>
      </c>
      <c r="BQ466" s="66"/>
      <c r="BR466" s="435">
        <f t="shared" si="397"/>
        <v>6.6152648327497107E-2</v>
      </c>
      <c r="BS466" s="66"/>
      <c r="BT466" s="75"/>
      <c r="BU466" s="170"/>
      <c r="BV466" s="1"/>
      <c r="BW466" s="61">
        <f t="shared" si="186"/>
        <v>457</v>
      </c>
    </row>
    <row r="467" spans="2:75" x14ac:dyDescent="0.3">
      <c r="B467" s="347">
        <f t="shared" si="398"/>
        <v>44367</v>
      </c>
      <c r="C467" s="61"/>
      <c r="D467" s="17">
        <v>4422</v>
      </c>
      <c r="E467" s="16"/>
      <c r="F467" s="16"/>
      <c r="G467" s="16"/>
      <c r="H467" s="16">
        <f t="shared" si="374"/>
        <v>33901012</v>
      </c>
      <c r="I467" s="16"/>
      <c r="J467" s="436">
        <f t="shared" si="375"/>
        <v>1.3045560040110229E-4</v>
      </c>
      <c r="K467" s="16"/>
      <c r="L467" s="16"/>
      <c r="M467" s="16"/>
      <c r="N467" s="16">
        <f t="shared" si="376"/>
        <v>77490</v>
      </c>
      <c r="O467" s="16">
        <f t="shared" si="377"/>
        <v>74019.676855895203</v>
      </c>
      <c r="P467" s="41"/>
      <c r="Q467" s="17">
        <f t="shared" si="378"/>
        <v>77490</v>
      </c>
      <c r="R467" s="16"/>
      <c r="S467" s="60">
        <f t="shared" si="379"/>
        <v>-0.11588531267470649</v>
      </c>
      <c r="T467" s="16"/>
      <c r="U467" s="41"/>
      <c r="V467" s="10">
        <f t="shared" si="349"/>
        <v>359</v>
      </c>
      <c r="W467" s="34">
        <v>86</v>
      </c>
      <c r="X467" s="33">
        <v>4256</v>
      </c>
      <c r="Y467" s="33"/>
      <c r="Z467" s="33">
        <f t="shared" si="380"/>
        <v>1811</v>
      </c>
      <c r="AA467" s="33">
        <f t="shared" si="381"/>
        <v>602669</v>
      </c>
      <c r="AB467" s="33"/>
      <c r="AC467" s="46">
        <f t="shared" si="382"/>
        <v>1.7777315910215304E-2</v>
      </c>
      <c r="AD467" s="33"/>
      <c r="AE467" s="33">
        <f t="shared" si="383"/>
        <v>1315.8711790393013</v>
      </c>
      <c r="AF467" s="50"/>
      <c r="AG467" s="33">
        <f t="shared" si="384"/>
        <v>2063</v>
      </c>
      <c r="AH467" s="33">
        <f>SUM(D438:D1119)</f>
        <v>1194593334.060914</v>
      </c>
      <c r="AI467" s="213">
        <f t="shared" si="385"/>
        <v>-0.16646464646464645</v>
      </c>
      <c r="AJ467" s="50"/>
      <c r="AK467" s="111"/>
      <c r="AL467" s="23">
        <f t="shared" si="386"/>
        <v>16472</v>
      </c>
      <c r="AM467" s="24"/>
      <c r="AN467" s="24"/>
      <c r="AO467" s="24">
        <v>178263</v>
      </c>
      <c r="AP467" s="24">
        <v>28711315</v>
      </c>
      <c r="AQ467" s="24">
        <v>20336656</v>
      </c>
      <c r="AR467" s="461">
        <f t="shared" si="387"/>
        <v>5.7404042949459597E-4</v>
      </c>
      <c r="AS467" s="25"/>
      <c r="AT467" s="25"/>
      <c r="AU467" s="24"/>
      <c r="AV467" s="298">
        <f t="shared" si="388"/>
        <v>0.84691616285673121</v>
      </c>
      <c r="AW467" s="298"/>
      <c r="AX467" s="24">
        <f t="shared" si="389"/>
        <v>62688.46069868996</v>
      </c>
      <c r="AY467" s="308"/>
      <c r="AZ467" s="111"/>
      <c r="BA467" s="65">
        <f t="shared" si="390"/>
        <v>372514</v>
      </c>
      <c r="BB467" s="66"/>
      <c r="BC467" s="66">
        <v>499061725</v>
      </c>
      <c r="BD467" s="66"/>
      <c r="BE467" s="66">
        <f t="shared" si="391"/>
        <v>4422</v>
      </c>
      <c r="BF467" s="66"/>
      <c r="BG467" s="144">
        <f t="shared" si="392"/>
        <v>1.1870694792678932E-2</v>
      </c>
      <c r="BH467" s="66"/>
      <c r="BI467" s="170"/>
      <c r="BJ467" s="66"/>
      <c r="BK467" s="66">
        <f t="shared" si="393"/>
        <v>4712064</v>
      </c>
      <c r="BL467" s="66"/>
      <c r="BM467" s="144">
        <f t="shared" si="394"/>
        <v>1.6445022818026241E-2</v>
      </c>
      <c r="BN467" s="65">
        <f t="shared" si="395"/>
        <v>1089654.4213973798</v>
      </c>
      <c r="BO467" s="66"/>
      <c r="BP467" s="66">
        <f t="shared" si="396"/>
        <v>32994034</v>
      </c>
      <c r="BQ467" s="66"/>
      <c r="BR467" s="435">
        <f t="shared" si="397"/>
        <v>6.6112130718900555E-2</v>
      </c>
      <c r="BS467" s="66"/>
      <c r="BT467" s="75"/>
      <c r="BU467" s="170"/>
      <c r="BV467" s="1"/>
      <c r="BW467" s="61">
        <f t="shared" si="186"/>
        <v>458</v>
      </c>
    </row>
    <row r="468" spans="2:75" x14ac:dyDescent="0.3">
      <c r="B468" s="158">
        <f t="shared" si="398"/>
        <v>44368</v>
      </c>
      <c r="C468" s="61"/>
      <c r="D468" s="17">
        <v>9755</v>
      </c>
      <c r="E468" s="16"/>
      <c r="F468" s="16"/>
      <c r="G468" s="16"/>
      <c r="H468" s="16">
        <f t="shared" si="374"/>
        <v>33910767</v>
      </c>
      <c r="I468" s="16"/>
      <c r="J468" s="436">
        <f t="shared" si="375"/>
        <v>2.8774952204966626E-4</v>
      </c>
      <c r="K468" s="16"/>
      <c r="L468" s="16"/>
      <c r="M468" s="16"/>
      <c r="N468" s="16">
        <f t="shared" si="376"/>
        <v>75724</v>
      </c>
      <c r="O468" s="16">
        <f t="shared" si="377"/>
        <v>73879.666666666672</v>
      </c>
      <c r="P468" s="41"/>
      <c r="Q468" s="17">
        <f t="shared" si="378"/>
        <v>75724</v>
      </c>
      <c r="R468" s="16"/>
      <c r="S468" s="60">
        <f t="shared" si="379"/>
        <v>-0.12845715601081889</v>
      </c>
      <c r="T468" s="16"/>
      <c r="U468" s="41"/>
      <c r="V468" s="10">
        <f t="shared" si="349"/>
        <v>360</v>
      </c>
      <c r="W468" s="34">
        <v>237</v>
      </c>
      <c r="X468" s="33">
        <v>4256</v>
      </c>
      <c r="Y468" s="33"/>
      <c r="Z468" s="33">
        <f t="shared" si="380"/>
        <v>1695</v>
      </c>
      <c r="AA468" s="33">
        <f t="shared" si="381"/>
        <v>602906</v>
      </c>
      <c r="AB468" s="33"/>
      <c r="AC468" s="46">
        <f t="shared" si="382"/>
        <v>1.7779190898277234E-2</v>
      </c>
      <c r="AD468" s="33"/>
      <c r="AE468" s="33">
        <f t="shared" si="383"/>
        <v>1313.520697167756</v>
      </c>
      <c r="AF468" s="50"/>
      <c r="AG468" s="33">
        <f t="shared" si="384"/>
        <v>2048</v>
      </c>
      <c r="AH468" s="33">
        <f>SUM(D439:D1120)</f>
        <v>1194573695.060914</v>
      </c>
      <c r="AI468" s="213">
        <f t="shared" si="385"/>
        <v>-0.15196687370600415</v>
      </c>
      <c r="AJ468" s="50"/>
      <c r="AK468" s="111"/>
      <c r="AL468" s="23">
        <f t="shared" si="386"/>
        <v>80825</v>
      </c>
      <c r="AM468" s="24"/>
      <c r="AN468" s="24"/>
      <c r="AO468" s="24">
        <v>178263</v>
      </c>
      <c r="AP468" s="24">
        <v>28792140</v>
      </c>
      <c r="AQ468" s="24">
        <v>20336656</v>
      </c>
      <c r="AR468" s="461">
        <f t="shared" si="387"/>
        <v>2.8150922380253221E-3</v>
      </c>
      <c r="AS468" s="25"/>
      <c r="AT468" s="25"/>
      <c r="AU468" s="24"/>
      <c r="AV468" s="298">
        <f t="shared" si="388"/>
        <v>0.84905599451643188</v>
      </c>
      <c r="AW468" s="298"/>
      <c r="AX468" s="24">
        <f t="shared" si="389"/>
        <v>62727.973856209152</v>
      </c>
      <c r="AY468" s="308"/>
      <c r="AZ468" s="111"/>
      <c r="BA468" s="65">
        <f t="shared" si="390"/>
        <v>1247281</v>
      </c>
      <c r="BB468" s="66"/>
      <c r="BC468" s="66">
        <v>500309006</v>
      </c>
      <c r="BD468" s="66"/>
      <c r="BE468" s="66">
        <f t="shared" si="391"/>
        <v>9755</v>
      </c>
      <c r="BF468" s="66"/>
      <c r="BG468" s="144">
        <f t="shared" si="392"/>
        <v>7.8210122658807432E-3</v>
      </c>
      <c r="BH468" s="66"/>
      <c r="BI468" s="170"/>
      <c r="BJ468" s="66"/>
      <c r="BK468" s="66">
        <f t="shared" si="393"/>
        <v>4905218</v>
      </c>
      <c r="BL468" s="66"/>
      <c r="BM468" s="144">
        <f t="shared" si="394"/>
        <v>1.5437438254528138E-2</v>
      </c>
      <c r="BN468" s="65">
        <f t="shared" si="395"/>
        <v>1089997.834422658</v>
      </c>
      <c r="BO468" s="66"/>
      <c r="BP468" s="66">
        <f t="shared" si="396"/>
        <v>33003789</v>
      </c>
      <c r="BQ468" s="66"/>
      <c r="BR468" s="435">
        <f t="shared" si="397"/>
        <v>6.5966809719991332E-2</v>
      </c>
      <c r="BS468" s="66"/>
      <c r="BT468" s="75"/>
      <c r="BU468" s="170"/>
      <c r="BV468" s="1"/>
      <c r="BW468" s="61">
        <f t="shared" si="186"/>
        <v>459</v>
      </c>
    </row>
    <row r="469" spans="2:75" x14ac:dyDescent="0.3">
      <c r="B469" s="158">
        <f t="shared" si="398"/>
        <v>44369</v>
      </c>
      <c r="C469" s="61"/>
      <c r="D469" s="17">
        <v>12874</v>
      </c>
      <c r="E469" s="16"/>
      <c r="F469" s="16"/>
      <c r="G469" s="16"/>
      <c r="H469" s="16">
        <f t="shared" si="374"/>
        <v>33923641</v>
      </c>
      <c r="I469" s="16"/>
      <c r="J469" s="436">
        <f t="shared" si="375"/>
        <v>3.7964343301347326E-4</v>
      </c>
      <c r="K469" s="16"/>
      <c r="L469" s="16"/>
      <c r="M469" s="16"/>
      <c r="N469" s="16">
        <f t="shared" si="376"/>
        <v>76018</v>
      </c>
      <c r="O469" s="16">
        <f t="shared" si="377"/>
        <v>73747.045652173911</v>
      </c>
      <c r="P469" s="41"/>
      <c r="Q469" s="17">
        <f t="shared" si="378"/>
        <v>76018</v>
      </c>
      <c r="R469" s="16"/>
      <c r="S469" s="60">
        <f t="shared" si="379"/>
        <v>-0.11527763229868604</v>
      </c>
      <c r="T469" s="16"/>
      <c r="U469" s="41"/>
      <c r="V469" s="10">
        <f t="shared" si="349"/>
        <v>361</v>
      </c>
      <c r="W469" s="34">
        <v>431</v>
      </c>
      <c r="X469" s="33">
        <v>4256</v>
      </c>
      <c r="Y469" s="33"/>
      <c r="Z469" s="33">
        <f t="shared" si="380"/>
        <v>1692</v>
      </c>
      <c r="AA469" s="33">
        <f t="shared" si="381"/>
        <v>603337</v>
      </c>
      <c r="AB469" s="33"/>
      <c r="AC469" s="46">
        <f t="shared" si="382"/>
        <v>1.7785148710894566E-2</v>
      </c>
      <c r="AD469" s="33"/>
      <c r="AE469" s="33">
        <f t="shared" si="383"/>
        <v>1311.6021739130435</v>
      </c>
      <c r="AF469" s="50"/>
      <c r="AG469" s="33">
        <f t="shared" si="384"/>
        <v>2126</v>
      </c>
      <c r="AH469" s="33">
        <f>SUM(D440:D1121)</f>
        <v>1194560154.060914</v>
      </c>
      <c r="AI469" s="213">
        <f t="shared" si="385"/>
        <v>-0.10181664554288128</v>
      </c>
      <c r="AJ469" s="50"/>
      <c r="AK469" s="111"/>
      <c r="AL469" s="23">
        <f t="shared" si="386"/>
        <v>29635</v>
      </c>
      <c r="AM469" s="24"/>
      <c r="AN469" s="24"/>
      <c r="AO469" s="24">
        <v>178263</v>
      </c>
      <c r="AP469" s="24">
        <v>28821775</v>
      </c>
      <c r="AQ469" s="24">
        <v>20336656</v>
      </c>
      <c r="AR469" s="461">
        <f t="shared" si="387"/>
        <v>1.0292739615742352E-3</v>
      </c>
      <c r="AS469" s="25"/>
      <c r="AT469" s="25"/>
      <c r="AU469" s="24"/>
      <c r="AV469" s="298">
        <f t="shared" si="388"/>
        <v>0.84960735788944353</v>
      </c>
      <c r="AW469" s="298"/>
      <c r="AX469" s="24">
        <f t="shared" si="389"/>
        <v>62656.032608695656</v>
      </c>
      <c r="AY469" s="308"/>
      <c r="AZ469" s="111"/>
      <c r="BA469" s="65">
        <f t="shared" si="390"/>
        <v>481846</v>
      </c>
      <c r="BB469" s="66"/>
      <c r="BC469" s="66">
        <v>500790852</v>
      </c>
      <c r="BD469" s="66"/>
      <c r="BE469" s="66">
        <f t="shared" si="391"/>
        <v>12874</v>
      </c>
      <c r="BF469" s="66"/>
      <c r="BG469" s="144">
        <f t="shared" si="392"/>
        <v>2.6718080050472558E-2</v>
      </c>
      <c r="BH469" s="66"/>
      <c r="BI469" s="170"/>
      <c r="BJ469" s="66"/>
      <c r="BK469" s="66">
        <f t="shared" si="393"/>
        <v>4773447</v>
      </c>
      <c r="BL469" s="66"/>
      <c r="BM469" s="144">
        <f t="shared" si="394"/>
        <v>1.5925179435322106E-2</v>
      </c>
      <c r="BN469" s="65">
        <f t="shared" si="395"/>
        <v>1088675.7652173913</v>
      </c>
      <c r="BO469" s="66"/>
      <c r="BP469" s="66">
        <f t="shared" si="396"/>
        <v>33016663</v>
      </c>
      <c r="BQ469" s="66"/>
      <c r="BR469" s="435">
        <f t="shared" si="397"/>
        <v>6.5929045764597946E-2</v>
      </c>
      <c r="BS469" s="66"/>
      <c r="BT469" s="75"/>
      <c r="BU469" s="170"/>
      <c r="BV469" s="1"/>
      <c r="BW469" s="61">
        <f t="shared" si="186"/>
        <v>460</v>
      </c>
    </row>
    <row r="470" spans="2:75" x14ac:dyDescent="0.3">
      <c r="B470" s="158">
        <f t="shared" si="398"/>
        <v>44370</v>
      </c>
      <c r="C470" s="61"/>
      <c r="D470" s="17">
        <v>13365</v>
      </c>
      <c r="E470" s="16"/>
      <c r="F470" s="16"/>
      <c r="G470" s="16"/>
      <c r="H470" s="16">
        <f t="shared" si="374"/>
        <v>33937006</v>
      </c>
      <c r="I470" s="16"/>
      <c r="J470" s="436">
        <f t="shared" si="375"/>
        <v>3.9397304080655729E-4</v>
      </c>
      <c r="K470" s="16"/>
      <c r="L470" s="16"/>
      <c r="M470" s="16"/>
      <c r="N470" s="16">
        <f t="shared" si="376"/>
        <v>75320</v>
      </c>
      <c r="O470" s="16">
        <f t="shared" si="377"/>
        <v>73616.065075921913</v>
      </c>
      <c r="P470" s="41"/>
      <c r="Q470" s="17">
        <f t="shared" si="378"/>
        <v>75320</v>
      </c>
      <c r="R470" s="16"/>
      <c r="S470" s="60">
        <f t="shared" si="379"/>
        <v>-0.12199102407180742</v>
      </c>
      <c r="T470" s="16"/>
      <c r="U470" s="41"/>
      <c r="V470" s="10">
        <f t="shared" si="349"/>
        <v>362</v>
      </c>
      <c r="W470" s="34">
        <v>329</v>
      </c>
      <c r="X470" s="33">
        <v>4256</v>
      </c>
      <c r="Y470" s="33"/>
      <c r="Z470" s="33">
        <f t="shared" si="380"/>
        <v>1646</v>
      </c>
      <c r="AA470" s="33">
        <f t="shared" si="381"/>
        <v>603666</v>
      </c>
      <c r="AB470" s="33"/>
      <c r="AC470" s="46">
        <f t="shared" si="382"/>
        <v>1.7787839033295984E-2</v>
      </c>
      <c r="AD470" s="33"/>
      <c r="AE470" s="33">
        <f t="shared" si="383"/>
        <v>1309.4707158351409</v>
      </c>
      <c r="AF470" s="50"/>
      <c r="AG470" s="33">
        <f t="shared" si="384"/>
        <v>2021</v>
      </c>
      <c r="AH470" s="33">
        <f>SUM(D441:D1122)</f>
        <v>1194539788.060914</v>
      </c>
      <c r="AI470" s="213">
        <f t="shared" si="385"/>
        <v>-0.13963388676032354</v>
      </c>
      <c r="AJ470" s="50"/>
      <c r="AK470" s="111"/>
      <c r="AL470" s="23">
        <f t="shared" si="386"/>
        <v>29447</v>
      </c>
      <c r="AM470" s="24"/>
      <c r="AN470" s="24"/>
      <c r="AO470" s="24">
        <v>178263</v>
      </c>
      <c r="AP470" s="24">
        <v>28851222</v>
      </c>
      <c r="AQ470" s="24">
        <v>20336656</v>
      </c>
      <c r="AR470" s="461">
        <f t="shared" si="387"/>
        <v>1.0216927999750188E-3</v>
      </c>
      <c r="AS470" s="25"/>
      <c r="AT470" s="25"/>
      <c r="AU470" s="24"/>
      <c r="AV470" s="298">
        <f t="shared" si="388"/>
        <v>0.85014046318641068</v>
      </c>
      <c r="AW470" s="298"/>
      <c r="AX470" s="24">
        <f t="shared" si="389"/>
        <v>62583.995661605208</v>
      </c>
      <c r="AY470" s="308"/>
      <c r="AZ470" s="111"/>
      <c r="BA470" s="65">
        <f t="shared" si="390"/>
        <v>889271</v>
      </c>
      <c r="BB470" s="66"/>
      <c r="BC470" s="66">
        <f>502180123-500000</f>
        <v>501680123</v>
      </c>
      <c r="BD470" s="66"/>
      <c r="BE470" s="66">
        <f t="shared" si="391"/>
        <v>13365</v>
      </c>
      <c r="BF470" s="66"/>
      <c r="BG470" s="144">
        <f t="shared" si="392"/>
        <v>1.5029164337980211E-2</v>
      </c>
      <c r="BH470" s="66"/>
      <c r="BI470" s="170"/>
      <c r="BJ470" s="66"/>
      <c r="BK470" s="66">
        <f t="shared" si="393"/>
        <v>5054890</v>
      </c>
      <c r="BL470" s="66"/>
      <c r="BM470" s="144">
        <f t="shared" si="394"/>
        <v>1.4900423154608705E-2</v>
      </c>
      <c r="BN470" s="65">
        <f t="shared" si="395"/>
        <v>1088243.2169197397</v>
      </c>
      <c r="BO470" s="66"/>
      <c r="BP470" s="66">
        <f t="shared" si="396"/>
        <v>33030028</v>
      </c>
      <c r="BQ470" s="66"/>
      <c r="BR470" s="435">
        <f t="shared" si="397"/>
        <v>6.5838821363867345E-2</v>
      </c>
      <c r="BS470" s="66"/>
      <c r="BT470" s="75"/>
      <c r="BU470" s="170"/>
      <c r="BV470" s="1"/>
      <c r="BW470" s="61">
        <f t="shared" si="186"/>
        <v>461</v>
      </c>
    </row>
    <row r="471" spans="2:75" x14ac:dyDescent="0.3">
      <c r="B471" s="158">
        <f t="shared" si="398"/>
        <v>44371</v>
      </c>
      <c r="C471" s="61"/>
      <c r="D471" s="17">
        <v>15460</v>
      </c>
      <c r="E471" s="16"/>
      <c r="F471" s="16"/>
      <c r="G471" s="16"/>
      <c r="H471" s="16">
        <f t="shared" si="374"/>
        <v>33952466</v>
      </c>
      <c r="I471" s="16"/>
      <c r="J471" s="436">
        <f t="shared" si="375"/>
        <v>4.555499091463755E-4</v>
      </c>
      <c r="K471" s="16"/>
      <c r="L471" s="16"/>
      <c r="M471" s="16"/>
      <c r="N471" s="16">
        <f t="shared" si="376"/>
        <v>77047</v>
      </c>
      <c r="O471" s="16">
        <f t="shared" si="377"/>
        <v>73490.186147186148</v>
      </c>
      <c r="P471" s="41"/>
      <c r="Q471" s="17">
        <f t="shared" si="378"/>
        <v>77047</v>
      </c>
      <c r="R471" s="16"/>
      <c r="S471" s="60">
        <f t="shared" si="379"/>
        <v>-6.8963433791720041E-2</v>
      </c>
      <c r="T471" s="16"/>
      <c r="U471" s="41"/>
      <c r="V471" s="10">
        <f t="shared" si="349"/>
        <v>363</v>
      </c>
      <c r="W471" s="34">
        <v>380</v>
      </c>
      <c r="X471" s="33">
        <v>4256</v>
      </c>
      <c r="Y471" s="33"/>
      <c r="Z471" s="33">
        <f t="shared" si="380"/>
        <v>1633</v>
      </c>
      <c r="AA471" s="33">
        <f t="shared" si="381"/>
        <v>604046</v>
      </c>
      <c r="AB471" s="33"/>
      <c r="AC471" s="46">
        <f t="shared" si="382"/>
        <v>1.7790931592421004E-2</v>
      </c>
      <c r="AD471" s="33"/>
      <c r="AE471" s="33">
        <f t="shared" si="383"/>
        <v>1307.4588744588746</v>
      </c>
      <c r="AF471" s="50"/>
      <c r="AG471" s="33">
        <f t="shared" si="384"/>
        <v>2026</v>
      </c>
      <c r="AH471" s="33">
        <f>SUM(D442:D1123)</f>
        <v>1194517050.060914</v>
      </c>
      <c r="AI471" s="213">
        <f t="shared" si="385"/>
        <v>-9.6745430227374057E-2</v>
      </c>
      <c r="AJ471" s="50"/>
      <c r="AK471" s="111" t="s">
        <v>26</v>
      </c>
      <c r="AL471" s="23">
        <f t="shared" si="386"/>
        <v>23314</v>
      </c>
      <c r="AM471" s="24"/>
      <c r="AN471" s="24"/>
      <c r="AO471" s="24">
        <v>178263</v>
      </c>
      <c r="AP471" s="24">
        <v>28874536</v>
      </c>
      <c r="AQ471" s="24">
        <v>20336656</v>
      </c>
      <c r="AR471" s="461">
        <f t="shared" si="387"/>
        <v>8.0807669082439554E-4</v>
      </c>
      <c r="AS471" s="25"/>
      <c r="AT471" s="25"/>
      <c r="AU471" s="24"/>
      <c r="AV471" s="298">
        <f t="shared" si="388"/>
        <v>0.85044002400296936</v>
      </c>
      <c r="AW471" s="298"/>
      <c r="AX471" s="24">
        <f t="shared" si="389"/>
        <v>62498.995670995668</v>
      </c>
      <c r="AY471" s="308"/>
      <c r="AZ471" s="111" t="s">
        <v>26</v>
      </c>
      <c r="BA471" s="65">
        <f t="shared" si="390"/>
        <v>500000</v>
      </c>
      <c r="BB471" s="66"/>
      <c r="BC471" s="66">
        <v>502180123</v>
      </c>
      <c r="BD471" s="66"/>
      <c r="BE471" s="66">
        <f t="shared" si="391"/>
        <v>15460</v>
      </c>
      <c r="BF471" s="66"/>
      <c r="BG471" s="144">
        <f t="shared" si="392"/>
        <v>3.092E-2</v>
      </c>
      <c r="BH471" s="66"/>
      <c r="BI471" s="170"/>
      <c r="BJ471" s="66"/>
      <c r="BK471" s="66">
        <f t="shared" si="393"/>
        <v>4770412</v>
      </c>
      <c r="BL471" s="66"/>
      <c r="BM471" s="144">
        <f t="shared" si="394"/>
        <v>1.6151015887097383E-2</v>
      </c>
      <c r="BN471" s="65">
        <f t="shared" si="395"/>
        <v>1086969.9632034632</v>
      </c>
      <c r="BO471" s="66"/>
      <c r="BP471" s="66">
        <f t="shared" si="396"/>
        <v>33045488</v>
      </c>
      <c r="BQ471" s="66"/>
      <c r="BR471" s="435">
        <f t="shared" si="397"/>
        <v>6.580405413616898E-2</v>
      </c>
      <c r="BS471" s="66"/>
      <c r="BT471" s="75"/>
      <c r="BU471" s="170"/>
      <c r="BV471" s="1"/>
      <c r="BW471" s="61">
        <f t="shared" ref="BW471:BW725" si="399">+BW470+1</f>
        <v>462</v>
      </c>
    </row>
    <row r="472" spans="2:75" x14ac:dyDescent="0.3">
      <c r="B472" s="158">
        <f t="shared" si="398"/>
        <v>44372</v>
      </c>
      <c r="C472" s="61"/>
      <c r="D472" s="17">
        <v>15537</v>
      </c>
      <c r="E472" s="16"/>
      <c r="F472" s="16"/>
      <c r="G472" s="16"/>
      <c r="H472" s="16">
        <f t="shared" ref="H472:H503" si="400">+H471+D472</f>
        <v>33968003</v>
      </c>
      <c r="I472" s="16"/>
      <c r="J472" s="436">
        <f t="shared" ref="J472:J503" si="401">+D472/H471</f>
        <v>4.5761035442904206E-4</v>
      </c>
      <c r="K472" s="16"/>
      <c r="L472" s="16"/>
      <c r="M472" s="16"/>
      <c r="N472" s="16">
        <f t="shared" ref="N472:N503" si="402">SUM(D466:D472)</f>
        <v>79195</v>
      </c>
      <c r="O472" s="16">
        <f t="shared" ref="O472:O503" si="403">+H472/BW472</f>
        <v>73365.017278617714</v>
      </c>
      <c r="P472" s="41"/>
      <c r="Q472" s="17">
        <f t="shared" ref="Q472:Q503" si="404">SUM(D466:D472)</f>
        <v>79195</v>
      </c>
      <c r="R472" s="16"/>
      <c r="S472" s="60">
        <f t="shared" ref="S472:S503" si="405">+(Q472-Q465)/Q465</f>
        <v>-1.0037750943773594E-2</v>
      </c>
      <c r="T472" s="16"/>
      <c r="U472" s="41"/>
      <c r="V472" s="10">
        <f t="shared" si="349"/>
        <v>364</v>
      </c>
      <c r="W472" s="34">
        <v>387</v>
      </c>
      <c r="X472" s="33">
        <v>4256</v>
      </c>
      <c r="Y472" s="33"/>
      <c r="Z472" s="33">
        <f t="shared" ref="Z472:Z503" si="406">SUM(W467:W472)</f>
        <v>1850</v>
      </c>
      <c r="AA472" s="33">
        <f t="shared" ref="AA472:AA503" si="407">+AA471+W472</f>
        <v>604433</v>
      </c>
      <c r="AB472" s="33"/>
      <c r="AC472" s="46">
        <f t="shared" ref="AC472:AC503" si="408">+AA472/H472</f>
        <v>1.7794187076584984E-2</v>
      </c>
      <c r="AD472" s="33"/>
      <c r="AE472" s="33">
        <f t="shared" ref="AE472:AE503" si="409">+AA472/BW472</f>
        <v>1305.4708423326133</v>
      </c>
      <c r="AF472" s="50"/>
      <c r="AG472" s="33">
        <f t="shared" ref="AG472:AG503" si="410">SUM(W466:W472)</f>
        <v>2020</v>
      </c>
      <c r="AH472" s="33">
        <f>SUM(D443:D1124)</f>
        <v>1194493550.060914</v>
      </c>
      <c r="AI472" s="213">
        <f t="shared" ref="AI472:AI503" si="411">+(AG472-AG465)/AG465</f>
        <v>-8.8036117381489837E-2</v>
      </c>
      <c r="AJ472" s="50"/>
      <c r="AK472" s="111"/>
      <c r="AL472" s="23">
        <f t="shared" ref="AL472:AL503" si="412">+AP472-AP471</f>
        <v>22924</v>
      </c>
      <c r="AM472" s="24"/>
      <c r="AN472" s="24"/>
      <c r="AO472" s="24">
        <v>178263</v>
      </c>
      <c r="AP472" s="24">
        <v>28897460</v>
      </c>
      <c r="AQ472" s="24">
        <v>20336656</v>
      </c>
      <c r="AR472" s="461">
        <f t="shared" ref="AR472:AR503" si="413">+AL472/AP471</f>
        <v>7.9391751957503317E-4</v>
      </c>
      <c r="AS472" s="25"/>
      <c r="AT472" s="25"/>
      <c r="AU472" s="24"/>
      <c r="AV472" s="298">
        <f t="shared" ref="AV472:AV503" si="414">+AP472/H472</f>
        <v>0.85072590225571987</v>
      </c>
      <c r="AW472" s="298"/>
      <c r="AX472" s="24">
        <f t="shared" ref="AX472:AX503" si="415">+AP472/BW472</f>
        <v>62413.520518358535</v>
      </c>
      <c r="AY472" s="308"/>
      <c r="AZ472" s="111"/>
      <c r="BA472" s="65">
        <f t="shared" ref="BA472:BA503" si="416">+BC472-BC471</f>
        <v>826269</v>
      </c>
      <c r="BB472" s="66"/>
      <c r="BC472" s="66">
        <v>503006392</v>
      </c>
      <c r="BD472" s="66"/>
      <c r="BE472" s="66">
        <f t="shared" ref="BE472:BE503" si="417">+D472</f>
        <v>15537</v>
      </c>
      <c r="BF472" s="66"/>
      <c r="BG472" s="144">
        <f t="shared" ref="BG472:BG503" si="418">+BE472/BA472</f>
        <v>1.8803803603911075E-2</v>
      </c>
      <c r="BH472" s="66"/>
      <c r="BI472" s="170"/>
      <c r="BJ472" s="66"/>
      <c r="BK472" s="66">
        <f t="shared" ref="BK472:BK503" si="419">SUM(BA466:BA472)</f>
        <v>4776317</v>
      </c>
      <c r="BL472" s="66"/>
      <c r="BM472" s="144">
        <f t="shared" ref="BM472:BM503" si="420">+Q472/BK472</f>
        <v>1.6580767147574168E-2</v>
      </c>
      <c r="BN472" s="65">
        <f t="shared" ref="BN472:BN503" si="421">+BC472/BW472</f>
        <v>1086406.8941684666</v>
      </c>
      <c r="BO472" s="66"/>
      <c r="BP472" s="66">
        <f t="shared" ref="BP472:BP503" si="422">+BP471+BE472</f>
        <v>33061025</v>
      </c>
      <c r="BQ472" s="66"/>
      <c r="BR472" s="435">
        <f t="shared" ref="BR472:BR503" si="423">+BP472/BC472</f>
        <v>6.5726848656030595E-2</v>
      </c>
      <c r="BS472" s="66"/>
      <c r="BT472" s="75"/>
      <c r="BU472" s="170"/>
      <c r="BV472" s="1"/>
      <c r="BW472" s="61">
        <f t="shared" si="399"/>
        <v>463</v>
      </c>
    </row>
    <row r="473" spans="2:75" x14ac:dyDescent="0.3">
      <c r="B473" s="158">
        <f t="shared" si="398"/>
        <v>44373</v>
      </c>
      <c r="C473" s="61"/>
      <c r="D473" s="17">
        <v>6586</v>
      </c>
      <c r="E473" s="16"/>
      <c r="F473" s="16"/>
      <c r="G473" s="16"/>
      <c r="H473" s="16">
        <f t="shared" si="400"/>
        <v>33974589</v>
      </c>
      <c r="I473" s="16"/>
      <c r="J473" s="436">
        <f t="shared" si="401"/>
        <v>1.9388834839657781E-4</v>
      </c>
      <c r="K473" s="16"/>
      <c r="L473" s="16"/>
      <c r="M473" s="16"/>
      <c r="N473" s="16">
        <f t="shared" si="402"/>
        <v>77999</v>
      </c>
      <c r="O473" s="16">
        <f t="shared" si="403"/>
        <v>73221.096982758623</v>
      </c>
      <c r="P473" s="41"/>
      <c r="Q473" s="17">
        <f t="shared" si="404"/>
        <v>77999</v>
      </c>
      <c r="R473" s="16"/>
      <c r="S473" s="60">
        <f t="shared" si="405"/>
        <v>-4.5180146261151457E-3</v>
      </c>
      <c r="T473" s="16"/>
      <c r="U473" s="41"/>
      <c r="V473" s="10">
        <f t="shared" si="349"/>
        <v>365</v>
      </c>
      <c r="W473" s="34">
        <v>149</v>
      </c>
      <c r="X473" s="33">
        <v>4256</v>
      </c>
      <c r="Y473" s="33"/>
      <c r="Z473" s="33">
        <f t="shared" si="406"/>
        <v>1913</v>
      </c>
      <c r="AA473" s="33">
        <f t="shared" si="407"/>
        <v>604582</v>
      </c>
      <c r="AB473" s="33"/>
      <c r="AC473" s="46">
        <f t="shared" si="408"/>
        <v>1.7795123290527518E-2</v>
      </c>
      <c r="AD473" s="33"/>
      <c r="AE473" s="33">
        <f t="shared" si="409"/>
        <v>1302.9784482758621</v>
      </c>
      <c r="AF473" s="50"/>
      <c r="AG473" s="33">
        <f t="shared" si="410"/>
        <v>1999</v>
      </c>
      <c r="AH473" s="33">
        <f>SUM(D444:D1125)</f>
        <v>1194469157.060914</v>
      </c>
      <c r="AI473" s="213">
        <f t="shared" si="411"/>
        <v>-3.7554164660568129E-2</v>
      </c>
      <c r="AJ473" s="50"/>
      <c r="AK473" s="111"/>
      <c r="AL473" s="23">
        <f t="shared" si="412"/>
        <v>15446</v>
      </c>
      <c r="AM473" s="24"/>
      <c r="AN473" s="24"/>
      <c r="AO473" s="24">
        <v>178263</v>
      </c>
      <c r="AP473" s="24">
        <v>28912906</v>
      </c>
      <c r="AQ473" s="24">
        <v>20336656</v>
      </c>
      <c r="AR473" s="461">
        <f t="shared" si="413"/>
        <v>5.3451064557230978E-4</v>
      </c>
      <c r="AS473" s="25"/>
      <c r="AT473" s="25"/>
      <c r="AU473" s="24"/>
      <c r="AV473" s="298">
        <f t="shared" si="414"/>
        <v>0.85101562229347349</v>
      </c>
      <c r="AW473" s="298"/>
      <c r="AX473" s="24">
        <f t="shared" si="415"/>
        <v>62312.297413793101</v>
      </c>
      <c r="AY473" s="308"/>
      <c r="AZ473" s="111"/>
      <c r="BA473" s="65">
        <f t="shared" si="416"/>
        <v>451282</v>
      </c>
      <c r="BB473" s="66"/>
      <c r="BC473" s="66">
        <v>503457674</v>
      </c>
      <c r="BD473" s="66"/>
      <c r="BE473" s="66">
        <f t="shared" si="417"/>
        <v>6586</v>
      </c>
      <c r="BF473" s="66"/>
      <c r="BG473" s="144">
        <f t="shared" si="418"/>
        <v>1.4593978931133969E-2</v>
      </c>
      <c r="BH473" s="66"/>
      <c r="BI473" s="170"/>
      <c r="BJ473" s="66"/>
      <c r="BK473" s="66">
        <f t="shared" si="419"/>
        <v>4768463</v>
      </c>
      <c r="BL473" s="66"/>
      <c r="BM473" s="144">
        <f t="shared" si="420"/>
        <v>1.6357262287659567E-2</v>
      </c>
      <c r="BN473" s="65">
        <f t="shared" si="421"/>
        <v>1085038.0905172413</v>
      </c>
      <c r="BO473" s="66"/>
      <c r="BP473" s="66">
        <f t="shared" si="422"/>
        <v>33067611</v>
      </c>
      <c r="BQ473" s="66"/>
      <c r="BR473" s="435">
        <f t="shared" si="423"/>
        <v>6.56810149248018E-2</v>
      </c>
      <c r="BS473" s="66"/>
      <c r="BT473" s="75"/>
      <c r="BU473" s="170"/>
      <c r="BV473" s="1"/>
      <c r="BW473" s="61">
        <f t="shared" si="399"/>
        <v>464</v>
      </c>
    </row>
    <row r="474" spans="2:75" x14ac:dyDescent="0.3">
      <c r="B474" s="347">
        <f t="shared" si="398"/>
        <v>44374</v>
      </c>
      <c r="C474" s="61"/>
      <c r="D474" s="17">
        <v>7306</v>
      </c>
      <c r="E474" s="16"/>
      <c r="F474" s="16"/>
      <c r="G474" s="16"/>
      <c r="H474" s="16">
        <f t="shared" si="400"/>
        <v>33981895</v>
      </c>
      <c r="I474" s="16"/>
      <c r="J474" s="436">
        <f t="shared" si="401"/>
        <v>2.1504307233856458E-4</v>
      </c>
      <c r="K474" s="16"/>
      <c r="L474" s="16"/>
      <c r="M474" s="16"/>
      <c r="N474" s="16">
        <f t="shared" si="402"/>
        <v>80883</v>
      </c>
      <c r="O474" s="16">
        <f t="shared" si="403"/>
        <v>73079.344086021505</v>
      </c>
      <c r="P474" s="41"/>
      <c r="Q474" s="17">
        <f t="shared" si="404"/>
        <v>80883</v>
      </c>
      <c r="R474" s="16"/>
      <c r="S474" s="60">
        <f t="shared" si="405"/>
        <v>4.3786295005807198E-2</v>
      </c>
      <c r="T474" s="16"/>
      <c r="U474" s="41"/>
      <c r="V474" s="10">
        <f t="shared" si="349"/>
        <v>366</v>
      </c>
      <c r="W474" s="34">
        <v>106</v>
      </c>
      <c r="X474" s="33">
        <v>4256</v>
      </c>
      <c r="Y474" s="33"/>
      <c r="Z474" s="33">
        <f t="shared" si="406"/>
        <v>1782</v>
      </c>
      <c r="AA474" s="33">
        <f t="shared" si="407"/>
        <v>604688</v>
      </c>
      <c r="AB474" s="33"/>
      <c r="AC474" s="46">
        <f t="shared" si="408"/>
        <v>1.779441670336513E-2</v>
      </c>
      <c r="AD474" s="33"/>
      <c r="AE474" s="33">
        <f t="shared" si="409"/>
        <v>1300.4043010752689</v>
      </c>
      <c r="AF474" s="50"/>
      <c r="AG474" s="33">
        <f t="shared" si="410"/>
        <v>2019</v>
      </c>
      <c r="AH474" s="33">
        <f>SUM(D445:D1126)</f>
        <v>1194446344.060914</v>
      </c>
      <c r="AI474" s="213">
        <f t="shared" si="411"/>
        <v>-2.1328162869607366E-2</v>
      </c>
      <c r="AJ474" s="50"/>
      <c r="AK474" s="111"/>
      <c r="AL474" s="23">
        <f t="shared" si="412"/>
        <v>16202</v>
      </c>
      <c r="AM474" s="24"/>
      <c r="AN474" s="24"/>
      <c r="AO474" s="24">
        <v>178263</v>
      </c>
      <c r="AP474" s="24">
        <v>28929108</v>
      </c>
      <c r="AQ474" s="24">
        <v>20336656</v>
      </c>
      <c r="AR474" s="461">
        <f t="shared" si="413"/>
        <v>5.6037258932049242E-4</v>
      </c>
      <c r="AS474" s="25"/>
      <c r="AT474" s="25"/>
      <c r="AU474" s="24"/>
      <c r="AV474" s="298">
        <f t="shared" si="414"/>
        <v>0.85130943992381825</v>
      </c>
      <c r="AW474" s="298"/>
      <c r="AX474" s="24">
        <f t="shared" si="415"/>
        <v>62213.135483870967</v>
      </c>
      <c r="AY474" s="308"/>
      <c r="AZ474" s="111"/>
      <c r="BA474" s="65">
        <f t="shared" si="416"/>
        <v>366543</v>
      </c>
      <c r="BB474" s="66"/>
      <c r="BC474" s="66">
        <v>503824217</v>
      </c>
      <c r="BD474" s="66"/>
      <c r="BE474" s="66">
        <f t="shared" si="417"/>
        <v>7306</v>
      </c>
      <c r="BF474" s="66"/>
      <c r="BG474" s="144">
        <f t="shared" si="418"/>
        <v>1.9932177125194041E-2</v>
      </c>
      <c r="BH474" s="66"/>
      <c r="BI474" s="170"/>
      <c r="BJ474" s="66"/>
      <c r="BK474" s="66">
        <f t="shared" si="419"/>
        <v>4762492</v>
      </c>
      <c r="BL474" s="66"/>
      <c r="BM474" s="144">
        <f t="shared" si="420"/>
        <v>1.6983335615051953E-2</v>
      </c>
      <c r="BN474" s="65">
        <f t="shared" si="421"/>
        <v>1083492.9397849462</v>
      </c>
      <c r="BO474" s="66"/>
      <c r="BP474" s="66">
        <f t="shared" si="422"/>
        <v>33074917</v>
      </c>
      <c r="BQ474" s="66"/>
      <c r="BR474" s="435">
        <f t="shared" si="423"/>
        <v>6.5647731657170416E-2</v>
      </c>
      <c r="BS474" s="66"/>
      <c r="BT474" s="75"/>
      <c r="BU474" s="170"/>
      <c r="BV474" s="1"/>
      <c r="BW474" s="61">
        <f t="shared" si="399"/>
        <v>465</v>
      </c>
    </row>
    <row r="475" spans="2:75" x14ac:dyDescent="0.3">
      <c r="B475" s="158">
        <f t="shared" si="398"/>
        <v>44375</v>
      </c>
      <c r="C475" s="61"/>
      <c r="D475" s="17">
        <v>11982</v>
      </c>
      <c r="E475" s="16"/>
      <c r="F475" s="16"/>
      <c r="G475" s="16"/>
      <c r="H475" s="16">
        <f t="shared" si="400"/>
        <v>33993877</v>
      </c>
      <c r="I475" s="16"/>
      <c r="J475" s="436">
        <f t="shared" si="401"/>
        <v>3.52599523952387E-4</v>
      </c>
      <c r="K475" s="16"/>
      <c r="L475" s="16"/>
      <c r="M475" s="16"/>
      <c r="N475" s="16">
        <f t="shared" si="402"/>
        <v>83110</v>
      </c>
      <c r="O475" s="16">
        <f t="shared" si="403"/>
        <v>72948.2339055794</v>
      </c>
      <c r="P475" s="41"/>
      <c r="Q475" s="17">
        <f t="shared" si="404"/>
        <v>83110</v>
      </c>
      <c r="R475" s="16"/>
      <c r="S475" s="60">
        <f t="shared" si="405"/>
        <v>9.7538429031746865E-2</v>
      </c>
      <c r="T475" s="16"/>
      <c r="U475" s="41"/>
      <c r="V475" s="10">
        <f t="shared" si="349"/>
        <v>367</v>
      </c>
      <c r="W475" s="34">
        <v>164</v>
      </c>
      <c r="X475" s="33">
        <v>4256</v>
      </c>
      <c r="Y475" s="33"/>
      <c r="Z475" s="33">
        <f t="shared" si="406"/>
        <v>1515</v>
      </c>
      <c r="AA475" s="33">
        <f t="shared" si="407"/>
        <v>604852</v>
      </c>
      <c r="AB475" s="33"/>
      <c r="AC475" s="46">
        <f t="shared" si="408"/>
        <v>1.7792969010272056E-2</v>
      </c>
      <c r="AD475" s="33"/>
      <c r="AE475" s="33">
        <f t="shared" si="409"/>
        <v>1297.9656652360516</v>
      </c>
      <c r="AF475" s="50"/>
      <c r="AG475" s="33">
        <f t="shared" si="410"/>
        <v>1946</v>
      </c>
      <c r="AH475" s="33">
        <f>SUM(D446:D1127)</f>
        <v>1194433683.060914</v>
      </c>
      <c r="AI475" s="213">
        <f t="shared" si="411"/>
        <v>-4.98046875E-2</v>
      </c>
      <c r="AJ475" s="50"/>
      <c r="AK475" s="111"/>
      <c r="AL475" s="23">
        <f t="shared" si="412"/>
        <v>49752</v>
      </c>
      <c r="AM475" s="24"/>
      <c r="AN475" s="24"/>
      <c r="AO475" s="24">
        <v>178263</v>
      </c>
      <c r="AP475" s="24">
        <v>28978860</v>
      </c>
      <c r="AQ475" s="24">
        <v>20336656</v>
      </c>
      <c r="AR475" s="461">
        <f t="shared" si="413"/>
        <v>1.7197903232965221E-3</v>
      </c>
      <c r="AS475" s="25"/>
      <c r="AT475" s="25"/>
      <c r="AU475" s="24"/>
      <c r="AV475" s="298">
        <f t="shared" si="414"/>
        <v>0.85247293211068564</v>
      </c>
      <c r="AW475" s="298"/>
      <c r="AX475" s="24">
        <f t="shared" si="415"/>
        <v>62186.394849785407</v>
      </c>
      <c r="AY475" s="308"/>
      <c r="AZ475" s="111"/>
      <c r="BA475" s="65">
        <f t="shared" si="416"/>
        <v>1053856</v>
      </c>
      <c r="BB475" s="66"/>
      <c r="BC475" s="66">
        <v>504878073</v>
      </c>
      <c r="BD475" s="66"/>
      <c r="BE475" s="66">
        <f t="shared" si="417"/>
        <v>11982</v>
      </c>
      <c r="BF475" s="66"/>
      <c r="BG475" s="144">
        <f t="shared" si="418"/>
        <v>1.1369674794279295E-2</v>
      </c>
      <c r="BH475" s="66"/>
      <c r="BI475" s="170"/>
      <c r="BJ475" s="66"/>
      <c r="BK475" s="66">
        <f t="shared" si="419"/>
        <v>4569067</v>
      </c>
      <c r="BL475" s="66"/>
      <c r="BM475" s="144">
        <f t="shared" si="420"/>
        <v>1.8189709190081914E-2</v>
      </c>
      <c r="BN475" s="65">
        <f t="shared" si="421"/>
        <v>1083429.3412017168</v>
      </c>
      <c r="BO475" s="66"/>
      <c r="BP475" s="66">
        <f t="shared" si="422"/>
        <v>33086899</v>
      </c>
      <c r="BQ475" s="66"/>
      <c r="BR475" s="435">
        <f t="shared" si="423"/>
        <v>6.5534434489096932E-2</v>
      </c>
      <c r="BS475" s="66"/>
      <c r="BT475" s="75"/>
      <c r="BU475" s="170"/>
      <c r="BV475" s="1"/>
      <c r="BW475" s="61">
        <f t="shared" si="399"/>
        <v>466</v>
      </c>
    </row>
    <row r="476" spans="2:75" x14ac:dyDescent="0.3">
      <c r="B476" s="158">
        <f t="shared" si="398"/>
        <v>44376</v>
      </c>
      <c r="C476" s="61"/>
      <c r="D476" s="17">
        <v>11427</v>
      </c>
      <c r="E476" s="16"/>
      <c r="F476" s="16"/>
      <c r="G476" s="16"/>
      <c r="H476" s="16">
        <f t="shared" si="400"/>
        <v>34005304</v>
      </c>
      <c r="I476" s="16"/>
      <c r="J476" s="436">
        <f t="shared" si="401"/>
        <v>3.3614877173321534E-4</v>
      </c>
      <c r="K476" s="16"/>
      <c r="L476" s="16"/>
      <c r="M476" s="16"/>
      <c r="N476" s="16">
        <f t="shared" si="402"/>
        <v>81663</v>
      </c>
      <c r="O476" s="16">
        <f t="shared" si="403"/>
        <v>72816.496788008561</v>
      </c>
      <c r="P476" s="41"/>
      <c r="Q476" s="17">
        <f t="shared" si="404"/>
        <v>81663</v>
      </c>
      <c r="R476" s="16"/>
      <c r="S476" s="60">
        <f t="shared" si="405"/>
        <v>7.4258728195953597E-2</v>
      </c>
      <c r="T476" s="16"/>
      <c r="U476" s="41"/>
      <c r="V476" s="10">
        <f t="shared" si="349"/>
        <v>368</v>
      </c>
      <c r="W476" s="34">
        <v>294</v>
      </c>
      <c r="X476" s="33">
        <v>4256</v>
      </c>
      <c r="Y476" s="33"/>
      <c r="Z476" s="33">
        <f t="shared" si="406"/>
        <v>1480</v>
      </c>
      <c r="AA476" s="33">
        <f t="shared" si="407"/>
        <v>605146</v>
      </c>
      <c r="AB476" s="33"/>
      <c r="AC476" s="46">
        <f t="shared" si="408"/>
        <v>1.7795635645545177E-2</v>
      </c>
      <c r="AD476" s="33"/>
      <c r="AE476" s="33">
        <f t="shared" si="409"/>
        <v>1295.8158458244111</v>
      </c>
      <c r="AF476" s="50"/>
      <c r="AG476" s="33">
        <f t="shared" si="410"/>
        <v>1809</v>
      </c>
      <c r="AH476" s="33">
        <f>SUM(D447:D1128)</f>
        <v>1194425933.060914</v>
      </c>
      <c r="AI476" s="213">
        <f t="shared" si="411"/>
        <v>-0.14910630291627469</v>
      </c>
      <c r="AJ476" s="50"/>
      <c r="AK476" s="111"/>
      <c r="AL476" s="23">
        <f t="shared" si="412"/>
        <v>28513</v>
      </c>
      <c r="AM476" s="24"/>
      <c r="AN476" s="24"/>
      <c r="AO476" s="24">
        <v>178263</v>
      </c>
      <c r="AP476" s="24">
        <v>29007373</v>
      </c>
      <c r="AQ476" s="24">
        <v>20336656</v>
      </c>
      <c r="AR476" s="461">
        <f t="shared" si="413"/>
        <v>9.8392414332378834E-4</v>
      </c>
      <c r="AS476" s="25"/>
      <c r="AT476" s="25"/>
      <c r="AU476" s="24"/>
      <c r="AV476" s="298">
        <f t="shared" si="414"/>
        <v>0.8530249575183918</v>
      </c>
      <c r="AW476" s="298"/>
      <c r="AX476" s="24">
        <f t="shared" si="415"/>
        <v>62114.289079229122</v>
      </c>
      <c r="AY476" s="308"/>
      <c r="AZ476" s="111"/>
      <c r="BA476" s="65">
        <f t="shared" si="416"/>
        <v>514526</v>
      </c>
      <c r="BB476" s="66"/>
      <c r="BC476" s="66">
        <v>505392599</v>
      </c>
      <c r="BD476" s="66"/>
      <c r="BE476" s="66">
        <f t="shared" si="417"/>
        <v>11427</v>
      </c>
      <c r="BF476" s="66"/>
      <c r="BG476" s="144">
        <f t="shared" si="418"/>
        <v>2.2208790226344248E-2</v>
      </c>
      <c r="BH476" s="66"/>
      <c r="BI476" s="170"/>
      <c r="BJ476" s="66"/>
      <c r="BK476" s="66">
        <f t="shared" si="419"/>
        <v>4601747</v>
      </c>
      <c r="BL476" s="66"/>
      <c r="BM476" s="144">
        <f t="shared" si="420"/>
        <v>1.7746086431957256E-2</v>
      </c>
      <c r="BN476" s="65">
        <f t="shared" si="421"/>
        <v>1082211.1327623127</v>
      </c>
      <c r="BO476" s="66"/>
      <c r="BP476" s="66">
        <f t="shared" si="422"/>
        <v>33098326</v>
      </c>
      <c r="BQ476" s="66"/>
      <c r="BR476" s="435">
        <f t="shared" si="423"/>
        <v>6.5490325868424515E-2</v>
      </c>
      <c r="BS476" s="66"/>
      <c r="BT476" s="75"/>
      <c r="BU476" s="170"/>
      <c r="BV476" s="1"/>
      <c r="BW476" s="61">
        <f t="shared" si="399"/>
        <v>467</v>
      </c>
    </row>
    <row r="477" spans="2:75" x14ac:dyDescent="0.3">
      <c r="B477" s="158">
        <f t="shared" si="398"/>
        <v>44377</v>
      </c>
      <c r="C477" s="61"/>
      <c r="D477" s="17">
        <v>14197</v>
      </c>
      <c r="E477" s="16"/>
      <c r="F477" s="16"/>
      <c r="G477" s="16"/>
      <c r="H477" s="16">
        <f t="shared" si="400"/>
        <v>34019501</v>
      </c>
      <c r="I477" s="16"/>
      <c r="J477" s="436">
        <f t="shared" si="401"/>
        <v>4.1749369451306772E-4</v>
      </c>
      <c r="K477" s="16"/>
      <c r="L477" s="16"/>
      <c r="M477" s="16"/>
      <c r="N477" s="16">
        <f t="shared" si="402"/>
        <v>82495</v>
      </c>
      <c r="O477" s="16">
        <f t="shared" si="403"/>
        <v>72691.241452991453</v>
      </c>
      <c r="P477" s="41"/>
      <c r="Q477" s="17">
        <f t="shared" si="404"/>
        <v>82495</v>
      </c>
      <c r="R477" s="16"/>
      <c r="S477" s="60">
        <f t="shared" si="405"/>
        <v>9.5260223048327139E-2</v>
      </c>
      <c r="T477" s="16"/>
      <c r="U477" s="41"/>
      <c r="V477" s="10">
        <f t="shared" si="349"/>
        <v>369</v>
      </c>
      <c r="W477" s="34">
        <v>249</v>
      </c>
      <c r="X477" s="33">
        <v>4256</v>
      </c>
      <c r="Y477" s="33"/>
      <c r="Z477" s="33">
        <f t="shared" si="406"/>
        <v>1349</v>
      </c>
      <c r="AA477" s="33">
        <f t="shared" si="407"/>
        <v>605395</v>
      </c>
      <c r="AB477" s="33"/>
      <c r="AC477" s="46">
        <f t="shared" si="408"/>
        <v>1.7795528511720379E-2</v>
      </c>
      <c r="AD477" s="33"/>
      <c r="AE477" s="33">
        <f t="shared" si="409"/>
        <v>1293.5790598290598</v>
      </c>
      <c r="AF477" s="50"/>
      <c r="AG477" s="33">
        <f t="shared" si="410"/>
        <v>1729</v>
      </c>
      <c r="AH477" s="33">
        <f>SUM(D448:D1129)</f>
        <v>1194420698.060914</v>
      </c>
      <c r="AI477" s="213">
        <f t="shared" si="411"/>
        <v>-0.14448292924294903</v>
      </c>
      <c r="AJ477" s="50"/>
      <c r="AK477" s="111"/>
      <c r="AL477" s="23">
        <f t="shared" si="412"/>
        <v>19315</v>
      </c>
      <c r="AM477" s="24"/>
      <c r="AN477" s="24"/>
      <c r="AO477" s="24">
        <v>178263</v>
      </c>
      <c r="AP477" s="24">
        <v>29026688</v>
      </c>
      <c r="AQ477" s="24">
        <v>20336656</v>
      </c>
      <c r="AR477" s="461">
        <f t="shared" si="413"/>
        <v>6.6586519227370224E-4</v>
      </c>
      <c r="AS477" s="25"/>
      <c r="AT477" s="25"/>
      <c r="AU477" s="24"/>
      <c r="AV477" s="298">
        <f t="shared" si="414"/>
        <v>0.85323673618845852</v>
      </c>
      <c r="AW477" s="298"/>
      <c r="AX477" s="24">
        <f t="shared" si="415"/>
        <v>62022.837606837609</v>
      </c>
      <c r="AY477" s="308"/>
      <c r="AZ477" s="111"/>
      <c r="BA477" s="65">
        <f t="shared" si="416"/>
        <v>766529</v>
      </c>
      <c r="BB477" s="66"/>
      <c r="BC477" s="66">
        <v>506159128</v>
      </c>
      <c r="BD477" s="66"/>
      <c r="BE477" s="66">
        <f t="shared" si="417"/>
        <v>14197</v>
      </c>
      <c r="BF477" s="66"/>
      <c r="BG477" s="144">
        <f t="shared" si="418"/>
        <v>1.8521151841613299E-2</v>
      </c>
      <c r="BH477" s="66"/>
      <c r="BI477" s="170"/>
      <c r="BJ477" s="66"/>
      <c r="BK477" s="66">
        <f t="shared" si="419"/>
        <v>4479005</v>
      </c>
      <c r="BL477" s="66"/>
      <c r="BM477" s="144">
        <f t="shared" si="420"/>
        <v>1.8418153138922595E-2</v>
      </c>
      <c r="BN477" s="65">
        <f t="shared" si="421"/>
        <v>1081536.5982905983</v>
      </c>
      <c r="BO477" s="66"/>
      <c r="BP477" s="66">
        <f t="shared" si="422"/>
        <v>33112523</v>
      </c>
      <c r="BQ477" s="66"/>
      <c r="BR477" s="435">
        <f t="shared" si="423"/>
        <v>6.5419195601269492E-2</v>
      </c>
      <c r="BS477" s="66"/>
      <c r="BT477" s="75"/>
      <c r="BU477" s="170"/>
      <c r="BV477" s="1"/>
      <c r="BW477" s="61">
        <f t="shared" si="399"/>
        <v>468</v>
      </c>
    </row>
    <row r="478" spans="2:75" x14ac:dyDescent="0.3">
      <c r="B478" s="158">
        <f t="shared" si="398"/>
        <v>44378</v>
      </c>
      <c r="C478" s="61"/>
      <c r="D478" s="17">
        <v>16949</v>
      </c>
      <c r="E478" s="16"/>
      <c r="F478" s="16"/>
      <c r="G478" s="16"/>
      <c r="H478" s="16">
        <f t="shared" si="400"/>
        <v>34036450</v>
      </c>
      <c r="I478" s="16"/>
      <c r="J478" s="436">
        <f t="shared" si="401"/>
        <v>4.9821424482387328E-4</v>
      </c>
      <c r="K478" s="16"/>
      <c r="L478" s="16"/>
      <c r="M478" s="16"/>
      <c r="N478" s="16">
        <f t="shared" si="402"/>
        <v>83984</v>
      </c>
      <c r="O478" s="16">
        <f t="shared" si="403"/>
        <v>72572.388059701494</v>
      </c>
      <c r="P478" s="41"/>
      <c r="Q478" s="17">
        <f t="shared" si="404"/>
        <v>83984</v>
      </c>
      <c r="R478" s="16"/>
      <c r="S478" s="60">
        <f t="shared" si="405"/>
        <v>9.003595208119719E-2</v>
      </c>
      <c r="T478" s="16"/>
      <c r="U478" s="41"/>
      <c r="V478" s="10">
        <f t="shared" si="349"/>
        <v>370</v>
      </c>
      <c r="W478" s="34">
        <v>315</v>
      </c>
      <c r="X478" s="33">
        <v>4256</v>
      </c>
      <c r="Y478" s="33"/>
      <c r="Z478" s="33">
        <f t="shared" si="406"/>
        <v>1277</v>
      </c>
      <c r="AA478" s="33">
        <f t="shared" si="407"/>
        <v>605710</v>
      </c>
      <c r="AB478" s="33"/>
      <c r="AC478" s="46">
        <f t="shared" si="408"/>
        <v>1.7795921725091778E-2</v>
      </c>
      <c r="AD478" s="33"/>
      <c r="AE478" s="33">
        <f t="shared" si="409"/>
        <v>1291.4925373134329</v>
      </c>
      <c r="AF478" s="50"/>
      <c r="AG478" s="33">
        <f t="shared" si="410"/>
        <v>1664</v>
      </c>
      <c r="AH478" s="33">
        <f>SUM(D449:D1130)</f>
        <v>1194407722.060914</v>
      </c>
      <c r="AI478" s="213">
        <f t="shared" si="411"/>
        <v>-0.17867719644619942</v>
      </c>
      <c r="AJ478" s="50"/>
      <c r="AK478" s="111"/>
      <c r="AL478" s="23">
        <f t="shared" si="412"/>
        <v>25399</v>
      </c>
      <c r="AM478" s="24"/>
      <c r="AN478" s="24"/>
      <c r="AO478" s="24">
        <v>178263</v>
      </c>
      <c r="AP478" s="24">
        <v>29052087</v>
      </c>
      <c r="AQ478" s="24">
        <v>20336656</v>
      </c>
      <c r="AR478" s="461">
        <f t="shared" si="413"/>
        <v>8.7502232428308729E-4</v>
      </c>
      <c r="AS478" s="25"/>
      <c r="AT478" s="25"/>
      <c r="AU478" s="24"/>
      <c r="AV478" s="298">
        <f t="shared" si="414"/>
        <v>0.85355808258499344</v>
      </c>
      <c r="AW478" s="298"/>
      <c r="AX478" s="24">
        <f t="shared" si="415"/>
        <v>61944.748400852877</v>
      </c>
      <c r="AY478" s="308"/>
      <c r="AZ478" s="111"/>
      <c r="BA478" s="65">
        <f t="shared" si="416"/>
        <v>445484</v>
      </c>
      <c r="BB478" s="66"/>
      <c r="BC478" s="66">
        <v>506604612</v>
      </c>
      <c r="BD478" s="66"/>
      <c r="BE478" s="66">
        <f t="shared" si="417"/>
        <v>16949</v>
      </c>
      <c r="BF478" s="66"/>
      <c r="BG478" s="144">
        <f t="shared" si="418"/>
        <v>3.8046259798331705E-2</v>
      </c>
      <c r="BH478" s="66"/>
      <c r="BI478" s="170"/>
      <c r="BJ478" s="66"/>
      <c r="BK478" s="66">
        <f t="shared" si="419"/>
        <v>4424489</v>
      </c>
      <c r="BL478" s="66"/>
      <c r="BM478" s="144">
        <f t="shared" si="420"/>
        <v>1.8981627030827741E-2</v>
      </c>
      <c r="BN478" s="65">
        <f t="shared" si="421"/>
        <v>1080180.4093816632</v>
      </c>
      <c r="BO478" s="66"/>
      <c r="BP478" s="66">
        <f t="shared" si="422"/>
        <v>33129472</v>
      </c>
      <c r="BQ478" s="66"/>
      <c r="BR478" s="435">
        <f t="shared" si="423"/>
        <v>6.5395125143471844E-2</v>
      </c>
      <c r="BS478" s="66"/>
      <c r="BT478" s="75"/>
      <c r="BU478" s="170"/>
      <c r="BV478" s="1"/>
      <c r="BW478" s="61">
        <f t="shared" si="399"/>
        <v>469</v>
      </c>
    </row>
    <row r="479" spans="2:75" x14ac:dyDescent="0.3">
      <c r="B479" s="158">
        <f t="shared" si="398"/>
        <v>44379</v>
      </c>
      <c r="C479" s="61"/>
      <c r="D479" s="17">
        <v>18399</v>
      </c>
      <c r="E479" s="16"/>
      <c r="F479" s="16"/>
      <c r="G479" s="16"/>
      <c r="H479" s="16">
        <f t="shared" si="400"/>
        <v>34054849</v>
      </c>
      <c r="I479" s="16"/>
      <c r="J479" s="436">
        <f t="shared" si="401"/>
        <v>5.4056753862403398E-4</v>
      </c>
      <c r="K479" s="16"/>
      <c r="L479" s="16"/>
      <c r="M479" s="16"/>
      <c r="N479" s="16">
        <f t="shared" si="402"/>
        <v>86846</v>
      </c>
      <c r="O479" s="16">
        <f t="shared" si="403"/>
        <v>72457.125531914891</v>
      </c>
      <c r="P479" s="41"/>
      <c r="Q479" s="17">
        <f t="shared" si="404"/>
        <v>86846</v>
      </c>
      <c r="R479" s="16"/>
      <c r="S479" s="60">
        <f t="shared" si="405"/>
        <v>9.6609634446619103E-2</v>
      </c>
      <c r="T479" s="16"/>
      <c r="U479" s="41"/>
      <c r="V479" s="10">
        <f t="shared" si="349"/>
        <v>371</v>
      </c>
      <c r="W479" s="34">
        <v>322</v>
      </c>
      <c r="X479" s="33">
        <v>4256</v>
      </c>
      <c r="Y479" s="33"/>
      <c r="Z479" s="33">
        <f t="shared" si="406"/>
        <v>1450</v>
      </c>
      <c r="AA479" s="33">
        <f t="shared" si="407"/>
        <v>606032</v>
      </c>
      <c r="AB479" s="33"/>
      <c r="AC479" s="46">
        <f t="shared" si="408"/>
        <v>1.7795762359715646E-2</v>
      </c>
      <c r="AD479" s="33"/>
      <c r="AE479" s="33">
        <f t="shared" si="409"/>
        <v>1289.4297872340426</v>
      </c>
      <c r="AF479" s="50"/>
      <c r="AG479" s="33">
        <f t="shared" si="410"/>
        <v>1599</v>
      </c>
      <c r="AH479" s="33">
        <f>SUM(D450:D1131)</f>
        <v>1194390748.060914</v>
      </c>
      <c r="AI479" s="213">
        <f t="shared" si="411"/>
        <v>-0.20841584158415841</v>
      </c>
      <c r="AJ479" s="50"/>
      <c r="AK479" s="111"/>
      <c r="AL479" s="23">
        <f t="shared" si="412"/>
        <v>20794</v>
      </c>
      <c r="AM479" s="24"/>
      <c r="AN479" s="24"/>
      <c r="AO479" s="24">
        <v>178263</v>
      </c>
      <c r="AP479" s="24">
        <v>29072881</v>
      </c>
      <c r="AQ479" s="24">
        <v>20336656</v>
      </c>
      <c r="AR479" s="461">
        <f t="shared" si="413"/>
        <v>7.1574892364875545E-4</v>
      </c>
      <c r="AS479" s="25"/>
      <c r="AT479" s="25"/>
      <c r="AU479" s="24"/>
      <c r="AV479" s="298">
        <f t="shared" si="414"/>
        <v>0.85370752928606441</v>
      </c>
      <c r="AW479" s="298"/>
      <c r="AX479" s="24">
        <f t="shared" si="415"/>
        <v>61857.193617021279</v>
      </c>
      <c r="AY479" s="308"/>
      <c r="AZ479" s="111"/>
      <c r="BA479" s="65">
        <f t="shared" si="416"/>
        <v>741973</v>
      </c>
      <c r="BB479" s="66"/>
      <c r="BC479" s="66">
        <v>507346585</v>
      </c>
      <c r="BD479" s="66"/>
      <c r="BE479" s="66">
        <f t="shared" si="417"/>
        <v>18399</v>
      </c>
      <c r="BF479" s="66"/>
      <c r="BG479" s="144">
        <f t="shared" si="418"/>
        <v>2.4797398288077869E-2</v>
      </c>
      <c r="BH479" s="66"/>
      <c r="BI479" s="170"/>
      <c r="BJ479" s="66"/>
      <c r="BK479" s="66">
        <f t="shared" si="419"/>
        <v>4340193</v>
      </c>
      <c r="BL479" s="66"/>
      <c r="BM479" s="144">
        <f t="shared" si="420"/>
        <v>2.0009709245648752E-2</v>
      </c>
      <c r="BN479" s="65">
        <f t="shared" si="421"/>
        <v>1079460.8191489361</v>
      </c>
      <c r="BO479" s="66"/>
      <c r="BP479" s="66">
        <f t="shared" si="422"/>
        <v>33147871</v>
      </c>
      <c r="BQ479" s="66"/>
      <c r="BR479" s="435">
        <f t="shared" si="423"/>
        <v>6.5335752678812253E-2</v>
      </c>
      <c r="BS479" s="66"/>
      <c r="BT479" s="75"/>
      <c r="BU479" s="170"/>
      <c r="BV479" s="1"/>
      <c r="BW479" s="61">
        <f t="shared" si="399"/>
        <v>470</v>
      </c>
    </row>
    <row r="480" spans="2:75" x14ac:dyDescent="0.3">
      <c r="B480" s="158">
        <f t="shared" si="398"/>
        <v>44380</v>
      </c>
      <c r="C480" s="61"/>
      <c r="D480" s="17">
        <v>7978</v>
      </c>
      <c r="E480" s="16"/>
      <c r="F480" s="16"/>
      <c r="G480" s="16"/>
      <c r="H480" s="16">
        <f t="shared" si="400"/>
        <v>34062827</v>
      </c>
      <c r="I480" s="16"/>
      <c r="J480" s="436">
        <f t="shared" si="401"/>
        <v>2.3426913447773619E-4</v>
      </c>
      <c r="K480" s="16"/>
      <c r="L480" s="16"/>
      <c r="M480" s="16"/>
      <c r="N480" s="16">
        <f t="shared" si="402"/>
        <v>88238</v>
      </c>
      <c r="O480" s="16">
        <f t="shared" si="403"/>
        <v>72320.227176220811</v>
      </c>
      <c r="P480" s="41"/>
      <c r="Q480" s="17">
        <f t="shared" si="404"/>
        <v>88238</v>
      </c>
      <c r="R480" s="16"/>
      <c r="S480" s="60">
        <f t="shared" si="405"/>
        <v>0.13127091372966321</v>
      </c>
      <c r="T480" s="16"/>
      <c r="U480" s="41"/>
      <c r="V480" s="10">
        <f t="shared" si="349"/>
        <v>372</v>
      </c>
      <c r="W480" s="34">
        <v>96</v>
      </c>
      <c r="X480" s="33">
        <v>4256</v>
      </c>
      <c r="Y480" s="33"/>
      <c r="Z480" s="33">
        <f t="shared" si="406"/>
        <v>1440</v>
      </c>
      <c r="AA480" s="33">
        <f t="shared" si="407"/>
        <v>606128</v>
      </c>
      <c r="AB480" s="33"/>
      <c r="AC480" s="46">
        <f t="shared" si="408"/>
        <v>1.7794412659876996E-2</v>
      </c>
      <c r="AD480" s="33"/>
      <c r="AE480" s="33">
        <f t="shared" si="409"/>
        <v>1286.8959660297239</v>
      </c>
      <c r="AF480" s="50"/>
      <c r="AG480" s="33">
        <f t="shared" si="410"/>
        <v>1546</v>
      </c>
      <c r="AH480" s="33">
        <f>SUM(D451:D1132)</f>
        <v>1194372927.060914</v>
      </c>
      <c r="AI480" s="213">
        <f t="shared" si="411"/>
        <v>-0.22661330665332666</v>
      </c>
      <c r="AJ480" s="50"/>
      <c r="AK480" s="111"/>
      <c r="AL480" s="23">
        <f t="shared" si="412"/>
        <v>14540</v>
      </c>
      <c r="AM480" s="24"/>
      <c r="AN480" s="24"/>
      <c r="AO480" s="24">
        <v>178263</v>
      </c>
      <c r="AP480" s="24">
        <v>29087421</v>
      </c>
      <c r="AQ480" s="24">
        <v>20336656</v>
      </c>
      <c r="AR480" s="461">
        <f t="shared" si="413"/>
        <v>5.0012243368656862E-4</v>
      </c>
      <c r="AS480" s="25"/>
      <c r="AT480" s="25"/>
      <c r="AU480" s="24"/>
      <c r="AV480" s="298">
        <f t="shared" si="414"/>
        <v>0.85393443709178929</v>
      </c>
      <c r="AW480" s="298"/>
      <c r="AX480" s="24">
        <f t="shared" si="415"/>
        <v>61756.732484076434</v>
      </c>
      <c r="AY480" s="308"/>
      <c r="AZ480" s="111"/>
      <c r="BA480" s="65">
        <f t="shared" si="416"/>
        <v>255291</v>
      </c>
      <c r="BB480" s="66"/>
      <c r="BC480" s="66">
        <v>507601876</v>
      </c>
      <c r="BD480" s="66"/>
      <c r="BE480" s="66">
        <f t="shared" si="417"/>
        <v>7978</v>
      </c>
      <c r="BF480" s="66"/>
      <c r="BG480" s="144">
        <f t="shared" si="418"/>
        <v>3.125061204664481E-2</v>
      </c>
      <c r="BH480" s="66"/>
      <c r="BI480" s="170"/>
      <c r="BJ480" s="66"/>
      <c r="BK480" s="66">
        <f t="shared" si="419"/>
        <v>4144202</v>
      </c>
      <c r="BL480" s="66"/>
      <c r="BM480" s="144">
        <f t="shared" si="420"/>
        <v>2.1291915789819125E-2</v>
      </c>
      <c r="BN480" s="65">
        <f t="shared" si="421"/>
        <v>1077710.9893842887</v>
      </c>
      <c r="BO480" s="66"/>
      <c r="BP480" s="66">
        <f t="shared" si="422"/>
        <v>33155849</v>
      </c>
      <c r="BQ480" s="66"/>
      <c r="BR480" s="435">
        <f t="shared" si="423"/>
        <v>6.5318610051787906E-2</v>
      </c>
      <c r="BS480" s="66"/>
      <c r="BT480" s="75"/>
      <c r="BU480" s="170"/>
      <c r="BV480" s="1"/>
      <c r="BW480" s="61">
        <f t="shared" si="399"/>
        <v>471</v>
      </c>
    </row>
    <row r="481" spans="2:75" x14ac:dyDescent="0.3">
      <c r="B481" s="347">
        <f t="shared" si="398"/>
        <v>44381</v>
      </c>
      <c r="C481" s="61"/>
      <c r="D481" s="17">
        <v>5749</v>
      </c>
      <c r="E481" s="16"/>
      <c r="F481" s="16"/>
      <c r="G481" s="16"/>
      <c r="H481" s="16">
        <f t="shared" si="400"/>
        <v>34068576</v>
      </c>
      <c r="I481" s="16"/>
      <c r="J481" s="436">
        <f t="shared" si="401"/>
        <v>1.6877636139830672E-4</v>
      </c>
      <c r="K481" s="16"/>
      <c r="L481" s="16"/>
      <c r="M481" s="16"/>
      <c r="N481" s="16">
        <f t="shared" si="402"/>
        <v>86681</v>
      </c>
      <c r="O481" s="16">
        <f t="shared" si="403"/>
        <v>72179.186440677964</v>
      </c>
      <c r="P481" s="41"/>
      <c r="Q481" s="17">
        <f t="shared" si="404"/>
        <v>86681</v>
      </c>
      <c r="R481" s="16"/>
      <c r="S481" s="60">
        <f t="shared" si="405"/>
        <v>7.1683790166042302E-2</v>
      </c>
      <c r="T481" s="16"/>
      <c r="U481" s="41"/>
      <c r="V481" s="10">
        <f t="shared" si="349"/>
        <v>373</v>
      </c>
      <c r="W481" s="34">
        <v>55</v>
      </c>
      <c r="X481" s="33">
        <v>4256</v>
      </c>
      <c r="Y481" s="33"/>
      <c r="Z481" s="33">
        <f t="shared" si="406"/>
        <v>1331</v>
      </c>
      <c r="AA481" s="33">
        <f t="shared" si="407"/>
        <v>606183</v>
      </c>
      <c r="AB481" s="33"/>
      <c r="AC481" s="46">
        <f t="shared" si="408"/>
        <v>1.7793024281378828E-2</v>
      </c>
      <c r="AD481" s="33"/>
      <c r="AE481" s="33">
        <f t="shared" si="409"/>
        <v>1284.2860169491526</v>
      </c>
      <c r="AF481" s="50"/>
      <c r="AG481" s="33">
        <f t="shared" si="410"/>
        <v>1495</v>
      </c>
      <c r="AH481" s="33">
        <f>SUM(D452:D1133)</f>
        <v>1194356002.060914</v>
      </c>
      <c r="AI481" s="213">
        <f t="shared" si="411"/>
        <v>-0.25953442298167412</v>
      </c>
      <c r="AJ481" s="50"/>
      <c r="AK481" s="111"/>
      <c r="AL481" s="23">
        <f t="shared" si="412"/>
        <v>12851</v>
      </c>
      <c r="AM481" s="24"/>
      <c r="AN481" s="24"/>
      <c r="AO481" s="24">
        <v>178263</v>
      </c>
      <c r="AP481" s="24">
        <v>29100272</v>
      </c>
      <c r="AQ481" s="24">
        <v>20336656</v>
      </c>
      <c r="AR481" s="461">
        <f t="shared" si="413"/>
        <v>4.4180609893190601E-4</v>
      </c>
      <c r="AS481" s="25"/>
      <c r="AT481" s="25"/>
      <c r="AU481" s="24"/>
      <c r="AV481" s="298">
        <f t="shared" si="414"/>
        <v>0.85416754724353605</v>
      </c>
      <c r="AW481" s="298"/>
      <c r="AX481" s="24">
        <f t="shared" si="415"/>
        <v>61653.118644067799</v>
      </c>
      <c r="AY481" s="308"/>
      <c r="AZ481" s="111"/>
      <c r="BA481" s="65">
        <f t="shared" si="416"/>
        <v>483136</v>
      </c>
      <c r="BB481" s="66"/>
      <c r="BC481" s="66">
        <v>508085012</v>
      </c>
      <c r="BD481" s="66"/>
      <c r="BE481" s="66">
        <f t="shared" si="417"/>
        <v>5749</v>
      </c>
      <c r="BF481" s="66"/>
      <c r="BG481" s="144">
        <f t="shared" si="418"/>
        <v>1.1899340972314213E-2</v>
      </c>
      <c r="BH481" s="66"/>
      <c r="BI481" s="170"/>
      <c r="BJ481" s="66"/>
      <c r="BK481" s="66">
        <f t="shared" si="419"/>
        <v>4260795</v>
      </c>
      <c r="BL481" s="66"/>
      <c r="BM481" s="144">
        <f t="shared" si="420"/>
        <v>2.0343856017480306E-2</v>
      </c>
      <c r="BN481" s="65">
        <f t="shared" si="421"/>
        <v>1076451.2966101696</v>
      </c>
      <c r="BO481" s="66"/>
      <c r="BP481" s="66">
        <f t="shared" si="422"/>
        <v>33161598</v>
      </c>
      <c r="BQ481" s="66"/>
      <c r="BR481" s="435">
        <f t="shared" si="423"/>
        <v>6.5267813883083017E-2</v>
      </c>
      <c r="BS481" s="66"/>
      <c r="BT481" s="75"/>
      <c r="BU481" s="170"/>
      <c r="BV481" s="1"/>
      <c r="BW481" s="61">
        <f t="shared" si="399"/>
        <v>472</v>
      </c>
    </row>
    <row r="482" spans="2:75" x14ac:dyDescent="0.3">
      <c r="B482" s="158">
        <f t="shared" si="398"/>
        <v>44382</v>
      </c>
      <c r="C482" s="61"/>
      <c r="D482" s="17">
        <v>5132</v>
      </c>
      <c r="E482" s="16"/>
      <c r="F482" s="16"/>
      <c r="G482" s="16"/>
      <c r="H482" s="16">
        <f t="shared" si="400"/>
        <v>34073708</v>
      </c>
      <c r="I482" s="16"/>
      <c r="J482" s="436">
        <f t="shared" si="401"/>
        <v>1.5063734979706812E-4</v>
      </c>
      <c r="K482" s="16"/>
      <c r="L482" s="16"/>
      <c r="M482" s="16"/>
      <c r="N482" s="16">
        <f t="shared" si="402"/>
        <v>79831</v>
      </c>
      <c r="O482" s="16">
        <f t="shared" si="403"/>
        <v>72037.437632135305</v>
      </c>
      <c r="P482" s="41"/>
      <c r="Q482" s="17">
        <f t="shared" si="404"/>
        <v>79831</v>
      </c>
      <c r="R482" s="16"/>
      <c r="S482" s="60">
        <f t="shared" si="405"/>
        <v>-3.9453736012513535E-2</v>
      </c>
      <c r="T482" s="16"/>
      <c r="U482" s="41"/>
      <c r="V482" s="10">
        <f t="shared" si="349"/>
        <v>374</v>
      </c>
      <c r="W482" s="34">
        <v>36</v>
      </c>
      <c r="X482" s="33">
        <v>4256</v>
      </c>
      <c r="Y482" s="33"/>
      <c r="Z482" s="33">
        <f t="shared" si="406"/>
        <v>1073</v>
      </c>
      <c r="AA482" s="33">
        <f t="shared" si="407"/>
        <v>606219</v>
      </c>
      <c r="AB482" s="33"/>
      <c r="AC482" s="46">
        <f t="shared" si="408"/>
        <v>1.7791400924137755E-2</v>
      </c>
      <c r="AD482" s="33"/>
      <c r="AE482" s="33">
        <f t="shared" si="409"/>
        <v>1281.6469344608879</v>
      </c>
      <c r="AF482" s="50"/>
      <c r="AG482" s="33">
        <f t="shared" si="410"/>
        <v>1367</v>
      </c>
      <c r="AH482" s="33">
        <f>SUM(D453:D1134)</f>
        <v>1194344399.060914</v>
      </c>
      <c r="AI482" s="213">
        <f t="shared" si="411"/>
        <v>-0.29753340184994859</v>
      </c>
      <c r="AJ482" s="50"/>
      <c r="AK482" s="111"/>
      <c r="AL482" s="23">
        <f t="shared" si="412"/>
        <v>16492</v>
      </c>
      <c r="AM482" s="24"/>
      <c r="AN482" s="24"/>
      <c r="AO482" s="24">
        <v>178263</v>
      </c>
      <c r="AP482" s="24">
        <v>29116764</v>
      </c>
      <c r="AQ482" s="24">
        <v>20336656</v>
      </c>
      <c r="AR482" s="461">
        <f t="shared" si="413"/>
        <v>5.6673009791798512E-4</v>
      </c>
      <c r="AS482" s="25"/>
      <c r="AT482" s="25"/>
      <c r="AU482" s="24"/>
      <c r="AV482" s="298">
        <f t="shared" si="414"/>
        <v>0.85452290663522734</v>
      </c>
      <c r="AW482" s="298"/>
      <c r="AX482" s="24">
        <f t="shared" si="415"/>
        <v>61557.64059196617</v>
      </c>
      <c r="AY482" s="308"/>
      <c r="AZ482" s="111"/>
      <c r="BA482" s="65">
        <f t="shared" si="416"/>
        <v>380659</v>
      </c>
      <c r="BB482" s="66"/>
      <c r="BC482" s="66">
        <v>508465671</v>
      </c>
      <c r="BD482" s="66"/>
      <c r="BE482" s="66">
        <f t="shared" si="417"/>
        <v>5132</v>
      </c>
      <c r="BF482" s="66"/>
      <c r="BG482" s="144">
        <f t="shared" si="418"/>
        <v>1.3481882734941247E-2</v>
      </c>
      <c r="BH482" s="66"/>
      <c r="BI482" s="170"/>
      <c r="BJ482" s="66"/>
      <c r="BK482" s="66">
        <f t="shared" si="419"/>
        <v>3587598</v>
      </c>
      <c r="BL482" s="66"/>
      <c r="BM482" s="144">
        <f t="shared" si="420"/>
        <v>2.2251935696251363E-2</v>
      </c>
      <c r="BN482" s="65">
        <f t="shared" si="421"/>
        <v>1074980.2769556025</v>
      </c>
      <c r="BO482" s="66"/>
      <c r="BP482" s="66">
        <f t="shared" si="422"/>
        <v>33166730</v>
      </c>
      <c r="BQ482" s="66"/>
      <c r="BR482" s="435">
        <f t="shared" si="423"/>
        <v>6.5229044735254108E-2</v>
      </c>
      <c r="BS482" s="66"/>
      <c r="BT482" s="75"/>
      <c r="BU482" s="170"/>
      <c r="BV482" s="1"/>
      <c r="BW482" s="61">
        <f t="shared" si="399"/>
        <v>473</v>
      </c>
    </row>
    <row r="483" spans="2:75" x14ac:dyDescent="0.3">
      <c r="B483" s="158">
        <f t="shared" si="398"/>
        <v>44383</v>
      </c>
      <c r="C483" s="61"/>
      <c r="D483" s="17">
        <v>11612</v>
      </c>
      <c r="E483" s="16"/>
      <c r="F483" s="16"/>
      <c r="G483" s="16"/>
      <c r="H483" s="16">
        <f t="shared" si="400"/>
        <v>34085320</v>
      </c>
      <c r="I483" s="16"/>
      <c r="J483" s="436">
        <f t="shared" si="401"/>
        <v>3.4079061779833294E-4</v>
      </c>
      <c r="K483" s="16"/>
      <c r="L483" s="16"/>
      <c r="M483" s="16"/>
      <c r="N483" s="16">
        <f t="shared" si="402"/>
        <v>80016</v>
      </c>
      <c r="O483" s="16">
        <f t="shared" si="403"/>
        <v>71909.957805907179</v>
      </c>
      <c r="P483" s="41"/>
      <c r="Q483" s="17">
        <f t="shared" si="404"/>
        <v>80016</v>
      </c>
      <c r="R483" s="16"/>
      <c r="S483" s="60">
        <f t="shared" si="405"/>
        <v>-2.0168252452150912E-2</v>
      </c>
      <c r="T483" s="16"/>
      <c r="U483" s="41"/>
      <c r="V483" s="10">
        <f t="shared" si="349"/>
        <v>375</v>
      </c>
      <c r="W483" s="34">
        <v>202</v>
      </c>
      <c r="X483" s="33">
        <v>4256</v>
      </c>
      <c r="Y483" s="33"/>
      <c r="Z483" s="33">
        <f t="shared" si="406"/>
        <v>1026</v>
      </c>
      <c r="AA483" s="33">
        <f t="shared" si="407"/>
        <v>606421</v>
      </c>
      <c r="AB483" s="33"/>
      <c r="AC483" s="46">
        <f t="shared" si="408"/>
        <v>1.7791266152114751E-2</v>
      </c>
      <c r="AD483" s="33"/>
      <c r="AE483" s="33">
        <f t="shared" si="409"/>
        <v>1279.3691983122362</v>
      </c>
      <c r="AF483" s="50"/>
      <c r="AG483" s="33">
        <f t="shared" si="410"/>
        <v>1275</v>
      </c>
      <c r="AH483" s="33">
        <f>SUM(D454:D1135)</f>
        <v>1194337991.060914</v>
      </c>
      <c r="AI483" s="213">
        <f t="shared" si="411"/>
        <v>-0.29519071310116085</v>
      </c>
      <c r="AJ483" s="50"/>
      <c r="AK483" s="111"/>
      <c r="AL483" s="23">
        <f t="shared" si="412"/>
        <v>28521</v>
      </c>
      <c r="AM483" s="24"/>
      <c r="AN483" s="24"/>
      <c r="AO483" s="24">
        <v>178263</v>
      </c>
      <c r="AP483" s="24">
        <v>29145285</v>
      </c>
      <c r="AQ483" s="24">
        <v>20336656</v>
      </c>
      <c r="AR483" s="461">
        <f t="shared" si="413"/>
        <v>9.7953879764935419E-4</v>
      </c>
      <c r="AS483" s="25"/>
      <c r="AT483" s="25"/>
      <c r="AU483" s="24"/>
      <c r="AV483" s="298">
        <f t="shared" si="414"/>
        <v>0.85506854563782886</v>
      </c>
      <c r="AW483" s="298"/>
      <c r="AX483" s="24">
        <f t="shared" si="415"/>
        <v>61487.943037974685</v>
      </c>
      <c r="AY483" s="308"/>
      <c r="AZ483" s="111"/>
      <c r="BA483" s="65">
        <f t="shared" si="416"/>
        <v>750932</v>
      </c>
      <c r="BB483" s="66"/>
      <c r="BC483" s="66">
        <v>509216603</v>
      </c>
      <c r="BD483" s="66"/>
      <c r="BE483" s="66">
        <f t="shared" si="417"/>
        <v>11612</v>
      </c>
      <c r="BF483" s="66"/>
      <c r="BG483" s="144">
        <f t="shared" si="418"/>
        <v>1.5463450751865681E-2</v>
      </c>
      <c r="BH483" s="66"/>
      <c r="BI483" s="170"/>
      <c r="BJ483" s="66"/>
      <c r="BK483" s="66">
        <f t="shared" si="419"/>
        <v>3824004</v>
      </c>
      <c r="BL483" s="66"/>
      <c r="BM483" s="144">
        <f t="shared" si="420"/>
        <v>2.0924664304744451E-2</v>
      </c>
      <c r="BN483" s="65">
        <f t="shared" si="421"/>
        <v>1074296.6308016877</v>
      </c>
      <c r="BO483" s="66"/>
      <c r="BP483" s="66">
        <f t="shared" si="422"/>
        <v>33178342</v>
      </c>
      <c r="BQ483" s="66"/>
      <c r="BR483" s="435">
        <f t="shared" si="423"/>
        <v>6.5155656364173975E-2</v>
      </c>
      <c r="BS483" s="66"/>
      <c r="BT483" s="75"/>
      <c r="BU483" s="170"/>
      <c r="BV483" s="1"/>
      <c r="BW483" s="61">
        <f t="shared" si="399"/>
        <v>474</v>
      </c>
    </row>
    <row r="484" spans="2:75" x14ac:dyDescent="0.3">
      <c r="B484" s="158">
        <f t="shared" si="398"/>
        <v>44384</v>
      </c>
      <c r="C484" s="61"/>
      <c r="D484" s="17">
        <v>16812</v>
      </c>
      <c r="E484" s="16"/>
      <c r="F484" s="16"/>
      <c r="G484" s="16"/>
      <c r="H484" s="16">
        <f t="shared" si="400"/>
        <v>34102132</v>
      </c>
      <c r="I484" s="16"/>
      <c r="J484" s="436">
        <f t="shared" si="401"/>
        <v>4.9323286388392427E-4</v>
      </c>
      <c r="K484" s="16"/>
      <c r="L484" s="16"/>
      <c r="M484" s="16"/>
      <c r="N484" s="16">
        <f t="shared" si="402"/>
        <v>82631</v>
      </c>
      <c r="O484" s="16">
        <f t="shared" si="403"/>
        <v>71793.962105263156</v>
      </c>
      <c r="P484" s="41"/>
      <c r="Q484" s="17">
        <f t="shared" si="404"/>
        <v>82631</v>
      </c>
      <c r="R484" s="16"/>
      <c r="S484" s="60">
        <f t="shared" si="405"/>
        <v>1.6485847627128918E-3</v>
      </c>
      <c r="T484" s="16"/>
      <c r="U484" s="41"/>
      <c r="V484" s="10">
        <f t="shared" si="349"/>
        <v>376</v>
      </c>
      <c r="W484" s="34">
        <v>251</v>
      </c>
      <c r="X484" s="33">
        <v>4256</v>
      </c>
      <c r="Y484" s="33"/>
      <c r="Z484" s="33">
        <f t="shared" si="406"/>
        <v>962</v>
      </c>
      <c r="AA484" s="33">
        <f t="shared" si="407"/>
        <v>606672</v>
      </c>
      <c r="AB484" s="33"/>
      <c r="AC484" s="46">
        <f t="shared" si="408"/>
        <v>1.7789855484695208E-2</v>
      </c>
      <c r="AD484" s="33"/>
      <c r="AE484" s="33">
        <f t="shared" si="409"/>
        <v>1277.2042105263158</v>
      </c>
      <c r="AF484" s="50"/>
      <c r="AG484" s="33">
        <f t="shared" si="410"/>
        <v>1277</v>
      </c>
      <c r="AH484" s="33">
        <f>SUM(D455:D1136)</f>
        <v>1194325708.060914</v>
      </c>
      <c r="AI484" s="213">
        <f t="shared" si="411"/>
        <v>-0.26142278773857719</v>
      </c>
      <c r="AJ484" s="50"/>
      <c r="AK484" s="111"/>
      <c r="AL484" s="23">
        <f t="shared" si="412"/>
        <v>23028</v>
      </c>
      <c r="AM484" s="24"/>
      <c r="AN484" s="24"/>
      <c r="AO484" s="24">
        <v>178263</v>
      </c>
      <c r="AP484" s="24">
        <v>29168313</v>
      </c>
      <c r="AQ484" s="24">
        <v>20336656</v>
      </c>
      <c r="AR484" s="461">
        <f t="shared" si="413"/>
        <v>7.9011064739974233E-4</v>
      </c>
      <c r="AS484" s="25"/>
      <c r="AT484" s="25"/>
      <c r="AU484" s="24"/>
      <c r="AV484" s="298">
        <f t="shared" si="414"/>
        <v>0.85532227134655392</v>
      </c>
      <c r="AW484" s="298"/>
      <c r="AX484" s="24">
        <f t="shared" si="415"/>
        <v>61406.974736842109</v>
      </c>
      <c r="AY484" s="308"/>
      <c r="AZ484" s="111"/>
      <c r="BA484" s="65">
        <f t="shared" si="416"/>
        <v>486270</v>
      </c>
      <c r="BB484" s="66"/>
      <c r="BC484" s="66">
        <v>509702873</v>
      </c>
      <c r="BD484" s="66"/>
      <c r="BE484" s="66">
        <f t="shared" si="417"/>
        <v>16812</v>
      </c>
      <c r="BF484" s="66"/>
      <c r="BG484" s="144">
        <f t="shared" si="418"/>
        <v>3.4573385156394597E-2</v>
      </c>
      <c r="BH484" s="66"/>
      <c r="BI484" s="170"/>
      <c r="BJ484" s="66"/>
      <c r="BK484" s="66">
        <f t="shared" si="419"/>
        <v>3543745</v>
      </c>
      <c r="BL484" s="66"/>
      <c r="BM484" s="144">
        <f t="shared" si="420"/>
        <v>2.3317422670084895E-2</v>
      </c>
      <c r="BN484" s="65">
        <f t="shared" si="421"/>
        <v>1073058.68</v>
      </c>
      <c r="BO484" s="66"/>
      <c r="BP484" s="66">
        <f t="shared" si="422"/>
        <v>33195154</v>
      </c>
      <c r="BQ484" s="66"/>
      <c r="BR484" s="435">
        <f t="shared" si="423"/>
        <v>6.5126480069889664E-2</v>
      </c>
      <c r="BS484" s="66"/>
      <c r="BT484" s="75"/>
      <c r="BU484" s="170"/>
      <c r="BV484" s="1"/>
      <c r="BW484" s="61">
        <f t="shared" si="399"/>
        <v>475</v>
      </c>
    </row>
    <row r="485" spans="2:75" x14ac:dyDescent="0.3">
      <c r="B485" s="158">
        <f t="shared" si="398"/>
        <v>44385</v>
      </c>
      <c r="C485" s="61"/>
      <c r="D485" s="17">
        <v>19347</v>
      </c>
      <c r="E485" s="16"/>
      <c r="F485" s="16"/>
      <c r="G485" s="16"/>
      <c r="H485" s="16">
        <f t="shared" si="400"/>
        <v>34121479</v>
      </c>
      <c r="I485" s="16"/>
      <c r="J485" s="436">
        <f t="shared" si="401"/>
        <v>5.6732523350739477E-4</v>
      </c>
      <c r="K485" s="16"/>
      <c r="L485" s="16"/>
      <c r="M485" s="16"/>
      <c r="N485" s="16">
        <f t="shared" si="402"/>
        <v>85029</v>
      </c>
      <c r="O485" s="16">
        <f t="shared" si="403"/>
        <v>71683.779411764699</v>
      </c>
      <c r="P485" s="41"/>
      <c r="Q485" s="17">
        <f t="shared" si="404"/>
        <v>85029</v>
      </c>
      <c r="R485" s="16"/>
      <c r="S485" s="60">
        <f t="shared" si="405"/>
        <v>1.2442846256429796E-2</v>
      </c>
      <c r="T485" s="16"/>
      <c r="U485" s="41"/>
      <c r="V485" s="10">
        <f t="shared" si="349"/>
        <v>377</v>
      </c>
      <c r="W485" s="34">
        <v>261</v>
      </c>
      <c r="X485" s="33">
        <v>4256</v>
      </c>
      <c r="Y485" s="33"/>
      <c r="Z485" s="33">
        <f t="shared" si="406"/>
        <v>901</v>
      </c>
      <c r="AA485" s="33">
        <f t="shared" si="407"/>
        <v>606933</v>
      </c>
      <c r="AB485" s="33"/>
      <c r="AC485" s="46">
        <f t="shared" si="408"/>
        <v>1.7787417714220419E-2</v>
      </c>
      <c r="AD485" s="33"/>
      <c r="AE485" s="33">
        <f t="shared" si="409"/>
        <v>1275.0693277310925</v>
      </c>
      <c r="AF485" s="50"/>
      <c r="AG485" s="33">
        <f t="shared" si="410"/>
        <v>1223</v>
      </c>
      <c r="AH485" s="33">
        <f>SUM(D456:D1137)</f>
        <v>1194312166.060914</v>
      </c>
      <c r="AI485" s="213">
        <f t="shared" si="411"/>
        <v>-0.26502403846153844</v>
      </c>
      <c r="AJ485" s="50"/>
      <c r="AK485" s="111"/>
      <c r="AL485" s="23">
        <f t="shared" si="412"/>
        <v>34995</v>
      </c>
      <c r="AM485" s="24"/>
      <c r="AN485" s="24"/>
      <c r="AO485" s="24">
        <v>178263</v>
      </c>
      <c r="AP485" s="24">
        <v>29203308</v>
      </c>
      <c r="AQ485" s="24">
        <v>20336656</v>
      </c>
      <c r="AR485" s="461">
        <f t="shared" si="413"/>
        <v>1.1997608500704171E-3</v>
      </c>
      <c r="AS485" s="25"/>
      <c r="AT485" s="25"/>
      <c r="AU485" s="24"/>
      <c r="AV485" s="298">
        <f t="shared" si="414"/>
        <v>0.85586290090180439</v>
      </c>
      <c r="AW485" s="298"/>
      <c r="AX485" s="24">
        <f t="shared" si="415"/>
        <v>61351.487394957985</v>
      </c>
      <c r="AY485" s="308"/>
      <c r="AZ485" s="111"/>
      <c r="BA485" s="65">
        <f t="shared" si="416"/>
        <v>777468</v>
      </c>
      <c r="BB485" s="66"/>
      <c r="BC485" s="66">
        <v>510480341</v>
      </c>
      <c r="BD485" s="66"/>
      <c r="BE485" s="66">
        <f t="shared" si="417"/>
        <v>19347</v>
      </c>
      <c r="BF485" s="66"/>
      <c r="BG485" s="144">
        <f t="shared" si="418"/>
        <v>2.4884625476546945E-2</v>
      </c>
      <c r="BH485" s="66"/>
      <c r="BI485" s="170"/>
      <c r="BJ485" s="66"/>
      <c r="BK485" s="66">
        <f t="shared" si="419"/>
        <v>3875729</v>
      </c>
      <c r="BL485" s="66"/>
      <c r="BM485" s="144">
        <f t="shared" si="420"/>
        <v>2.193884040912045E-2</v>
      </c>
      <c r="BN485" s="65">
        <f t="shared" si="421"/>
        <v>1072437.6911764706</v>
      </c>
      <c r="BO485" s="66"/>
      <c r="BP485" s="66">
        <f t="shared" si="422"/>
        <v>33214501</v>
      </c>
      <c r="BQ485" s="66"/>
      <c r="BR485" s="435">
        <f t="shared" si="423"/>
        <v>6.5065191217618307E-2</v>
      </c>
      <c r="BS485" s="66"/>
      <c r="BT485" s="75"/>
      <c r="BU485" s="170"/>
      <c r="BV485" s="1"/>
      <c r="BW485" s="61">
        <f t="shared" si="399"/>
        <v>476</v>
      </c>
    </row>
    <row r="486" spans="2:75" x14ac:dyDescent="0.3">
      <c r="B486" s="158">
        <f t="shared" si="398"/>
        <v>44386</v>
      </c>
      <c r="C486" s="61"/>
      <c r="D486" s="17">
        <v>27237</v>
      </c>
      <c r="E486" s="16"/>
      <c r="F486" s="16"/>
      <c r="G486" s="16"/>
      <c r="H486" s="16">
        <f t="shared" si="400"/>
        <v>34148716</v>
      </c>
      <c r="I486" s="16"/>
      <c r="J486" s="436">
        <f t="shared" si="401"/>
        <v>7.9823620775641051E-4</v>
      </c>
      <c r="K486" s="16"/>
      <c r="L486" s="16"/>
      <c r="M486" s="16"/>
      <c r="N486" s="16">
        <f t="shared" si="402"/>
        <v>93867</v>
      </c>
      <c r="O486" s="16">
        <f t="shared" si="403"/>
        <v>71590.599580712791</v>
      </c>
      <c r="P486" s="41"/>
      <c r="Q486" s="17">
        <f t="shared" si="404"/>
        <v>93867</v>
      </c>
      <c r="R486" s="16"/>
      <c r="S486" s="60">
        <f t="shared" si="405"/>
        <v>8.0844253045620984E-2</v>
      </c>
      <c r="T486" s="16"/>
      <c r="U486" s="41"/>
      <c r="V486" s="10">
        <f t="shared" si="349"/>
        <v>378</v>
      </c>
      <c r="W486" s="34">
        <v>366</v>
      </c>
      <c r="X486" s="33">
        <v>4256</v>
      </c>
      <c r="Y486" s="33"/>
      <c r="Z486" s="33">
        <f t="shared" si="406"/>
        <v>1171</v>
      </c>
      <c r="AA486" s="33">
        <f t="shared" si="407"/>
        <v>607299</v>
      </c>
      <c r="AB486" s="33"/>
      <c r="AC486" s="46">
        <f t="shared" si="408"/>
        <v>1.7783948304234923E-2</v>
      </c>
      <c r="AD486" s="33"/>
      <c r="AE486" s="33">
        <f t="shared" si="409"/>
        <v>1273.1635220125786</v>
      </c>
      <c r="AF486" s="50"/>
      <c r="AG486" s="33">
        <f t="shared" si="410"/>
        <v>1267</v>
      </c>
      <c r="AH486" s="33">
        <f>SUM(D457:D1138)</f>
        <v>1194297965.060914</v>
      </c>
      <c r="AI486" s="213">
        <f t="shared" si="411"/>
        <v>-0.20762976860537835</v>
      </c>
      <c r="AJ486" s="50"/>
      <c r="AK486" s="111"/>
      <c r="AL486" s="23">
        <f t="shared" si="412"/>
        <v>19664</v>
      </c>
      <c r="AM486" s="24"/>
      <c r="AN486" s="24"/>
      <c r="AO486" s="24">
        <v>178263</v>
      </c>
      <c r="AP486" s="24">
        <v>29222972</v>
      </c>
      <c r="AQ486" s="24">
        <v>20336656</v>
      </c>
      <c r="AR486" s="461">
        <f t="shared" si="413"/>
        <v>6.7334837546486172E-4</v>
      </c>
      <c r="AS486" s="25"/>
      <c r="AT486" s="25"/>
      <c r="AU486" s="24"/>
      <c r="AV486" s="298">
        <f t="shared" si="414"/>
        <v>0.8557560992922838</v>
      </c>
      <c r="AW486" s="298"/>
      <c r="AX486" s="24">
        <f t="shared" si="415"/>
        <v>61264.092243186584</v>
      </c>
      <c r="AY486" s="308"/>
      <c r="AZ486" s="111"/>
      <c r="BA486" s="65">
        <f t="shared" si="416"/>
        <v>947663</v>
      </c>
      <c r="BB486" s="66"/>
      <c r="BC486" s="66">
        <v>511428004</v>
      </c>
      <c r="BD486" s="66"/>
      <c r="BE486" s="66">
        <f t="shared" si="417"/>
        <v>27237</v>
      </c>
      <c r="BF486" s="66"/>
      <c r="BG486" s="144">
        <f t="shared" si="418"/>
        <v>2.8741229740952216E-2</v>
      </c>
      <c r="BH486" s="66"/>
      <c r="BI486" s="170"/>
      <c r="BJ486" s="66"/>
      <c r="BK486" s="66">
        <f t="shared" si="419"/>
        <v>4081419</v>
      </c>
      <c r="BL486" s="66"/>
      <c r="BM486" s="144">
        <f t="shared" si="420"/>
        <v>2.2998618862704368E-2</v>
      </c>
      <c r="BN486" s="65">
        <f t="shared" si="421"/>
        <v>1072176.109014675</v>
      </c>
      <c r="BO486" s="66"/>
      <c r="BP486" s="66">
        <f t="shared" si="422"/>
        <v>33241738</v>
      </c>
      <c r="BQ486" s="66"/>
      <c r="BR486" s="435">
        <f t="shared" si="423"/>
        <v>6.4997883846814139E-2</v>
      </c>
      <c r="BS486" s="66"/>
      <c r="BT486" s="75"/>
      <c r="BU486" s="170"/>
      <c r="BV486" s="1"/>
      <c r="BW486" s="61">
        <f t="shared" si="399"/>
        <v>477</v>
      </c>
    </row>
    <row r="487" spans="2:75" x14ac:dyDescent="0.3">
      <c r="B487" s="158">
        <f t="shared" si="398"/>
        <v>44387</v>
      </c>
      <c r="C487" s="61"/>
      <c r="D487" s="17">
        <v>14535</v>
      </c>
      <c r="E487" s="16"/>
      <c r="F487" s="16"/>
      <c r="G487" s="16"/>
      <c r="H487" s="16">
        <f t="shared" si="400"/>
        <v>34163251</v>
      </c>
      <c r="I487" s="16"/>
      <c r="J487" s="436">
        <f t="shared" si="401"/>
        <v>4.2563825825837784E-4</v>
      </c>
      <c r="K487" s="16"/>
      <c r="L487" s="16"/>
      <c r="M487" s="16"/>
      <c r="N487" s="16">
        <f t="shared" si="402"/>
        <v>100424</v>
      </c>
      <c r="O487" s="16">
        <f t="shared" si="403"/>
        <v>71471.236401673639</v>
      </c>
      <c r="P487" s="41"/>
      <c r="Q487" s="17">
        <f t="shared" si="404"/>
        <v>100424</v>
      </c>
      <c r="R487" s="16"/>
      <c r="S487" s="60">
        <f t="shared" si="405"/>
        <v>0.13810376481787892</v>
      </c>
      <c r="T487" s="16"/>
      <c r="U487" s="41"/>
      <c r="V487" s="10">
        <f t="shared" si="349"/>
        <v>379</v>
      </c>
      <c r="W487" s="34">
        <v>118</v>
      </c>
      <c r="X487" s="33">
        <v>4256</v>
      </c>
      <c r="Y487" s="33"/>
      <c r="Z487" s="33">
        <f t="shared" si="406"/>
        <v>1234</v>
      </c>
      <c r="AA487" s="33">
        <f t="shared" si="407"/>
        <v>607417</v>
      </c>
      <c r="AB487" s="33"/>
      <c r="AC487" s="46">
        <f t="shared" si="408"/>
        <v>1.7779835999799903E-2</v>
      </c>
      <c r="AD487" s="33"/>
      <c r="AE487" s="33">
        <f t="shared" si="409"/>
        <v>1270.7468619246863</v>
      </c>
      <c r="AF487" s="50"/>
      <c r="AG487" s="33">
        <f t="shared" si="410"/>
        <v>1289</v>
      </c>
      <c r="AH487" s="33">
        <f>SUM(D458:D1139)</f>
        <v>1194281201.060914</v>
      </c>
      <c r="AI487" s="213">
        <f t="shared" si="411"/>
        <v>-0.16623544631306597</v>
      </c>
      <c r="AJ487" s="50"/>
      <c r="AK487" s="111"/>
      <c r="AL487" s="23">
        <f t="shared" si="412"/>
        <v>11958</v>
      </c>
      <c r="AM487" s="24"/>
      <c r="AN487" s="24"/>
      <c r="AO487" s="24">
        <v>178263</v>
      </c>
      <c r="AP487" s="24">
        <v>29234930</v>
      </c>
      <c r="AQ487" s="24">
        <v>20336656</v>
      </c>
      <c r="AR487" s="461">
        <f t="shared" si="413"/>
        <v>4.091986263409485E-4</v>
      </c>
      <c r="AS487" s="25"/>
      <c r="AT487" s="25"/>
      <c r="AU487" s="24"/>
      <c r="AV487" s="298">
        <f t="shared" si="414"/>
        <v>0.85574203696246587</v>
      </c>
      <c r="AW487" s="298"/>
      <c r="AX487" s="24">
        <f t="shared" si="415"/>
        <v>61160.941422594144</v>
      </c>
      <c r="AY487" s="308"/>
      <c r="AZ487" s="111"/>
      <c r="BA487" s="65">
        <f t="shared" si="416"/>
        <v>242661</v>
      </c>
      <c r="BB487" s="66"/>
      <c r="BC487" s="66">
        <v>511670665</v>
      </c>
      <c r="BD487" s="66"/>
      <c r="BE487" s="66">
        <f t="shared" si="417"/>
        <v>14535</v>
      </c>
      <c r="BF487" s="66"/>
      <c r="BG487" s="144">
        <f t="shared" si="418"/>
        <v>5.9898376747808672E-2</v>
      </c>
      <c r="BH487" s="66"/>
      <c r="BI487" s="170"/>
      <c r="BJ487" s="66"/>
      <c r="BK487" s="66">
        <f t="shared" si="419"/>
        <v>4068789</v>
      </c>
      <c r="BL487" s="66"/>
      <c r="BM487" s="144">
        <f t="shared" si="420"/>
        <v>2.4681545295172594E-2</v>
      </c>
      <c r="BN487" s="65">
        <f t="shared" si="421"/>
        <v>1070440.7217573221</v>
      </c>
      <c r="BO487" s="66"/>
      <c r="BP487" s="66">
        <f t="shared" si="422"/>
        <v>33256273</v>
      </c>
      <c r="BQ487" s="66"/>
      <c r="BR487" s="435">
        <f t="shared" si="423"/>
        <v>6.4995465393741111E-2</v>
      </c>
      <c r="BS487" s="66"/>
      <c r="BT487" s="75"/>
      <c r="BU487" s="170"/>
      <c r="BV487" s="1"/>
      <c r="BW487" s="61">
        <f t="shared" si="399"/>
        <v>478</v>
      </c>
    </row>
    <row r="488" spans="2:75" x14ac:dyDescent="0.3">
      <c r="B488" s="347">
        <f t="shared" si="398"/>
        <v>44388</v>
      </c>
      <c r="C488" s="61"/>
      <c r="D488" s="17">
        <v>6642</v>
      </c>
      <c r="E488" s="16"/>
      <c r="F488" s="16"/>
      <c r="G488" s="16"/>
      <c r="H488" s="16">
        <f t="shared" si="400"/>
        <v>34169893</v>
      </c>
      <c r="I488" s="16"/>
      <c r="J488" s="436">
        <f t="shared" si="401"/>
        <v>1.9441943625330037E-4</v>
      </c>
      <c r="K488" s="16"/>
      <c r="L488" s="16"/>
      <c r="M488" s="16"/>
      <c r="N488" s="16">
        <f t="shared" si="402"/>
        <v>101317</v>
      </c>
      <c r="O488" s="16">
        <f t="shared" si="403"/>
        <v>71335.893528183718</v>
      </c>
      <c r="P488" s="41"/>
      <c r="Q488" s="17">
        <f t="shared" si="404"/>
        <v>101317</v>
      </c>
      <c r="R488" s="16"/>
      <c r="S488" s="60">
        <f t="shared" si="405"/>
        <v>0.16884899805032244</v>
      </c>
      <c r="T488" s="16"/>
      <c r="U488" s="41"/>
      <c r="V488" s="10">
        <f t="shared" si="349"/>
        <v>380</v>
      </c>
      <c r="W488" s="34">
        <v>27</v>
      </c>
      <c r="X488" s="33">
        <v>4256</v>
      </c>
      <c r="Y488" s="33"/>
      <c r="Z488" s="33">
        <f t="shared" si="406"/>
        <v>1225</v>
      </c>
      <c r="AA488" s="33">
        <f t="shared" si="407"/>
        <v>607444</v>
      </c>
      <c r="AB488" s="33"/>
      <c r="AC488" s="46">
        <f t="shared" si="408"/>
        <v>1.777717009532339E-2</v>
      </c>
      <c r="AD488" s="33"/>
      <c r="AE488" s="33">
        <f t="shared" si="409"/>
        <v>1268.1503131524009</v>
      </c>
      <c r="AF488" s="50"/>
      <c r="AG488" s="33">
        <f t="shared" si="410"/>
        <v>1261</v>
      </c>
      <c r="AH488" s="33">
        <f>SUM(D459:D1140)</f>
        <v>1194265056.060914</v>
      </c>
      <c r="AI488" s="213">
        <f t="shared" si="411"/>
        <v>-0.15652173913043479</v>
      </c>
      <c r="AJ488" s="50"/>
      <c r="AK488" s="111"/>
      <c r="AL488" s="23">
        <f t="shared" si="412"/>
        <v>9173</v>
      </c>
      <c r="AM488" s="24"/>
      <c r="AN488" s="24"/>
      <c r="AO488" s="24">
        <v>178263</v>
      </c>
      <c r="AP488" s="24">
        <v>29244103</v>
      </c>
      <c r="AQ488" s="24">
        <v>20336656</v>
      </c>
      <c r="AR488" s="461">
        <f t="shared" si="413"/>
        <v>3.1376849542653256E-4</v>
      </c>
      <c r="AS488" s="25"/>
      <c r="AT488" s="25"/>
      <c r="AU488" s="24"/>
      <c r="AV488" s="298">
        <f t="shared" si="414"/>
        <v>0.85584414911688489</v>
      </c>
      <c r="AW488" s="298"/>
      <c r="AX488" s="24">
        <f t="shared" si="415"/>
        <v>61052.407098121083</v>
      </c>
      <c r="AY488" s="308"/>
      <c r="AZ488" s="111"/>
      <c r="BA488" s="65">
        <f t="shared" si="416"/>
        <v>134862</v>
      </c>
      <c r="BB488" s="66"/>
      <c r="BC488" s="66">
        <v>511805527</v>
      </c>
      <c r="BD488" s="66"/>
      <c r="BE488" s="66">
        <f t="shared" si="417"/>
        <v>6642</v>
      </c>
      <c r="BF488" s="66"/>
      <c r="BG488" s="144">
        <f t="shared" si="418"/>
        <v>4.9250344796903503E-2</v>
      </c>
      <c r="BH488" s="66"/>
      <c r="BI488" s="170"/>
      <c r="BJ488" s="66"/>
      <c r="BK488" s="66">
        <f t="shared" si="419"/>
        <v>3720515</v>
      </c>
      <c r="BL488" s="66"/>
      <c r="BM488" s="144">
        <f t="shared" si="420"/>
        <v>2.7231982669065975E-2</v>
      </c>
      <c r="BN488" s="65">
        <f t="shared" si="421"/>
        <v>1068487.5302713988</v>
      </c>
      <c r="BO488" s="66"/>
      <c r="BP488" s="66">
        <f t="shared" si="422"/>
        <v>33262915</v>
      </c>
      <c r="BQ488" s="66"/>
      <c r="BR488" s="435">
        <f t="shared" si="423"/>
        <v>6.4991316516204795E-2</v>
      </c>
      <c r="BS488" s="66"/>
      <c r="BT488" s="75"/>
      <c r="BU488" s="170"/>
      <c r="BV488" s="1"/>
      <c r="BW488" s="61">
        <f t="shared" si="399"/>
        <v>479</v>
      </c>
    </row>
    <row r="489" spans="2:75" x14ac:dyDescent="0.3">
      <c r="B489" s="158">
        <f t="shared" si="398"/>
        <v>44389</v>
      </c>
      <c r="C489" s="61"/>
      <c r="D489" s="17">
        <v>19996</v>
      </c>
      <c r="E489" s="16"/>
      <c r="F489" s="16"/>
      <c r="G489" s="16"/>
      <c r="H489" s="16">
        <f t="shared" si="400"/>
        <v>34189889</v>
      </c>
      <c r="I489" s="16"/>
      <c r="J489" s="436">
        <f t="shared" si="401"/>
        <v>5.8519352109179853E-4</v>
      </c>
      <c r="K489" s="16"/>
      <c r="L489" s="16"/>
      <c r="M489" s="16"/>
      <c r="N489" s="16">
        <f t="shared" si="402"/>
        <v>116181</v>
      </c>
      <c r="O489" s="16">
        <f t="shared" si="403"/>
        <v>71228.93541666666</v>
      </c>
      <c r="P489" s="41"/>
      <c r="Q489" s="17">
        <f t="shared" si="404"/>
        <v>116181</v>
      </c>
      <c r="R489" s="16"/>
      <c r="S489" s="60">
        <f t="shared" si="405"/>
        <v>0.45533689919955905</v>
      </c>
      <c r="T489" s="16"/>
      <c r="U489" s="41"/>
      <c r="V489" s="10">
        <f t="shared" si="349"/>
        <v>381</v>
      </c>
      <c r="W489" s="34">
        <v>163</v>
      </c>
      <c r="X489" s="33">
        <v>4256</v>
      </c>
      <c r="Y489" s="33"/>
      <c r="Z489" s="33">
        <f t="shared" si="406"/>
        <v>1186</v>
      </c>
      <c r="AA489" s="33">
        <f t="shared" si="407"/>
        <v>607607</v>
      </c>
      <c r="AB489" s="33"/>
      <c r="AC489" s="46">
        <f t="shared" si="408"/>
        <v>1.7771540586165695E-2</v>
      </c>
      <c r="AD489" s="33"/>
      <c r="AE489" s="33">
        <f t="shared" si="409"/>
        <v>1265.8479166666666</v>
      </c>
      <c r="AF489" s="50"/>
      <c r="AG489" s="33">
        <f t="shared" si="410"/>
        <v>1388</v>
      </c>
      <c r="AH489" s="33">
        <f>SUM(D460:D1141)</f>
        <v>1194255629.060914</v>
      </c>
      <c r="AI489" s="213">
        <f t="shared" si="411"/>
        <v>1.5362106803218726E-2</v>
      </c>
      <c r="AJ489" s="50"/>
      <c r="AK489" s="111"/>
      <c r="AL489" s="23">
        <f t="shared" si="412"/>
        <v>37544</v>
      </c>
      <c r="AM489" s="24"/>
      <c r="AN489" s="24"/>
      <c r="AO489" s="24">
        <v>178263</v>
      </c>
      <c r="AP489" s="24">
        <v>29281647</v>
      </c>
      <c r="AQ489" s="24">
        <v>20336656</v>
      </c>
      <c r="AR489" s="461">
        <f t="shared" si="413"/>
        <v>1.2838143813130463E-3</v>
      </c>
      <c r="AS489" s="25"/>
      <c r="AT489" s="25"/>
      <c r="AU489" s="24"/>
      <c r="AV489" s="298">
        <f t="shared" si="414"/>
        <v>0.85644171000379676</v>
      </c>
      <c r="AW489" s="298"/>
      <c r="AX489" s="24">
        <f t="shared" si="415"/>
        <v>61003.431250000001</v>
      </c>
      <c r="AY489" s="308"/>
      <c r="AZ489" s="111"/>
      <c r="BA489" s="65">
        <f t="shared" si="416"/>
        <v>1358363</v>
      </c>
      <c r="BB489" s="66"/>
      <c r="BC489" s="66">
        <v>513163890</v>
      </c>
      <c r="BD489" s="66"/>
      <c r="BE489" s="66">
        <f t="shared" si="417"/>
        <v>19996</v>
      </c>
      <c r="BF489" s="66"/>
      <c r="BG489" s="144">
        <f t="shared" si="418"/>
        <v>1.4720660088650825E-2</v>
      </c>
      <c r="BH489" s="66"/>
      <c r="BI489" s="170"/>
      <c r="BJ489" s="66"/>
      <c r="BK489" s="66">
        <f t="shared" si="419"/>
        <v>4698219</v>
      </c>
      <c r="BL489" s="66"/>
      <c r="BM489" s="144">
        <f t="shared" si="420"/>
        <v>2.4728732313244656E-2</v>
      </c>
      <c r="BN489" s="65">
        <f t="shared" si="421"/>
        <v>1069091.4375</v>
      </c>
      <c r="BO489" s="66"/>
      <c r="BP489" s="66">
        <f t="shared" si="422"/>
        <v>33282911</v>
      </c>
      <c r="BQ489" s="66"/>
      <c r="BR489" s="435">
        <f t="shared" si="423"/>
        <v>6.4858248307377978E-2</v>
      </c>
      <c r="BS489" s="66"/>
      <c r="BT489" s="75"/>
      <c r="BU489" s="170"/>
      <c r="BV489" s="1"/>
      <c r="BW489" s="61">
        <f t="shared" si="399"/>
        <v>480</v>
      </c>
    </row>
    <row r="490" spans="2:75" x14ac:dyDescent="0.3">
      <c r="B490" s="158">
        <f t="shared" si="398"/>
        <v>44390</v>
      </c>
      <c r="C490" s="61"/>
      <c r="D490" s="17">
        <v>39754</v>
      </c>
      <c r="E490" s="16"/>
      <c r="F490" s="16"/>
      <c r="G490" s="16"/>
      <c r="H490" s="16">
        <f t="shared" si="400"/>
        <v>34229643</v>
      </c>
      <c r="I490" s="16"/>
      <c r="J490" s="436">
        <f t="shared" si="401"/>
        <v>1.1627414174991912E-3</v>
      </c>
      <c r="K490" s="16"/>
      <c r="L490" s="16"/>
      <c r="M490" s="16"/>
      <c r="N490" s="16">
        <f t="shared" si="402"/>
        <v>144323</v>
      </c>
      <c r="O490" s="16">
        <f t="shared" si="403"/>
        <v>71163.498960498953</v>
      </c>
      <c r="P490" s="41"/>
      <c r="Q490" s="17">
        <f t="shared" si="404"/>
        <v>144323</v>
      </c>
      <c r="R490" s="16"/>
      <c r="S490" s="60">
        <f t="shared" si="405"/>
        <v>0.80367676464707061</v>
      </c>
      <c r="T490" s="16"/>
      <c r="U490" s="41"/>
      <c r="V490" s="10">
        <f t="shared" si="349"/>
        <v>382</v>
      </c>
      <c r="W490" s="34">
        <v>171</v>
      </c>
      <c r="X490" s="33">
        <v>4256</v>
      </c>
      <c r="Y490" s="33"/>
      <c r="Z490" s="33">
        <f t="shared" si="406"/>
        <v>1106</v>
      </c>
      <c r="AA490" s="33">
        <f t="shared" si="407"/>
        <v>607778</v>
      </c>
      <c r="AB490" s="33"/>
      <c r="AC490" s="46">
        <f t="shared" si="408"/>
        <v>1.7755896548497452E-2</v>
      </c>
      <c r="AD490" s="33"/>
      <c r="AE490" s="33">
        <f t="shared" si="409"/>
        <v>1263.5717255717257</v>
      </c>
      <c r="AF490" s="50"/>
      <c r="AG490" s="33">
        <f t="shared" si="410"/>
        <v>1357</v>
      </c>
      <c r="AH490" s="33">
        <f>SUM(D461:D1142)</f>
        <v>1194250344.060914</v>
      </c>
      <c r="AI490" s="213">
        <f t="shared" si="411"/>
        <v>6.431372549019608E-2</v>
      </c>
      <c r="AJ490" s="50"/>
      <c r="AK490" s="111" t="s">
        <v>26</v>
      </c>
      <c r="AL490" s="23">
        <f t="shared" si="412"/>
        <v>18353</v>
      </c>
      <c r="AM490" s="24"/>
      <c r="AN490" s="24"/>
      <c r="AO490" s="24">
        <v>178263</v>
      </c>
      <c r="AP490" s="24">
        <v>29300000</v>
      </c>
      <c r="AQ490" s="24">
        <v>20336656</v>
      </c>
      <c r="AR490" s="461">
        <f t="shared" si="413"/>
        <v>6.2677485320412473E-4</v>
      </c>
      <c r="AS490" s="25"/>
      <c r="AT490" s="25"/>
      <c r="AU490" s="24"/>
      <c r="AV490" s="298">
        <f t="shared" si="414"/>
        <v>0.85598321898945895</v>
      </c>
      <c r="AW490" s="298"/>
      <c r="AX490" s="24">
        <f t="shared" si="415"/>
        <v>60914.760914760918</v>
      </c>
      <c r="AY490" s="308"/>
      <c r="AZ490" s="111" t="s">
        <v>26</v>
      </c>
      <c r="BA490" s="65">
        <f t="shared" si="416"/>
        <v>536110</v>
      </c>
      <c r="BB490" s="66"/>
      <c r="BC490" s="66">
        <v>513700000</v>
      </c>
      <c r="BD490" s="66"/>
      <c r="BE490" s="66">
        <f t="shared" si="417"/>
        <v>39754</v>
      </c>
      <c r="BF490" s="66"/>
      <c r="BG490" s="144">
        <f t="shared" si="418"/>
        <v>7.4152692544440513E-2</v>
      </c>
      <c r="BH490" s="66"/>
      <c r="BI490" s="170"/>
      <c r="BJ490" s="66"/>
      <c r="BK490" s="66">
        <f t="shared" si="419"/>
        <v>4483397</v>
      </c>
      <c r="BL490" s="66"/>
      <c r="BM490" s="144">
        <f t="shared" si="420"/>
        <v>3.2190546587777077E-2</v>
      </c>
      <c r="BN490" s="65">
        <f t="shared" si="421"/>
        <v>1067983.367983368</v>
      </c>
      <c r="BO490" s="66"/>
      <c r="BP490" s="66">
        <f t="shared" si="422"/>
        <v>33322665</v>
      </c>
      <c r="BQ490" s="66"/>
      <c r="BR490" s="435">
        <f t="shared" si="423"/>
        <v>6.4867948218804747E-2</v>
      </c>
      <c r="BS490" s="66"/>
      <c r="BT490" s="75"/>
      <c r="BU490" s="170"/>
      <c r="BV490" s="1"/>
      <c r="BW490" s="61">
        <f t="shared" si="399"/>
        <v>481</v>
      </c>
    </row>
    <row r="491" spans="2:75" x14ac:dyDescent="0.3">
      <c r="B491" s="158">
        <f t="shared" si="398"/>
        <v>44391</v>
      </c>
      <c r="C491" s="61"/>
      <c r="D491" s="17">
        <v>35447</v>
      </c>
      <c r="E491" s="16"/>
      <c r="F491" s="16"/>
      <c r="G491" s="16"/>
      <c r="H491" s="16">
        <f t="shared" si="400"/>
        <v>34265090</v>
      </c>
      <c r="I491" s="16"/>
      <c r="J491" s="436">
        <f t="shared" si="401"/>
        <v>1.0355644083112406E-3</v>
      </c>
      <c r="K491" s="16"/>
      <c r="L491" s="16"/>
      <c r="M491" s="16"/>
      <c r="N491" s="16">
        <f t="shared" si="402"/>
        <v>162958</v>
      </c>
      <c r="O491" s="16">
        <f t="shared" si="403"/>
        <v>71089.398340248968</v>
      </c>
      <c r="P491" s="41"/>
      <c r="Q491" s="17">
        <f t="shared" si="404"/>
        <v>162958</v>
      </c>
      <c r="R491" s="16"/>
      <c r="S491" s="60">
        <f t="shared" si="405"/>
        <v>0.97211700209364527</v>
      </c>
      <c r="T491" s="16"/>
      <c r="U491" s="41"/>
      <c r="V491" s="10">
        <f t="shared" si="349"/>
        <v>383</v>
      </c>
      <c r="W491" s="34">
        <v>347</v>
      </c>
      <c r="X491" s="33">
        <v>4256</v>
      </c>
      <c r="Y491" s="33"/>
      <c r="Z491" s="33">
        <f t="shared" si="406"/>
        <v>1192</v>
      </c>
      <c r="AA491" s="33">
        <f t="shared" si="407"/>
        <v>608125</v>
      </c>
      <c r="AB491" s="33"/>
      <c r="AC491" s="46">
        <f t="shared" si="408"/>
        <v>1.7747655120707403E-2</v>
      </c>
      <c r="AD491" s="33"/>
      <c r="AE491" s="33">
        <f t="shared" si="409"/>
        <v>1261.6701244813278</v>
      </c>
      <c r="AF491" s="50"/>
      <c r="AG491" s="33">
        <f t="shared" si="410"/>
        <v>1453</v>
      </c>
      <c r="AH491" s="33">
        <f>SUM(D462:D1143)</f>
        <v>1194238823.060914</v>
      </c>
      <c r="AI491" s="213">
        <f t="shared" si="411"/>
        <v>0.13782302270947533</v>
      </c>
      <c r="AJ491" s="50"/>
      <c r="AK491" s="111"/>
      <c r="AL491" s="23">
        <f t="shared" si="412"/>
        <v>24300</v>
      </c>
      <c r="AM491" s="24"/>
      <c r="AN491" s="24"/>
      <c r="AO491" s="24">
        <v>178263</v>
      </c>
      <c r="AP491" s="24">
        <v>29324300</v>
      </c>
      <c r="AQ491" s="24">
        <v>20336656</v>
      </c>
      <c r="AR491" s="461">
        <f t="shared" si="413"/>
        <v>8.2935153583617749E-4</v>
      </c>
      <c r="AS491" s="25"/>
      <c r="AT491" s="25"/>
      <c r="AU491" s="24"/>
      <c r="AV491" s="298">
        <f t="shared" si="414"/>
        <v>0.85580688683438455</v>
      </c>
      <c r="AW491" s="298"/>
      <c r="AX491" s="24">
        <f t="shared" si="415"/>
        <v>60838.796680497922</v>
      </c>
      <c r="AY491" s="308"/>
      <c r="AZ491" s="111"/>
      <c r="BA491" s="65">
        <f t="shared" si="416"/>
        <v>874420</v>
      </c>
      <c r="BB491" s="66"/>
      <c r="BC491" s="66">
        <v>514574420</v>
      </c>
      <c r="BD491" s="66"/>
      <c r="BE491" s="66">
        <f t="shared" si="417"/>
        <v>35447</v>
      </c>
      <c r="BF491" s="66"/>
      <c r="BG491" s="144">
        <f t="shared" si="418"/>
        <v>4.0537727865327874E-2</v>
      </c>
      <c r="BH491" s="66"/>
      <c r="BI491" s="170"/>
      <c r="BJ491" s="66"/>
      <c r="BK491" s="66">
        <f t="shared" si="419"/>
        <v>4871547</v>
      </c>
      <c r="BL491" s="66"/>
      <c r="BM491" s="144">
        <f t="shared" si="420"/>
        <v>3.3450975634639266E-2</v>
      </c>
      <c r="BN491" s="65">
        <f t="shared" si="421"/>
        <v>1067581.7842323652</v>
      </c>
      <c r="BO491" s="66"/>
      <c r="BP491" s="66">
        <f t="shared" si="422"/>
        <v>33358112</v>
      </c>
      <c r="BQ491" s="66"/>
      <c r="BR491" s="435">
        <f t="shared" si="423"/>
        <v>6.4826603700976815E-2</v>
      </c>
      <c r="BS491" s="66"/>
      <c r="BT491" s="75"/>
      <c r="BU491" s="170"/>
      <c r="BV491" s="1"/>
      <c r="BW491" s="61">
        <f t="shared" si="399"/>
        <v>482</v>
      </c>
    </row>
    <row r="492" spans="2:75" x14ac:dyDescent="0.3">
      <c r="B492" s="158">
        <f t="shared" si="398"/>
        <v>44392</v>
      </c>
      <c r="C492" s="61"/>
      <c r="D492" s="17">
        <v>36674</v>
      </c>
      <c r="E492" s="16"/>
      <c r="F492" s="16"/>
      <c r="G492" s="16"/>
      <c r="H492" s="16">
        <f t="shared" si="400"/>
        <v>34301764</v>
      </c>
      <c r="I492" s="16"/>
      <c r="J492" s="436">
        <f t="shared" si="401"/>
        <v>1.0703021646813126E-3</v>
      </c>
      <c r="K492" s="16"/>
      <c r="L492" s="16"/>
      <c r="M492" s="16"/>
      <c r="N492" s="16">
        <f t="shared" si="402"/>
        <v>180285</v>
      </c>
      <c r="O492" s="16">
        <f t="shared" si="403"/>
        <v>71018.144927536225</v>
      </c>
      <c r="P492" s="41"/>
      <c r="Q492" s="17">
        <f t="shared" si="404"/>
        <v>180285</v>
      </c>
      <c r="R492" s="16"/>
      <c r="S492" s="60">
        <f t="shared" si="405"/>
        <v>1.1202766115090146</v>
      </c>
      <c r="T492" s="16"/>
      <c r="U492" s="41"/>
      <c r="V492" s="10">
        <f t="shared" si="349"/>
        <v>384</v>
      </c>
      <c r="W492" s="34">
        <v>344</v>
      </c>
      <c r="X492" s="33">
        <v>4256</v>
      </c>
      <c r="Y492" s="33"/>
      <c r="Z492" s="33">
        <f t="shared" si="406"/>
        <v>1170</v>
      </c>
      <c r="AA492" s="33">
        <f t="shared" si="407"/>
        <v>608469</v>
      </c>
      <c r="AB492" s="33"/>
      <c r="AC492" s="46">
        <f t="shared" si="408"/>
        <v>1.7738708714805453E-2</v>
      </c>
      <c r="AD492" s="33"/>
      <c r="AE492" s="33">
        <f t="shared" si="409"/>
        <v>1259.7701863354037</v>
      </c>
      <c r="AF492" s="50"/>
      <c r="AG492" s="33">
        <f t="shared" si="410"/>
        <v>1536</v>
      </c>
      <c r="AH492" s="33">
        <f>SUM(D463:D1144)</f>
        <v>1194226243.060914</v>
      </c>
      <c r="AI492" s="213">
        <f t="shared" si="411"/>
        <v>0.25592804578904332</v>
      </c>
      <c r="AJ492" s="50"/>
      <c r="AK492" s="111"/>
      <c r="AL492" s="23">
        <f t="shared" si="412"/>
        <v>17613</v>
      </c>
      <c r="AM492" s="24"/>
      <c r="AN492" s="24"/>
      <c r="AO492" s="24">
        <v>178263</v>
      </c>
      <c r="AP492" s="24">
        <v>29341913</v>
      </c>
      <c r="AQ492" s="24">
        <v>20336656</v>
      </c>
      <c r="AR492" s="461">
        <f t="shared" si="413"/>
        <v>6.006281479864822E-4</v>
      </c>
      <c r="AS492" s="25"/>
      <c r="AT492" s="25"/>
      <c r="AU492" s="24"/>
      <c r="AV492" s="298">
        <f t="shared" si="414"/>
        <v>0.85540536632460074</v>
      </c>
      <c r="AW492" s="298"/>
      <c r="AX492" s="24">
        <f t="shared" si="415"/>
        <v>60749.302277432711</v>
      </c>
      <c r="AY492" s="308"/>
      <c r="AZ492" s="111"/>
      <c r="BA492" s="65">
        <f t="shared" si="416"/>
        <v>637606</v>
      </c>
      <c r="BB492" s="66"/>
      <c r="BC492" s="66">
        <v>515212026</v>
      </c>
      <c r="BD492" s="66"/>
      <c r="BE492" s="66">
        <f t="shared" si="417"/>
        <v>36674</v>
      </c>
      <c r="BF492" s="66"/>
      <c r="BG492" s="144">
        <f t="shared" si="418"/>
        <v>5.7518279313557276E-2</v>
      </c>
      <c r="BH492" s="66"/>
      <c r="BI492" s="170"/>
      <c r="BJ492" s="66"/>
      <c r="BK492" s="66">
        <f t="shared" si="419"/>
        <v>4731685</v>
      </c>
      <c r="BL492" s="66"/>
      <c r="BM492" s="144">
        <f t="shared" si="420"/>
        <v>3.810164877839501E-2</v>
      </c>
      <c r="BN492" s="65">
        <f t="shared" si="421"/>
        <v>1066691.5652173914</v>
      </c>
      <c r="BO492" s="66"/>
      <c r="BP492" s="66">
        <f t="shared" si="422"/>
        <v>33394786</v>
      </c>
      <c r="BQ492" s="66"/>
      <c r="BR492" s="435">
        <f t="shared" si="423"/>
        <v>6.4817559208138517E-2</v>
      </c>
      <c r="BS492" s="66"/>
      <c r="BT492" s="75"/>
      <c r="BU492" s="170"/>
      <c r="BV492" s="1"/>
      <c r="BW492" s="61">
        <f t="shared" si="399"/>
        <v>483</v>
      </c>
    </row>
    <row r="493" spans="2:75" x14ac:dyDescent="0.3">
      <c r="B493" s="158">
        <f t="shared" si="398"/>
        <v>44393</v>
      </c>
      <c r="C493" s="61"/>
      <c r="D493" s="17">
        <v>40529</v>
      </c>
      <c r="E493" s="16"/>
      <c r="F493" s="16"/>
      <c r="G493" s="16"/>
      <c r="H493" s="16">
        <f t="shared" si="400"/>
        <v>34342293</v>
      </c>
      <c r="I493" s="16"/>
      <c r="J493" s="436">
        <f t="shared" si="401"/>
        <v>1.1815427334874089E-3</v>
      </c>
      <c r="K493" s="16"/>
      <c r="L493" s="16"/>
      <c r="M493" s="16"/>
      <c r="N493" s="16">
        <f t="shared" si="402"/>
        <v>193577</v>
      </c>
      <c r="O493" s="16">
        <f t="shared" si="403"/>
        <v>70955.150826446275</v>
      </c>
      <c r="P493" s="41"/>
      <c r="Q493" s="17">
        <f t="shared" si="404"/>
        <v>193577</v>
      </c>
      <c r="R493" s="16"/>
      <c r="S493" s="60">
        <f t="shared" si="405"/>
        <v>1.0622476482682945</v>
      </c>
      <c r="T493" s="16"/>
      <c r="U493" s="41"/>
      <c r="V493" s="10">
        <f t="shared" si="349"/>
        <v>385</v>
      </c>
      <c r="W493" s="34">
        <v>293</v>
      </c>
      <c r="X493" s="33">
        <v>4256</v>
      </c>
      <c r="Y493" s="33"/>
      <c r="Z493" s="33">
        <f t="shared" si="406"/>
        <v>1345</v>
      </c>
      <c r="AA493" s="33">
        <f t="shared" si="407"/>
        <v>608762</v>
      </c>
      <c r="AB493" s="33"/>
      <c r="AC493" s="46">
        <f t="shared" si="408"/>
        <v>1.7726306161327084E-2</v>
      </c>
      <c r="AD493" s="33"/>
      <c r="AE493" s="33">
        <f t="shared" si="409"/>
        <v>1257.7727272727273</v>
      </c>
      <c r="AF493" s="50"/>
      <c r="AG493" s="33">
        <f t="shared" si="410"/>
        <v>1463</v>
      </c>
      <c r="AH493" s="33">
        <f>SUM(D464:D1145)</f>
        <v>1194212180.060914</v>
      </c>
      <c r="AI493" s="213">
        <f t="shared" si="411"/>
        <v>0.15469613259668508</v>
      </c>
      <c r="AJ493" s="50"/>
      <c r="AK493" s="111"/>
      <c r="AL493" s="23">
        <f t="shared" si="412"/>
        <v>16618</v>
      </c>
      <c r="AM493" s="24"/>
      <c r="AN493" s="24"/>
      <c r="AO493" s="24">
        <v>178263</v>
      </c>
      <c r="AP493" s="24">
        <v>29358531</v>
      </c>
      <c r="AQ493" s="24">
        <v>20336656</v>
      </c>
      <c r="AR493" s="461">
        <f t="shared" si="413"/>
        <v>5.6635707426438075E-4</v>
      </c>
      <c r="AS493" s="25"/>
      <c r="AT493" s="25"/>
      <c r="AU493" s="24"/>
      <c r="AV493" s="298">
        <f t="shared" si="414"/>
        <v>0.85487975424355034</v>
      </c>
      <c r="AW493" s="298"/>
      <c r="AX493" s="24">
        <f t="shared" si="415"/>
        <v>60658.121900826445</v>
      </c>
      <c r="AY493" s="308"/>
      <c r="AZ493" s="111"/>
      <c r="BA493" s="65">
        <f t="shared" si="416"/>
        <v>852776</v>
      </c>
      <c r="BB493" s="66"/>
      <c r="BC493" s="66">
        <v>516064802</v>
      </c>
      <c r="BD493" s="66"/>
      <c r="BE493" s="66">
        <f t="shared" si="417"/>
        <v>40529</v>
      </c>
      <c r="BF493" s="66"/>
      <c r="BG493" s="144">
        <f t="shared" si="418"/>
        <v>4.7525962269107012E-2</v>
      </c>
      <c r="BH493" s="66"/>
      <c r="BI493" s="170"/>
      <c r="BJ493" s="66"/>
      <c r="BK493" s="66">
        <f t="shared" si="419"/>
        <v>4636798</v>
      </c>
      <c r="BL493" s="66"/>
      <c r="BM493" s="144">
        <f t="shared" si="420"/>
        <v>4.1747990747062952E-2</v>
      </c>
      <c r="BN493" s="65">
        <f t="shared" si="421"/>
        <v>1066249.5909090908</v>
      </c>
      <c r="BO493" s="66"/>
      <c r="BP493" s="66">
        <f t="shared" si="422"/>
        <v>33435315</v>
      </c>
      <c r="BQ493" s="66"/>
      <c r="BR493" s="435">
        <f t="shared" si="423"/>
        <v>6.478898555069447E-2</v>
      </c>
      <c r="BS493" s="66"/>
      <c r="BT493" s="75"/>
      <c r="BU493" s="170"/>
      <c r="BV493" s="1"/>
      <c r="BW493" s="61">
        <f t="shared" si="399"/>
        <v>484</v>
      </c>
    </row>
    <row r="494" spans="2:75" x14ac:dyDescent="0.3">
      <c r="B494" s="158">
        <f t="shared" si="398"/>
        <v>44394</v>
      </c>
      <c r="C494" s="61"/>
      <c r="D494" s="17">
        <v>24081</v>
      </c>
      <c r="E494" s="16"/>
      <c r="F494" s="16"/>
      <c r="G494" s="16"/>
      <c r="H494" s="16">
        <f t="shared" si="400"/>
        <v>34366374</v>
      </c>
      <c r="I494" s="16"/>
      <c r="J494" s="436">
        <f t="shared" si="401"/>
        <v>7.0120536214631911E-4</v>
      </c>
      <c r="K494" s="16"/>
      <c r="L494" s="16"/>
      <c r="M494" s="16"/>
      <c r="N494" s="16">
        <f t="shared" si="402"/>
        <v>203123</v>
      </c>
      <c r="O494" s="16">
        <f t="shared" si="403"/>
        <v>70858.503092783503</v>
      </c>
      <c r="P494" s="41"/>
      <c r="Q494" s="17">
        <f t="shared" si="404"/>
        <v>203123</v>
      </c>
      <c r="R494" s="16"/>
      <c r="S494" s="60">
        <f t="shared" si="405"/>
        <v>1.0226539472636023</v>
      </c>
      <c r="T494" s="16"/>
      <c r="U494" s="41"/>
      <c r="V494" s="10">
        <f t="shared" si="349"/>
        <v>386</v>
      </c>
      <c r="W494" s="34">
        <v>113</v>
      </c>
      <c r="X494" s="33">
        <v>4256</v>
      </c>
      <c r="Y494" s="33"/>
      <c r="Z494" s="33">
        <f t="shared" si="406"/>
        <v>1431</v>
      </c>
      <c r="AA494" s="33">
        <f t="shared" si="407"/>
        <v>608875</v>
      </c>
      <c r="AB494" s="33"/>
      <c r="AC494" s="46">
        <f t="shared" si="408"/>
        <v>1.7717173187954016E-2</v>
      </c>
      <c r="AD494" s="33"/>
      <c r="AE494" s="33">
        <f t="shared" si="409"/>
        <v>1255.4123711340205</v>
      </c>
      <c r="AF494" s="50"/>
      <c r="AG494" s="33">
        <f t="shared" si="410"/>
        <v>1458</v>
      </c>
      <c r="AH494" s="33">
        <f>SUM(D465:D1146)</f>
        <v>1194198447.060914</v>
      </c>
      <c r="AI494" s="213">
        <f t="shared" si="411"/>
        <v>0.13110938712179984</v>
      </c>
      <c r="AJ494" s="50"/>
      <c r="AK494" s="111"/>
      <c r="AL494" s="23">
        <f t="shared" si="412"/>
        <v>10650</v>
      </c>
      <c r="AM494" s="24"/>
      <c r="AN494" s="24"/>
      <c r="AO494" s="24">
        <v>178263</v>
      </c>
      <c r="AP494" s="24">
        <v>29369181</v>
      </c>
      <c r="AQ494" s="24">
        <v>20336656</v>
      </c>
      <c r="AR494" s="461">
        <f t="shared" si="413"/>
        <v>3.6275656980248774E-4</v>
      </c>
      <c r="AS494" s="25"/>
      <c r="AT494" s="25"/>
      <c r="AU494" s="24"/>
      <c r="AV494" s="298">
        <f t="shared" si="414"/>
        <v>0.8545906239628307</v>
      </c>
      <c r="AW494" s="298"/>
      <c r="AX494" s="24">
        <f t="shared" si="415"/>
        <v>60555.01237113402</v>
      </c>
      <c r="AY494" s="308"/>
      <c r="AZ494" s="111"/>
      <c r="BA494" s="65">
        <f t="shared" si="416"/>
        <v>212860</v>
      </c>
      <c r="BB494" s="66"/>
      <c r="BC494" s="66">
        <v>516277662</v>
      </c>
      <c r="BD494" s="66"/>
      <c r="BE494" s="66">
        <f t="shared" si="417"/>
        <v>24081</v>
      </c>
      <c r="BF494" s="66"/>
      <c r="BG494" s="144">
        <f t="shared" si="418"/>
        <v>0.11313069623226533</v>
      </c>
      <c r="BH494" s="66"/>
      <c r="BI494" s="170"/>
      <c r="BJ494" s="66"/>
      <c r="BK494" s="66">
        <f t="shared" si="419"/>
        <v>4606997</v>
      </c>
      <c r="BL494" s="66"/>
      <c r="BM494" s="144">
        <f t="shared" si="420"/>
        <v>4.409010902329652E-2</v>
      </c>
      <c r="BN494" s="65">
        <f t="shared" si="421"/>
        <v>1064490.024742268</v>
      </c>
      <c r="BO494" s="66"/>
      <c r="BP494" s="66">
        <f t="shared" si="422"/>
        <v>33459396</v>
      </c>
      <c r="BQ494" s="66"/>
      <c r="BR494" s="435">
        <f t="shared" si="423"/>
        <v>6.480891671815156E-2</v>
      </c>
      <c r="BS494" s="66"/>
      <c r="BT494" s="75"/>
      <c r="BU494" s="170"/>
      <c r="BV494" s="1"/>
      <c r="BW494" s="61">
        <f t="shared" si="399"/>
        <v>485</v>
      </c>
    </row>
    <row r="495" spans="2:75" x14ac:dyDescent="0.3">
      <c r="B495" s="347">
        <f t="shared" si="398"/>
        <v>44395</v>
      </c>
      <c r="C495" s="61"/>
      <c r="D495" s="17">
        <v>22278</v>
      </c>
      <c r="E495" s="16"/>
      <c r="F495" s="16"/>
      <c r="G495" s="16"/>
      <c r="H495" s="16">
        <f t="shared" si="400"/>
        <v>34388652</v>
      </c>
      <c r="I495" s="16"/>
      <c r="J495" s="436">
        <f t="shared" si="401"/>
        <v>6.4824994338943064E-4</v>
      </c>
      <c r="K495" s="16"/>
      <c r="L495" s="16"/>
      <c r="M495" s="16"/>
      <c r="N495" s="16">
        <f t="shared" si="402"/>
        <v>218759</v>
      </c>
      <c r="O495" s="16">
        <f t="shared" si="403"/>
        <v>70758.543209876545</v>
      </c>
      <c r="P495" s="41"/>
      <c r="Q495" s="17">
        <f t="shared" si="404"/>
        <v>218759</v>
      </c>
      <c r="R495" s="16"/>
      <c r="S495" s="60">
        <f t="shared" si="405"/>
        <v>1.1591539425762705</v>
      </c>
      <c r="T495" s="16"/>
      <c r="U495" s="41"/>
      <c r="V495" s="10">
        <f t="shared" si="349"/>
        <v>387</v>
      </c>
      <c r="W495" s="34">
        <v>82</v>
      </c>
      <c r="X495" s="33">
        <v>4256</v>
      </c>
      <c r="Y495" s="33"/>
      <c r="Z495" s="33">
        <f t="shared" si="406"/>
        <v>1350</v>
      </c>
      <c r="AA495" s="33">
        <f t="shared" si="407"/>
        <v>608957</v>
      </c>
      <c r="AB495" s="33"/>
      <c r="AC495" s="46">
        <f t="shared" si="408"/>
        <v>1.7708079979407161E-2</v>
      </c>
      <c r="AD495" s="33"/>
      <c r="AE495" s="33">
        <f t="shared" si="409"/>
        <v>1252.9979423868313</v>
      </c>
      <c r="AF495" s="50"/>
      <c r="AG495" s="33">
        <f t="shared" si="410"/>
        <v>1513</v>
      </c>
      <c r="AH495" s="33">
        <f>SUM(D466:D1147)</f>
        <v>1194185058.060914</v>
      </c>
      <c r="AI495" s="213">
        <f t="shared" si="411"/>
        <v>0.19984139571768439</v>
      </c>
      <c r="AJ495" s="50"/>
      <c r="AK495" s="111"/>
      <c r="AL495" s="23">
        <f t="shared" si="412"/>
        <v>11352</v>
      </c>
      <c r="AM495" s="24"/>
      <c r="AN495" s="24"/>
      <c r="AO495" s="24">
        <v>178263</v>
      </c>
      <c r="AP495" s="24">
        <v>29380533</v>
      </c>
      <c r="AQ495" s="24">
        <v>20336656</v>
      </c>
      <c r="AR495" s="461">
        <f t="shared" si="413"/>
        <v>3.8652763248658519E-4</v>
      </c>
      <c r="AS495" s="25"/>
      <c r="AT495" s="25"/>
      <c r="AU495" s="24"/>
      <c r="AV495" s="298">
        <f t="shared" si="414"/>
        <v>0.85436710342702582</v>
      </c>
      <c r="AW495" s="298"/>
      <c r="AX495" s="24">
        <f t="shared" si="415"/>
        <v>60453.771604938273</v>
      </c>
      <c r="AY495" s="308"/>
      <c r="AZ495" s="111"/>
      <c r="BA495" s="65">
        <f t="shared" si="416"/>
        <v>1092874</v>
      </c>
      <c r="BB495" s="66"/>
      <c r="BC495" s="66">
        <v>517370536</v>
      </c>
      <c r="BD495" s="66"/>
      <c r="BE495" s="66">
        <f t="shared" si="417"/>
        <v>22278</v>
      </c>
      <c r="BF495" s="66"/>
      <c r="BG495" s="144">
        <f t="shared" si="418"/>
        <v>2.0384783607259392E-2</v>
      </c>
      <c r="BH495" s="66"/>
      <c r="BI495" s="170"/>
      <c r="BJ495" s="66"/>
      <c r="BK495" s="66">
        <f t="shared" si="419"/>
        <v>5565009</v>
      </c>
      <c r="BL495" s="66"/>
      <c r="BM495" s="144">
        <f t="shared" si="420"/>
        <v>3.9309729777615814E-2</v>
      </c>
      <c r="BN495" s="65">
        <f t="shared" si="421"/>
        <v>1064548.4279835392</v>
      </c>
      <c r="BO495" s="66"/>
      <c r="BP495" s="66">
        <f t="shared" si="422"/>
        <v>33481674</v>
      </c>
      <c r="BQ495" s="66"/>
      <c r="BR495" s="435">
        <f t="shared" si="423"/>
        <v>6.4715076855478296E-2</v>
      </c>
      <c r="BS495" s="66"/>
      <c r="BT495" s="75"/>
      <c r="BU495" s="170"/>
      <c r="BV495" s="1"/>
      <c r="BW495" s="61">
        <f t="shared" si="399"/>
        <v>486</v>
      </c>
    </row>
    <row r="496" spans="2:75" x14ac:dyDescent="0.3">
      <c r="B496" s="158">
        <f t="shared" si="398"/>
        <v>44396</v>
      </c>
      <c r="C496" s="61"/>
      <c r="D496" s="17">
        <v>32576</v>
      </c>
      <c r="E496" s="16"/>
      <c r="F496" s="16"/>
      <c r="G496" s="16"/>
      <c r="H496" s="16">
        <f t="shared" si="400"/>
        <v>34421228</v>
      </c>
      <c r="I496" s="16"/>
      <c r="J496" s="436">
        <f t="shared" si="401"/>
        <v>9.4728923948516502E-4</v>
      </c>
      <c r="K496" s="16"/>
      <c r="L496" s="16"/>
      <c r="M496" s="16"/>
      <c r="N496" s="16">
        <f t="shared" si="402"/>
        <v>231339</v>
      </c>
      <c r="O496" s="16">
        <f t="shared" si="403"/>
        <v>70680.139630390142</v>
      </c>
      <c r="P496" s="41"/>
      <c r="Q496" s="17">
        <f t="shared" si="404"/>
        <v>231339</v>
      </c>
      <c r="R496" s="16"/>
      <c r="S496" s="60">
        <f t="shared" si="405"/>
        <v>0.99119477367211506</v>
      </c>
      <c r="T496" s="16"/>
      <c r="U496" s="41"/>
      <c r="V496" s="10">
        <f t="shared" si="349"/>
        <v>388</v>
      </c>
      <c r="W496" s="34">
        <v>137</v>
      </c>
      <c r="X496" s="33">
        <v>4256</v>
      </c>
      <c r="Y496" s="33"/>
      <c r="Z496" s="33">
        <f t="shared" si="406"/>
        <v>1316</v>
      </c>
      <c r="AA496" s="33">
        <f t="shared" si="407"/>
        <v>609094</v>
      </c>
      <c r="AB496" s="33"/>
      <c r="AC496" s="46">
        <f t="shared" si="408"/>
        <v>1.7695301283266244E-2</v>
      </c>
      <c r="AD496" s="33"/>
      <c r="AE496" s="33">
        <f t="shared" si="409"/>
        <v>1250.7063655030802</v>
      </c>
      <c r="AF496" s="50"/>
      <c r="AG496" s="33">
        <f t="shared" si="410"/>
        <v>1487</v>
      </c>
      <c r="AH496" s="33">
        <f>SUM(D467:D1148)</f>
        <v>1194177276.060914</v>
      </c>
      <c r="AI496" s="213">
        <f t="shared" si="411"/>
        <v>7.1325648414985593E-2</v>
      </c>
      <c r="AJ496" s="50"/>
      <c r="AK496" s="111"/>
      <c r="AL496" s="23">
        <f t="shared" si="412"/>
        <v>31423</v>
      </c>
      <c r="AM496" s="24"/>
      <c r="AN496" s="24"/>
      <c r="AO496" s="24">
        <v>178263</v>
      </c>
      <c r="AP496" s="24">
        <v>29411956</v>
      </c>
      <c r="AQ496" s="24">
        <v>20336656</v>
      </c>
      <c r="AR496" s="461">
        <f t="shared" si="413"/>
        <v>1.0695176973133877E-3</v>
      </c>
      <c r="AS496" s="25"/>
      <c r="AT496" s="25"/>
      <c r="AU496" s="24"/>
      <c r="AV496" s="298">
        <f t="shared" si="414"/>
        <v>0.85447143257062186</v>
      </c>
      <c r="AW496" s="298"/>
      <c r="AX496" s="24">
        <f t="shared" si="415"/>
        <v>60394.160164271045</v>
      </c>
      <c r="AY496" s="308"/>
      <c r="AZ496" s="111"/>
      <c r="BA496" s="65">
        <f t="shared" si="416"/>
        <v>614626</v>
      </c>
      <c r="BB496" s="66"/>
      <c r="BC496" s="66">
        <v>517985162</v>
      </c>
      <c r="BD496" s="66"/>
      <c r="BE496" s="66">
        <f t="shared" si="417"/>
        <v>32576</v>
      </c>
      <c r="BF496" s="66"/>
      <c r="BG496" s="144">
        <f t="shared" si="418"/>
        <v>5.3001337398678218E-2</v>
      </c>
      <c r="BH496" s="66"/>
      <c r="BI496" s="170"/>
      <c r="BJ496" s="66"/>
      <c r="BK496" s="66">
        <f t="shared" si="419"/>
        <v>4821272</v>
      </c>
      <c r="BL496" s="66"/>
      <c r="BM496" s="144">
        <f t="shared" si="420"/>
        <v>4.7982980425082838E-2</v>
      </c>
      <c r="BN496" s="65">
        <f t="shared" si="421"/>
        <v>1063624.5626283367</v>
      </c>
      <c r="BO496" s="66"/>
      <c r="BP496" s="66">
        <f t="shared" si="422"/>
        <v>33514250</v>
      </c>
      <c r="BQ496" s="66"/>
      <c r="BR496" s="435">
        <f t="shared" si="423"/>
        <v>6.4701177675819219E-2</v>
      </c>
      <c r="BS496" s="66"/>
      <c r="BT496" s="75"/>
      <c r="BU496" s="170"/>
      <c r="BV496" s="1"/>
      <c r="BW496" s="61">
        <f t="shared" si="399"/>
        <v>487</v>
      </c>
    </row>
    <row r="497" spans="2:75" x14ac:dyDescent="0.3">
      <c r="B497" s="158">
        <f t="shared" si="398"/>
        <v>44397</v>
      </c>
      <c r="C497" s="61"/>
      <c r="D497" s="17">
        <v>44232</v>
      </c>
      <c r="E497" s="16"/>
      <c r="F497" s="16"/>
      <c r="G497" s="16"/>
      <c r="H497" s="16">
        <f t="shared" si="400"/>
        <v>34465460</v>
      </c>
      <c r="I497" s="16"/>
      <c r="J497" s="436">
        <f t="shared" si="401"/>
        <v>1.2850209760093393E-3</v>
      </c>
      <c r="K497" s="16"/>
      <c r="L497" s="16"/>
      <c r="M497" s="16"/>
      <c r="N497" s="16">
        <f t="shared" si="402"/>
        <v>235817</v>
      </c>
      <c r="O497" s="16">
        <f t="shared" si="403"/>
        <v>70625.942622950824</v>
      </c>
      <c r="P497" s="41"/>
      <c r="Q497" s="17">
        <f t="shared" si="404"/>
        <v>235817</v>
      </c>
      <c r="R497" s="16"/>
      <c r="S497" s="60">
        <f t="shared" si="405"/>
        <v>0.63395300818303391</v>
      </c>
      <c r="T497" s="16"/>
      <c r="U497" s="41"/>
      <c r="V497" s="10">
        <f t="shared" si="349"/>
        <v>389</v>
      </c>
      <c r="W497" s="34">
        <v>256</v>
      </c>
      <c r="X497" s="33">
        <v>4256</v>
      </c>
      <c r="Y497" s="33"/>
      <c r="Z497" s="33">
        <f t="shared" si="406"/>
        <v>1225</v>
      </c>
      <c r="AA497" s="33">
        <f t="shared" si="407"/>
        <v>609350</v>
      </c>
      <c r="AB497" s="33"/>
      <c r="AC497" s="46">
        <f t="shared" si="408"/>
        <v>1.7680019358511392E-2</v>
      </c>
      <c r="AD497" s="33"/>
      <c r="AE497" s="33">
        <f t="shared" si="409"/>
        <v>1248.6680327868853</v>
      </c>
      <c r="AF497" s="50"/>
      <c r="AG497" s="33">
        <f t="shared" si="410"/>
        <v>1572</v>
      </c>
      <c r="AH497" s="33">
        <f>SUM(D468:D1149)</f>
        <v>1194172854.060914</v>
      </c>
      <c r="AI497" s="213">
        <f t="shared" si="411"/>
        <v>0.15843773028739869</v>
      </c>
      <c r="AJ497" s="50"/>
      <c r="AK497" s="111"/>
      <c r="AL497" s="23">
        <f t="shared" si="412"/>
        <v>23215</v>
      </c>
      <c r="AM497" s="24"/>
      <c r="AN497" s="24"/>
      <c r="AO497" s="24">
        <v>178263</v>
      </c>
      <c r="AP497" s="24">
        <v>29435171</v>
      </c>
      <c r="AQ497" s="24">
        <v>20336656</v>
      </c>
      <c r="AR497" s="461">
        <f t="shared" si="413"/>
        <v>7.8930486636114917E-4</v>
      </c>
      <c r="AS497" s="25"/>
      <c r="AT497" s="25"/>
      <c r="AU497" s="24"/>
      <c r="AV497" s="298">
        <f t="shared" si="414"/>
        <v>0.85404840092080592</v>
      </c>
      <c r="AW497" s="298"/>
      <c r="AX497" s="24">
        <f t="shared" si="415"/>
        <v>60317.973360655735</v>
      </c>
      <c r="AY497" s="308"/>
      <c r="AZ497" s="111"/>
      <c r="BA497" s="65">
        <f t="shared" si="416"/>
        <v>673069</v>
      </c>
      <c r="BB497" s="66"/>
      <c r="BC497" s="66">
        <v>518658231</v>
      </c>
      <c r="BD497" s="66"/>
      <c r="BE497" s="66">
        <f t="shared" si="417"/>
        <v>44232</v>
      </c>
      <c r="BF497" s="66"/>
      <c r="BG497" s="144">
        <f t="shared" si="418"/>
        <v>6.571688786736575E-2</v>
      </c>
      <c r="BH497" s="66"/>
      <c r="BI497" s="170"/>
      <c r="BJ497" s="66"/>
      <c r="BK497" s="66">
        <f t="shared" si="419"/>
        <v>4958231</v>
      </c>
      <c r="BL497" s="66"/>
      <c r="BM497" s="144">
        <f t="shared" si="420"/>
        <v>4.7560712681599546E-2</v>
      </c>
      <c r="BN497" s="65">
        <f t="shared" si="421"/>
        <v>1062824.2438524591</v>
      </c>
      <c r="BO497" s="66"/>
      <c r="BP497" s="66">
        <f t="shared" si="422"/>
        <v>33558482</v>
      </c>
      <c r="BQ497" s="66"/>
      <c r="BR497" s="435">
        <f t="shared" si="423"/>
        <v>6.4702495775103203E-2</v>
      </c>
      <c r="BS497" s="66"/>
      <c r="BT497" s="75"/>
      <c r="BU497" s="170"/>
      <c r="BV497" s="1"/>
      <c r="BW497" s="61">
        <f t="shared" si="399"/>
        <v>488</v>
      </c>
    </row>
    <row r="498" spans="2:75" x14ac:dyDescent="0.3">
      <c r="B498" s="158">
        <f t="shared" si="398"/>
        <v>44398</v>
      </c>
      <c r="C498" s="61"/>
      <c r="D498" s="17">
        <v>56525</v>
      </c>
      <c r="E498" s="16"/>
      <c r="F498" s="16"/>
      <c r="G498" s="16"/>
      <c r="H498" s="16">
        <f t="shared" si="400"/>
        <v>34521985</v>
      </c>
      <c r="I498" s="16"/>
      <c r="J498" s="436">
        <f t="shared" si="401"/>
        <v>1.6400477463524351E-3</v>
      </c>
      <c r="K498" s="16"/>
      <c r="L498" s="16"/>
      <c r="M498" s="16"/>
      <c r="N498" s="16">
        <f t="shared" si="402"/>
        <v>256895</v>
      </c>
      <c r="O498" s="16">
        <f t="shared" si="403"/>
        <v>70597.106339468301</v>
      </c>
      <c r="P498" s="41"/>
      <c r="Q498" s="17">
        <f t="shared" si="404"/>
        <v>256895</v>
      </c>
      <c r="R498" s="16"/>
      <c r="S498" s="60">
        <f t="shared" si="405"/>
        <v>0.57644914640582234</v>
      </c>
      <c r="T498" s="16"/>
      <c r="U498" s="41"/>
      <c r="V498" s="10">
        <f t="shared" si="349"/>
        <v>390</v>
      </c>
      <c r="W498" s="34">
        <v>416</v>
      </c>
      <c r="X498" s="33">
        <v>4256</v>
      </c>
      <c r="Y498" s="33"/>
      <c r="Z498" s="33">
        <f t="shared" si="406"/>
        <v>1297</v>
      </c>
      <c r="AA498" s="33">
        <f t="shared" si="407"/>
        <v>609766</v>
      </c>
      <c r="AB498" s="33"/>
      <c r="AC498" s="46">
        <f t="shared" si="408"/>
        <v>1.7663121051700821E-2</v>
      </c>
      <c r="AD498" s="33"/>
      <c r="AE498" s="33">
        <f t="shared" si="409"/>
        <v>1246.9652351738241</v>
      </c>
      <c r="AF498" s="50"/>
      <c r="AG498" s="33">
        <f t="shared" si="410"/>
        <v>1641</v>
      </c>
      <c r="AH498" s="33">
        <f>SUM(D469:D1150)</f>
        <v>1194163099.060914</v>
      </c>
      <c r="AI498" s="213">
        <f t="shared" si="411"/>
        <v>0.12938747419132829</v>
      </c>
      <c r="AJ498" s="50"/>
      <c r="AK498" s="111"/>
      <c r="AL498" s="23">
        <f t="shared" si="412"/>
        <v>23232</v>
      </c>
      <c r="AM498" s="24"/>
      <c r="AN498" s="24"/>
      <c r="AO498" s="24">
        <v>178263</v>
      </c>
      <c r="AP498" s="24">
        <v>29458403</v>
      </c>
      <c r="AQ498" s="24">
        <v>20336656</v>
      </c>
      <c r="AR498" s="461">
        <f t="shared" si="413"/>
        <v>7.8925989592518425E-4</v>
      </c>
      <c r="AS498" s="25"/>
      <c r="AT498" s="25"/>
      <c r="AU498" s="24"/>
      <c r="AV498" s="298">
        <f t="shared" si="414"/>
        <v>0.85332297664806933</v>
      </c>
      <c r="AW498" s="298"/>
      <c r="AX498" s="24">
        <f t="shared" si="415"/>
        <v>60242.132924335376</v>
      </c>
      <c r="AY498" s="308"/>
      <c r="AZ498" s="111"/>
      <c r="BA498" s="65">
        <f t="shared" si="416"/>
        <v>822020</v>
      </c>
      <c r="BB498" s="66"/>
      <c r="BC498" s="66">
        <v>519480251</v>
      </c>
      <c r="BD498" s="66"/>
      <c r="BE498" s="66">
        <f t="shared" si="417"/>
        <v>56525</v>
      </c>
      <c r="BF498" s="66"/>
      <c r="BG498" s="144">
        <f t="shared" si="418"/>
        <v>6.8763533733972412E-2</v>
      </c>
      <c r="BH498" s="66"/>
      <c r="BI498" s="170"/>
      <c r="BJ498" s="66"/>
      <c r="BK498" s="66">
        <f t="shared" si="419"/>
        <v>4905831</v>
      </c>
      <c r="BL498" s="66"/>
      <c r="BM498" s="144">
        <f t="shared" si="420"/>
        <v>5.2365236389105126E-2</v>
      </c>
      <c r="BN498" s="65">
        <f t="shared" si="421"/>
        <v>1062331.8016359918</v>
      </c>
      <c r="BO498" s="66"/>
      <c r="BP498" s="66">
        <f t="shared" si="422"/>
        <v>33615007</v>
      </c>
      <c r="BQ498" s="66"/>
      <c r="BR498" s="435">
        <f t="shared" si="423"/>
        <v>6.4708921918188569E-2</v>
      </c>
      <c r="BS498" s="66"/>
      <c r="BT498" s="75"/>
      <c r="BU498" s="170"/>
      <c r="BV498" s="1"/>
      <c r="BW498" s="61">
        <f t="shared" si="399"/>
        <v>489</v>
      </c>
    </row>
    <row r="499" spans="2:75" x14ac:dyDescent="0.3">
      <c r="B499" s="158">
        <f t="shared" si="398"/>
        <v>44399</v>
      </c>
      <c r="C499" s="61"/>
      <c r="D499" s="17">
        <v>61651</v>
      </c>
      <c r="E499" s="16"/>
      <c r="F499" s="16"/>
      <c r="G499" s="16"/>
      <c r="H499" s="16">
        <f t="shared" si="400"/>
        <v>34583636</v>
      </c>
      <c r="I499" s="16"/>
      <c r="J499" s="436">
        <f t="shared" si="401"/>
        <v>1.7858474824086737E-3</v>
      </c>
      <c r="K499" s="16"/>
      <c r="L499" s="16"/>
      <c r="M499" s="16"/>
      <c r="N499" s="16">
        <f t="shared" si="402"/>
        <v>281872</v>
      </c>
      <c r="O499" s="16">
        <f t="shared" si="403"/>
        <v>70578.848979591843</v>
      </c>
      <c r="P499" s="41"/>
      <c r="Q499" s="17">
        <f t="shared" si="404"/>
        <v>281872</v>
      </c>
      <c r="R499" s="16"/>
      <c r="S499" s="60">
        <f t="shared" si="405"/>
        <v>0.56348004548353992</v>
      </c>
      <c r="T499" s="16"/>
      <c r="U499" s="41"/>
      <c r="V499" s="10">
        <f t="shared" si="349"/>
        <v>391</v>
      </c>
      <c r="W499" s="34">
        <v>365</v>
      </c>
      <c r="X499" s="33">
        <v>4256</v>
      </c>
      <c r="Y499" s="33"/>
      <c r="Z499" s="33">
        <f t="shared" si="406"/>
        <v>1369</v>
      </c>
      <c r="AA499" s="33">
        <f t="shared" si="407"/>
        <v>610131</v>
      </c>
      <c r="AB499" s="33"/>
      <c r="AC499" s="46">
        <f t="shared" si="408"/>
        <v>1.7642187767648261E-2</v>
      </c>
      <c r="AD499" s="33"/>
      <c r="AE499" s="33">
        <f t="shared" si="409"/>
        <v>1245.165306122449</v>
      </c>
      <c r="AF499" s="50"/>
      <c r="AG499" s="33">
        <f t="shared" si="410"/>
        <v>1662</v>
      </c>
      <c r="AH499" s="33">
        <f>SUM(D470:D1151)</f>
        <v>1194150225.060914</v>
      </c>
      <c r="AI499" s="213">
        <f t="shared" si="411"/>
        <v>8.203125E-2</v>
      </c>
      <c r="AJ499" s="50"/>
      <c r="AK499" s="111"/>
      <c r="AL499" s="23">
        <f t="shared" si="412"/>
        <v>19770</v>
      </c>
      <c r="AM499" s="24"/>
      <c r="AN499" s="24"/>
      <c r="AO499" s="24">
        <v>178263</v>
      </c>
      <c r="AP499" s="24">
        <v>29478173</v>
      </c>
      <c r="AQ499" s="24">
        <v>20336656</v>
      </c>
      <c r="AR499" s="461">
        <f t="shared" si="413"/>
        <v>6.7111581031734817E-4</v>
      </c>
      <c r="AS499" s="25"/>
      <c r="AT499" s="25"/>
      <c r="AU499" s="24"/>
      <c r="AV499" s="298">
        <f t="shared" si="414"/>
        <v>0.85237344621600808</v>
      </c>
      <c r="AW499" s="298"/>
      <c r="AX499" s="24">
        <f t="shared" si="415"/>
        <v>60159.53673469388</v>
      </c>
      <c r="AY499" s="308"/>
      <c r="AZ499" s="111"/>
      <c r="BA499" s="65">
        <f t="shared" si="416"/>
        <v>931237</v>
      </c>
      <c r="BB499" s="66"/>
      <c r="BC499" s="66">
        <v>520411488</v>
      </c>
      <c r="BD499" s="66"/>
      <c r="BE499" s="66">
        <f t="shared" si="417"/>
        <v>61651</v>
      </c>
      <c r="BF499" s="66"/>
      <c r="BG499" s="144">
        <f t="shared" si="418"/>
        <v>6.6203340288240264E-2</v>
      </c>
      <c r="BH499" s="66"/>
      <c r="BI499" s="170"/>
      <c r="BJ499" s="66"/>
      <c r="BK499" s="66">
        <f t="shared" si="419"/>
        <v>5199462</v>
      </c>
      <c r="BL499" s="66"/>
      <c r="BM499" s="144">
        <f t="shared" si="420"/>
        <v>5.4211762678523276E-2</v>
      </c>
      <c r="BN499" s="65">
        <f t="shared" si="421"/>
        <v>1062064.2612244899</v>
      </c>
      <c r="BO499" s="66"/>
      <c r="BP499" s="66">
        <f t="shared" si="422"/>
        <v>33676658</v>
      </c>
      <c r="BQ499" s="66"/>
      <c r="BR499" s="435">
        <f t="shared" si="423"/>
        <v>6.4711596066841626E-2</v>
      </c>
      <c r="BS499" s="66"/>
      <c r="BT499" s="75"/>
      <c r="BU499" s="170"/>
      <c r="BV499" s="1"/>
      <c r="BW499" s="61">
        <f t="shared" si="399"/>
        <v>490</v>
      </c>
    </row>
    <row r="500" spans="2:75" x14ac:dyDescent="0.3">
      <c r="B500" s="158">
        <f t="shared" si="398"/>
        <v>44400</v>
      </c>
      <c r="C500" s="61"/>
      <c r="D500" s="17">
        <v>67485</v>
      </c>
      <c r="E500" s="16"/>
      <c r="F500" s="16"/>
      <c r="G500" s="16"/>
      <c r="H500" s="16">
        <f t="shared" si="400"/>
        <v>34651121</v>
      </c>
      <c r="I500" s="16"/>
      <c r="J500" s="436">
        <f t="shared" si="401"/>
        <v>1.9513564160807152E-3</v>
      </c>
      <c r="K500" s="16"/>
      <c r="L500" s="16"/>
      <c r="M500" s="16"/>
      <c r="N500" s="16">
        <f t="shared" si="402"/>
        <v>308828</v>
      </c>
      <c r="O500" s="16">
        <f t="shared" si="403"/>
        <v>70572.547861507133</v>
      </c>
      <c r="P500" s="41"/>
      <c r="Q500" s="17">
        <f t="shared" si="404"/>
        <v>308828</v>
      </c>
      <c r="R500" s="16"/>
      <c r="S500" s="60">
        <f t="shared" si="405"/>
        <v>0.5953754836576659</v>
      </c>
      <c r="T500" s="16"/>
      <c r="U500" s="41"/>
      <c r="V500" s="10">
        <f t="shared" si="349"/>
        <v>392</v>
      </c>
      <c r="W500" s="34">
        <v>428</v>
      </c>
      <c r="X500" s="33">
        <v>4256</v>
      </c>
      <c r="Y500" s="33"/>
      <c r="Z500" s="33">
        <f t="shared" si="406"/>
        <v>1684</v>
      </c>
      <c r="AA500" s="33">
        <f t="shared" si="407"/>
        <v>610559</v>
      </c>
      <c r="AB500" s="33"/>
      <c r="AC500" s="46">
        <f t="shared" si="408"/>
        <v>1.7620180311049678E-2</v>
      </c>
      <c r="AD500" s="33"/>
      <c r="AE500" s="33">
        <f t="shared" si="409"/>
        <v>1243.5010183299389</v>
      </c>
      <c r="AF500" s="50"/>
      <c r="AG500" s="33">
        <f t="shared" si="410"/>
        <v>1797</v>
      </c>
      <c r="AH500" s="33">
        <f>SUM(D471:D1152)</f>
        <v>1194136860.060914</v>
      </c>
      <c r="AI500" s="213">
        <f t="shared" si="411"/>
        <v>0.22829801777170197</v>
      </c>
      <c r="AJ500" s="50"/>
      <c r="AK500" s="111"/>
      <c r="AL500" s="23">
        <f t="shared" si="412"/>
        <v>19702</v>
      </c>
      <c r="AM500" s="24"/>
      <c r="AN500" s="24"/>
      <c r="AO500" s="24">
        <v>178263</v>
      </c>
      <c r="AP500" s="24">
        <v>29497875</v>
      </c>
      <c r="AQ500" s="24">
        <v>20336656</v>
      </c>
      <c r="AR500" s="461">
        <f t="shared" si="413"/>
        <v>6.6835892441502399E-4</v>
      </c>
      <c r="AS500" s="25"/>
      <c r="AT500" s="25"/>
      <c r="AU500" s="24"/>
      <c r="AV500" s="298">
        <f t="shared" si="414"/>
        <v>0.85128198305619029</v>
      </c>
      <c r="AW500" s="298"/>
      <c r="AX500" s="24">
        <f t="shared" si="415"/>
        <v>60077.138492871687</v>
      </c>
      <c r="AY500" s="308"/>
      <c r="AZ500" s="111"/>
      <c r="BA500" s="65">
        <f t="shared" si="416"/>
        <v>930368</v>
      </c>
      <c r="BB500" s="66"/>
      <c r="BC500" s="66">
        <v>521341856</v>
      </c>
      <c r="BD500" s="66"/>
      <c r="BE500" s="66">
        <f t="shared" si="417"/>
        <v>67485</v>
      </c>
      <c r="BF500" s="66"/>
      <c r="BG500" s="144">
        <f t="shared" si="418"/>
        <v>7.2535813785512826E-2</v>
      </c>
      <c r="BH500" s="66"/>
      <c r="BI500" s="170"/>
      <c r="BJ500" s="66"/>
      <c r="BK500" s="66">
        <f t="shared" si="419"/>
        <v>5277054</v>
      </c>
      <c r="BL500" s="66"/>
      <c r="BM500" s="144">
        <f t="shared" si="420"/>
        <v>5.8522804579979666E-2</v>
      </c>
      <c r="BN500" s="65">
        <f t="shared" si="421"/>
        <v>1061796.0407331975</v>
      </c>
      <c r="BO500" s="66"/>
      <c r="BP500" s="66">
        <f t="shared" si="422"/>
        <v>33744143</v>
      </c>
      <c r="BQ500" s="66"/>
      <c r="BR500" s="435">
        <f t="shared" si="423"/>
        <v>6.4725558885492598E-2</v>
      </c>
      <c r="BS500" s="66"/>
      <c r="BT500" s="75"/>
      <c r="BU500" s="170"/>
      <c r="BV500" s="1"/>
      <c r="BW500" s="61">
        <f t="shared" si="399"/>
        <v>491</v>
      </c>
    </row>
    <row r="501" spans="2:75" x14ac:dyDescent="0.3">
      <c r="B501" s="158">
        <f t="shared" si="398"/>
        <v>44401</v>
      </c>
      <c r="C501" s="61"/>
      <c r="D501" s="17">
        <v>36779</v>
      </c>
      <c r="E501" s="16"/>
      <c r="F501" s="16"/>
      <c r="G501" s="16"/>
      <c r="H501" s="16">
        <f t="shared" si="400"/>
        <v>34687900</v>
      </c>
      <c r="I501" s="16"/>
      <c r="J501" s="436">
        <f t="shared" si="401"/>
        <v>1.061408662651924E-3</v>
      </c>
      <c r="K501" s="16"/>
      <c r="L501" s="16"/>
      <c r="M501" s="16"/>
      <c r="N501" s="16">
        <f t="shared" si="402"/>
        <v>321526</v>
      </c>
      <c r="O501" s="16">
        <f t="shared" si="403"/>
        <v>70503.861788617884</v>
      </c>
      <c r="P501" s="41"/>
      <c r="Q501" s="17">
        <f t="shared" si="404"/>
        <v>321526</v>
      </c>
      <c r="R501" s="16"/>
      <c r="S501" s="60">
        <f t="shared" si="405"/>
        <v>0.58291281637234582</v>
      </c>
      <c r="T501" s="16"/>
      <c r="U501" s="41"/>
      <c r="V501" s="10">
        <f t="shared" si="349"/>
        <v>393</v>
      </c>
      <c r="W501" s="34">
        <v>151</v>
      </c>
      <c r="X501" s="33">
        <v>4256</v>
      </c>
      <c r="Y501" s="33"/>
      <c r="Z501" s="33">
        <f t="shared" si="406"/>
        <v>1753</v>
      </c>
      <c r="AA501" s="33">
        <f t="shared" si="407"/>
        <v>610710</v>
      </c>
      <c r="AB501" s="33"/>
      <c r="AC501" s="46">
        <f t="shared" si="408"/>
        <v>1.7605851031627744E-2</v>
      </c>
      <c r="AD501" s="33"/>
      <c r="AE501" s="33">
        <f t="shared" si="409"/>
        <v>1241.280487804878</v>
      </c>
      <c r="AF501" s="50"/>
      <c r="AG501" s="33">
        <f t="shared" si="410"/>
        <v>1835</v>
      </c>
      <c r="AH501" s="33">
        <f>SUM(D472:D1153)</f>
        <v>1194121400.060914</v>
      </c>
      <c r="AI501" s="213">
        <f t="shared" si="411"/>
        <v>0.25857338820301784</v>
      </c>
      <c r="AJ501" s="50"/>
      <c r="AK501" s="111"/>
      <c r="AL501" s="23">
        <f t="shared" si="412"/>
        <v>9248</v>
      </c>
      <c r="AM501" s="24"/>
      <c r="AN501" s="24"/>
      <c r="AO501" s="24">
        <v>178263</v>
      </c>
      <c r="AP501" s="24">
        <v>29507123</v>
      </c>
      <c r="AQ501" s="24">
        <v>20336656</v>
      </c>
      <c r="AR501" s="461">
        <f t="shared" si="413"/>
        <v>3.1351410906717855E-4</v>
      </c>
      <c r="AS501" s="25"/>
      <c r="AT501" s="25"/>
      <c r="AU501" s="24"/>
      <c r="AV501" s="298">
        <f t="shared" si="414"/>
        <v>0.85064598894715449</v>
      </c>
      <c r="AW501" s="298"/>
      <c r="AX501" s="24">
        <f t="shared" si="415"/>
        <v>59973.827235772354</v>
      </c>
      <c r="AY501" s="308"/>
      <c r="AZ501" s="111"/>
      <c r="BA501" s="65">
        <f t="shared" si="416"/>
        <v>393453</v>
      </c>
      <c r="BB501" s="66"/>
      <c r="BC501" s="66">
        <v>521735309</v>
      </c>
      <c r="BD501" s="66"/>
      <c r="BE501" s="66">
        <f t="shared" si="417"/>
        <v>36779</v>
      </c>
      <c r="BF501" s="66"/>
      <c r="BG501" s="144">
        <f t="shared" si="418"/>
        <v>9.3477492864459027E-2</v>
      </c>
      <c r="BH501" s="66"/>
      <c r="BI501" s="170"/>
      <c r="BJ501" s="66"/>
      <c r="BK501" s="66">
        <f t="shared" si="419"/>
        <v>5457647</v>
      </c>
      <c r="BL501" s="66"/>
      <c r="BM501" s="144">
        <f t="shared" si="420"/>
        <v>5.8912934456918892E-2</v>
      </c>
      <c r="BN501" s="65">
        <f t="shared" si="421"/>
        <v>1060437.6199186991</v>
      </c>
      <c r="BO501" s="66"/>
      <c r="BP501" s="66">
        <f t="shared" si="422"/>
        <v>33780922</v>
      </c>
      <c r="BQ501" s="66"/>
      <c r="BR501" s="435">
        <f t="shared" si="423"/>
        <v>6.4747241402440717E-2</v>
      </c>
      <c r="BS501" s="66"/>
      <c r="BT501" s="75"/>
      <c r="BU501" s="170"/>
      <c r="BV501" s="1"/>
      <c r="BW501" s="61">
        <f t="shared" si="399"/>
        <v>492</v>
      </c>
    </row>
    <row r="502" spans="2:75" x14ac:dyDescent="0.3">
      <c r="B502" s="347">
        <f t="shared" si="398"/>
        <v>44402</v>
      </c>
      <c r="C502" s="61"/>
      <c r="D502" s="17">
        <v>13818</v>
      </c>
      <c r="E502" s="16"/>
      <c r="F502" s="16"/>
      <c r="G502" s="16"/>
      <c r="H502" s="16">
        <f t="shared" si="400"/>
        <v>34701718</v>
      </c>
      <c r="I502" s="16"/>
      <c r="J502" s="436">
        <f t="shared" si="401"/>
        <v>3.9835216314622676E-4</v>
      </c>
      <c r="K502" s="16"/>
      <c r="L502" s="16"/>
      <c r="M502" s="16"/>
      <c r="N502" s="16">
        <f t="shared" si="402"/>
        <v>313066</v>
      </c>
      <c r="O502" s="16">
        <f t="shared" si="403"/>
        <v>70388.880324543614</v>
      </c>
      <c r="P502" s="41"/>
      <c r="Q502" s="17">
        <f t="shared" si="404"/>
        <v>313066</v>
      </c>
      <c r="R502" s="16"/>
      <c r="S502" s="60">
        <f t="shared" si="405"/>
        <v>0.43109997760092156</v>
      </c>
      <c r="T502" s="16"/>
      <c r="U502" s="41"/>
      <c r="V502" s="10">
        <f t="shared" si="349"/>
        <v>394</v>
      </c>
      <c r="W502" s="34">
        <v>49</v>
      </c>
      <c r="X502" s="33">
        <v>4256</v>
      </c>
      <c r="Y502" s="33"/>
      <c r="Z502" s="33">
        <f t="shared" si="406"/>
        <v>1665</v>
      </c>
      <c r="AA502" s="33">
        <f t="shared" si="407"/>
        <v>610759</v>
      </c>
      <c r="AB502" s="33"/>
      <c r="AC502" s="46">
        <f t="shared" si="408"/>
        <v>1.7600252529283995E-2</v>
      </c>
      <c r="AD502" s="33"/>
      <c r="AE502" s="33">
        <f t="shared" si="409"/>
        <v>1238.8620689655172</v>
      </c>
      <c r="AF502" s="50"/>
      <c r="AG502" s="33">
        <f t="shared" si="410"/>
        <v>1802</v>
      </c>
      <c r="AH502" s="33">
        <f>SUM(D473:D1154)</f>
        <v>1194105863.060914</v>
      </c>
      <c r="AI502" s="213">
        <f t="shared" si="411"/>
        <v>0.19101123595505617</v>
      </c>
      <c r="AJ502" s="50"/>
      <c r="AK502" s="111"/>
      <c r="AL502" s="23">
        <f t="shared" si="412"/>
        <v>4786</v>
      </c>
      <c r="AM502" s="24"/>
      <c r="AN502" s="24"/>
      <c r="AO502" s="24">
        <v>178263</v>
      </c>
      <c r="AP502" s="24">
        <v>29511909</v>
      </c>
      <c r="AQ502" s="24">
        <v>20336656</v>
      </c>
      <c r="AR502" s="461">
        <f t="shared" si="413"/>
        <v>1.6219812416141011E-4</v>
      </c>
      <c r="AS502" s="25"/>
      <c r="AT502" s="25"/>
      <c r="AU502" s="24"/>
      <c r="AV502" s="298">
        <f t="shared" si="414"/>
        <v>0.85044518545162517</v>
      </c>
      <c r="AW502" s="298"/>
      <c r="AX502" s="24">
        <f t="shared" si="415"/>
        <v>59861.884381338743</v>
      </c>
      <c r="AY502" s="308"/>
      <c r="AZ502" s="111"/>
      <c r="BA502" s="65">
        <f t="shared" si="416"/>
        <v>1873647</v>
      </c>
      <c r="BB502" s="66"/>
      <c r="BC502" s="66">
        <v>523608956</v>
      </c>
      <c r="BD502" s="66"/>
      <c r="BE502" s="66">
        <f t="shared" si="417"/>
        <v>13818</v>
      </c>
      <c r="BF502" s="66"/>
      <c r="BG502" s="144">
        <f t="shared" si="418"/>
        <v>7.3749217435301311E-3</v>
      </c>
      <c r="BH502" s="66"/>
      <c r="BI502" s="170"/>
      <c r="BJ502" s="66"/>
      <c r="BK502" s="66">
        <f t="shared" si="419"/>
        <v>6238420</v>
      </c>
      <c r="BL502" s="66"/>
      <c r="BM502" s="144">
        <f t="shared" si="420"/>
        <v>5.0183540063028782E-2</v>
      </c>
      <c r="BN502" s="65">
        <f t="shared" si="421"/>
        <v>1062087.1318458419</v>
      </c>
      <c r="BO502" s="66"/>
      <c r="BP502" s="66">
        <f t="shared" si="422"/>
        <v>33794740</v>
      </c>
      <c r="BQ502" s="66"/>
      <c r="BR502" s="435">
        <f t="shared" si="423"/>
        <v>6.4541944160328685E-2</v>
      </c>
      <c r="BS502" s="66"/>
      <c r="BT502" s="75"/>
      <c r="BU502" s="170"/>
      <c r="BV502" s="1"/>
      <c r="BW502" s="61">
        <f t="shared" si="399"/>
        <v>493</v>
      </c>
    </row>
    <row r="503" spans="2:75" x14ac:dyDescent="0.3">
      <c r="B503" s="158">
        <f t="shared" si="398"/>
        <v>44403</v>
      </c>
      <c r="C503" s="61"/>
      <c r="D503" s="17">
        <v>35816</v>
      </c>
      <c r="E503" s="16"/>
      <c r="F503" s="16"/>
      <c r="G503" s="16"/>
      <c r="H503" s="16">
        <f t="shared" si="400"/>
        <v>34737534</v>
      </c>
      <c r="I503" s="16"/>
      <c r="J503" s="436">
        <f t="shared" si="401"/>
        <v>1.0321102834159393E-3</v>
      </c>
      <c r="K503" s="16"/>
      <c r="L503" s="16"/>
      <c r="M503" s="16"/>
      <c r="N503" s="16">
        <f t="shared" si="402"/>
        <v>316306</v>
      </c>
      <c r="O503" s="16">
        <f t="shared" si="403"/>
        <v>70318.894736842107</v>
      </c>
      <c r="P503" s="41"/>
      <c r="Q503" s="17">
        <f t="shared" si="404"/>
        <v>316306</v>
      </c>
      <c r="R503" s="16"/>
      <c r="S503" s="60">
        <f t="shared" si="405"/>
        <v>0.36728351034628837</v>
      </c>
      <c r="T503" s="16"/>
      <c r="U503" s="41"/>
      <c r="V503" s="10">
        <f t="shared" si="349"/>
        <v>395</v>
      </c>
      <c r="W503" s="34">
        <v>132</v>
      </c>
      <c r="X503" s="33">
        <v>4256</v>
      </c>
      <c r="Y503" s="33"/>
      <c r="Z503" s="33">
        <f t="shared" si="406"/>
        <v>1541</v>
      </c>
      <c r="AA503" s="33">
        <f t="shared" si="407"/>
        <v>610891</v>
      </c>
      <c r="AB503" s="33"/>
      <c r="AC503" s="46">
        <f t="shared" si="408"/>
        <v>1.7585905781337272E-2</v>
      </c>
      <c r="AD503" s="33"/>
      <c r="AE503" s="33">
        <f t="shared" si="409"/>
        <v>1236.6214574898786</v>
      </c>
      <c r="AF503" s="50"/>
      <c r="AG503" s="33">
        <f t="shared" si="410"/>
        <v>1797</v>
      </c>
      <c r="AH503" s="33">
        <f>SUM(D474:D1155)</f>
        <v>1194099277.060914</v>
      </c>
      <c r="AI503" s="213">
        <f t="shared" si="411"/>
        <v>0.20847343644922664</v>
      </c>
      <c r="AJ503" s="50"/>
      <c r="AK503" s="111"/>
      <c r="AL503" s="23">
        <f t="shared" si="412"/>
        <v>36559</v>
      </c>
      <c r="AM503" s="24"/>
      <c r="AN503" s="24"/>
      <c r="AO503" s="24">
        <v>178263</v>
      </c>
      <c r="AP503" s="24">
        <v>29548468</v>
      </c>
      <c r="AQ503" s="24">
        <v>20336656</v>
      </c>
      <c r="AR503" s="461">
        <f t="shared" si="413"/>
        <v>1.2387880431591193E-3</v>
      </c>
      <c r="AS503" s="25"/>
      <c r="AT503" s="25"/>
      <c r="AU503" s="24"/>
      <c r="AV503" s="298">
        <f t="shared" si="414"/>
        <v>0.85062077233231348</v>
      </c>
      <c r="AW503" s="298"/>
      <c r="AX503" s="24">
        <f t="shared" si="415"/>
        <v>59814.712550607284</v>
      </c>
      <c r="AY503" s="308"/>
      <c r="AZ503" s="111"/>
      <c r="BA503" s="65">
        <f t="shared" si="416"/>
        <v>2374930</v>
      </c>
      <c r="BB503" s="66"/>
      <c r="BC503" s="66">
        <v>525983886</v>
      </c>
      <c r="BD503" s="66"/>
      <c r="BE503" s="66">
        <f t="shared" si="417"/>
        <v>35816</v>
      </c>
      <c r="BF503" s="66"/>
      <c r="BG503" s="144">
        <f t="shared" si="418"/>
        <v>1.5080865541300165E-2</v>
      </c>
      <c r="BH503" s="66"/>
      <c r="BI503" s="170"/>
      <c r="BJ503" s="66"/>
      <c r="BK503" s="66">
        <f t="shared" si="419"/>
        <v>7998724</v>
      </c>
      <c r="BL503" s="66"/>
      <c r="BM503" s="144">
        <f t="shared" si="420"/>
        <v>3.9544557356898428E-2</v>
      </c>
      <c r="BN503" s="65">
        <f t="shared" si="421"/>
        <v>1064744.7085020242</v>
      </c>
      <c r="BO503" s="66"/>
      <c r="BP503" s="66">
        <f t="shared" si="422"/>
        <v>33830556</v>
      </c>
      <c r="BQ503" s="66"/>
      <c r="BR503" s="435">
        <f t="shared" si="423"/>
        <v>6.4318616787435196E-2</v>
      </c>
      <c r="BS503" s="66"/>
      <c r="BT503" s="75"/>
      <c r="BU503" s="170"/>
      <c r="BV503" s="1"/>
      <c r="BW503" s="61">
        <f t="shared" si="399"/>
        <v>494</v>
      </c>
    </row>
    <row r="504" spans="2:75" x14ac:dyDescent="0.3">
      <c r="B504" s="158">
        <f t="shared" si="398"/>
        <v>44404</v>
      </c>
      <c r="C504" s="61"/>
      <c r="D504" s="17">
        <v>61581</v>
      </c>
      <c r="E504" s="16"/>
      <c r="F504" s="16"/>
      <c r="G504" s="16"/>
      <c r="H504" s="16">
        <f t="shared" ref="H504:H535" si="424">+H503+D504</f>
        <v>34799115</v>
      </c>
      <c r="I504" s="16"/>
      <c r="J504" s="436">
        <f t="shared" ref="J504:J535" si="425">+D504/H503</f>
        <v>1.7727510536585584E-3</v>
      </c>
      <c r="K504" s="16"/>
      <c r="L504" s="16"/>
      <c r="M504" s="16"/>
      <c r="N504" s="16">
        <f t="shared" ref="N504:N535" si="426">SUM(D498:D504)</f>
        <v>333655</v>
      </c>
      <c r="O504" s="16">
        <f t="shared" ref="O504:O535" si="427">+H504/BW504</f>
        <v>70301.242424242431</v>
      </c>
      <c r="P504" s="41"/>
      <c r="Q504" s="17">
        <f t="shared" ref="Q504:Q535" si="428">SUM(D498:D504)</f>
        <v>333655</v>
      </c>
      <c r="R504" s="16"/>
      <c r="S504" s="60">
        <f t="shared" ref="S504:S535" si="429">+(Q504-Q497)/Q497</f>
        <v>0.41488951178244149</v>
      </c>
      <c r="T504" s="16"/>
      <c r="U504" s="41"/>
      <c r="V504" s="10">
        <f t="shared" si="349"/>
        <v>396</v>
      </c>
      <c r="W504" s="34">
        <v>339</v>
      </c>
      <c r="X504" s="33">
        <v>4256</v>
      </c>
      <c r="Y504" s="33"/>
      <c r="Z504" s="33">
        <f t="shared" ref="Z504:Z535" si="430">SUM(W499:W504)</f>
        <v>1464</v>
      </c>
      <c r="AA504" s="33">
        <f t="shared" ref="AA504:AA535" si="431">+AA503+W504</f>
        <v>611230</v>
      </c>
      <c r="AB504" s="33"/>
      <c r="AC504" s="46">
        <f t="shared" ref="AC504:AC535" si="432">+AA504/H504</f>
        <v>1.7564527143865583E-2</v>
      </c>
      <c r="AD504" s="33"/>
      <c r="AE504" s="33">
        <f t="shared" ref="AE504:AE535" si="433">+AA504/BW504</f>
        <v>1234.8080808080808</v>
      </c>
      <c r="AF504" s="50"/>
      <c r="AG504" s="33">
        <f t="shared" ref="AG504:AG535" si="434">SUM(W498:W504)</f>
        <v>1880</v>
      </c>
      <c r="AH504" s="33">
        <f>SUM(D475:D1156)</f>
        <v>1194091971.060914</v>
      </c>
      <c r="AI504" s="213">
        <f t="shared" ref="AI504:AI535" si="435">+(AG504-AG497)/AG497</f>
        <v>0.19592875318066158</v>
      </c>
      <c r="AJ504" s="50"/>
      <c r="AK504" s="111"/>
      <c r="AL504" s="23">
        <f t="shared" ref="AL504:AL535" si="436">+AP504-AP503</f>
        <v>22966</v>
      </c>
      <c r="AM504" s="24"/>
      <c r="AN504" s="24"/>
      <c r="AO504" s="24">
        <v>178263</v>
      </c>
      <c r="AP504" s="24">
        <v>29571434</v>
      </c>
      <c r="AQ504" s="24">
        <v>20336656</v>
      </c>
      <c r="AR504" s="461">
        <f t="shared" ref="AR504:AR535" si="437">+AL504/AP503</f>
        <v>7.7723149640109934E-4</v>
      </c>
      <c r="AS504" s="25"/>
      <c r="AT504" s="25"/>
      <c r="AU504" s="24"/>
      <c r="AV504" s="298">
        <f t="shared" ref="AV504:AV535" si="438">+AP504/H504</f>
        <v>0.84977546124377012</v>
      </c>
      <c r="AW504" s="298"/>
      <c r="AX504" s="24">
        <f t="shared" ref="AX504:AX535" si="439">+AP504/BW504</f>
        <v>59740.270707070704</v>
      </c>
      <c r="AY504" s="308"/>
      <c r="AZ504" s="111"/>
      <c r="BA504" s="65">
        <f t="shared" ref="BA504:BA535" si="440">+BC504-BC503</f>
        <v>892346</v>
      </c>
      <c r="BB504" s="66"/>
      <c r="BC504" s="66">
        <v>526876232</v>
      </c>
      <c r="BD504" s="66"/>
      <c r="BE504" s="66">
        <f t="shared" ref="BE504:BE535" si="441">+D504</f>
        <v>61581</v>
      </c>
      <c r="BF504" s="66"/>
      <c r="BG504" s="144">
        <f t="shared" ref="BG504:BG535" si="442">+BE504/BA504</f>
        <v>6.9010226974738492E-2</v>
      </c>
      <c r="BH504" s="66"/>
      <c r="BI504" s="170"/>
      <c r="BJ504" s="66"/>
      <c r="BK504" s="66">
        <f t="shared" ref="BK504:BK535" si="443">SUM(BA498:BA504)</f>
        <v>8218001</v>
      </c>
      <c r="BL504" s="66"/>
      <c r="BM504" s="144">
        <f t="shared" ref="BM504:BM535" si="444">+Q504/BK504</f>
        <v>4.060050613281746E-2</v>
      </c>
      <c r="BN504" s="65">
        <f t="shared" ref="BN504:BN535" si="445">+BC504/BW504</f>
        <v>1064396.4282828283</v>
      </c>
      <c r="BO504" s="66"/>
      <c r="BP504" s="66">
        <f t="shared" ref="BP504:BP535" si="446">+BP503+BE504</f>
        <v>33892137</v>
      </c>
      <c r="BQ504" s="66"/>
      <c r="BR504" s="435">
        <f t="shared" ref="BR504:BR535" si="447">+BP504/BC504</f>
        <v>6.4326562751458483E-2</v>
      </c>
      <c r="BS504" s="66"/>
      <c r="BT504" s="75"/>
      <c r="BU504" s="170"/>
      <c r="BV504" s="1"/>
      <c r="BW504" s="61">
        <f t="shared" si="399"/>
        <v>495</v>
      </c>
    </row>
    <row r="505" spans="2:75" x14ac:dyDescent="0.3">
      <c r="B505" s="158">
        <f t="shared" si="398"/>
        <v>44405</v>
      </c>
      <c r="C505" s="61"/>
      <c r="D505" s="17">
        <v>84534</v>
      </c>
      <c r="E505" s="16"/>
      <c r="F505" s="16"/>
      <c r="G505" s="16"/>
      <c r="H505" s="16">
        <f t="shared" si="424"/>
        <v>34883649</v>
      </c>
      <c r="I505" s="16"/>
      <c r="J505" s="436">
        <f t="shared" si="425"/>
        <v>2.4291997080960249E-3</v>
      </c>
      <c r="K505" s="16"/>
      <c r="L505" s="16"/>
      <c r="M505" s="16"/>
      <c r="N505" s="16">
        <f t="shared" si="426"/>
        <v>361664</v>
      </c>
      <c r="O505" s="16">
        <f t="shared" si="427"/>
        <v>70329.9375</v>
      </c>
      <c r="P505" s="41"/>
      <c r="Q505" s="17">
        <f t="shared" si="428"/>
        <v>361664</v>
      </c>
      <c r="R505" s="16"/>
      <c r="S505" s="60">
        <f t="shared" si="429"/>
        <v>0.40782810097510658</v>
      </c>
      <c r="T505" s="16"/>
      <c r="U505" s="41"/>
      <c r="V505" s="10">
        <f t="shared" si="349"/>
        <v>397</v>
      </c>
      <c r="W505" s="34">
        <v>483</v>
      </c>
      <c r="X505" s="33">
        <v>4256</v>
      </c>
      <c r="Y505" s="33"/>
      <c r="Z505" s="33">
        <f t="shared" si="430"/>
        <v>1582</v>
      </c>
      <c r="AA505" s="33">
        <f t="shared" si="431"/>
        <v>611713</v>
      </c>
      <c r="AB505" s="33"/>
      <c r="AC505" s="46">
        <f t="shared" si="432"/>
        <v>1.7535808825504463E-2</v>
      </c>
      <c r="AD505" s="33"/>
      <c r="AE505" s="33">
        <f t="shared" si="433"/>
        <v>1233.2923387096773</v>
      </c>
      <c r="AF505" s="50"/>
      <c r="AG505" s="33">
        <f t="shared" si="434"/>
        <v>1947</v>
      </c>
      <c r="AH505" s="33">
        <f>SUM(D476:D1157)</f>
        <v>1194079989.060914</v>
      </c>
      <c r="AI505" s="213">
        <f t="shared" si="435"/>
        <v>0.18647166361974407</v>
      </c>
      <c r="AJ505" s="50"/>
      <c r="AK505" s="111"/>
      <c r="AL505" s="23">
        <f t="shared" si="436"/>
        <v>32524</v>
      </c>
      <c r="AM505" s="24"/>
      <c r="AN505" s="24"/>
      <c r="AO505" s="24">
        <v>178263</v>
      </c>
      <c r="AP505" s="24">
        <v>29603958</v>
      </c>
      <c r="AQ505" s="24">
        <v>20336656</v>
      </c>
      <c r="AR505" s="461">
        <f t="shared" si="437"/>
        <v>1.0998452087240679E-3</v>
      </c>
      <c r="AS505" s="25"/>
      <c r="AT505" s="25"/>
      <c r="AU505" s="24"/>
      <c r="AV505" s="298">
        <f t="shared" si="438"/>
        <v>0.84864854591330163</v>
      </c>
      <c r="AW505" s="298"/>
      <c r="AX505" s="24">
        <f t="shared" si="439"/>
        <v>59685.399193548386</v>
      </c>
      <c r="AY505" s="308"/>
      <c r="AZ505" s="111"/>
      <c r="BA505" s="65">
        <f t="shared" si="440"/>
        <v>204920</v>
      </c>
      <c r="BB505" s="66"/>
      <c r="BC505" s="66">
        <v>527081152</v>
      </c>
      <c r="BD505" s="66"/>
      <c r="BE505" s="66">
        <f t="shared" si="441"/>
        <v>84534</v>
      </c>
      <c r="BF505" s="66"/>
      <c r="BG505" s="144">
        <f t="shared" si="442"/>
        <v>0.41252195978918604</v>
      </c>
      <c r="BH505" s="66"/>
      <c r="BI505" s="170"/>
      <c r="BJ505" s="66"/>
      <c r="BK505" s="66">
        <f t="shared" si="443"/>
        <v>7600901</v>
      </c>
      <c r="BL505" s="66"/>
      <c r="BM505" s="144">
        <f t="shared" si="444"/>
        <v>4.7581727482044561E-2</v>
      </c>
      <c r="BN505" s="65">
        <f t="shared" si="445"/>
        <v>1062663.6129032257</v>
      </c>
      <c r="BO505" s="66"/>
      <c r="BP505" s="66">
        <f t="shared" si="446"/>
        <v>33976671</v>
      </c>
      <c r="BQ505" s="66"/>
      <c r="BR505" s="435">
        <f t="shared" si="447"/>
        <v>6.4461935075986174E-2</v>
      </c>
      <c r="BS505" s="66"/>
      <c r="BT505" s="75"/>
      <c r="BU505" s="170"/>
      <c r="BV505" s="1"/>
      <c r="BW505" s="61">
        <f t="shared" si="399"/>
        <v>496</v>
      </c>
    </row>
    <row r="506" spans="2:75" x14ac:dyDescent="0.3">
      <c r="B506" s="158">
        <f t="shared" si="398"/>
        <v>44406</v>
      </c>
      <c r="C506" s="61"/>
      <c r="D506" s="17">
        <v>84513</v>
      </c>
      <c r="E506" s="16"/>
      <c r="F506" s="16"/>
      <c r="G506" s="16"/>
      <c r="H506" s="16">
        <f t="shared" si="424"/>
        <v>34968162</v>
      </c>
      <c r="I506" s="16"/>
      <c r="J506" s="436">
        <f t="shared" si="425"/>
        <v>2.422710995630073E-3</v>
      </c>
      <c r="K506" s="16"/>
      <c r="L506" s="16"/>
      <c r="M506" s="16"/>
      <c r="N506" s="16">
        <f t="shared" si="426"/>
        <v>384526</v>
      </c>
      <c r="O506" s="16">
        <f t="shared" si="427"/>
        <v>70358.474849094564</v>
      </c>
      <c r="P506" s="41"/>
      <c r="Q506" s="17">
        <f t="shared" si="428"/>
        <v>384526</v>
      </c>
      <c r="R506" s="16"/>
      <c r="S506" s="60">
        <f t="shared" si="429"/>
        <v>0.36418658114321395</v>
      </c>
      <c r="T506" s="16"/>
      <c r="U506" s="41"/>
      <c r="V506" s="10">
        <f t="shared" si="349"/>
        <v>398</v>
      </c>
      <c r="W506" s="34">
        <v>485</v>
      </c>
      <c r="X506" s="33">
        <v>4256</v>
      </c>
      <c r="Y506" s="33"/>
      <c r="Z506" s="33">
        <f t="shared" si="430"/>
        <v>1639</v>
      </c>
      <c r="AA506" s="33">
        <f t="shared" si="431"/>
        <v>612198</v>
      </c>
      <c r="AB506" s="33"/>
      <c r="AC506" s="46">
        <f t="shared" si="432"/>
        <v>1.7507297066400002E-2</v>
      </c>
      <c r="AD506" s="33"/>
      <c r="AE506" s="33">
        <f t="shared" si="433"/>
        <v>1231.7867203219316</v>
      </c>
      <c r="AF506" s="50"/>
      <c r="AG506" s="33">
        <f t="shared" si="434"/>
        <v>2067</v>
      </c>
      <c r="AH506" s="33">
        <f>SUM(D477:D1158)</f>
        <v>1194068562.060914</v>
      </c>
      <c r="AI506" s="213">
        <f t="shared" si="435"/>
        <v>0.24368231046931407</v>
      </c>
      <c r="AJ506" s="50"/>
      <c r="AK506" s="111" t="s">
        <v>26</v>
      </c>
      <c r="AL506" s="23">
        <f t="shared" si="436"/>
        <v>46042</v>
      </c>
      <c r="AM506" s="24"/>
      <c r="AN506" s="24"/>
      <c r="AO506" s="24">
        <v>178263</v>
      </c>
      <c r="AP506" s="24">
        <v>29650000</v>
      </c>
      <c r="AQ506" s="24">
        <v>20336656</v>
      </c>
      <c r="AR506" s="461">
        <f t="shared" si="437"/>
        <v>1.5552650088207799E-3</v>
      </c>
      <c r="AS506" s="25"/>
      <c r="AT506" s="25"/>
      <c r="AU506" s="24"/>
      <c r="AV506" s="298">
        <f t="shared" si="438"/>
        <v>0.84791416832260158</v>
      </c>
      <c r="AW506" s="298"/>
      <c r="AX506" s="24">
        <f t="shared" si="439"/>
        <v>59657.947686116699</v>
      </c>
      <c r="AY506" s="308"/>
      <c r="AZ506" s="111" t="s">
        <v>26</v>
      </c>
      <c r="BA506" s="65">
        <f t="shared" si="440"/>
        <v>218848</v>
      </c>
      <c r="BB506" s="66"/>
      <c r="BC506" s="66">
        <v>527300000</v>
      </c>
      <c r="BD506" s="66"/>
      <c r="BE506" s="66">
        <f t="shared" si="441"/>
        <v>84513</v>
      </c>
      <c r="BF506" s="66"/>
      <c r="BG506" s="144">
        <f t="shared" si="442"/>
        <v>0.38617213773943559</v>
      </c>
      <c r="BH506" s="66"/>
      <c r="BI506" s="170"/>
      <c r="BJ506" s="66"/>
      <c r="BK506" s="66">
        <f t="shared" si="443"/>
        <v>6888512</v>
      </c>
      <c r="BL506" s="66"/>
      <c r="BM506" s="144">
        <f t="shared" si="444"/>
        <v>5.5821344290319881E-2</v>
      </c>
      <c r="BN506" s="65">
        <f t="shared" si="445"/>
        <v>1060965.7947686117</v>
      </c>
      <c r="BO506" s="66"/>
      <c r="BP506" s="66">
        <f t="shared" si="446"/>
        <v>34061184</v>
      </c>
      <c r="BQ506" s="66"/>
      <c r="BR506" s="435">
        <f t="shared" si="447"/>
        <v>6.4595456097098422E-2</v>
      </c>
      <c r="BS506" s="66"/>
      <c r="BT506" s="75"/>
      <c r="BU506" s="170"/>
      <c r="BV506" s="1"/>
      <c r="BW506" s="61">
        <f t="shared" si="399"/>
        <v>497</v>
      </c>
    </row>
    <row r="507" spans="2:75" x14ac:dyDescent="0.3">
      <c r="B507" s="158">
        <f t="shared" si="398"/>
        <v>44407</v>
      </c>
      <c r="C507" s="61"/>
      <c r="D507" s="17">
        <v>101098</v>
      </c>
      <c r="E507" s="16"/>
      <c r="F507" s="16"/>
      <c r="G507" s="16"/>
      <c r="H507" s="16">
        <f t="shared" si="424"/>
        <v>35069260</v>
      </c>
      <c r="I507" s="16"/>
      <c r="J507" s="436">
        <f t="shared" si="425"/>
        <v>2.8911442357193382E-3</v>
      </c>
      <c r="K507" s="16"/>
      <c r="L507" s="16"/>
      <c r="M507" s="16"/>
      <c r="N507" s="16">
        <f t="shared" si="426"/>
        <v>418139</v>
      </c>
      <c r="O507" s="16">
        <f t="shared" si="427"/>
        <v>70420.200803212851</v>
      </c>
      <c r="P507" s="41"/>
      <c r="Q507" s="17">
        <f t="shared" si="428"/>
        <v>418139</v>
      </c>
      <c r="R507" s="16"/>
      <c r="S507" s="60">
        <f t="shared" si="429"/>
        <v>0.35395430466149441</v>
      </c>
      <c r="T507" s="16"/>
      <c r="U507" s="41"/>
      <c r="V507" s="10">
        <f t="shared" si="349"/>
        <v>399</v>
      </c>
      <c r="W507" s="34">
        <v>429</v>
      </c>
      <c r="X507" s="33">
        <v>4256</v>
      </c>
      <c r="Y507" s="33"/>
      <c r="Z507" s="33">
        <f t="shared" si="430"/>
        <v>1917</v>
      </c>
      <c r="AA507" s="33">
        <f t="shared" si="431"/>
        <v>612627</v>
      </c>
      <c r="AB507" s="33"/>
      <c r="AC507" s="46">
        <f t="shared" si="432"/>
        <v>1.7469059797668957E-2</v>
      </c>
      <c r="AD507" s="33"/>
      <c r="AE507" s="33">
        <f t="shared" si="433"/>
        <v>1230.1746987951808</v>
      </c>
      <c r="AF507" s="50"/>
      <c r="AG507" s="33">
        <f t="shared" si="434"/>
        <v>2068</v>
      </c>
      <c r="AH507" s="33">
        <f>SUM(D478:D1159)</f>
        <v>1194054365.060914</v>
      </c>
      <c r="AI507" s="213">
        <f t="shared" si="435"/>
        <v>0.15080690038953812</v>
      </c>
      <c r="AJ507" s="50"/>
      <c r="AK507" s="111" t="s">
        <v>26</v>
      </c>
      <c r="AL507" s="23">
        <f t="shared" si="436"/>
        <v>2038</v>
      </c>
      <c r="AM507" s="24"/>
      <c r="AN507" s="24"/>
      <c r="AO507" s="24">
        <v>178263</v>
      </c>
      <c r="AP507" s="24">
        <v>29652038</v>
      </c>
      <c r="AQ507" s="24">
        <v>20336656</v>
      </c>
      <c r="AR507" s="461">
        <f t="shared" si="437"/>
        <v>6.8735244519392918E-5</v>
      </c>
      <c r="AS507" s="25"/>
      <c r="AT507" s="25"/>
      <c r="AU507" s="24"/>
      <c r="AV507" s="298">
        <f t="shared" si="438"/>
        <v>0.84552790677647605</v>
      </c>
      <c r="AW507" s="298"/>
      <c r="AX507" s="24">
        <f t="shared" si="439"/>
        <v>59542.244979919677</v>
      </c>
      <c r="AY507" s="308"/>
      <c r="AZ507" s="111" t="s">
        <v>26</v>
      </c>
      <c r="BA507" s="65">
        <f t="shared" si="440"/>
        <v>1878910</v>
      </c>
      <c r="BB507" s="66"/>
      <c r="BC507" s="66">
        <v>529178910</v>
      </c>
      <c r="BD507" s="66"/>
      <c r="BE507" s="66">
        <f t="shared" si="441"/>
        <v>101098</v>
      </c>
      <c r="BF507" s="66"/>
      <c r="BG507" s="144">
        <f t="shared" si="442"/>
        <v>5.3806728369107618E-2</v>
      </c>
      <c r="BH507" s="66"/>
      <c r="BI507" s="170"/>
      <c r="BJ507" s="66"/>
      <c r="BK507" s="66">
        <f t="shared" si="443"/>
        <v>7837054</v>
      </c>
      <c r="BL507" s="66"/>
      <c r="BM507" s="144">
        <f t="shared" si="444"/>
        <v>5.3354104743950977E-2</v>
      </c>
      <c r="BN507" s="65">
        <f t="shared" si="445"/>
        <v>1062608.2530120481</v>
      </c>
      <c r="BO507" s="66"/>
      <c r="BP507" s="66">
        <f t="shared" si="446"/>
        <v>34162282</v>
      </c>
      <c r="BQ507" s="66"/>
      <c r="BR507" s="435">
        <f t="shared" si="447"/>
        <v>6.4557149490330215E-2</v>
      </c>
      <c r="BS507" s="66"/>
      <c r="BT507" s="75"/>
      <c r="BU507" s="170"/>
      <c r="BV507" s="1"/>
      <c r="BW507" s="61">
        <f t="shared" si="399"/>
        <v>498</v>
      </c>
    </row>
    <row r="508" spans="2:75" x14ac:dyDescent="0.3">
      <c r="B508" s="158">
        <f t="shared" si="398"/>
        <v>44408</v>
      </c>
      <c r="C508" s="61"/>
      <c r="D508" s="17">
        <v>51898</v>
      </c>
      <c r="E508" s="16"/>
      <c r="F508" s="16"/>
      <c r="G508" s="16"/>
      <c r="H508" s="16">
        <f t="shared" si="424"/>
        <v>35121158</v>
      </c>
      <c r="I508" s="16"/>
      <c r="J508" s="436">
        <f t="shared" si="425"/>
        <v>1.4798715456214361E-3</v>
      </c>
      <c r="K508" s="16"/>
      <c r="L508" s="16"/>
      <c r="M508" s="16"/>
      <c r="N508" s="16">
        <f t="shared" si="426"/>
        <v>433258</v>
      </c>
      <c r="O508" s="16">
        <f t="shared" si="427"/>
        <v>70383.082164328662</v>
      </c>
      <c r="P508" s="41"/>
      <c r="Q508" s="17">
        <f t="shared" si="428"/>
        <v>433258</v>
      </c>
      <c r="R508" s="16"/>
      <c r="S508" s="60">
        <f t="shared" si="429"/>
        <v>0.34750533393877947</v>
      </c>
      <c r="T508" s="16"/>
      <c r="U508" s="41"/>
      <c r="V508" s="10">
        <f t="shared" si="349"/>
        <v>400</v>
      </c>
      <c r="W508" s="34">
        <v>241</v>
      </c>
      <c r="X508" s="33">
        <v>4256</v>
      </c>
      <c r="Y508" s="33"/>
      <c r="Z508" s="33">
        <f t="shared" si="430"/>
        <v>2109</v>
      </c>
      <c r="AA508" s="33">
        <f t="shared" si="431"/>
        <v>612868</v>
      </c>
      <c r="AB508" s="33"/>
      <c r="AC508" s="46">
        <f t="shared" si="432"/>
        <v>1.7450107994730697E-2</v>
      </c>
      <c r="AD508" s="33"/>
      <c r="AE508" s="33">
        <f t="shared" si="433"/>
        <v>1228.1923847695391</v>
      </c>
      <c r="AF508" s="50"/>
      <c r="AG508" s="33">
        <f t="shared" si="434"/>
        <v>2158</v>
      </c>
      <c r="AH508" s="33">
        <f>SUM(D479:D1160)</f>
        <v>1194037416.060914</v>
      </c>
      <c r="AI508" s="213">
        <f t="shared" si="435"/>
        <v>0.17602179836512261</v>
      </c>
      <c r="AJ508" s="50"/>
      <c r="AK508" s="111"/>
      <c r="AL508" s="23">
        <f t="shared" si="436"/>
        <v>14079</v>
      </c>
      <c r="AM508" s="24"/>
      <c r="AN508" s="24"/>
      <c r="AO508" s="24">
        <v>178263</v>
      </c>
      <c r="AP508" s="24">
        <v>29666117</v>
      </c>
      <c r="AQ508" s="24">
        <v>20336656</v>
      </c>
      <c r="AR508" s="461">
        <f t="shared" si="437"/>
        <v>4.7480716165276734E-4</v>
      </c>
      <c r="AS508" s="25"/>
      <c r="AT508" s="25"/>
      <c r="AU508" s="24"/>
      <c r="AV508" s="298">
        <f t="shared" si="438"/>
        <v>0.84467935254298843</v>
      </c>
      <c r="AW508" s="298"/>
      <c r="AX508" s="24">
        <f t="shared" si="439"/>
        <v>59451.136272545089</v>
      </c>
      <c r="AY508" s="308"/>
      <c r="AZ508" s="111"/>
      <c r="BA508" s="65">
        <f t="shared" si="440"/>
        <v>500910</v>
      </c>
      <c r="BB508" s="66"/>
      <c r="BC508" s="66">
        <v>529679820</v>
      </c>
      <c r="BD508" s="66"/>
      <c r="BE508" s="66">
        <f t="shared" si="441"/>
        <v>51898</v>
      </c>
      <c r="BF508" s="66"/>
      <c r="BG508" s="144">
        <f t="shared" si="442"/>
        <v>0.10360743446926593</v>
      </c>
      <c r="BH508" s="66"/>
      <c r="BI508" s="170"/>
      <c r="BJ508" s="66"/>
      <c r="BK508" s="66">
        <f t="shared" si="443"/>
        <v>7944511</v>
      </c>
      <c r="BL508" s="66"/>
      <c r="BM508" s="144">
        <f t="shared" si="444"/>
        <v>5.4535515150019934E-2</v>
      </c>
      <c r="BN508" s="65">
        <f t="shared" si="445"/>
        <v>1061482.6052104209</v>
      </c>
      <c r="BO508" s="66"/>
      <c r="BP508" s="66">
        <f t="shared" si="446"/>
        <v>34214180</v>
      </c>
      <c r="BQ508" s="66"/>
      <c r="BR508" s="435">
        <f t="shared" si="447"/>
        <v>6.4594078739869679E-2</v>
      </c>
      <c r="BS508" s="66"/>
      <c r="BT508" s="75"/>
      <c r="BU508" s="170"/>
      <c r="BV508" s="1"/>
      <c r="BW508" s="61">
        <f t="shared" si="399"/>
        <v>499</v>
      </c>
    </row>
    <row r="509" spans="2:75" x14ac:dyDescent="0.3">
      <c r="B509" s="347">
        <f t="shared" si="398"/>
        <v>44409</v>
      </c>
      <c r="C509" s="61"/>
      <c r="D509" s="17">
        <v>21768</v>
      </c>
      <c r="E509" s="16"/>
      <c r="F509" s="16"/>
      <c r="G509" s="16"/>
      <c r="H509" s="16">
        <f t="shared" si="424"/>
        <v>35142926</v>
      </c>
      <c r="I509" s="16"/>
      <c r="J509" s="436">
        <f t="shared" si="425"/>
        <v>6.1979733128389447E-4</v>
      </c>
      <c r="K509" s="16"/>
      <c r="L509" s="16"/>
      <c r="M509" s="16"/>
      <c r="N509" s="16">
        <f t="shared" si="426"/>
        <v>441208</v>
      </c>
      <c r="O509" s="16">
        <f t="shared" si="427"/>
        <v>70285.851999999999</v>
      </c>
      <c r="P509" s="41"/>
      <c r="Q509" s="17">
        <f t="shared" si="428"/>
        <v>441208</v>
      </c>
      <c r="R509" s="16"/>
      <c r="S509" s="60">
        <f t="shared" si="429"/>
        <v>0.40931305219985564</v>
      </c>
      <c r="T509" s="16"/>
      <c r="U509" s="41"/>
      <c r="V509" s="10">
        <f t="shared" si="349"/>
        <v>401</v>
      </c>
      <c r="W509" s="34">
        <v>64</v>
      </c>
      <c r="X509" s="33">
        <v>4256</v>
      </c>
      <c r="Y509" s="33"/>
      <c r="Z509" s="33">
        <f t="shared" si="430"/>
        <v>2041</v>
      </c>
      <c r="AA509" s="33">
        <f t="shared" si="431"/>
        <v>612932</v>
      </c>
      <c r="AB509" s="33"/>
      <c r="AC509" s="46">
        <f t="shared" si="432"/>
        <v>1.7441120298292749E-2</v>
      </c>
      <c r="AD509" s="33"/>
      <c r="AE509" s="33">
        <f t="shared" si="433"/>
        <v>1225.864</v>
      </c>
      <c r="AF509" s="50"/>
      <c r="AG509" s="33">
        <f t="shared" si="434"/>
        <v>2173</v>
      </c>
      <c r="AH509" s="33">
        <f>SUM(D480:D1161)</f>
        <v>1194019017.060914</v>
      </c>
      <c r="AI509" s="213">
        <f t="shared" si="435"/>
        <v>0.20588235294117646</v>
      </c>
      <c r="AJ509" s="50"/>
      <c r="AK509" s="111"/>
      <c r="AL509" s="23">
        <f t="shared" si="436"/>
        <v>7173</v>
      </c>
      <c r="AM509" s="24"/>
      <c r="AN509" s="24"/>
      <c r="AO509" s="24">
        <v>178263</v>
      </c>
      <c r="AP509" s="24">
        <v>29673290</v>
      </c>
      <c r="AQ509" s="24">
        <v>20336656</v>
      </c>
      <c r="AR509" s="461">
        <f t="shared" si="437"/>
        <v>2.4179099677925492E-4</v>
      </c>
      <c r="AS509" s="25"/>
      <c r="AT509" s="25"/>
      <c r="AU509" s="24"/>
      <c r="AV509" s="298">
        <f t="shared" si="438"/>
        <v>0.84436025617218102</v>
      </c>
      <c r="AW509" s="298"/>
      <c r="AX509" s="24">
        <f t="shared" si="439"/>
        <v>59346.58</v>
      </c>
      <c r="AY509" s="308"/>
      <c r="AZ509" s="111"/>
      <c r="BA509" s="65">
        <f t="shared" si="440"/>
        <v>238229</v>
      </c>
      <c r="BB509" s="66"/>
      <c r="BC509" s="66">
        <v>529918049</v>
      </c>
      <c r="BD509" s="66"/>
      <c r="BE509" s="66">
        <f t="shared" si="441"/>
        <v>21768</v>
      </c>
      <c r="BF509" s="66"/>
      <c r="BG509" s="144">
        <f t="shared" si="442"/>
        <v>9.1374265937396365E-2</v>
      </c>
      <c r="BH509" s="66"/>
      <c r="BI509" s="170"/>
      <c r="BJ509" s="66"/>
      <c r="BK509" s="66">
        <f t="shared" si="443"/>
        <v>6309093</v>
      </c>
      <c r="BL509" s="66"/>
      <c r="BM509" s="144">
        <f t="shared" si="444"/>
        <v>6.9932080570059757E-2</v>
      </c>
      <c r="BN509" s="65">
        <f t="shared" si="445"/>
        <v>1059836.098</v>
      </c>
      <c r="BO509" s="66"/>
      <c r="BP509" s="66">
        <f t="shared" si="446"/>
        <v>34235948</v>
      </c>
      <c r="BQ509" s="66"/>
      <c r="BR509" s="435">
        <f t="shared" si="447"/>
        <v>6.4606117992406786E-2</v>
      </c>
      <c r="BS509" s="66"/>
      <c r="BT509" s="75"/>
      <c r="BU509" s="170"/>
      <c r="BV509" s="1"/>
      <c r="BW509" s="61">
        <f t="shared" si="399"/>
        <v>500</v>
      </c>
    </row>
    <row r="510" spans="2:75" x14ac:dyDescent="0.3">
      <c r="B510" s="158">
        <f t="shared" si="398"/>
        <v>44410</v>
      </c>
      <c r="C510" s="61"/>
      <c r="D510" s="17">
        <v>56369</v>
      </c>
      <c r="E510" s="16"/>
      <c r="F510" s="16"/>
      <c r="G510" s="16"/>
      <c r="H510" s="16">
        <f t="shared" si="424"/>
        <v>35199295</v>
      </c>
      <c r="I510" s="16"/>
      <c r="J510" s="436">
        <f t="shared" si="425"/>
        <v>1.6039927921767242E-3</v>
      </c>
      <c r="K510" s="16"/>
      <c r="L510" s="16"/>
      <c r="M510" s="16"/>
      <c r="N510" s="16">
        <f t="shared" si="426"/>
        <v>461761</v>
      </c>
      <c r="O510" s="16">
        <f t="shared" si="427"/>
        <v>70258.073852295405</v>
      </c>
      <c r="P510" s="41"/>
      <c r="Q510" s="17">
        <f t="shared" si="428"/>
        <v>461761</v>
      </c>
      <c r="R510" s="16"/>
      <c r="S510" s="60">
        <f t="shared" si="429"/>
        <v>0.45985532996528677</v>
      </c>
      <c r="T510" s="16"/>
      <c r="U510" s="41"/>
      <c r="V510" s="10">
        <f t="shared" si="349"/>
        <v>402</v>
      </c>
      <c r="W510" s="34">
        <v>213</v>
      </c>
      <c r="X510" s="33">
        <v>4256</v>
      </c>
      <c r="Y510" s="33"/>
      <c r="Z510" s="33">
        <f t="shared" si="430"/>
        <v>1915</v>
      </c>
      <c r="AA510" s="33">
        <f t="shared" si="431"/>
        <v>613145</v>
      </c>
      <c r="AB510" s="33"/>
      <c r="AC510" s="46">
        <f t="shared" si="432"/>
        <v>1.7419240925137847E-2</v>
      </c>
      <c r="AD510" s="33"/>
      <c r="AE510" s="33">
        <f t="shared" si="433"/>
        <v>1223.8423153692615</v>
      </c>
      <c r="AF510" s="50"/>
      <c r="AG510" s="33">
        <f t="shared" si="434"/>
        <v>2254</v>
      </c>
      <c r="AH510" s="33">
        <f>SUM(D481:D1162)</f>
        <v>1194011039.060914</v>
      </c>
      <c r="AI510" s="213">
        <f t="shared" si="435"/>
        <v>0.25431274346132443</v>
      </c>
      <c r="AJ510" s="50"/>
      <c r="AK510" s="111"/>
      <c r="AL510" s="23">
        <f t="shared" si="436"/>
        <v>44247</v>
      </c>
      <c r="AM510" s="24"/>
      <c r="AN510" s="24"/>
      <c r="AO510" s="24">
        <v>178263</v>
      </c>
      <c r="AP510" s="24">
        <v>29717537</v>
      </c>
      <c r="AQ510" s="24">
        <v>20336656</v>
      </c>
      <c r="AR510" s="461">
        <f t="shared" si="437"/>
        <v>1.4911390007646607E-3</v>
      </c>
      <c r="AS510" s="25"/>
      <c r="AT510" s="25"/>
      <c r="AU510" s="24"/>
      <c r="AV510" s="298">
        <f t="shared" si="438"/>
        <v>0.84426511951446759</v>
      </c>
      <c r="AW510" s="298"/>
      <c r="AX510" s="24">
        <f t="shared" si="439"/>
        <v>59316.441117764472</v>
      </c>
      <c r="AY510" s="308"/>
      <c r="AZ510" s="111"/>
      <c r="BA510" s="65">
        <f t="shared" si="440"/>
        <v>2223019</v>
      </c>
      <c r="BB510" s="66"/>
      <c r="BC510" s="66">
        <v>532141068</v>
      </c>
      <c r="BD510" s="66"/>
      <c r="BE510" s="66">
        <f t="shared" si="441"/>
        <v>56369</v>
      </c>
      <c r="BF510" s="66"/>
      <c r="BG510" s="144">
        <f t="shared" si="442"/>
        <v>2.5356958262614939E-2</v>
      </c>
      <c r="BH510" s="66"/>
      <c r="BI510" s="170"/>
      <c r="BJ510" s="66"/>
      <c r="BK510" s="66">
        <f t="shared" si="443"/>
        <v>6157182</v>
      </c>
      <c r="BL510" s="66"/>
      <c r="BM510" s="144">
        <f t="shared" si="444"/>
        <v>7.4995509309291164E-2</v>
      </c>
      <c r="BN510" s="65">
        <f t="shared" si="445"/>
        <v>1062157.8203592815</v>
      </c>
      <c r="BO510" s="66"/>
      <c r="BP510" s="66">
        <f t="shared" si="446"/>
        <v>34292317</v>
      </c>
      <c r="BQ510" s="66"/>
      <c r="BR510" s="435">
        <f t="shared" si="447"/>
        <v>6.4442154650616063E-2</v>
      </c>
      <c r="BS510" s="66"/>
      <c r="BT510" s="75"/>
      <c r="BU510" s="170"/>
      <c r="BV510" s="1"/>
      <c r="BW510" s="61">
        <f t="shared" si="399"/>
        <v>501</v>
      </c>
    </row>
    <row r="511" spans="2:75" x14ac:dyDescent="0.3">
      <c r="B511" s="158">
        <f t="shared" si="398"/>
        <v>44411</v>
      </c>
      <c r="C511" s="61"/>
      <c r="D511" s="17">
        <v>104758</v>
      </c>
      <c r="E511" s="16"/>
      <c r="F511" s="16"/>
      <c r="G511" s="16"/>
      <c r="H511" s="16">
        <f t="shared" si="424"/>
        <v>35304053</v>
      </c>
      <c r="I511" s="16"/>
      <c r="J511" s="436">
        <f t="shared" si="425"/>
        <v>2.9761391527870088E-3</v>
      </c>
      <c r="K511" s="16"/>
      <c r="L511" s="16"/>
      <c r="M511" s="16"/>
      <c r="N511" s="16">
        <f t="shared" si="426"/>
        <v>504938</v>
      </c>
      <c r="O511" s="16">
        <f t="shared" si="427"/>
        <v>70326.798804780876</v>
      </c>
      <c r="P511" s="41"/>
      <c r="Q511" s="17">
        <f t="shared" si="428"/>
        <v>504938</v>
      </c>
      <c r="R511" s="16"/>
      <c r="S511" s="60">
        <f t="shared" si="429"/>
        <v>0.51335361376271893</v>
      </c>
      <c r="T511" s="16"/>
      <c r="U511" s="41"/>
      <c r="V511" s="10">
        <f t="shared" si="349"/>
        <v>403</v>
      </c>
      <c r="W511" s="34">
        <v>516</v>
      </c>
      <c r="X511" s="33">
        <v>4256</v>
      </c>
      <c r="Y511" s="33"/>
      <c r="Z511" s="33">
        <f t="shared" si="430"/>
        <v>1948</v>
      </c>
      <c r="AA511" s="33">
        <f t="shared" si="431"/>
        <v>613661</v>
      </c>
      <c r="AB511" s="33"/>
      <c r="AC511" s="46">
        <f t="shared" si="432"/>
        <v>1.7382168557247519E-2</v>
      </c>
      <c r="AD511" s="33"/>
      <c r="AE511" s="33">
        <f t="shared" si="433"/>
        <v>1222.4322709163346</v>
      </c>
      <c r="AF511" s="50"/>
      <c r="AG511" s="33">
        <f t="shared" si="434"/>
        <v>2431</v>
      </c>
      <c r="AH511" s="33">
        <f>SUM(D482:D1163)</f>
        <v>1194005290.060914</v>
      </c>
      <c r="AI511" s="213">
        <f t="shared" si="435"/>
        <v>0.29308510638297874</v>
      </c>
      <c r="AJ511" s="50"/>
      <c r="AK511" s="111"/>
      <c r="AL511" s="23">
        <f t="shared" si="436"/>
        <v>39049</v>
      </c>
      <c r="AM511" s="24"/>
      <c r="AN511" s="24"/>
      <c r="AO511" s="24">
        <v>178263</v>
      </c>
      <c r="AP511" s="24">
        <v>29756586</v>
      </c>
      <c r="AQ511" s="24">
        <v>20336656</v>
      </c>
      <c r="AR511" s="461">
        <f t="shared" si="437"/>
        <v>1.3140052622799797E-3</v>
      </c>
      <c r="AS511" s="25"/>
      <c r="AT511" s="25"/>
      <c r="AU511" s="24"/>
      <c r="AV511" s="298">
        <f t="shared" si="438"/>
        <v>0.84286600181571225</v>
      </c>
      <c r="AW511" s="298"/>
      <c r="AX511" s="24">
        <f t="shared" si="439"/>
        <v>59276.067729083668</v>
      </c>
      <c r="AY511" s="308"/>
      <c r="AZ511" s="111"/>
      <c r="BA511" s="65">
        <f t="shared" si="440"/>
        <v>7084250</v>
      </c>
      <c r="BB511" s="66"/>
      <c r="BC511" s="66">
        <v>539225318</v>
      </c>
      <c r="BD511" s="66"/>
      <c r="BE511" s="66">
        <f t="shared" si="441"/>
        <v>104758</v>
      </c>
      <c r="BF511" s="66"/>
      <c r="BG511" s="144">
        <f t="shared" si="442"/>
        <v>1.4787451035748314E-2</v>
      </c>
      <c r="BH511" s="66"/>
      <c r="BI511" s="170"/>
      <c r="BJ511" s="66"/>
      <c r="BK511" s="66">
        <f t="shared" si="443"/>
        <v>12349086</v>
      </c>
      <c r="BL511" s="66"/>
      <c r="BM511" s="144">
        <f t="shared" si="444"/>
        <v>4.0888694110641062E-2</v>
      </c>
      <c r="BN511" s="65">
        <f t="shared" si="445"/>
        <v>1074154.0199203186</v>
      </c>
      <c r="BO511" s="66"/>
      <c r="BP511" s="66">
        <f t="shared" si="446"/>
        <v>34397075</v>
      </c>
      <c r="BQ511" s="66"/>
      <c r="BR511" s="435">
        <f t="shared" si="447"/>
        <v>6.378979964735261E-2</v>
      </c>
      <c r="BS511" s="66"/>
      <c r="BT511" s="75"/>
      <c r="BU511" s="170"/>
      <c r="BV511" s="1"/>
      <c r="BW511" s="61">
        <f t="shared" si="399"/>
        <v>502</v>
      </c>
    </row>
    <row r="512" spans="2:75" x14ac:dyDescent="0.3">
      <c r="B512" s="158">
        <f t="shared" si="398"/>
        <v>44412</v>
      </c>
      <c r="C512" s="61"/>
      <c r="D512" s="17">
        <v>112279</v>
      </c>
      <c r="E512" s="16"/>
      <c r="F512" s="16"/>
      <c r="G512" s="16"/>
      <c r="H512" s="16">
        <f t="shared" si="424"/>
        <v>35416332</v>
      </c>
      <c r="I512" s="16"/>
      <c r="J512" s="436">
        <f t="shared" si="425"/>
        <v>3.1803430614609604E-3</v>
      </c>
      <c r="K512" s="16"/>
      <c r="L512" s="16"/>
      <c r="M512" s="16"/>
      <c r="N512" s="16">
        <f t="shared" si="426"/>
        <v>532683</v>
      </c>
      <c r="O512" s="16">
        <f t="shared" si="427"/>
        <v>70410.202783300192</v>
      </c>
      <c r="P512" s="41"/>
      <c r="Q512" s="17">
        <f t="shared" si="428"/>
        <v>532683</v>
      </c>
      <c r="R512" s="16"/>
      <c r="S512" s="60">
        <f t="shared" si="429"/>
        <v>0.47286708104760217</v>
      </c>
      <c r="T512" s="16"/>
      <c r="U512" s="41"/>
      <c r="V512" s="10">
        <f t="shared" si="349"/>
        <v>404</v>
      </c>
      <c r="W512" s="34">
        <v>656</v>
      </c>
      <c r="X512" s="33">
        <v>4256</v>
      </c>
      <c r="Y512" s="33"/>
      <c r="Z512" s="33">
        <f t="shared" si="430"/>
        <v>2119</v>
      </c>
      <c r="AA512" s="33">
        <f t="shared" si="431"/>
        <v>614317</v>
      </c>
      <c r="AB512" s="33"/>
      <c r="AC512" s="46">
        <f t="shared" si="432"/>
        <v>1.7345585082046328E-2</v>
      </c>
      <c r="AD512" s="33"/>
      <c r="AE512" s="33">
        <f t="shared" si="433"/>
        <v>1221.3061630218688</v>
      </c>
      <c r="AF512" s="50"/>
      <c r="AG512" s="33">
        <f t="shared" si="434"/>
        <v>2604</v>
      </c>
      <c r="AH512" s="33">
        <f>SUM(D483:D1164)</f>
        <v>1194000158.060914</v>
      </c>
      <c r="AI512" s="213">
        <f t="shared" si="435"/>
        <v>0.33744221879815101</v>
      </c>
      <c r="AJ512" s="50"/>
      <c r="AK512" s="111"/>
      <c r="AL512" s="23">
        <f t="shared" si="436"/>
        <v>30730</v>
      </c>
      <c r="AM512" s="24"/>
      <c r="AN512" s="24"/>
      <c r="AO512" s="24">
        <v>178263</v>
      </c>
      <c r="AP512" s="24">
        <v>29787316</v>
      </c>
      <c r="AQ512" s="24">
        <v>20336656</v>
      </c>
      <c r="AR512" s="461">
        <f t="shared" si="437"/>
        <v>1.0327125564740525E-3</v>
      </c>
      <c r="AS512" s="25"/>
      <c r="AT512" s="25"/>
      <c r="AU512" s="24"/>
      <c r="AV512" s="298">
        <f t="shared" si="438"/>
        <v>0.84106157577244312</v>
      </c>
      <c r="AW512" s="298"/>
      <c r="AX512" s="24">
        <f t="shared" si="439"/>
        <v>59219.316103379722</v>
      </c>
      <c r="AY512" s="308"/>
      <c r="AZ512" s="111"/>
      <c r="BA512" s="65">
        <f t="shared" si="440"/>
        <v>1157031</v>
      </c>
      <c r="BB512" s="66"/>
      <c r="BC512" s="66">
        <v>540382349</v>
      </c>
      <c r="BD512" s="66"/>
      <c r="BE512" s="66">
        <f t="shared" si="441"/>
        <v>112279</v>
      </c>
      <c r="BF512" s="66"/>
      <c r="BG512" s="144">
        <f t="shared" si="442"/>
        <v>9.7040615160700103E-2</v>
      </c>
      <c r="BH512" s="66"/>
      <c r="BI512" s="170"/>
      <c r="BJ512" s="66"/>
      <c r="BK512" s="66">
        <f t="shared" si="443"/>
        <v>13301197</v>
      </c>
      <c r="BL512" s="66"/>
      <c r="BM512" s="144">
        <f t="shared" si="444"/>
        <v>4.0047749086040904E-2</v>
      </c>
      <c r="BN512" s="65">
        <f t="shared" si="445"/>
        <v>1074318.7852882703</v>
      </c>
      <c r="BO512" s="66"/>
      <c r="BP512" s="66">
        <f t="shared" si="446"/>
        <v>34509354</v>
      </c>
      <c r="BQ512" s="66"/>
      <c r="BR512" s="435">
        <f t="shared" si="447"/>
        <v>6.3860994097718018E-2</v>
      </c>
      <c r="BS512" s="66"/>
      <c r="BT512" s="75"/>
      <c r="BU512" s="170"/>
      <c r="BV512" s="1"/>
      <c r="BW512" s="61">
        <f t="shared" si="399"/>
        <v>503</v>
      </c>
    </row>
    <row r="513" spans="2:75" x14ac:dyDescent="0.3">
      <c r="B513" s="158">
        <f t="shared" si="398"/>
        <v>44413</v>
      </c>
      <c r="C513" s="61"/>
      <c r="D513" s="17">
        <v>120945</v>
      </c>
      <c r="E513" s="16"/>
      <c r="F513" s="16"/>
      <c r="G513" s="16"/>
      <c r="H513" s="16">
        <f t="shared" si="424"/>
        <v>35537277</v>
      </c>
      <c r="I513" s="16"/>
      <c r="J513" s="436">
        <f t="shared" si="425"/>
        <v>3.4149499163267389E-3</v>
      </c>
      <c r="K513" s="16"/>
      <c r="L513" s="16"/>
      <c r="M513" s="16"/>
      <c r="N513" s="16">
        <f t="shared" si="426"/>
        <v>569115</v>
      </c>
      <c r="O513" s="16">
        <f t="shared" si="427"/>
        <v>70510.470238095237</v>
      </c>
      <c r="P513" s="41"/>
      <c r="Q513" s="17">
        <f t="shared" si="428"/>
        <v>569115</v>
      </c>
      <c r="R513" s="16"/>
      <c r="S513" s="60">
        <f t="shared" si="429"/>
        <v>0.48004296198436519</v>
      </c>
      <c r="T513" s="16"/>
      <c r="U513" s="41"/>
      <c r="V513" s="10">
        <f t="shared" si="349"/>
        <v>405</v>
      </c>
      <c r="W513" s="34">
        <v>559</v>
      </c>
      <c r="X513" s="33">
        <v>4256</v>
      </c>
      <c r="Y513" s="33"/>
      <c r="Z513" s="33">
        <f t="shared" si="430"/>
        <v>2249</v>
      </c>
      <c r="AA513" s="33">
        <f t="shared" si="431"/>
        <v>614876</v>
      </c>
      <c r="AB513" s="33"/>
      <c r="AC513" s="46">
        <f t="shared" si="432"/>
        <v>1.7302282332999235E-2</v>
      </c>
      <c r="AD513" s="33"/>
      <c r="AE513" s="33">
        <f t="shared" si="433"/>
        <v>1219.9920634920634</v>
      </c>
      <c r="AF513" s="50"/>
      <c r="AG513" s="33">
        <f t="shared" si="434"/>
        <v>2678</v>
      </c>
      <c r="AH513" s="33">
        <f>SUM(D484:D1165)</f>
        <v>1193988546.060914</v>
      </c>
      <c r="AI513" s="213">
        <f t="shared" si="435"/>
        <v>0.29559748427672955</v>
      </c>
      <c r="AJ513" s="50"/>
      <c r="AK513" s="111" t="s">
        <v>26</v>
      </c>
      <c r="AL513" s="23">
        <f t="shared" si="436"/>
        <v>12684</v>
      </c>
      <c r="AM513" s="24"/>
      <c r="AN513" s="24"/>
      <c r="AO513" s="24">
        <v>178263</v>
      </c>
      <c r="AP513" s="24">
        <v>29800000</v>
      </c>
      <c r="AQ513" s="24">
        <v>20336656</v>
      </c>
      <c r="AR513" s="461">
        <f t="shared" si="437"/>
        <v>4.258188283899093E-4</v>
      </c>
      <c r="AS513" s="25"/>
      <c r="AT513" s="25"/>
      <c r="AU513" s="24"/>
      <c r="AV513" s="298">
        <f t="shared" si="438"/>
        <v>0.83855608858270148</v>
      </c>
      <c r="AW513" s="298"/>
      <c r="AX513" s="24">
        <f t="shared" si="439"/>
        <v>59126.984126984127</v>
      </c>
      <c r="AY513" s="308"/>
      <c r="AZ513" s="111" t="s">
        <v>26</v>
      </c>
      <c r="BA513" s="65">
        <f t="shared" si="440"/>
        <v>1100613</v>
      </c>
      <c r="BB513" s="66"/>
      <c r="BC513" s="66">
        <v>541482962</v>
      </c>
      <c r="BD513" s="66"/>
      <c r="BE513" s="66">
        <f t="shared" si="441"/>
        <v>120945</v>
      </c>
      <c r="BF513" s="66"/>
      <c r="BG513" s="144">
        <f t="shared" si="442"/>
        <v>0.10988876198990925</v>
      </c>
      <c r="BH513" s="66"/>
      <c r="BI513" s="170"/>
      <c r="BJ513" s="66"/>
      <c r="BK513" s="66">
        <f t="shared" si="443"/>
        <v>14182962</v>
      </c>
      <c r="BL513" s="66"/>
      <c r="BM513" s="144">
        <f t="shared" si="444"/>
        <v>4.0126667476088562E-2</v>
      </c>
      <c r="BN513" s="65">
        <f t="shared" si="445"/>
        <v>1074370.9563492064</v>
      </c>
      <c r="BO513" s="66"/>
      <c r="BP513" s="66">
        <f t="shared" si="446"/>
        <v>34630299</v>
      </c>
      <c r="BQ513" s="66"/>
      <c r="BR513" s="435">
        <f t="shared" si="447"/>
        <v>6.3954549690891288E-2</v>
      </c>
      <c r="BS513" s="66"/>
      <c r="BT513" s="75"/>
      <c r="BU513" s="170"/>
      <c r="BV513" s="1"/>
      <c r="BW513" s="61">
        <f t="shared" si="399"/>
        <v>504</v>
      </c>
    </row>
    <row r="514" spans="2:75" x14ac:dyDescent="0.3">
      <c r="B514" s="158">
        <f t="shared" si="398"/>
        <v>44414</v>
      </c>
      <c r="C514" s="61"/>
      <c r="D514" s="17">
        <v>130706</v>
      </c>
      <c r="E514" s="16"/>
      <c r="F514" s="16"/>
      <c r="G514" s="16"/>
      <c r="H514" s="16">
        <f t="shared" si="424"/>
        <v>35667983</v>
      </c>
      <c r="I514" s="16"/>
      <c r="J514" s="436">
        <f t="shared" si="425"/>
        <v>3.67799705081512E-3</v>
      </c>
      <c r="K514" s="16"/>
      <c r="L514" s="16"/>
      <c r="M514" s="16"/>
      <c r="N514" s="16">
        <f t="shared" si="426"/>
        <v>598723</v>
      </c>
      <c r="O514" s="16">
        <f t="shared" si="427"/>
        <v>70629.669306930693</v>
      </c>
      <c r="P514" s="41"/>
      <c r="Q514" s="17">
        <f t="shared" si="428"/>
        <v>598723</v>
      </c>
      <c r="R514" s="16"/>
      <c r="S514" s="60">
        <f t="shared" si="429"/>
        <v>0.43187552464611051</v>
      </c>
      <c r="T514" s="16"/>
      <c r="U514" s="41"/>
      <c r="V514" s="10">
        <f t="shared" si="349"/>
        <v>406</v>
      </c>
      <c r="W514" s="34">
        <v>750</v>
      </c>
      <c r="X514" s="33">
        <v>4256</v>
      </c>
      <c r="Y514" s="33"/>
      <c r="Z514" s="33">
        <f t="shared" si="430"/>
        <v>2758</v>
      </c>
      <c r="AA514" s="33">
        <f t="shared" si="431"/>
        <v>615626</v>
      </c>
      <c r="AB514" s="33"/>
      <c r="AC514" s="46">
        <f t="shared" si="432"/>
        <v>1.7259905052663057E-2</v>
      </c>
      <c r="AD514" s="33"/>
      <c r="AE514" s="33">
        <f t="shared" si="433"/>
        <v>1219.0613861386139</v>
      </c>
      <c r="AF514" s="50"/>
      <c r="AG514" s="33">
        <f t="shared" si="434"/>
        <v>2999</v>
      </c>
      <c r="AH514" s="33">
        <f>SUM(D485:D1166)</f>
        <v>1193971734.060914</v>
      </c>
      <c r="AI514" s="213">
        <f t="shared" si="435"/>
        <v>0.45019342359767894</v>
      </c>
      <c r="AJ514" s="50"/>
      <c r="AK514" s="111"/>
      <c r="AL514" s="23">
        <f t="shared" si="436"/>
        <v>34472</v>
      </c>
      <c r="AM514" s="24"/>
      <c r="AN514" s="24"/>
      <c r="AO514" s="24">
        <v>178263</v>
      </c>
      <c r="AP514" s="24">
        <v>29834472</v>
      </c>
      <c r="AQ514" s="24">
        <v>20336656</v>
      </c>
      <c r="AR514" s="461">
        <f t="shared" si="437"/>
        <v>1.1567785234899328E-3</v>
      </c>
      <c r="AS514" s="25"/>
      <c r="AT514" s="25"/>
      <c r="AU514" s="24"/>
      <c r="AV514" s="298">
        <f t="shared" si="438"/>
        <v>0.83644965290019346</v>
      </c>
      <c r="AW514" s="298"/>
      <c r="AX514" s="24">
        <f t="shared" si="439"/>
        <v>59078.162376237626</v>
      </c>
      <c r="AY514" s="308"/>
      <c r="AZ514" s="111"/>
      <c r="BA514" s="65">
        <f t="shared" si="440"/>
        <v>1408885</v>
      </c>
      <c r="BB514" s="66"/>
      <c r="BC514" s="66">
        <v>542891847</v>
      </c>
      <c r="BD514" s="66"/>
      <c r="BE514" s="66">
        <f t="shared" si="441"/>
        <v>130706</v>
      </c>
      <c r="BF514" s="66"/>
      <c r="BG514" s="144">
        <f t="shared" si="442"/>
        <v>9.2772653552277151E-2</v>
      </c>
      <c r="BH514" s="66"/>
      <c r="BI514" s="170"/>
      <c r="BJ514" s="66"/>
      <c r="BK514" s="66">
        <f t="shared" si="443"/>
        <v>13712937</v>
      </c>
      <c r="BL514" s="66"/>
      <c r="BM514" s="144">
        <f t="shared" si="444"/>
        <v>4.3661179220760661E-2</v>
      </c>
      <c r="BN514" s="65">
        <f t="shared" si="445"/>
        <v>1075033.3603960397</v>
      </c>
      <c r="BO514" s="66"/>
      <c r="BP514" s="66">
        <f t="shared" si="446"/>
        <v>34761005</v>
      </c>
      <c r="BQ514" s="66"/>
      <c r="BR514" s="435">
        <f t="shared" si="447"/>
        <v>6.4029336951895693E-2</v>
      </c>
      <c r="BS514" s="66"/>
      <c r="BT514" s="75"/>
      <c r="BU514" s="170"/>
      <c r="BV514" s="1"/>
      <c r="BW514" s="61">
        <f t="shared" si="399"/>
        <v>505</v>
      </c>
    </row>
    <row r="515" spans="2:75" x14ac:dyDescent="0.3">
      <c r="B515" s="158">
        <f t="shared" si="398"/>
        <v>44415</v>
      </c>
      <c r="C515" s="61"/>
      <c r="D515" s="17">
        <v>68950</v>
      </c>
      <c r="E515" s="16"/>
      <c r="F515" s="16"/>
      <c r="G515" s="16"/>
      <c r="H515" s="16">
        <f t="shared" si="424"/>
        <v>35736933</v>
      </c>
      <c r="I515" s="16"/>
      <c r="J515" s="436">
        <f t="shared" si="425"/>
        <v>1.9331062258272356E-3</v>
      </c>
      <c r="K515" s="16"/>
      <c r="L515" s="16"/>
      <c r="M515" s="16"/>
      <c r="N515" s="16">
        <f t="shared" si="426"/>
        <v>615775</v>
      </c>
      <c r="O515" s="16">
        <f t="shared" si="427"/>
        <v>70626.349802371536</v>
      </c>
      <c r="P515" s="41"/>
      <c r="Q515" s="17">
        <f t="shared" si="428"/>
        <v>615775</v>
      </c>
      <c r="R515" s="16"/>
      <c r="S515" s="60">
        <f t="shared" si="429"/>
        <v>0.42126631245124152</v>
      </c>
      <c r="T515" s="16"/>
      <c r="U515" s="41"/>
      <c r="V515" s="10">
        <f t="shared" si="349"/>
        <v>407</v>
      </c>
      <c r="W515" s="34">
        <v>320</v>
      </c>
      <c r="X515" s="33">
        <v>4256</v>
      </c>
      <c r="Y515" s="33"/>
      <c r="Z515" s="33">
        <f t="shared" si="430"/>
        <v>3014</v>
      </c>
      <c r="AA515" s="33">
        <f t="shared" si="431"/>
        <v>615946</v>
      </c>
      <c r="AB515" s="33"/>
      <c r="AC515" s="46">
        <f t="shared" si="432"/>
        <v>1.7235558518689895E-2</v>
      </c>
      <c r="AD515" s="33"/>
      <c r="AE515" s="33">
        <f t="shared" si="433"/>
        <v>1217.2845849802372</v>
      </c>
      <c r="AF515" s="50"/>
      <c r="AG515" s="33">
        <f t="shared" si="434"/>
        <v>3078</v>
      </c>
      <c r="AH515" s="33">
        <f>SUM(D486:D1167)</f>
        <v>1193952387.060914</v>
      </c>
      <c r="AI515" s="213">
        <f t="shared" si="435"/>
        <v>0.42632066728452273</v>
      </c>
      <c r="AJ515" s="50"/>
      <c r="AK515" s="111"/>
      <c r="AL515" s="23">
        <f t="shared" si="436"/>
        <v>17331</v>
      </c>
      <c r="AM515" s="24"/>
      <c r="AN515" s="24"/>
      <c r="AO515" s="24">
        <v>178263</v>
      </c>
      <c r="AP515" s="24">
        <v>29851803</v>
      </c>
      <c r="AQ515" s="24">
        <v>20336656</v>
      </c>
      <c r="AR515" s="461">
        <f t="shared" si="437"/>
        <v>5.8090520254556544E-4</v>
      </c>
      <c r="AS515" s="25"/>
      <c r="AT515" s="25"/>
      <c r="AU515" s="24"/>
      <c r="AV515" s="298">
        <f t="shared" si="438"/>
        <v>0.83532078704123824</v>
      </c>
      <c r="AW515" s="298"/>
      <c r="AX515" s="24">
        <f t="shared" si="439"/>
        <v>58995.6581027668</v>
      </c>
      <c r="AY515" s="308"/>
      <c r="AZ515" s="111"/>
      <c r="BA515" s="65">
        <f t="shared" si="440"/>
        <v>836734</v>
      </c>
      <c r="BB515" s="66"/>
      <c r="BC515" s="66">
        <v>543728581</v>
      </c>
      <c r="BD515" s="66"/>
      <c r="BE515" s="66">
        <f t="shared" si="441"/>
        <v>68950</v>
      </c>
      <c r="BF515" s="66"/>
      <c r="BG515" s="144">
        <f t="shared" si="442"/>
        <v>8.2403726871383254E-2</v>
      </c>
      <c r="BH515" s="66"/>
      <c r="BI515" s="170"/>
      <c r="BJ515" s="66"/>
      <c r="BK515" s="66">
        <f t="shared" si="443"/>
        <v>14048761</v>
      </c>
      <c r="BL515" s="66"/>
      <c r="BM515" s="144">
        <f t="shared" si="444"/>
        <v>4.3831267397886543E-2</v>
      </c>
      <c r="BN515" s="65">
        <f t="shared" si="445"/>
        <v>1074562.4130434783</v>
      </c>
      <c r="BO515" s="66"/>
      <c r="BP515" s="66">
        <f t="shared" si="446"/>
        <v>34829955</v>
      </c>
      <c r="BQ515" s="66"/>
      <c r="BR515" s="435">
        <f t="shared" si="447"/>
        <v>6.4057612965539509E-2</v>
      </c>
      <c r="BS515" s="66"/>
      <c r="BT515" s="75"/>
      <c r="BU515" s="170"/>
      <c r="BV515" s="1"/>
      <c r="BW515" s="61">
        <f t="shared" si="399"/>
        <v>506</v>
      </c>
    </row>
    <row r="516" spans="2:75" x14ac:dyDescent="0.3">
      <c r="B516" s="347">
        <f t="shared" si="398"/>
        <v>44416</v>
      </c>
      <c r="C516" s="61"/>
      <c r="D516" s="17">
        <v>24390</v>
      </c>
      <c r="E516" s="16"/>
      <c r="F516" s="16"/>
      <c r="G516" s="16"/>
      <c r="H516" s="16">
        <f t="shared" si="424"/>
        <v>35761323</v>
      </c>
      <c r="I516" s="16"/>
      <c r="J516" s="436">
        <f t="shared" si="425"/>
        <v>6.8248721847507176E-4</v>
      </c>
      <c r="K516" s="16"/>
      <c r="L516" s="16"/>
      <c r="M516" s="16"/>
      <c r="N516" s="16">
        <f t="shared" si="426"/>
        <v>618397</v>
      </c>
      <c r="O516" s="16">
        <f t="shared" si="427"/>
        <v>70535.153846153844</v>
      </c>
      <c r="P516" s="41"/>
      <c r="Q516" s="17">
        <f t="shared" si="428"/>
        <v>618397</v>
      </c>
      <c r="R516" s="16"/>
      <c r="S516" s="60">
        <f t="shared" si="429"/>
        <v>0.40159969900817755</v>
      </c>
      <c r="T516" s="16"/>
      <c r="U516" s="41"/>
      <c r="V516" s="10">
        <f t="shared" si="349"/>
        <v>408</v>
      </c>
      <c r="W516" s="34">
        <v>129</v>
      </c>
      <c r="X516" s="33">
        <v>4256</v>
      </c>
      <c r="Y516" s="33"/>
      <c r="Z516" s="33">
        <f t="shared" si="430"/>
        <v>2930</v>
      </c>
      <c r="AA516" s="33">
        <f t="shared" si="431"/>
        <v>616075</v>
      </c>
      <c r="AB516" s="33"/>
      <c r="AC516" s="46">
        <f t="shared" si="432"/>
        <v>1.7227410742046652E-2</v>
      </c>
      <c r="AD516" s="33"/>
      <c r="AE516" s="33">
        <f t="shared" si="433"/>
        <v>1215.1380670611441</v>
      </c>
      <c r="AF516" s="50"/>
      <c r="AG516" s="33">
        <f t="shared" si="434"/>
        <v>3143</v>
      </c>
      <c r="AH516" s="33">
        <f>SUM(D487:D1168)</f>
        <v>1193925150.060914</v>
      </c>
      <c r="AI516" s="213">
        <f t="shared" si="435"/>
        <v>0.44638748274275197</v>
      </c>
      <c r="AJ516" s="50"/>
      <c r="AK516" s="111"/>
      <c r="AL516" s="23">
        <f t="shared" si="436"/>
        <v>7259</v>
      </c>
      <c r="AM516" s="24"/>
      <c r="AN516" s="24"/>
      <c r="AO516" s="24">
        <v>178263</v>
      </c>
      <c r="AP516" s="24">
        <v>29859062</v>
      </c>
      <c r="AQ516" s="24">
        <v>20336656</v>
      </c>
      <c r="AR516" s="461">
        <f t="shared" si="437"/>
        <v>2.4316789173504862E-4</v>
      </c>
      <c r="AS516" s="25"/>
      <c r="AT516" s="25"/>
      <c r="AU516" s="24"/>
      <c r="AV516" s="298">
        <f t="shared" si="438"/>
        <v>0.8349540647587339</v>
      </c>
      <c r="AW516" s="298"/>
      <c r="AX516" s="24">
        <f t="shared" si="439"/>
        <v>58893.613412228799</v>
      </c>
      <c r="AY516" s="308"/>
      <c r="AZ516" s="111"/>
      <c r="BA516" s="65">
        <f t="shared" si="440"/>
        <v>652881</v>
      </c>
      <c r="BB516" s="66"/>
      <c r="BC516" s="66">
        <v>544381462</v>
      </c>
      <c r="BD516" s="66"/>
      <c r="BE516" s="66">
        <f t="shared" si="441"/>
        <v>24390</v>
      </c>
      <c r="BF516" s="66"/>
      <c r="BG516" s="144">
        <f t="shared" si="442"/>
        <v>3.73574970017507E-2</v>
      </c>
      <c r="BH516" s="66"/>
      <c r="BI516" s="170"/>
      <c r="BJ516" s="66"/>
      <c r="BK516" s="66">
        <f t="shared" si="443"/>
        <v>14463413</v>
      </c>
      <c r="BL516" s="66"/>
      <c r="BM516" s="144">
        <f t="shared" si="444"/>
        <v>4.2755952554213862E-2</v>
      </c>
      <c r="BN516" s="65">
        <f t="shared" si="445"/>
        <v>1073730.6942800789</v>
      </c>
      <c r="BO516" s="66"/>
      <c r="BP516" s="66">
        <f t="shared" si="446"/>
        <v>34854345</v>
      </c>
      <c r="BQ516" s="66"/>
      <c r="BR516" s="435">
        <f t="shared" si="447"/>
        <v>6.4025591304944174E-2</v>
      </c>
      <c r="BS516" s="66"/>
      <c r="BT516" s="75"/>
      <c r="BU516" s="170"/>
      <c r="BV516" s="1"/>
      <c r="BW516" s="61">
        <f t="shared" si="399"/>
        <v>507</v>
      </c>
    </row>
    <row r="517" spans="2:75" x14ac:dyDescent="0.3">
      <c r="B517" s="158">
        <f t="shared" si="398"/>
        <v>44417</v>
      </c>
      <c r="C517" s="61"/>
      <c r="D517" s="17">
        <v>102375</v>
      </c>
      <c r="E517" s="16"/>
      <c r="F517" s="16"/>
      <c r="G517" s="16"/>
      <c r="H517" s="16">
        <f t="shared" si="424"/>
        <v>35863698</v>
      </c>
      <c r="I517" s="16"/>
      <c r="J517" s="436">
        <f t="shared" si="425"/>
        <v>2.8627296590788883E-3</v>
      </c>
      <c r="K517" s="16"/>
      <c r="L517" s="16"/>
      <c r="M517" s="16"/>
      <c r="N517" s="16">
        <f t="shared" si="426"/>
        <v>664403</v>
      </c>
      <c r="O517" s="16">
        <f t="shared" si="427"/>
        <v>70597.830708661422</v>
      </c>
      <c r="P517" s="41"/>
      <c r="Q517" s="17">
        <f t="shared" si="428"/>
        <v>664403</v>
      </c>
      <c r="R517" s="16"/>
      <c r="S517" s="60">
        <f t="shared" si="429"/>
        <v>0.43884606972004997</v>
      </c>
      <c r="T517" s="16"/>
      <c r="U517" s="41"/>
      <c r="V517" s="10">
        <f t="shared" si="349"/>
        <v>409</v>
      </c>
      <c r="W517" s="34">
        <v>326</v>
      </c>
      <c r="X517" s="33">
        <v>4256</v>
      </c>
      <c r="Y517" s="33"/>
      <c r="Z517" s="33">
        <f t="shared" si="430"/>
        <v>2740</v>
      </c>
      <c r="AA517" s="33">
        <f t="shared" si="431"/>
        <v>616401</v>
      </c>
      <c r="AB517" s="33"/>
      <c r="AC517" s="46">
        <f t="shared" si="432"/>
        <v>1.7187324073496268E-2</v>
      </c>
      <c r="AD517" s="33"/>
      <c r="AE517" s="33">
        <f t="shared" si="433"/>
        <v>1213.3877952755906</v>
      </c>
      <c r="AF517" s="50"/>
      <c r="AG517" s="33">
        <f t="shared" si="434"/>
        <v>3256</v>
      </c>
      <c r="AH517" s="33">
        <f>SUM(D488:D1169)</f>
        <v>1193910615.060914</v>
      </c>
      <c r="AI517" s="213">
        <f t="shared" si="435"/>
        <v>0.44454303460514638</v>
      </c>
      <c r="AJ517" s="50"/>
      <c r="AK517" s="111"/>
      <c r="AL517" s="23">
        <f t="shared" si="436"/>
        <v>64258</v>
      </c>
      <c r="AM517" s="24"/>
      <c r="AN517" s="24"/>
      <c r="AO517" s="24">
        <v>178263</v>
      </c>
      <c r="AP517" s="24">
        <v>29923320</v>
      </c>
      <c r="AQ517" s="24">
        <v>20336656</v>
      </c>
      <c r="AR517" s="461">
        <f t="shared" si="437"/>
        <v>2.1520434901806358E-3</v>
      </c>
      <c r="AS517" s="25"/>
      <c r="AT517" s="25"/>
      <c r="AU517" s="24"/>
      <c r="AV517" s="298">
        <f t="shared" si="438"/>
        <v>0.83436236832018829</v>
      </c>
      <c r="AW517" s="298"/>
      <c r="AX517" s="24">
        <f t="shared" si="439"/>
        <v>58904.173228346459</v>
      </c>
      <c r="AY517" s="308"/>
      <c r="AZ517" s="111"/>
      <c r="BA517" s="65">
        <f t="shared" si="440"/>
        <v>2240677</v>
      </c>
      <c r="BB517" s="66"/>
      <c r="BC517" s="66">
        <v>546622139</v>
      </c>
      <c r="BD517" s="66"/>
      <c r="BE517" s="66">
        <f t="shared" si="441"/>
        <v>102375</v>
      </c>
      <c r="BF517" s="66"/>
      <c r="BG517" s="144">
        <f t="shared" si="442"/>
        <v>4.5689316220053136E-2</v>
      </c>
      <c r="BH517" s="66"/>
      <c r="BI517" s="170"/>
      <c r="BJ517" s="66"/>
      <c r="BK517" s="66">
        <f t="shared" si="443"/>
        <v>14481071</v>
      </c>
      <c r="BL517" s="66"/>
      <c r="BM517" s="144">
        <f t="shared" si="444"/>
        <v>4.5880791551950822E-2</v>
      </c>
      <c r="BN517" s="65">
        <f t="shared" si="445"/>
        <v>1076027.8326771653</v>
      </c>
      <c r="BO517" s="66"/>
      <c r="BP517" s="66">
        <f t="shared" si="446"/>
        <v>34956720</v>
      </c>
      <c r="BQ517" s="66"/>
      <c r="BR517" s="435">
        <f t="shared" si="447"/>
        <v>6.3950428469564793E-2</v>
      </c>
      <c r="BS517" s="66"/>
      <c r="BT517" s="75"/>
      <c r="BU517" s="170"/>
      <c r="BV517" s="1"/>
      <c r="BW517" s="61">
        <f t="shared" si="399"/>
        <v>508</v>
      </c>
    </row>
    <row r="518" spans="2:75" x14ac:dyDescent="0.3">
      <c r="B518" s="158">
        <f t="shared" si="398"/>
        <v>44418</v>
      </c>
      <c r="C518" s="61"/>
      <c r="D518" s="17">
        <v>101254</v>
      </c>
      <c r="E518" s="16"/>
      <c r="F518" s="16"/>
      <c r="G518" s="16"/>
      <c r="H518" s="16">
        <f t="shared" si="424"/>
        <v>35964952</v>
      </c>
      <c r="I518" s="16"/>
      <c r="J518" s="436">
        <f t="shared" si="425"/>
        <v>2.8233005977241947E-3</v>
      </c>
      <c r="K518" s="16"/>
      <c r="L518" s="16"/>
      <c r="M518" s="16"/>
      <c r="N518" s="16">
        <f t="shared" si="426"/>
        <v>660899</v>
      </c>
      <c r="O518" s="16">
        <f t="shared" si="427"/>
        <v>70658.05893909627</v>
      </c>
      <c r="P518" s="41"/>
      <c r="Q518" s="17">
        <f t="shared" si="428"/>
        <v>660899</v>
      </c>
      <c r="R518" s="16"/>
      <c r="S518" s="60">
        <f t="shared" si="429"/>
        <v>0.30887158423410399</v>
      </c>
      <c r="T518" s="16"/>
      <c r="U518" s="41"/>
      <c r="V518" s="10">
        <f t="shared" si="349"/>
        <v>410</v>
      </c>
      <c r="W518" s="34">
        <v>657</v>
      </c>
      <c r="X518" s="33">
        <v>4256</v>
      </c>
      <c r="Y518" s="33"/>
      <c r="Z518" s="33">
        <f t="shared" si="430"/>
        <v>2741</v>
      </c>
      <c r="AA518" s="33">
        <f t="shared" si="431"/>
        <v>617058</v>
      </c>
      <c r="AB518" s="33"/>
      <c r="AC518" s="46">
        <f t="shared" si="432"/>
        <v>1.7157203490776242E-2</v>
      </c>
      <c r="AD518" s="33"/>
      <c r="AE518" s="33">
        <f t="shared" si="433"/>
        <v>1212.294695481336</v>
      </c>
      <c r="AF518" s="50"/>
      <c r="AG518" s="33">
        <f t="shared" si="434"/>
        <v>3397</v>
      </c>
      <c r="AH518" s="33">
        <f>SUM(D489:D1170)</f>
        <v>1193903973.060914</v>
      </c>
      <c r="AI518" s="213">
        <f t="shared" si="435"/>
        <v>0.39736733854380912</v>
      </c>
      <c r="AJ518" s="50"/>
      <c r="AK518" s="111"/>
      <c r="AL518" s="23">
        <f t="shared" si="436"/>
        <v>43001</v>
      </c>
      <c r="AM518" s="24"/>
      <c r="AN518" s="24"/>
      <c r="AO518" s="24">
        <v>178263</v>
      </c>
      <c r="AP518" s="24">
        <v>29966321</v>
      </c>
      <c r="AQ518" s="24">
        <v>20336656</v>
      </c>
      <c r="AR518" s="461">
        <f t="shared" si="437"/>
        <v>1.4370397402427271E-3</v>
      </c>
      <c r="AS518" s="25"/>
      <c r="AT518" s="25"/>
      <c r="AU518" s="24"/>
      <c r="AV518" s="298">
        <f t="shared" si="438"/>
        <v>0.83320898078774019</v>
      </c>
      <c r="AW518" s="298"/>
      <c r="AX518" s="24">
        <f t="shared" si="439"/>
        <v>58872.929273084483</v>
      </c>
      <c r="AY518" s="308"/>
      <c r="AZ518" s="111"/>
      <c r="BA518" s="65">
        <f t="shared" si="440"/>
        <v>1026783</v>
      </c>
      <c r="BB518" s="66"/>
      <c r="BC518" s="66">
        <v>547648922</v>
      </c>
      <c r="BD518" s="66"/>
      <c r="BE518" s="66">
        <f t="shared" si="441"/>
        <v>101254</v>
      </c>
      <c r="BF518" s="66"/>
      <c r="BG518" s="144">
        <f t="shared" si="442"/>
        <v>9.8612851985278291E-2</v>
      </c>
      <c r="BH518" s="66"/>
      <c r="BI518" s="170"/>
      <c r="BJ518" s="66"/>
      <c r="BK518" s="66">
        <f t="shared" si="443"/>
        <v>8423604</v>
      </c>
      <c r="BL518" s="66"/>
      <c r="BM518" s="144">
        <f t="shared" si="444"/>
        <v>7.845798544186075E-2</v>
      </c>
      <c r="BN518" s="65">
        <f t="shared" si="445"/>
        <v>1075931.0844793713</v>
      </c>
      <c r="BO518" s="66"/>
      <c r="BP518" s="66">
        <f t="shared" si="446"/>
        <v>35057974</v>
      </c>
      <c r="BQ518" s="66"/>
      <c r="BR518" s="435">
        <f t="shared" si="447"/>
        <v>6.4015416796529362E-2</v>
      </c>
      <c r="BS518" s="66"/>
      <c r="BT518" s="75"/>
      <c r="BU518" s="170"/>
      <c r="BV518" s="1"/>
      <c r="BW518" s="61">
        <f t="shared" si="399"/>
        <v>509</v>
      </c>
    </row>
    <row r="519" spans="2:75" x14ac:dyDescent="0.3">
      <c r="B519" s="158">
        <f t="shared" ref="B519:B765" si="448">1+B518</f>
        <v>44419</v>
      </c>
      <c r="C519" s="61"/>
      <c r="D519" s="17">
        <v>144635</v>
      </c>
      <c r="E519" s="16"/>
      <c r="F519" s="16"/>
      <c r="G519" s="16"/>
      <c r="H519" s="16">
        <f t="shared" si="424"/>
        <v>36109587</v>
      </c>
      <c r="I519" s="16"/>
      <c r="J519" s="436">
        <f t="shared" si="425"/>
        <v>4.021554095220258E-3</v>
      </c>
      <c r="K519" s="16"/>
      <c r="L519" s="16"/>
      <c r="M519" s="16"/>
      <c r="N519" s="16">
        <f t="shared" si="426"/>
        <v>693255</v>
      </c>
      <c r="O519" s="16">
        <f t="shared" si="427"/>
        <v>70803.111764705885</v>
      </c>
      <c r="P519" s="41"/>
      <c r="Q519" s="17">
        <f t="shared" si="428"/>
        <v>693255</v>
      </c>
      <c r="R519" s="16"/>
      <c r="S519" s="60">
        <f t="shared" si="429"/>
        <v>0.30144006848350707</v>
      </c>
      <c r="T519" s="16"/>
      <c r="U519" s="41"/>
      <c r="V519" s="10">
        <f t="shared" si="349"/>
        <v>411</v>
      </c>
      <c r="W519" s="34">
        <v>614</v>
      </c>
      <c r="X519" s="33">
        <v>4256</v>
      </c>
      <c r="Y519" s="33"/>
      <c r="Z519" s="33">
        <f t="shared" si="430"/>
        <v>2796</v>
      </c>
      <c r="AA519" s="33">
        <f t="shared" si="431"/>
        <v>617672</v>
      </c>
      <c r="AB519" s="33"/>
      <c r="AC519" s="46">
        <f t="shared" si="432"/>
        <v>1.7105485033656019E-2</v>
      </c>
      <c r="AD519" s="33"/>
      <c r="AE519" s="33">
        <f t="shared" si="433"/>
        <v>1211.1215686274509</v>
      </c>
      <c r="AF519" s="50"/>
      <c r="AG519" s="33">
        <f t="shared" si="434"/>
        <v>3355</v>
      </c>
      <c r="AH519" s="33">
        <f>SUM(D490:D1171)</f>
        <v>1193883977.060914</v>
      </c>
      <c r="AI519" s="213">
        <f t="shared" si="435"/>
        <v>0.28840245775729645</v>
      </c>
      <c r="AJ519" s="50"/>
      <c r="AK519" s="111"/>
      <c r="AL519" s="23">
        <f t="shared" si="436"/>
        <v>83743</v>
      </c>
      <c r="AM519" s="24"/>
      <c r="AN519" s="24"/>
      <c r="AO519" s="24">
        <v>178263</v>
      </c>
      <c r="AP519" s="24">
        <v>30050064</v>
      </c>
      <c r="AQ519" s="24">
        <v>20336656</v>
      </c>
      <c r="AR519" s="461">
        <f t="shared" si="437"/>
        <v>2.7945706114541054E-3</v>
      </c>
      <c r="AS519" s="25"/>
      <c r="AT519" s="25"/>
      <c r="AU519" s="24"/>
      <c r="AV519" s="298">
        <f t="shared" si="438"/>
        <v>0.83219074203202603</v>
      </c>
      <c r="AW519" s="298"/>
      <c r="AX519" s="24">
        <f t="shared" si="439"/>
        <v>58921.694117647057</v>
      </c>
      <c r="AY519" s="308"/>
      <c r="AZ519" s="111"/>
      <c r="BA519" s="65">
        <f t="shared" si="440"/>
        <v>3442163</v>
      </c>
      <c r="BB519" s="66"/>
      <c r="BC519" s="66">
        <v>551091085</v>
      </c>
      <c r="BD519" s="66"/>
      <c r="BE519" s="66">
        <f t="shared" si="441"/>
        <v>144635</v>
      </c>
      <c r="BF519" s="66"/>
      <c r="BG519" s="144">
        <f t="shared" si="442"/>
        <v>4.2018637699609229E-2</v>
      </c>
      <c r="BH519" s="66"/>
      <c r="BI519" s="170"/>
      <c r="BJ519" s="66"/>
      <c r="BK519" s="66">
        <f t="shared" si="443"/>
        <v>10708736</v>
      </c>
      <c r="BL519" s="66"/>
      <c r="BM519" s="144">
        <f t="shared" si="444"/>
        <v>6.4737332211756829E-2</v>
      </c>
      <c r="BN519" s="65">
        <f t="shared" si="445"/>
        <v>1080570.7549019607</v>
      </c>
      <c r="BO519" s="66"/>
      <c r="BP519" s="66">
        <f t="shared" si="446"/>
        <v>35202609</v>
      </c>
      <c r="BQ519" s="66"/>
      <c r="BR519" s="435">
        <f t="shared" si="447"/>
        <v>6.387802299505535E-2</v>
      </c>
      <c r="BS519" s="66"/>
      <c r="BT519" s="75"/>
      <c r="BU519" s="170"/>
      <c r="BV519" s="1"/>
      <c r="BW519" s="61">
        <f t="shared" si="399"/>
        <v>510</v>
      </c>
    </row>
    <row r="520" spans="2:75" x14ac:dyDescent="0.3">
      <c r="B520" s="158">
        <f t="shared" si="448"/>
        <v>44420</v>
      </c>
      <c r="C520" s="61"/>
      <c r="D520" s="17">
        <v>143537</v>
      </c>
      <c r="E520" s="16"/>
      <c r="F520" s="16"/>
      <c r="G520" s="16"/>
      <c r="H520" s="16">
        <f t="shared" si="424"/>
        <v>36253124</v>
      </c>
      <c r="I520" s="16"/>
      <c r="J520" s="436">
        <f t="shared" si="425"/>
        <v>3.975038540318946E-3</v>
      </c>
      <c r="K520" s="16"/>
      <c r="L520" s="16"/>
      <c r="M520" s="16"/>
      <c r="N520" s="16">
        <f t="shared" si="426"/>
        <v>715847</v>
      </c>
      <c r="O520" s="16">
        <f t="shared" si="427"/>
        <v>70945.448140900189</v>
      </c>
      <c r="P520" s="41"/>
      <c r="Q520" s="17">
        <f t="shared" si="428"/>
        <v>715847</v>
      </c>
      <c r="R520" s="16"/>
      <c r="S520" s="60">
        <f t="shared" si="429"/>
        <v>0.2578248684360806</v>
      </c>
      <c r="T520" s="16"/>
      <c r="U520" s="41"/>
      <c r="V520" s="10">
        <f t="shared" si="349"/>
        <v>412</v>
      </c>
      <c r="W520" s="34">
        <v>660</v>
      </c>
      <c r="X520" s="33">
        <v>4256</v>
      </c>
      <c r="Y520" s="33"/>
      <c r="Z520" s="33">
        <f t="shared" si="430"/>
        <v>2706</v>
      </c>
      <c r="AA520" s="33">
        <f t="shared" si="431"/>
        <v>618332</v>
      </c>
      <c r="AB520" s="33"/>
      <c r="AC520" s="46">
        <f t="shared" si="432"/>
        <v>1.7055964611491135E-2</v>
      </c>
      <c r="AD520" s="33"/>
      <c r="AE520" s="33">
        <f t="shared" si="433"/>
        <v>1210.0430528375734</v>
      </c>
      <c r="AF520" s="50"/>
      <c r="AG520" s="33">
        <f t="shared" si="434"/>
        <v>3456</v>
      </c>
      <c r="AH520" s="33">
        <f>SUM(D491:D1172)</f>
        <v>1193844223.060914</v>
      </c>
      <c r="AI520" s="213">
        <f t="shared" si="435"/>
        <v>0.29051530993278568</v>
      </c>
      <c r="AJ520" s="50"/>
      <c r="AK520" s="111"/>
      <c r="AL520" s="23">
        <f t="shared" si="436"/>
        <v>47834</v>
      </c>
      <c r="AM520" s="24"/>
      <c r="AN520" s="24"/>
      <c r="AO520" s="24">
        <v>178263</v>
      </c>
      <c r="AP520" s="24">
        <v>30097898</v>
      </c>
      <c r="AQ520" s="24">
        <v>20336656</v>
      </c>
      <c r="AR520" s="461">
        <f t="shared" si="437"/>
        <v>1.5918102537152666E-3</v>
      </c>
      <c r="AS520" s="25"/>
      <c r="AT520" s="25"/>
      <c r="AU520" s="24"/>
      <c r="AV520" s="298">
        <f t="shared" si="438"/>
        <v>0.83021529399783589</v>
      </c>
      <c r="AW520" s="298"/>
      <c r="AX520" s="24">
        <f t="shared" si="439"/>
        <v>58899.996086105675</v>
      </c>
      <c r="AY520" s="308"/>
      <c r="AZ520" s="111"/>
      <c r="BA520" s="65">
        <f t="shared" si="440"/>
        <v>1317096</v>
      </c>
      <c r="BB520" s="66"/>
      <c r="BC520" s="66">
        <v>552408181</v>
      </c>
      <c r="BD520" s="66"/>
      <c r="BE520" s="66">
        <f t="shared" si="441"/>
        <v>143537</v>
      </c>
      <c r="BF520" s="66"/>
      <c r="BG520" s="144">
        <f t="shared" si="442"/>
        <v>0.10897990731123623</v>
      </c>
      <c r="BH520" s="66"/>
      <c r="BI520" s="170"/>
      <c r="BJ520" s="66"/>
      <c r="BK520" s="66">
        <f t="shared" si="443"/>
        <v>10925219</v>
      </c>
      <c r="BL520" s="66"/>
      <c r="BM520" s="144">
        <f t="shared" si="444"/>
        <v>6.5522439412884992E-2</v>
      </c>
      <c r="BN520" s="65">
        <f t="shared" si="445"/>
        <v>1081033.6223091977</v>
      </c>
      <c r="BO520" s="66"/>
      <c r="BP520" s="66">
        <f t="shared" si="446"/>
        <v>35346146</v>
      </c>
      <c r="BQ520" s="66"/>
      <c r="BR520" s="435">
        <f t="shared" si="447"/>
        <v>6.3985558533934894E-2</v>
      </c>
      <c r="BS520" s="66"/>
      <c r="BT520" s="75"/>
      <c r="BU520" s="170"/>
      <c r="BV520" s="1"/>
      <c r="BW520" s="61">
        <f t="shared" si="399"/>
        <v>511</v>
      </c>
    </row>
    <row r="521" spans="2:75" x14ac:dyDescent="0.3">
      <c r="B521" s="158">
        <f t="shared" si="448"/>
        <v>44421</v>
      </c>
      <c r="C521" s="61"/>
      <c r="D521" s="17">
        <v>155297</v>
      </c>
      <c r="E521" s="16"/>
      <c r="F521" s="16"/>
      <c r="G521" s="16"/>
      <c r="H521" s="16">
        <f t="shared" si="424"/>
        <v>36408421</v>
      </c>
      <c r="I521" s="16"/>
      <c r="J521" s="436">
        <f t="shared" si="425"/>
        <v>4.2836860073079495E-3</v>
      </c>
      <c r="K521" s="16"/>
      <c r="L521" s="16"/>
      <c r="M521" s="16"/>
      <c r="N521" s="16">
        <f t="shared" si="426"/>
        <v>740438</v>
      </c>
      <c r="O521" s="16">
        <f t="shared" si="427"/>
        <v>71110.197265625</v>
      </c>
      <c r="P521" s="41"/>
      <c r="Q521" s="17">
        <f t="shared" si="428"/>
        <v>740438</v>
      </c>
      <c r="R521" s="16"/>
      <c r="S521" s="60">
        <f t="shared" si="429"/>
        <v>0.23669543344752081</v>
      </c>
      <c r="T521" s="16"/>
      <c r="U521" s="41"/>
      <c r="V521" s="10">
        <f t="shared" si="349"/>
        <v>413</v>
      </c>
      <c r="W521" s="34">
        <v>769</v>
      </c>
      <c r="X521" s="33">
        <v>4256</v>
      </c>
      <c r="Y521" s="33"/>
      <c r="Z521" s="33">
        <f t="shared" si="430"/>
        <v>3155</v>
      </c>
      <c r="AA521" s="33">
        <f t="shared" si="431"/>
        <v>619101</v>
      </c>
      <c r="AB521" s="33"/>
      <c r="AC521" s="46">
        <f t="shared" si="432"/>
        <v>1.7004335343188876E-2</v>
      </c>
      <c r="AD521" s="33"/>
      <c r="AE521" s="33">
        <f t="shared" si="433"/>
        <v>1209.181640625</v>
      </c>
      <c r="AF521" s="50"/>
      <c r="AG521" s="33">
        <f t="shared" si="434"/>
        <v>3475</v>
      </c>
      <c r="AH521" s="33">
        <f>SUM(D492:D1173)</f>
        <v>1193808776.060914</v>
      </c>
      <c r="AI521" s="213">
        <f t="shared" si="435"/>
        <v>0.1587195731910637</v>
      </c>
      <c r="AJ521" s="50"/>
      <c r="AK521" s="111"/>
      <c r="AL521" s="23">
        <f t="shared" si="436"/>
        <v>32194</v>
      </c>
      <c r="AM521" s="24"/>
      <c r="AN521" s="24"/>
      <c r="AO521" s="24">
        <v>178263</v>
      </c>
      <c r="AP521" s="24">
        <v>30130092</v>
      </c>
      <c r="AQ521" s="24">
        <v>20336656</v>
      </c>
      <c r="AR521" s="461">
        <f t="shared" si="437"/>
        <v>1.0696428036270174E-3</v>
      </c>
      <c r="AS521" s="25"/>
      <c r="AT521" s="25"/>
      <c r="AU521" s="24"/>
      <c r="AV521" s="298">
        <f t="shared" si="438"/>
        <v>0.82755832778356408</v>
      </c>
      <c r="AW521" s="298"/>
      <c r="AX521" s="24">
        <f t="shared" si="439"/>
        <v>58847.8359375</v>
      </c>
      <c r="AY521" s="308"/>
      <c r="AZ521" s="111"/>
      <c r="BA521" s="65">
        <f t="shared" si="440"/>
        <v>1559142</v>
      </c>
      <c r="BB521" s="66"/>
      <c r="BC521" s="66">
        <v>553967323</v>
      </c>
      <c r="BD521" s="66"/>
      <c r="BE521" s="66">
        <f t="shared" si="441"/>
        <v>155297</v>
      </c>
      <c r="BF521" s="66"/>
      <c r="BG521" s="144">
        <f t="shared" si="442"/>
        <v>9.9604141252047598E-2</v>
      </c>
      <c r="BH521" s="66"/>
      <c r="BI521" s="170"/>
      <c r="BJ521" s="66"/>
      <c r="BK521" s="66">
        <f t="shared" si="443"/>
        <v>11075476</v>
      </c>
      <c r="BL521" s="66"/>
      <c r="BM521" s="144">
        <f t="shared" si="444"/>
        <v>6.6853830932413205E-2</v>
      </c>
      <c r="BN521" s="65">
        <f t="shared" si="445"/>
        <v>1081967.427734375</v>
      </c>
      <c r="BO521" s="66"/>
      <c r="BP521" s="66">
        <f t="shared" si="446"/>
        <v>35501443</v>
      </c>
      <c r="BQ521" s="66"/>
      <c r="BR521" s="435">
        <f t="shared" si="447"/>
        <v>6.408580709732585E-2</v>
      </c>
      <c r="BS521" s="66"/>
      <c r="BT521" s="75"/>
      <c r="BU521" s="170"/>
      <c r="BV521" s="1"/>
      <c r="BW521" s="61">
        <f t="shared" si="399"/>
        <v>512</v>
      </c>
    </row>
    <row r="522" spans="2:75" x14ac:dyDescent="0.3">
      <c r="B522" s="158">
        <f t="shared" si="448"/>
        <v>44422</v>
      </c>
      <c r="C522" s="61"/>
      <c r="D522" s="17">
        <v>71135</v>
      </c>
      <c r="E522" s="16"/>
      <c r="F522" s="16"/>
      <c r="G522" s="16"/>
      <c r="H522" s="16">
        <f t="shared" si="424"/>
        <v>36479556</v>
      </c>
      <c r="I522" s="16"/>
      <c r="J522" s="436">
        <f t="shared" si="425"/>
        <v>1.953806236200136E-3</v>
      </c>
      <c r="K522" s="16"/>
      <c r="L522" s="16"/>
      <c r="M522" s="16"/>
      <c r="N522" s="16">
        <f t="shared" si="426"/>
        <v>742623</v>
      </c>
      <c r="O522" s="16">
        <f t="shared" si="427"/>
        <v>71110.245614035084</v>
      </c>
      <c r="P522" s="41"/>
      <c r="Q522" s="17">
        <f t="shared" si="428"/>
        <v>742623</v>
      </c>
      <c r="R522" s="16"/>
      <c r="S522" s="60">
        <f t="shared" si="429"/>
        <v>0.20599732044983962</v>
      </c>
      <c r="T522" s="16"/>
      <c r="U522" s="41"/>
      <c r="V522" s="10">
        <f t="shared" si="349"/>
        <v>414</v>
      </c>
      <c r="W522" s="34">
        <v>258</v>
      </c>
      <c r="X522" s="33">
        <v>4256</v>
      </c>
      <c r="Y522" s="33"/>
      <c r="Z522" s="33">
        <f t="shared" si="430"/>
        <v>3284</v>
      </c>
      <c r="AA522" s="33">
        <f t="shared" si="431"/>
        <v>619359</v>
      </c>
      <c r="AB522" s="33"/>
      <c r="AC522" s="46">
        <f t="shared" si="432"/>
        <v>1.6978249406325013E-2</v>
      </c>
      <c r="AD522" s="33"/>
      <c r="AE522" s="33">
        <f t="shared" si="433"/>
        <v>1207.327485380117</v>
      </c>
      <c r="AF522" s="50"/>
      <c r="AG522" s="33">
        <f t="shared" si="434"/>
        <v>3413</v>
      </c>
      <c r="AH522" s="33">
        <f>SUM(D493:D1174)</f>
        <v>1193772102.060914</v>
      </c>
      <c r="AI522" s="213">
        <f t="shared" si="435"/>
        <v>0.10883690708252111</v>
      </c>
      <c r="AJ522" s="50"/>
      <c r="AK522" s="111"/>
      <c r="AL522" s="23">
        <f t="shared" si="436"/>
        <v>14517</v>
      </c>
      <c r="AM522" s="24"/>
      <c r="AN522" s="24"/>
      <c r="AO522" s="24">
        <v>178263</v>
      </c>
      <c r="AP522" s="24">
        <v>30144609</v>
      </c>
      <c r="AQ522" s="24">
        <v>20336656</v>
      </c>
      <c r="AR522" s="461">
        <f t="shared" si="437"/>
        <v>4.8181067618379656E-4</v>
      </c>
      <c r="AS522" s="25"/>
      <c r="AT522" s="25"/>
      <c r="AU522" s="24"/>
      <c r="AV522" s="298">
        <f t="shared" si="438"/>
        <v>0.82634254101118998</v>
      </c>
      <c r="AW522" s="298"/>
      <c r="AX522" s="24">
        <f t="shared" si="439"/>
        <v>58761.42105263158</v>
      </c>
      <c r="AY522" s="308"/>
      <c r="AZ522" s="111"/>
      <c r="BA522" s="65">
        <f t="shared" si="440"/>
        <v>775678</v>
      </c>
      <c r="BB522" s="66"/>
      <c r="BC522" s="66">
        <v>554743001</v>
      </c>
      <c r="BD522" s="66"/>
      <c r="BE522" s="66">
        <f t="shared" si="441"/>
        <v>71135</v>
      </c>
      <c r="BF522" s="66"/>
      <c r="BG522" s="144">
        <f t="shared" si="442"/>
        <v>9.1706868056074808E-2</v>
      </c>
      <c r="BH522" s="66"/>
      <c r="BI522" s="170"/>
      <c r="BJ522" s="66"/>
      <c r="BK522" s="66">
        <f t="shared" si="443"/>
        <v>11014420</v>
      </c>
      <c r="BL522" s="66"/>
      <c r="BM522" s="144">
        <f t="shared" si="444"/>
        <v>6.7422796661104262E-2</v>
      </c>
      <c r="BN522" s="65">
        <f t="shared" si="445"/>
        <v>1081370.3723196881</v>
      </c>
      <c r="BO522" s="66"/>
      <c r="BP522" s="66">
        <f t="shared" si="446"/>
        <v>35572578</v>
      </c>
      <c r="BQ522" s="66"/>
      <c r="BR522" s="435">
        <f t="shared" si="447"/>
        <v>6.4124428673954556E-2</v>
      </c>
      <c r="BS522" s="66"/>
      <c r="BT522" s="75"/>
      <c r="BU522" s="170"/>
      <c r="BV522" s="1"/>
      <c r="BW522" s="61">
        <f t="shared" si="399"/>
        <v>513</v>
      </c>
    </row>
    <row r="523" spans="2:75" x14ac:dyDescent="0.3">
      <c r="B523" s="347">
        <f t="shared" si="448"/>
        <v>44423</v>
      </c>
      <c r="C523" s="61"/>
      <c r="D523" s="17">
        <v>30883</v>
      </c>
      <c r="E523" s="16"/>
      <c r="F523" s="16"/>
      <c r="G523" s="16"/>
      <c r="H523" s="16">
        <f t="shared" si="424"/>
        <v>36510439</v>
      </c>
      <c r="I523" s="16"/>
      <c r="J523" s="436">
        <f t="shared" si="425"/>
        <v>8.4658376872788694E-4</v>
      </c>
      <c r="K523" s="16"/>
      <c r="L523" s="16"/>
      <c r="M523" s="16"/>
      <c r="N523" s="16">
        <f t="shared" si="426"/>
        <v>749116</v>
      </c>
      <c r="O523" s="16">
        <f t="shared" si="427"/>
        <v>71031.982490272378</v>
      </c>
      <c r="P523" s="41"/>
      <c r="Q523" s="17">
        <f t="shared" si="428"/>
        <v>749116</v>
      </c>
      <c r="R523" s="16"/>
      <c r="S523" s="60">
        <f t="shared" si="429"/>
        <v>0.21138362572910283</v>
      </c>
      <c r="T523" s="16"/>
      <c r="U523" s="41"/>
      <c r="V523" s="10">
        <f t="shared" si="349"/>
        <v>415</v>
      </c>
      <c r="W523" s="34">
        <v>122</v>
      </c>
      <c r="X523" s="33">
        <v>4256</v>
      </c>
      <c r="Y523" s="33"/>
      <c r="Z523" s="33">
        <f t="shared" si="430"/>
        <v>3080</v>
      </c>
      <c r="AA523" s="33">
        <f t="shared" si="431"/>
        <v>619481</v>
      </c>
      <c r="AB523" s="33"/>
      <c r="AC523" s="46">
        <f t="shared" si="432"/>
        <v>1.6967229564125483E-2</v>
      </c>
      <c r="AD523" s="33"/>
      <c r="AE523" s="33">
        <f t="shared" si="433"/>
        <v>1205.215953307393</v>
      </c>
      <c r="AF523" s="50"/>
      <c r="AG523" s="33">
        <f t="shared" si="434"/>
        <v>3406</v>
      </c>
      <c r="AH523" s="33">
        <f>SUM(D494:D1175)</f>
        <v>1193731573.060914</v>
      </c>
      <c r="AI523" s="213">
        <f t="shared" si="435"/>
        <v>8.3678014635698378E-2</v>
      </c>
      <c r="AJ523" s="50"/>
      <c r="AK523" s="111"/>
      <c r="AL523" s="23">
        <f t="shared" si="436"/>
        <v>8967</v>
      </c>
      <c r="AM523" s="24"/>
      <c r="AN523" s="24"/>
      <c r="AO523" s="24">
        <v>178263</v>
      </c>
      <c r="AP523" s="24">
        <v>30153576</v>
      </c>
      <c r="AQ523" s="24">
        <v>20336656</v>
      </c>
      <c r="AR523" s="461">
        <f t="shared" si="437"/>
        <v>2.9746612404227903E-4</v>
      </c>
      <c r="AS523" s="25"/>
      <c r="AT523" s="25"/>
      <c r="AU523" s="24"/>
      <c r="AV523" s="298">
        <f t="shared" si="438"/>
        <v>0.82588916556166303</v>
      </c>
      <c r="AW523" s="298"/>
      <c r="AX523" s="24">
        <f t="shared" si="439"/>
        <v>58664.544747081709</v>
      </c>
      <c r="AY523" s="308"/>
      <c r="AZ523" s="111"/>
      <c r="BA523" s="65">
        <f t="shared" si="440"/>
        <v>690474</v>
      </c>
      <c r="BB523" s="66"/>
      <c r="BC523" s="66">
        <v>555433475</v>
      </c>
      <c r="BD523" s="66"/>
      <c r="BE523" s="66">
        <f t="shared" si="441"/>
        <v>30883</v>
      </c>
      <c r="BF523" s="66"/>
      <c r="BG523" s="144">
        <f t="shared" si="442"/>
        <v>4.4727245341605909E-2</v>
      </c>
      <c r="BH523" s="66"/>
      <c r="BI523" s="170"/>
      <c r="BJ523" s="66"/>
      <c r="BK523" s="66">
        <f t="shared" si="443"/>
        <v>11052013</v>
      </c>
      <c r="BL523" s="66"/>
      <c r="BM523" s="144">
        <f t="shared" si="444"/>
        <v>6.7780955378897945E-2</v>
      </c>
      <c r="BN523" s="65">
        <f t="shared" si="445"/>
        <v>1080609.8735408559</v>
      </c>
      <c r="BO523" s="66"/>
      <c r="BP523" s="66">
        <f t="shared" si="446"/>
        <v>35603461</v>
      </c>
      <c r="BQ523" s="66"/>
      <c r="BR523" s="435">
        <f t="shared" si="447"/>
        <v>6.4100315523834786E-2</v>
      </c>
      <c r="BS523" s="66"/>
      <c r="BT523" s="75"/>
      <c r="BU523" s="170"/>
      <c r="BV523" s="1"/>
      <c r="BW523" s="61">
        <f t="shared" si="399"/>
        <v>514</v>
      </c>
    </row>
    <row r="524" spans="2:75" x14ac:dyDescent="0.3">
      <c r="B524" s="158">
        <f t="shared" si="448"/>
        <v>44424</v>
      </c>
      <c r="C524" s="61"/>
      <c r="D524" s="17">
        <v>103697</v>
      </c>
      <c r="E524" s="16"/>
      <c r="F524" s="16"/>
      <c r="G524" s="16"/>
      <c r="H524" s="16">
        <f t="shared" si="424"/>
        <v>36614136</v>
      </c>
      <c r="I524" s="16"/>
      <c r="J524" s="436">
        <f t="shared" si="425"/>
        <v>2.8402014010294424E-3</v>
      </c>
      <c r="K524" s="16"/>
      <c r="L524" s="16"/>
      <c r="M524" s="16"/>
      <c r="N524" s="16">
        <f t="shared" si="426"/>
        <v>750438</v>
      </c>
      <c r="O524" s="16">
        <f t="shared" si="427"/>
        <v>71095.409708737861</v>
      </c>
      <c r="P524" s="41"/>
      <c r="Q524" s="17">
        <f t="shared" si="428"/>
        <v>750438</v>
      </c>
      <c r="R524" s="16"/>
      <c r="S524" s="60">
        <f t="shared" si="429"/>
        <v>0.12949219073363605</v>
      </c>
      <c r="T524" s="16"/>
      <c r="U524" s="41"/>
      <c r="V524" s="10">
        <f t="shared" si="349"/>
        <v>416</v>
      </c>
      <c r="W524" s="34">
        <v>308</v>
      </c>
      <c r="X524" s="33">
        <v>4256</v>
      </c>
      <c r="Y524" s="33"/>
      <c r="Z524" s="33">
        <f t="shared" si="430"/>
        <v>2731</v>
      </c>
      <c r="AA524" s="33">
        <f t="shared" si="431"/>
        <v>619789</v>
      </c>
      <c r="AB524" s="33"/>
      <c r="AC524" s="46">
        <f t="shared" si="432"/>
        <v>1.692758774916879E-2</v>
      </c>
      <c r="AD524" s="33"/>
      <c r="AE524" s="33">
        <f t="shared" si="433"/>
        <v>1203.473786407767</v>
      </c>
      <c r="AF524" s="50"/>
      <c r="AG524" s="33">
        <f t="shared" si="434"/>
        <v>3388</v>
      </c>
      <c r="AH524" s="33">
        <f>SUM(D495:D1176)</f>
        <v>1193707492.060914</v>
      </c>
      <c r="AI524" s="213">
        <f t="shared" si="435"/>
        <v>4.0540540540540543E-2</v>
      </c>
      <c r="AJ524" s="50"/>
      <c r="AK524" s="111"/>
      <c r="AL524" s="23">
        <f t="shared" si="436"/>
        <v>73726</v>
      </c>
      <c r="AM524" s="24"/>
      <c r="AN524" s="24"/>
      <c r="AO524" s="24">
        <v>178263</v>
      </c>
      <c r="AP524" s="24">
        <v>30227302</v>
      </c>
      <c r="AQ524" s="24">
        <v>20336656</v>
      </c>
      <c r="AR524" s="461">
        <f t="shared" si="437"/>
        <v>2.4450168033138091E-3</v>
      </c>
      <c r="AS524" s="25"/>
      <c r="AT524" s="25"/>
      <c r="AU524" s="24"/>
      <c r="AV524" s="298">
        <f t="shared" si="438"/>
        <v>0.82556371123983374</v>
      </c>
      <c r="AW524" s="298"/>
      <c r="AX524" s="24">
        <f t="shared" si="439"/>
        <v>58693.790291262136</v>
      </c>
      <c r="AY524" s="308"/>
      <c r="AZ524" s="111"/>
      <c r="BA524" s="65">
        <f t="shared" si="440"/>
        <v>2711353</v>
      </c>
      <c r="BB524" s="66"/>
      <c r="BC524" s="66">
        <v>558144828</v>
      </c>
      <c r="BD524" s="66"/>
      <c r="BE524" s="66">
        <f t="shared" si="441"/>
        <v>103697</v>
      </c>
      <c r="BF524" s="66"/>
      <c r="BG524" s="144">
        <f t="shared" si="442"/>
        <v>3.824548113063847E-2</v>
      </c>
      <c r="BH524" s="66"/>
      <c r="BI524" s="170"/>
      <c r="BJ524" s="66"/>
      <c r="BK524" s="66">
        <f t="shared" si="443"/>
        <v>11522689</v>
      </c>
      <c r="BL524" s="66"/>
      <c r="BM524" s="144">
        <f t="shared" si="444"/>
        <v>6.5126985549987512E-2</v>
      </c>
      <c r="BN524" s="65">
        <f t="shared" si="445"/>
        <v>1083776.3650485438</v>
      </c>
      <c r="BO524" s="66"/>
      <c r="BP524" s="66">
        <f t="shared" si="446"/>
        <v>35707158</v>
      </c>
      <c r="BQ524" s="66"/>
      <c r="BR524" s="435">
        <f t="shared" si="447"/>
        <v>6.3974718045761408E-2</v>
      </c>
      <c r="BS524" s="66"/>
      <c r="BT524" s="75"/>
      <c r="BU524" s="170"/>
      <c r="BV524" s="1"/>
      <c r="BW524" s="61">
        <f t="shared" si="399"/>
        <v>515</v>
      </c>
    </row>
    <row r="525" spans="2:75" x14ac:dyDescent="0.3">
      <c r="B525" s="158">
        <f t="shared" si="448"/>
        <v>44425</v>
      </c>
      <c r="C525" s="61"/>
      <c r="D525" s="17">
        <v>144294</v>
      </c>
      <c r="E525" s="16"/>
      <c r="F525" s="16"/>
      <c r="G525" s="16"/>
      <c r="H525" s="16">
        <f t="shared" si="424"/>
        <v>36758430</v>
      </c>
      <c r="I525" s="16"/>
      <c r="J525" s="436">
        <f t="shared" si="425"/>
        <v>3.9409369102687553E-3</v>
      </c>
      <c r="K525" s="16"/>
      <c r="L525" s="16"/>
      <c r="M525" s="16"/>
      <c r="N525" s="16">
        <f t="shared" si="426"/>
        <v>793478</v>
      </c>
      <c r="O525" s="16">
        <f t="shared" si="427"/>
        <v>71237.267441860458</v>
      </c>
      <c r="P525" s="41"/>
      <c r="Q525" s="17">
        <f t="shared" si="428"/>
        <v>793478</v>
      </c>
      <c r="R525" s="16"/>
      <c r="S525" s="60">
        <f t="shared" si="429"/>
        <v>0.2006040257285909</v>
      </c>
      <c r="T525" s="16"/>
      <c r="U525" s="41"/>
      <c r="V525" s="10">
        <f t="shared" si="349"/>
        <v>417</v>
      </c>
      <c r="W525" s="34">
        <v>945</v>
      </c>
      <c r="X525" s="33">
        <v>4256</v>
      </c>
      <c r="Y525" s="33"/>
      <c r="Z525" s="33">
        <f t="shared" si="430"/>
        <v>3062</v>
      </c>
      <c r="AA525" s="33">
        <f t="shared" si="431"/>
        <v>620734</v>
      </c>
      <c r="AB525" s="33"/>
      <c r="AC525" s="46">
        <f t="shared" si="432"/>
        <v>1.6886847452407514E-2</v>
      </c>
      <c r="AD525" s="33"/>
      <c r="AE525" s="33">
        <f t="shared" si="433"/>
        <v>1202.9728682170542</v>
      </c>
      <c r="AF525" s="50"/>
      <c r="AG525" s="33">
        <f t="shared" si="434"/>
        <v>3676</v>
      </c>
      <c r="AH525" s="33">
        <f>SUM(D496:D1177)</f>
        <v>1193685214.060914</v>
      </c>
      <c r="AI525" s="213">
        <f t="shared" si="435"/>
        <v>8.2131292316750079E-2</v>
      </c>
      <c r="AJ525" s="50"/>
      <c r="AK525" s="111"/>
      <c r="AL525" s="23">
        <f t="shared" si="436"/>
        <v>65283</v>
      </c>
      <c r="AM525" s="24"/>
      <c r="AN525" s="24"/>
      <c r="AO525" s="24">
        <v>178263</v>
      </c>
      <c r="AP525" s="24">
        <v>30292585</v>
      </c>
      <c r="AQ525" s="24">
        <v>20336656</v>
      </c>
      <c r="AR525" s="461">
        <f t="shared" si="437"/>
        <v>2.159736254330605E-3</v>
      </c>
      <c r="AS525" s="25"/>
      <c r="AT525" s="25"/>
      <c r="AU525" s="24"/>
      <c r="AV525" s="298">
        <f t="shared" si="438"/>
        <v>0.82409898899381717</v>
      </c>
      <c r="AW525" s="298"/>
      <c r="AX525" s="24">
        <f t="shared" si="439"/>
        <v>58706.560077519382</v>
      </c>
      <c r="AY525" s="308"/>
      <c r="AZ525" s="111"/>
      <c r="BA525" s="65">
        <f t="shared" si="440"/>
        <v>2301291</v>
      </c>
      <c r="BB525" s="66"/>
      <c r="BC525" s="66">
        <v>560446119</v>
      </c>
      <c r="BD525" s="66"/>
      <c r="BE525" s="66">
        <f t="shared" si="441"/>
        <v>144294</v>
      </c>
      <c r="BF525" s="66"/>
      <c r="BG525" s="144">
        <f t="shared" si="442"/>
        <v>6.2701327211552124E-2</v>
      </c>
      <c r="BH525" s="66"/>
      <c r="BI525" s="170"/>
      <c r="BJ525" s="66"/>
      <c r="BK525" s="66">
        <f t="shared" si="443"/>
        <v>12797197</v>
      </c>
      <c r="BL525" s="66"/>
      <c r="BM525" s="144">
        <f t="shared" si="444"/>
        <v>6.2004046667406935E-2</v>
      </c>
      <c r="BN525" s="65">
        <f t="shared" si="445"/>
        <v>1086135.8895348837</v>
      </c>
      <c r="BO525" s="66"/>
      <c r="BP525" s="66">
        <f t="shared" si="446"/>
        <v>35851452</v>
      </c>
      <c r="BQ525" s="66"/>
      <c r="BR525" s="435">
        <f t="shared" si="447"/>
        <v>6.3969489277523217E-2</v>
      </c>
      <c r="BS525" s="66"/>
      <c r="BT525" s="75"/>
      <c r="BU525" s="170"/>
      <c r="BV525" s="1"/>
      <c r="BW525" s="61">
        <f t="shared" si="399"/>
        <v>516</v>
      </c>
    </row>
    <row r="526" spans="2:75" x14ac:dyDescent="0.3">
      <c r="B526" s="158">
        <f t="shared" si="448"/>
        <v>44426</v>
      </c>
      <c r="C526" s="61"/>
      <c r="D526" s="17">
        <v>158127</v>
      </c>
      <c r="E526" s="16"/>
      <c r="F526" s="16"/>
      <c r="G526" s="16"/>
      <c r="H526" s="16">
        <f t="shared" si="424"/>
        <v>36916557</v>
      </c>
      <c r="I526" s="16"/>
      <c r="J526" s="436">
        <f t="shared" si="425"/>
        <v>4.3017887325437999E-3</v>
      </c>
      <c r="K526" s="16"/>
      <c r="L526" s="16"/>
      <c r="M526" s="16"/>
      <c r="N526" s="16">
        <f t="shared" si="426"/>
        <v>806970</v>
      </c>
      <c r="O526" s="16">
        <f t="shared" si="427"/>
        <v>71405.332688588009</v>
      </c>
      <c r="P526" s="41"/>
      <c r="Q526" s="17">
        <f t="shared" si="428"/>
        <v>806970</v>
      </c>
      <c r="R526" s="16"/>
      <c r="S526" s="60">
        <f t="shared" si="429"/>
        <v>0.16403055152865828</v>
      </c>
      <c r="T526" s="16"/>
      <c r="U526" s="41"/>
      <c r="V526" s="10">
        <f t="shared" si="349"/>
        <v>418</v>
      </c>
      <c r="W526" s="34">
        <v>1127</v>
      </c>
      <c r="X526" s="33">
        <v>4256</v>
      </c>
      <c r="Y526" s="33"/>
      <c r="Z526" s="33">
        <f t="shared" si="430"/>
        <v>3529</v>
      </c>
      <c r="AA526" s="33">
        <f t="shared" si="431"/>
        <v>621861</v>
      </c>
      <c r="AB526" s="33"/>
      <c r="AC526" s="46">
        <f t="shared" si="432"/>
        <v>1.6845043268796708E-2</v>
      </c>
      <c r="AD526" s="33"/>
      <c r="AE526" s="33">
        <f t="shared" si="433"/>
        <v>1202.825918762089</v>
      </c>
      <c r="AF526" s="50"/>
      <c r="AG526" s="33">
        <f t="shared" si="434"/>
        <v>4189</v>
      </c>
      <c r="AH526" s="33">
        <f>SUM(D497:D1178)</f>
        <v>1193652638.060914</v>
      </c>
      <c r="AI526" s="213">
        <f t="shared" si="435"/>
        <v>0.24858420268256334</v>
      </c>
      <c r="AJ526" s="50"/>
      <c r="AK526" s="111"/>
      <c r="AL526" s="23">
        <f t="shared" si="436"/>
        <v>49301</v>
      </c>
      <c r="AM526" s="24"/>
      <c r="AN526" s="24"/>
      <c r="AO526" s="24">
        <v>178263</v>
      </c>
      <c r="AP526" s="24">
        <v>30341886</v>
      </c>
      <c r="AQ526" s="24">
        <v>20336656</v>
      </c>
      <c r="AR526" s="461">
        <f t="shared" si="437"/>
        <v>1.6274939890405524E-3</v>
      </c>
      <c r="AS526" s="25"/>
      <c r="AT526" s="25"/>
      <c r="AU526" s="24"/>
      <c r="AV526" s="298">
        <f t="shared" si="438"/>
        <v>0.82190454543201308</v>
      </c>
      <c r="AW526" s="298"/>
      <c r="AX526" s="24">
        <f t="shared" si="439"/>
        <v>58688.367504835587</v>
      </c>
      <c r="AY526" s="308"/>
      <c r="AZ526" s="111"/>
      <c r="BA526" s="65">
        <f t="shared" si="440"/>
        <v>1381861</v>
      </c>
      <c r="BB526" s="66"/>
      <c r="BC526" s="66">
        <v>561827980</v>
      </c>
      <c r="BD526" s="66"/>
      <c r="BE526" s="66">
        <f t="shared" si="441"/>
        <v>158127</v>
      </c>
      <c r="BF526" s="66"/>
      <c r="BG526" s="144">
        <f t="shared" si="442"/>
        <v>0.11443046731907189</v>
      </c>
      <c r="BH526" s="66"/>
      <c r="BI526" s="170"/>
      <c r="BJ526" s="66"/>
      <c r="BK526" s="66">
        <f t="shared" si="443"/>
        <v>10736895</v>
      </c>
      <c r="BL526" s="66"/>
      <c r="BM526" s="144">
        <f t="shared" si="444"/>
        <v>7.5158600321601363E-2</v>
      </c>
      <c r="BN526" s="65">
        <f t="shared" si="445"/>
        <v>1086707.8916827852</v>
      </c>
      <c r="BO526" s="66"/>
      <c r="BP526" s="66">
        <f t="shared" si="446"/>
        <v>36009579</v>
      </c>
      <c r="BQ526" s="66"/>
      <c r="BR526" s="435">
        <f t="shared" si="447"/>
        <v>6.4093602102195057E-2</v>
      </c>
      <c r="BS526" s="66"/>
      <c r="BT526" s="75"/>
      <c r="BU526" s="170"/>
      <c r="BV526" s="1"/>
      <c r="BW526" s="61">
        <f t="shared" si="399"/>
        <v>517</v>
      </c>
    </row>
    <row r="527" spans="2:75" x14ac:dyDescent="0.3">
      <c r="B527" s="158">
        <f t="shared" si="448"/>
        <v>44427</v>
      </c>
      <c r="C527" s="61"/>
      <c r="D527" s="17">
        <v>154917</v>
      </c>
      <c r="E527" s="16"/>
      <c r="F527" s="16"/>
      <c r="G527" s="16"/>
      <c r="H527" s="16">
        <f t="shared" si="424"/>
        <v>37071474</v>
      </c>
      <c r="I527" s="16"/>
      <c r="J527" s="436">
        <f t="shared" si="425"/>
        <v>4.1964097572804527E-3</v>
      </c>
      <c r="K527" s="16"/>
      <c r="L527" s="16"/>
      <c r="M527" s="16"/>
      <c r="N527" s="16">
        <f t="shared" si="426"/>
        <v>818350</v>
      </c>
      <c r="O527" s="16">
        <f t="shared" si="427"/>
        <v>71566.55212355213</v>
      </c>
      <c r="P527" s="41"/>
      <c r="Q527" s="17">
        <f t="shared" si="428"/>
        <v>818350</v>
      </c>
      <c r="R527" s="16"/>
      <c r="S527" s="60">
        <f t="shared" si="429"/>
        <v>0.14319121264739532</v>
      </c>
      <c r="T527" s="16"/>
      <c r="U527" s="41"/>
      <c r="V527" s="10">
        <f t="shared" si="349"/>
        <v>419</v>
      </c>
      <c r="W527" s="34">
        <v>967</v>
      </c>
      <c r="X527" s="33">
        <v>4256</v>
      </c>
      <c r="Y527" s="33"/>
      <c r="Z527" s="33">
        <f t="shared" si="430"/>
        <v>3727</v>
      </c>
      <c r="AA527" s="33">
        <f t="shared" si="431"/>
        <v>622828</v>
      </c>
      <c r="AB527" s="33"/>
      <c r="AC527" s="46">
        <f t="shared" si="432"/>
        <v>1.6800734710467675E-2</v>
      </c>
      <c r="AD527" s="33"/>
      <c r="AE527" s="33">
        <f t="shared" si="433"/>
        <v>1202.3706563706564</v>
      </c>
      <c r="AF527" s="50"/>
      <c r="AG527" s="33">
        <f t="shared" si="434"/>
        <v>4496</v>
      </c>
      <c r="AH527" s="33">
        <f>SUM(D498:D1179)</f>
        <v>1193608406.060914</v>
      </c>
      <c r="AI527" s="213">
        <f t="shared" si="435"/>
        <v>0.30092592592592593</v>
      </c>
      <c r="AJ527" s="50"/>
      <c r="AK527" s="111"/>
      <c r="AL527" s="23">
        <f t="shared" si="436"/>
        <v>48783</v>
      </c>
      <c r="AM527" s="24"/>
      <c r="AN527" s="24"/>
      <c r="AO527" s="24">
        <v>178263</v>
      </c>
      <c r="AP527" s="24">
        <v>30390669</v>
      </c>
      <c r="AQ527" s="24">
        <v>20336656</v>
      </c>
      <c r="AR527" s="461">
        <f t="shared" si="437"/>
        <v>1.6077774466623466E-3</v>
      </c>
      <c r="AS527" s="25"/>
      <c r="AT527" s="25"/>
      <c r="AU527" s="24"/>
      <c r="AV527" s="298">
        <f t="shared" si="438"/>
        <v>0.81978582777690467</v>
      </c>
      <c r="AW527" s="298"/>
      <c r="AX527" s="24">
        <f t="shared" si="439"/>
        <v>58669.24517374517</v>
      </c>
      <c r="AY527" s="308"/>
      <c r="AZ527" s="111"/>
      <c r="BA527" s="65">
        <f t="shared" si="440"/>
        <v>1539485</v>
      </c>
      <c r="BB527" s="66"/>
      <c r="BC527" s="66">
        <v>563367465</v>
      </c>
      <c r="BD527" s="66"/>
      <c r="BE527" s="66">
        <f t="shared" si="441"/>
        <v>154917</v>
      </c>
      <c r="BF527" s="66"/>
      <c r="BG527" s="144">
        <f t="shared" si="442"/>
        <v>0.10062910648690958</v>
      </c>
      <c r="BH527" s="66"/>
      <c r="BI527" s="170"/>
      <c r="BJ527" s="66"/>
      <c r="BK527" s="66">
        <f t="shared" si="443"/>
        <v>10959284</v>
      </c>
      <c r="BL527" s="66"/>
      <c r="BM527" s="144">
        <f t="shared" si="444"/>
        <v>7.4671849000354409E-2</v>
      </c>
      <c r="BN527" s="65">
        <f t="shared" si="445"/>
        <v>1087581.9787644788</v>
      </c>
      <c r="BO527" s="66"/>
      <c r="BP527" s="66">
        <f t="shared" si="446"/>
        <v>36164496</v>
      </c>
      <c r="BQ527" s="66"/>
      <c r="BR527" s="435">
        <f t="shared" si="447"/>
        <v>6.4193440776705135E-2</v>
      </c>
      <c r="BS527" s="66"/>
      <c r="BT527" s="75"/>
      <c r="BU527" s="170"/>
      <c r="BV527" s="1"/>
      <c r="BW527" s="61">
        <f t="shared" si="399"/>
        <v>518</v>
      </c>
    </row>
    <row r="528" spans="2:75" x14ac:dyDescent="0.3">
      <c r="B528" s="158">
        <f t="shared" si="448"/>
        <v>44428</v>
      </c>
      <c r="C528" s="61"/>
      <c r="D528" s="17">
        <v>151108</v>
      </c>
      <c r="E528" s="16"/>
      <c r="F528" s="16"/>
      <c r="G528" s="16"/>
      <c r="H528" s="16">
        <f t="shared" si="424"/>
        <v>37222582</v>
      </c>
      <c r="I528" s="16"/>
      <c r="J528" s="436">
        <f t="shared" si="425"/>
        <v>4.076126026173116E-3</v>
      </c>
      <c r="K528" s="16"/>
      <c r="L528" s="16"/>
      <c r="M528" s="16"/>
      <c r="N528" s="16">
        <f t="shared" si="426"/>
        <v>814161</v>
      </c>
      <c r="O528" s="16">
        <f t="shared" si="427"/>
        <v>71719.811175337192</v>
      </c>
      <c r="P528" s="41"/>
      <c r="Q528" s="17">
        <f t="shared" si="428"/>
        <v>814161</v>
      </c>
      <c r="R528" s="16"/>
      <c r="S528" s="60">
        <f t="shared" si="429"/>
        <v>9.9566742927834601E-2</v>
      </c>
      <c r="T528" s="16"/>
      <c r="U528" s="41"/>
      <c r="V528" s="10">
        <f t="shared" si="349"/>
        <v>420</v>
      </c>
      <c r="W528" s="34">
        <v>1059</v>
      </c>
      <c r="X528" s="33">
        <v>4256</v>
      </c>
      <c r="Y528" s="33"/>
      <c r="Z528" s="33">
        <f t="shared" si="430"/>
        <v>4528</v>
      </c>
      <c r="AA528" s="33">
        <f t="shared" si="431"/>
        <v>623887</v>
      </c>
      <c r="AB528" s="33"/>
      <c r="AC528" s="46">
        <f t="shared" si="432"/>
        <v>1.6760981277440669E-2</v>
      </c>
      <c r="AD528" s="33"/>
      <c r="AE528" s="33">
        <f t="shared" si="433"/>
        <v>1202.0944123314066</v>
      </c>
      <c r="AF528" s="50"/>
      <c r="AG528" s="33">
        <f t="shared" si="434"/>
        <v>4786</v>
      </c>
      <c r="AH528" s="33">
        <f>SUM(D499:D1180)</f>
        <v>1193551881.060914</v>
      </c>
      <c r="AI528" s="213">
        <f t="shared" si="435"/>
        <v>0.37726618705035969</v>
      </c>
      <c r="AJ528" s="50"/>
      <c r="AK528" s="111"/>
      <c r="AL528" s="23">
        <f t="shared" si="436"/>
        <v>48570</v>
      </c>
      <c r="AM528" s="24"/>
      <c r="AN528" s="24"/>
      <c r="AO528" s="24">
        <v>178263</v>
      </c>
      <c r="AP528" s="24">
        <v>30439239</v>
      </c>
      <c r="AQ528" s="24">
        <v>20336656</v>
      </c>
      <c r="AR528" s="461">
        <f t="shared" si="437"/>
        <v>1.5981879174821719E-3</v>
      </c>
      <c r="AS528" s="25"/>
      <c r="AT528" s="25"/>
      <c r="AU528" s="24"/>
      <c r="AV528" s="298">
        <f t="shared" si="438"/>
        <v>0.81776269577430172</v>
      </c>
      <c r="AW528" s="298"/>
      <c r="AX528" s="24">
        <f t="shared" si="439"/>
        <v>58649.78612716763</v>
      </c>
      <c r="AY528" s="308"/>
      <c r="AZ528" s="111"/>
      <c r="BA528" s="65">
        <f t="shared" si="440"/>
        <v>1649005</v>
      </c>
      <c r="BB528" s="66"/>
      <c r="BC528" s="66">
        <v>565016470</v>
      </c>
      <c r="BD528" s="66"/>
      <c r="BE528" s="66">
        <f t="shared" si="441"/>
        <v>151108</v>
      </c>
      <c r="BF528" s="66"/>
      <c r="BG528" s="144">
        <f t="shared" si="442"/>
        <v>9.163586526420478E-2</v>
      </c>
      <c r="BH528" s="66"/>
      <c r="BI528" s="170"/>
      <c r="BJ528" s="66"/>
      <c r="BK528" s="66">
        <f t="shared" si="443"/>
        <v>11049147</v>
      </c>
      <c r="BL528" s="66"/>
      <c r="BM528" s="144">
        <f t="shared" si="444"/>
        <v>7.3685416620848654E-2</v>
      </c>
      <c r="BN528" s="65">
        <f t="shared" si="445"/>
        <v>1088663.7186897881</v>
      </c>
      <c r="BO528" s="66"/>
      <c r="BP528" s="66">
        <f t="shared" si="446"/>
        <v>36315604</v>
      </c>
      <c r="BQ528" s="66"/>
      <c r="BR528" s="435">
        <f t="shared" si="447"/>
        <v>6.427353170784561E-2</v>
      </c>
      <c r="BS528" s="66"/>
      <c r="BT528" s="75"/>
      <c r="BU528" s="170"/>
      <c r="BV528" s="1"/>
      <c r="BW528" s="61">
        <f t="shared" si="399"/>
        <v>519</v>
      </c>
    </row>
    <row r="529" spans="2:75" x14ac:dyDescent="0.3">
      <c r="B529" s="158">
        <f t="shared" si="448"/>
        <v>44429</v>
      </c>
      <c r="C529" s="61"/>
      <c r="D529" s="17">
        <v>145083</v>
      </c>
      <c r="E529" s="16"/>
      <c r="F529" s="16"/>
      <c r="G529" s="16"/>
      <c r="H529" s="16">
        <f t="shared" si="424"/>
        <v>37367665</v>
      </c>
      <c r="I529" s="16"/>
      <c r="J529" s="436">
        <f t="shared" si="425"/>
        <v>3.8977145647768334E-3</v>
      </c>
      <c r="K529" s="16"/>
      <c r="L529" s="16"/>
      <c r="M529" s="16"/>
      <c r="N529" s="16">
        <f t="shared" si="426"/>
        <v>888109</v>
      </c>
      <c r="O529" s="16">
        <f t="shared" si="427"/>
        <v>71860.894230769234</v>
      </c>
      <c r="P529" s="41"/>
      <c r="Q529" s="17">
        <f t="shared" si="428"/>
        <v>888109</v>
      </c>
      <c r="R529" s="16"/>
      <c r="S529" s="60">
        <f t="shared" si="429"/>
        <v>0.19590828724669179</v>
      </c>
      <c r="T529" s="16"/>
      <c r="U529" s="41"/>
      <c r="V529" s="10">
        <f t="shared" si="349"/>
        <v>421</v>
      </c>
      <c r="W529" s="34">
        <v>783</v>
      </c>
      <c r="X529" s="33">
        <v>4256</v>
      </c>
      <c r="Y529" s="33"/>
      <c r="Z529" s="33">
        <f t="shared" si="430"/>
        <v>5189</v>
      </c>
      <c r="AA529" s="33">
        <f t="shared" si="431"/>
        <v>624670</v>
      </c>
      <c r="AB529" s="33"/>
      <c r="AC529" s="46">
        <f t="shared" si="432"/>
        <v>1.6716859348851473E-2</v>
      </c>
      <c r="AD529" s="33"/>
      <c r="AE529" s="33">
        <f t="shared" si="433"/>
        <v>1201.2884615384614</v>
      </c>
      <c r="AF529" s="50"/>
      <c r="AG529" s="33">
        <f t="shared" si="434"/>
        <v>5311</v>
      </c>
      <c r="AH529" s="33">
        <f>SUM(D500:D1181)</f>
        <v>1193490230.060914</v>
      </c>
      <c r="AI529" s="213">
        <f t="shared" si="435"/>
        <v>0.55610899501904487</v>
      </c>
      <c r="AJ529" s="50"/>
      <c r="AK529" s="111"/>
      <c r="AL529" s="23">
        <f t="shared" si="436"/>
        <v>35267</v>
      </c>
      <c r="AM529" s="24"/>
      <c r="AN529" s="24"/>
      <c r="AO529" s="24">
        <v>178263</v>
      </c>
      <c r="AP529" s="24">
        <v>30474506</v>
      </c>
      <c r="AQ529" s="24">
        <v>20336656</v>
      </c>
      <c r="AR529" s="461">
        <f t="shared" si="437"/>
        <v>1.1586032094954804E-3</v>
      </c>
      <c r="AS529" s="25"/>
      <c r="AT529" s="25"/>
      <c r="AU529" s="24"/>
      <c r="AV529" s="298">
        <f t="shared" si="438"/>
        <v>0.81553144944967793</v>
      </c>
      <c r="AW529" s="298"/>
      <c r="AX529" s="24">
        <f t="shared" si="439"/>
        <v>58604.81923076923</v>
      </c>
      <c r="AY529" s="308"/>
      <c r="AZ529" s="111"/>
      <c r="BA529" s="65">
        <f t="shared" si="440"/>
        <v>1071283</v>
      </c>
      <c r="BB529" s="66"/>
      <c r="BC529" s="66">
        <v>566087753</v>
      </c>
      <c r="BD529" s="66"/>
      <c r="BE529" s="66">
        <f t="shared" si="441"/>
        <v>145083</v>
      </c>
      <c r="BF529" s="66"/>
      <c r="BG529" s="144">
        <f t="shared" si="442"/>
        <v>0.13542920031401601</v>
      </c>
      <c r="BH529" s="66"/>
      <c r="BI529" s="170"/>
      <c r="BJ529" s="66"/>
      <c r="BK529" s="66">
        <f t="shared" si="443"/>
        <v>11344752</v>
      </c>
      <c r="BL529" s="66"/>
      <c r="BM529" s="144">
        <f t="shared" si="444"/>
        <v>7.8283685707717543E-2</v>
      </c>
      <c r="BN529" s="65">
        <f t="shared" si="445"/>
        <v>1088630.2942307692</v>
      </c>
      <c r="BO529" s="66"/>
      <c r="BP529" s="66">
        <f t="shared" si="446"/>
        <v>36460687</v>
      </c>
      <c r="BQ529" s="66"/>
      <c r="BR529" s="435">
        <f t="shared" si="447"/>
        <v>6.4408189025067994E-2</v>
      </c>
      <c r="BS529" s="66"/>
      <c r="BT529" s="75"/>
      <c r="BU529" s="170"/>
      <c r="BV529" s="1"/>
      <c r="BW529" s="61">
        <f t="shared" si="399"/>
        <v>520</v>
      </c>
    </row>
    <row r="530" spans="2:75" x14ac:dyDescent="0.3">
      <c r="B530" s="347">
        <f t="shared" si="448"/>
        <v>44430</v>
      </c>
      <c r="C530" s="61"/>
      <c r="D530" s="17">
        <v>99183</v>
      </c>
      <c r="E530" s="16"/>
      <c r="F530" s="16"/>
      <c r="G530" s="16"/>
      <c r="H530" s="16">
        <f t="shared" si="424"/>
        <v>37466848</v>
      </c>
      <c r="I530" s="16"/>
      <c r="J530" s="436">
        <f t="shared" si="425"/>
        <v>2.6542466595116392E-3</v>
      </c>
      <c r="K530" s="16"/>
      <c r="L530" s="16"/>
      <c r="M530" s="16"/>
      <c r="N530" s="16">
        <f t="shared" si="426"/>
        <v>956409</v>
      </c>
      <c r="O530" s="16">
        <f t="shared" si="427"/>
        <v>71913.335892514398</v>
      </c>
      <c r="P530" s="41"/>
      <c r="Q530" s="17">
        <f t="shared" si="428"/>
        <v>956409</v>
      </c>
      <c r="R530" s="16"/>
      <c r="S530" s="60">
        <f t="shared" si="429"/>
        <v>0.27671682356270588</v>
      </c>
      <c r="T530" s="16"/>
      <c r="U530" s="41"/>
      <c r="V530" s="10">
        <f t="shared" si="349"/>
        <v>422</v>
      </c>
      <c r="W530" s="34">
        <v>387</v>
      </c>
      <c r="X530" s="33">
        <v>4256</v>
      </c>
      <c r="Y530" s="33"/>
      <c r="Z530" s="33">
        <f t="shared" si="430"/>
        <v>5268</v>
      </c>
      <c r="AA530" s="33">
        <f t="shared" si="431"/>
        <v>625057</v>
      </c>
      <c r="AB530" s="33"/>
      <c r="AC530" s="46">
        <f t="shared" si="432"/>
        <v>1.6682935271202959E-2</v>
      </c>
      <c r="AD530" s="33"/>
      <c r="AE530" s="33">
        <f t="shared" si="433"/>
        <v>1199.725527831094</v>
      </c>
      <c r="AF530" s="50"/>
      <c r="AG530" s="33">
        <f t="shared" si="434"/>
        <v>5576</v>
      </c>
      <c r="AH530" s="33">
        <f>SUM(D501:D1182)</f>
        <v>1193422745.060914</v>
      </c>
      <c r="AI530" s="213">
        <f t="shared" si="435"/>
        <v>0.63711098062243099</v>
      </c>
      <c r="AJ530" s="50"/>
      <c r="AK530" s="111"/>
      <c r="AL530" s="23">
        <f t="shared" si="436"/>
        <v>19044</v>
      </c>
      <c r="AM530" s="24"/>
      <c r="AN530" s="24"/>
      <c r="AO530" s="24">
        <v>178263</v>
      </c>
      <c r="AP530" s="24">
        <v>30493550</v>
      </c>
      <c r="AQ530" s="24">
        <v>20336656</v>
      </c>
      <c r="AR530" s="461">
        <f t="shared" si="437"/>
        <v>6.2491579026744521E-4</v>
      </c>
      <c r="AS530" s="25"/>
      <c r="AT530" s="25"/>
      <c r="AU530" s="24"/>
      <c r="AV530" s="298">
        <f t="shared" si="438"/>
        <v>0.81388084740942179</v>
      </c>
      <c r="AW530" s="298"/>
      <c r="AX530" s="24">
        <f t="shared" si="439"/>
        <v>58528.886756238004</v>
      </c>
      <c r="AY530" s="308"/>
      <c r="AZ530" s="111"/>
      <c r="BA530" s="65">
        <f t="shared" si="440"/>
        <v>1182942</v>
      </c>
      <c r="BB530" s="66"/>
      <c r="BC530" s="66">
        <v>567270695</v>
      </c>
      <c r="BD530" s="66"/>
      <c r="BE530" s="66">
        <f t="shared" si="441"/>
        <v>99183</v>
      </c>
      <c r="BF530" s="66"/>
      <c r="BG530" s="144">
        <f t="shared" si="442"/>
        <v>8.384434739826635E-2</v>
      </c>
      <c r="BH530" s="66"/>
      <c r="BI530" s="170"/>
      <c r="BJ530" s="66"/>
      <c r="BK530" s="66">
        <f t="shared" si="443"/>
        <v>11837220</v>
      </c>
      <c r="BL530" s="66"/>
      <c r="BM530" s="144">
        <f t="shared" si="444"/>
        <v>8.0796758022576243E-2</v>
      </c>
      <c r="BN530" s="65">
        <f t="shared" si="445"/>
        <v>1088811.3147792707</v>
      </c>
      <c r="BO530" s="66"/>
      <c r="BP530" s="66">
        <f t="shared" si="446"/>
        <v>36559870</v>
      </c>
      <c r="BQ530" s="66"/>
      <c r="BR530" s="435">
        <f t="shared" si="447"/>
        <v>6.4448719671655164E-2</v>
      </c>
      <c r="BS530" s="66"/>
      <c r="BT530" s="75"/>
      <c r="BU530" s="170"/>
      <c r="BV530" s="1"/>
      <c r="BW530" s="61">
        <f t="shared" si="399"/>
        <v>521</v>
      </c>
    </row>
    <row r="531" spans="2:75" x14ac:dyDescent="0.3">
      <c r="B531" s="158">
        <f t="shared" si="448"/>
        <v>44431</v>
      </c>
      <c r="C531" s="61"/>
      <c r="D531" s="17">
        <v>111134</v>
      </c>
      <c r="E531" s="16"/>
      <c r="F531" s="16"/>
      <c r="G531" s="16"/>
      <c r="H531" s="16">
        <f t="shared" si="424"/>
        <v>37577982</v>
      </c>
      <c r="I531" s="16"/>
      <c r="J531" s="436">
        <f t="shared" si="425"/>
        <v>2.9661956084483009E-3</v>
      </c>
      <c r="K531" s="16"/>
      <c r="L531" s="16"/>
      <c r="M531" s="16"/>
      <c r="N531" s="16">
        <f t="shared" si="426"/>
        <v>963846</v>
      </c>
      <c r="O531" s="16">
        <f t="shared" si="427"/>
        <v>71988.471264367821</v>
      </c>
      <c r="P531" s="41"/>
      <c r="Q531" s="17">
        <f t="shared" si="428"/>
        <v>963846</v>
      </c>
      <c r="R531" s="16"/>
      <c r="S531" s="60">
        <f t="shared" si="429"/>
        <v>0.28437792329279699</v>
      </c>
      <c r="T531" s="16"/>
      <c r="U531" s="41"/>
      <c r="V531" s="10">
        <f t="shared" si="349"/>
        <v>423</v>
      </c>
      <c r="W531" s="34">
        <v>406</v>
      </c>
      <c r="X531" s="33">
        <v>4256</v>
      </c>
      <c r="Y531" s="33"/>
      <c r="Z531" s="33">
        <f t="shared" si="430"/>
        <v>4729</v>
      </c>
      <c r="AA531" s="33">
        <f t="shared" si="431"/>
        <v>625463</v>
      </c>
      <c r="AB531" s="33"/>
      <c r="AC531" s="46">
        <f t="shared" si="432"/>
        <v>1.6644400968631047E-2</v>
      </c>
      <c r="AD531" s="33"/>
      <c r="AE531" s="33">
        <f t="shared" si="433"/>
        <v>1198.2049808429119</v>
      </c>
      <c r="AF531" s="50"/>
      <c r="AG531" s="33">
        <f t="shared" si="434"/>
        <v>5674</v>
      </c>
      <c r="AH531" s="33">
        <f>SUM(D502:D1183)</f>
        <v>1193385966.060914</v>
      </c>
      <c r="AI531" s="213">
        <f t="shared" si="435"/>
        <v>0.67473435655253833</v>
      </c>
      <c r="AJ531" s="50"/>
      <c r="AK531" s="111"/>
      <c r="AL531" s="23">
        <f t="shared" si="436"/>
        <v>76679</v>
      </c>
      <c r="AM531" s="24"/>
      <c r="AN531" s="24"/>
      <c r="AO531" s="24">
        <v>178263</v>
      </c>
      <c r="AP531" s="24">
        <v>30570229</v>
      </c>
      <c r="AQ531" s="24">
        <v>20336656</v>
      </c>
      <c r="AR531" s="461">
        <f t="shared" si="437"/>
        <v>2.5145973492755025E-3</v>
      </c>
      <c r="AS531" s="25"/>
      <c r="AT531" s="25"/>
      <c r="AU531" s="24"/>
      <c r="AV531" s="298">
        <f t="shared" si="438"/>
        <v>0.81351438722813796</v>
      </c>
      <c r="AW531" s="298"/>
      <c r="AX531" s="24">
        <f t="shared" si="439"/>
        <v>58563.657088122607</v>
      </c>
      <c r="AY531" s="308"/>
      <c r="AZ531" s="111"/>
      <c r="BA531" s="65">
        <f t="shared" si="440"/>
        <v>1795660</v>
      </c>
      <c r="BB531" s="66"/>
      <c r="BC531" s="66">
        <v>569066355</v>
      </c>
      <c r="BD531" s="66"/>
      <c r="BE531" s="66">
        <f t="shared" si="441"/>
        <v>111134</v>
      </c>
      <c r="BF531" s="66"/>
      <c r="BG531" s="144">
        <f t="shared" si="442"/>
        <v>6.1890335586915118E-2</v>
      </c>
      <c r="BH531" s="66"/>
      <c r="BI531" s="170"/>
      <c r="BJ531" s="66"/>
      <c r="BK531" s="66">
        <f t="shared" si="443"/>
        <v>10921527</v>
      </c>
      <c r="BL531" s="66"/>
      <c r="BM531" s="144">
        <f t="shared" si="444"/>
        <v>8.825194498901115E-2</v>
      </c>
      <c r="BN531" s="65">
        <f t="shared" si="445"/>
        <v>1090165.4310344828</v>
      </c>
      <c r="BO531" s="66"/>
      <c r="BP531" s="66">
        <f t="shared" si="446"/>
        <v>36671004</v>
      </c>
      <c r="BQ531" s="66"/>
      <c r="BR531" s="435">
        <f t="shared" si="447"/>
        <v>6.4440646820527636E-2</v>
      </c>
      <c r="BS531" s="66"/>
      <c r="BT531" s="75"/>
      <c r="BU531" s="170"/>
      <c r="BV531" s="1"/>
      <c r="BW531" s="61">
        <f t="shared" si="399"/>
        <v>522</v>
      </c>
    </row>
    <row r="532" spans="2:75" x14ac:dyDescent="0.3">
      <c r="B532" s="158">
        <f t="shared" si="448"/>
        <v>44432</v>
      </c>
      <c r="C532" s="61"/>
      <c r="D532" s="17">
        <v>147619</v>
      </c>
      <c r="E532" s="16"/>
      <c r="F532" s="16"/>
      <c r="G532" s="16"/>
      <c r="H532" s="16">
        <f t="shared" si="424"/>
        <v>37725601</v>
      </c>
      <c r="I532" s="16"/>
      <c r="J532" s="436">
        <f t="shared" si="425"/>
        <v>3.9283376100398368E-3</v>
      </c>
      <c r="K532" s="16"/>
      <c r="L532" s="16"/>
      <c r="M532" s="16"/>
      <c r="N532" s="16">
        <f t="shared" si="426"/>
        <v>967171</v>
      </c>
      <c r="O532" s="16">
        <f t="shared" si="427"/>
        <v>72133.080305927346</v>
      </c>
      <c r="P532" s="41"/>
      <c r="Q532" s="17">
        <f t="shared" si="428"/>
        <v>967171</v>
      </c>
      <c r="R532" s="16"/>
      <c r="S532" s="60">
        <f t="shared" si="429"/>
        <v>0.21890083909068683</v>
      </c>
      <c r="T532" s="16"/>
      <c r="U532" s="41"/>
      <c r="V532" s="10">
        <f t="shared" si="349"/>
        <v>424</v>
      </c>
      <c r="W532" s="34">
        <v>1134</v>
      </c>
      <c r="X532" s="33">
        <v>4256</v>
      </c>
      <c r="Y532" s="33"/>
      <c r="Z532" s="33">
        <f t="shared" si="430"/>
        <v>4736</v>
      </c>
      <c r="AA532" s="33">
        <f t="shared" si="431"/>
        <v>626597</v>
      </c>
      <c r="AB532" s="33"/>
      <c r="AC532" s="46">
        <f t="shared" si="432"/>
        <v>1.6609331154194204E-2</v>
      </c>
      <c r="AD532" s="33"/>
      <c r="AE532" s="33">
        <f t="shared" si="433"/>
        <v>1198.0822179732313</v>
      </c>
      <c r="AF532" s="50"/>
      <c r="AG532" s="33">
        <f t="shared" si="434"/>
        <v>5863</v>
      </c>
      <c r="AH532" s="33">
        <f>SUM(D503:D1184)</f>
        <v>1193372148.060914</v>
      </c>
      <c r="AI532" s="213">
        <f t="shared" si="435"/>
        <v>0.59494015233949948</v>
      </c>
      <c r="AJ532" s="50"/>
      <c r="AK532" s="111"/>
      <c r="AL532" s="23">
        <f t="shared" si="436"/>
        <v>48415</v>
      </c>
      <c r="AM532" s="24"/>
      <c r="AN532" s="24"/>
      <c r="AO532" s="24">
        <v>178263</v>
      </c>
      <c r="AP532" s="24">
        <v>30618644</v>
      </c>
      <c r="AQ532" s="24">
        <v>20336656</v>
      </c>
      <c r="AR532" s="461">
        <f t="shared" si="437"/>
        <v>1.5837303672144557E-3</v>
      </c>
      <c r="AS532" s="25"/>
      <c r="AT532" s="25"/>
      <c r="AU532" s="24"/>
      <c r="AV532" s="298">
        <f t="shared" si="438"/>
        <v>0.81161447898470851</v>
      </c>
      <c r="AW532" s="298"/>
      <c r="AX532" s="24">
        <f t="shared" si="439"/>
        <v>58544.252390057358</v>
      </c>
      <c r="AY532" s="308"/>
      <c r="AZ532" s="111"/>
      <c r="BA532" s="65">
        <f t="shared" si="440"/>
        <v>1447069</v>
      </c>
      <c r="BB532" s="66"/>
      <c r="BC532" s="66">
        <v>570513424</v>
      </c>
      <c r="BD532" s="66"/>
      <c r="BE532" s="66">
        <f t="shared" si="441"/>
        <v>147619</v>
      </c>
      <c r="BF532" s="66"/>
      <c r="BG532" s="144">
        <f t="shared" si="442"/>
        <v>0.10201241267693524</v>
      </c>
      <c r="BH532" s="66"/>
      <c r="BI532" s="170"/>
      <c r="BJ532" s="66"/>
      <c r="BK532" s="66">
        <f t="shared" si="443"/>
        <v>10067305</v>
      </c>
      <c r="BL532" s="66"/>
      <c r="BM532" s="144">
        <f t="shared" si="444"/>
        <v>9.6070497516465431E-2</v>
      </c>
      <c r="BN532" s="65">
        <f t="shared" si="445"/>
        <v>1090847.8470363289</v>
      </c>
      <c r="BO532" s="66"/>
      <c r="BP532" s="66">
        <f t="shared" si="446"/>
        <v>36818623</v>
      </c>
      <c r="BQ532" s="66"/>
      <c r="BR532" s="435">
        <f t="shared" si="447"/>
        <v>6.4535945082336926E-2</v>
      </c>
      <c r="BS532" s="66"/>
      <c r="BT532" s="75"/>
      <c r="BU532" s="170"/>
      <c r="BV532" s="1"/>
      <c r="BW532" s="61">
        <f t="shared" si="399"/>
        <v>523</v>
      </c>
    </row>
    <row r="533" spans="2:75" x14ac:dyDescent="0.3">
      <c r="B533" s="158">
        <f t="shared" si="448"/>
        <v>44433</v>
      </c>
      <c r="C533" s="61"/>
      <c r="D533" s="17">
        <v>171737</v>
      </c>
      <c r="E533" s="16"/>
      <c r="F533" s="16"/>
      <c r="G533" s="16"/>
      <c r="H533" s="16">
        <f t="shared" si="424"/>
        <v>37897338</v>
      </c>
      <c r="I533" s="16"/>
      <c r="J533" s="436">
        <f t="shared" si="425"/>
        <v>4.5522667750210258E-3</v>
      </c>
      <c r="K533" s="16"/>
      <c r="L533" s="16"/>
      <c r="M533" s="16"/>
      <c r="N533" s="16">
        <f t="shared" si="426"/>
        <v>980781</v>
      </c>
      <c r="O533" s="16">
        <f t="shared" si="427"/>
        <v>72323.164122137401</v>
      </c>
      <c r="P533" s="41"/>
      <c r="Q533" s="17">
        <f t="shared" si="428"/>
        <v>980781</v>
      </c>
      <c r="R533" s="16"/>
      <c r="S533" s="60">
        <f t="shared" si="429"/>
        <v>0.21538718911483698</v>
      </c>
      <c r="T533" s="16"/>
      <c r="U533" s="41"/>
      <c r="V533" s="10">
        <f t="shared" si="349"/>
        <v>425</v>
      </c>
      <c r="W533" s="34">
        <v>1287</v>
      </c>
      <c r="X533" s="33">
        <v>4256</v>
      </c>
      <c r="Y533" s="33"/>
      <c r="Z533" s="33">
        <f t="shared" si="430"/>
        <v>5056</v>
      </c>
      <c r="AA533" s="33">
        <f t="shared" si="431"/>
        <v>627884</v>
      </c>
      <c r="AB533" s="33"/>
      <c r="AC533" s="46">
        <f t="shared" si="432"/>
        <v>1.6568023854340377E-2</v>
      </c>
      <c r="AD533" s="33"/>
      <c r="AE533" s="33">
        <f t="shared" si="433"/>
        <v>1198.2519083969466</v>
      </c>
      <c r="AF533" s="50"/>
      <c r="AG533" s="33">
        <f t="shared" si="434"/>
        <v>6023</v>
      </c>
      <c r="AH533" s="33">
        <f>SUM(D504:D1185)</f>
        <v>1193336332.060914</v>
      </c>
      <c r="AI533" s="213">
        <f t="shared" si="435"/>
        <v>0.43781332060157557</v>
      </c>
      <c r="AJ533" s="50"/>
      <c r="AK533" s="111"/>
      <c r="AL533" s="23">
        <f t="shared" si="436"/>
        <v>59639</v>
      </c>
      <c r="AM533" s="24"/>
      <c r="AN533" s="24"/>
      <c r="AO533" s="24">
        <v>178263</v>
      </c>
      <c r="AP533" s="24">
        <v>30678283</v>
      </c>
      <c r="AQ533" s="24">
        <v>20336656</v>
      </c>
      <c r="AR533" s="461">
        <f t="shared" si="437"/>
        <v>1.9478001703798508E-3</v>
      </c>
      <c r="AS533" s="25"/>
      <c r="AT533" s="25"/>
      <c r="AU533" s="24"/>
      <c r="AV533" s="298">
        <f t="shared" si="438"/>
        <v>0.80951023525715715</v>
      </c>
      <c r="AW533" s="298"/>
      <c r="AX533" s="24">
        <f t="shared" si="439"/>
        <v>58546.341603053435</v>
      </c>
      <c r="AY533" s="308"/>
      <c r="AZ533" s="111"/>
      <c r="BA533" s="65">
        <f t="shared" si="440"/>
        <v>3138100</v>
      </c>
      <c r="BB533" s="66"/>
      <c r="BC533" s="66">
        <v>573651524</v>
      </c>
      <c r="BD533" s="66"/>
      <c r="BE533" s="66">
        <f t="shared" si="441"/>
        <v>171737</v>
      </c>
      <c r="BF533" s="66"/>
      <c r="BG533" s="144">
        <f t="shared" si="442"/>
        <v>5.4726426818775695E-2</v>
      </c>
      <c r="BH533" s="66"/>
      <c r="BI533" s="170"/>
      <c r="BJ533" s="66"/>
      <c r="BK533" s="66">
        <f t="shared" si="443"/>
        <v>11823544</v>
      </c>
      <c r="BL533" s="66"/>
      <c r="BM533" s="144">
        <f t="shared" si="444"/>
        <v>8.2951524517521982E-2</v>
      </c>
      <c r="BN533" s="65">
        <f t="shared" si="445"/>
        <v>1094754.8167938932</v>
      </c>
      <c r="BO533" s="66"/>
      <c r="BP533" s="66">
        <f t="shared" si="446"/>
        <v>36990360</v>
      </c>
      <c r="BQ533" s="66"/>
      <c r="BR533" s="435">
        <f t="shared" si="447"/>
        <v>6.448228315000519E-2</v>
      </c>
      <c r="BS533" s="66"/>
      <c r="BT533" s="75"/>
      <c r="BU533" s="170"/>
      <c r="BV533" s="1"/>
      <c r="BW533" s="61">
        <f t="shared" si="399"/>
        <v>524</v>
      </c>
    </row>
    <row r="534" spans="2:75" x14ac:dyDescent="0.3">
      <c r="B534" s="158">
        <f t="shared" si="448"/>
        <v>44434</v>
      </c>
      <c r="C534" s="61"/>
      <c r="D534" s="17">
        <v>177206</v>
      </c>
      <c r="E534" s="16"/>
      <c r="F534" s="16"/>
      <c r="G534" s="16"/>
      <c r="H534" s="16">
        <f t="shared" si="424"/>
        <v>38074544</v>
      </c>
      <c r="I534" s="16"/>
      <c r="J534" s="436">
        <f t="shared" si="425"/>
        <v>4.6759484795475606E-3</v>
      </c>
      <c r="K534" s="16"/>
      <c r="L534" s="16"/>
      <c r="M534" s="16"/>
      <c r="N534" s="16">
        <f t="shared" si="426"/>
        <v>1003070</v>
      </c>
      <c r="O534" s="16">
        <f t="shared" si="427"/>
        <v>72522.940952380959</v>
      </c>
      <c r="P534" s="41"/>
      <c r="Q534" s="17">
        <f t="shared" si="428"/>
        <v>1003070</v>
      </c>
      <c r="R534" s="16"/>
      <c r="S534" s="60">
        <f t="shared" si="429"/>
        <v>0.22572249037697806</v>
      </c>
      <c r="T534" s="16"/>
      <c r="U534" s="41"/>
      <c r="V534" s="10">
        <f t="shared" si="349"/>
        <v>426</v>
      </c>
      <c r="W534" s="34">
        <v>1338</v>
      </c>
      <c r="X534" s="33">
        <v>4256</v>
      </c>
      <c r="Y534" s="33"/>
      <c r="Z534" s="33">
        <f t="shared" si="430"/>
        <v>5335</v>
      </c>
      <c r="AA534" s="33">
        <f t="shared" si="431"/>
        <v>629222</v>
      </c>
      <c r="AB534" s="33"/>
      <c r="AC534" s="46">
        <f t="shared" si="432"/>
        <v>1.6526054783479481E-2</v>
      </c>
      <c r="AD534" s="33"/>
      <c r="AE534" s="33">
        <f t="shared" si="433"/>
        <v>1198.5180952380952</v>
      </c>
      <c r="AF534" s="50"/>
      <c r="AG534" s="33">
        <f t="shared" si="434"/>
        <v>6394</v>
      </c>
      <c r="AH534" s="33">
        <f>SUM(D505:D1186)</f>
        <v>1193274751.060914</v>
      </c>
      <c r="AI534" s="213">
        <f t="shared" si="435"/>
        <v>0.42215302491103202</v>
      </c>
      <c r="AJ534" s="50"/>
      <c r="AK534" s="111" t="s">
        <v>26</v>
      </c>
      <c r="AL534" s="23">
        <f t="shared" si="436"/>
        <v>21717</v>
      </c>
      <c r="AM534" s="24"/>
      <c r="AN534" s="24"/>
      <c r="AO534" s="24">
        <v>178263</v>
      </c>
      <c r="AP534" s="24">
        <v>30700000</v>
      </c>
      <c r="AQ534" s="24">
        <v>20336656</v>
      </c>
      <c r="AR534" s="461">
        <f t="shared" si="437"/>
        <v>7.0789489750779078E-4</v>
      </c>
      <c r="AS534" s="25"/>
      <c r="AT534" s="25"/>
      <c r="AU534" s="24"/>
      <c r="AV534" s="298">
        <f t="shared" si="438"/>
        <v>0.80631300535076667</v>
      </c>
      <c r="AW534" s="298"/>
      <c r="AX534" s="24">
        <f t="shared" si="439"/>
        <v>58476.190476190473</v>
      </c>
      <c r="AY534" s="308"/>
      <c r="AZ534" s="111" t="s">
        <v>26</v>
      </c>
      <c r="BA534" s="65">
        <f t="shared" si="440"/>
        <v>2348476</v>
      </c>
      <c r="BB534" s="66"/>
      <c r="BC534" s="66">
        <v>576000000</v>
      </c>
      <c r="BD534" s="66"/>
      <c r="BE534" s="66">
        <f t="shared" si="441"/>
        <v>177206</v>
      </c>
      <c r="BF534" s="66"/>
      <c r="BG534" s="144">
        <f t="shared" si="442"/>
        <v>7.5455742362280906E-2</v>
      </c>
      <c r="BH534" s="66"/>
      <c r="BI534" s="170"/>
      <c r="BJ534" s="66"/>
      <c r="BK534" s="66">
        <f t="shared" si="443"/>
        <v>12632535</v>
      </c>
      <c r="BL534" s="66"/>
      <c r="BM534" s="144">
        <f t="shared" si="444"/>
        <v>7.9403698465905698E-2</v>
      </c>
      <c r="BN534" s="65">
        <f t="shared" si="445"/>
        <v>1097142.857142857</v>
      </c>
      <c r="BO534" s="66"/>
      <c r="BP534" s="66">
        <f t="shared" si="446"/>
        <v>37167566</v>
      </c>
      <c r="BQ534" s="66"/>
      <c r="BR534" s="435">
        <f t="shared" si="447"/>
        <v>6.4527024305555555E-2</v>
      </c>
      <c r="BS534" s="66"/>
      <c r="BT534" s="75"/>
      <c r="BU534" s="170"/>
      <c r="BV534" s="1"/>
      <c r="BW534" s="61">
        <f t="shared" si="399"/>
        <v>525</v>
      </c>
    </row>
    <row r="535" spans="2:75" x14ac:dyDescent="0.3">
      <c r="B535" s="158">
        <f t="shared" si="448"/>
        <v>44435</v>
      </c>
      <c r="C535" s="61"/>
      <c r="D535" s="17">
        <v>190370</v>
      </c>
      <c r="E535" s="16"/>
      <c r="F535" s="16"/>
      <c r="G535" s="16"/>
      <c r="H535" s="16">
        <f t="shared" si="424"/>
        <v>38264914</v>
      </c>
      <c r="I535" s="16"/>
      <c r="J535" s="436">
        <f t="shared" si="425"/>
        <v>4.9999285611930112E-3</v>
      </c>
      <c r="K535" s="16"/>
      <c r="L535" s="16"/>
      <c r="M535" s="16"/>
      <c r="N535" s="16">
        <f t="shared" si="426"/>
        <v>1042332</v>
      </c>
      <c r="O535" s="16">
        <f t="shared" si="427"/>
        <v>72746.984790874529</v>
      </c>
      <c r="P535" s="41"/>
      <c r="Q535" s="17">
        <f t="shared" si="428"/>
        <v>1042332</v>
      </c>
      <c r="R535" s="16"/>
      <c r="S535" s="60">
        <f t="shared" si="429"/>
        <v>0.28025292294767251</v>
      </c>
      <c r="T535" s="16"/>
      <c r="U535" s="41"/>
      <c r="V535" s="10">
        <f t="shared" si="349"/>
        <v>427</v>
      </c>
      <c r="W535" s="34">
        <v>1304</v>
      </c>
      <c r="X535" s="33">
        <v>4256</v>
      </c>
      <c r="Y535" s="33"/>
      <c r="Z535" s="33">
        <f t="shared" si="430"/>
        <v>5856</v>
      </c>
      <c r="AA535" s="33">
        <f t="shared" si="431"/>
        <v>630526</v>
      </c>
      <c r="AB535" s="33"/>
      <c r="AC535" s="46">
        <f t="shared" si="432"/>
        <v>1.6477914990217932E-2</v>
      </c>
      <c r="AD535" s="33"/>
      <c r="AE535" s="33">
        <f t="shared" si="433"/>
        <v>1198.7186311787073</v>
      </c>
      <c r="AF535" s="50"/>
      <c r="AG535" s="33">
        <f t="shared" si="434"/>
        <v>6639</v>
      </c>
      <c r="AH535" s="33">
        <f>SUM(D506:D1187)</f>
        <v>1193190217.060914</v>
      </c>
      <c r="AI535" s="213">
        <f t="shared" si="435"/>
        <v>0.38717091516924362</v>
      </c>
      <c r="AJ535" s="50"/>
      <c r="AK535" s="111"/>
      <c r="AL535" s="23">
        <f t="shared" si="436"/>
        <v>86368</v>
      </c>
      <c r="AM535" s="24"/>
      <c r="AN535" s="24"/>
      <c r="AO535" s="24">
        <v>178263</v>
      </c>
      <c r="AP535" s="24">
        <v>30786368</v>
      </c>
      <c r="AQ535" s="24">
        <v>20336656</v>
      </c>
      <c r="AR535" s="461">
        <f t="shared" si="437"/>
        <v>2.8132899022801305E-3</v>
      </c>
      <c r="AS535" s="25"/>
      <c r="AT535" s="25"/>
      <c r="AU535" s="24"/>
      <c r="AV535" s="298">
        <f t="shared" si="438"/>
        <v>0.80455866175473434</v>
      </c>
      <c r="AW535" s="298"/>
      <c r="AX535" s="24">
        <f t="shared" si="439"/>
        <v>58529.216730038024</v>
      </c>
      <c r="AY535" s="308"/>
      <c r="AZ535" s="111"/>
      <c r="BA535" s="65">
        <f t="shared" si="440"/>
        <v>1474238</v>
      </c>
      <c r="BB535" s="66"/>
      <c r="BC535" s="66">
        <v>577474238</v>
      </c>
      <c r="BD535" s="66"/>
      <c r="BE535" s="66">
        <f t="shared" si="441"/>
        <v>190370</v>
      </c>
      <c r="BF535" s="66"/>
      <c r="BG535" s="144">
        <f t="shared" si="442"/>
        <v>0.12913111722801882</v>
      </c>
      <c r="BH535" s="66"/>
      <c r="BI535" s="170"/>
      <c r="BJ535" s="66"/>
      <c r="BK535" s="66">
        <f t="shared" si="443"/>
        <v>12457768</v>
      </c>
      <c r="BL535" s="66"/>
      <c r="BM535" s="144">
        <f t="shared" si="444"/>
        <v>8.3669241552740428E-2</v>
      </c>
      <c r="BN535" s="65">
        <f t="shared" si="445"/>
        <v>1097859.7680608365</v>
      </c>
      <c r="BO535" s="66"/>
      <c r="BP535" s="66">
        <f t="shared" si="446"/>
        <v>37357936</v>
      </c>
      <c r="BQ535" s="66"/>
      <c r="BR535" s="435">
        <f t="shared" si="447"/>
        <v>6.4691952543863951E-2</v>
      </c>
      <c r="BS535" s="66"/>
      <c r="BT535" s="75"/>
      <c r="BU535" s="170"/>
      <c r="BV535" s="1"/>
      <c r="BW535" s="61">
        <f t="shared" si="399"/>
        <v>526</v>
      </c>
    </row>
    <row r="536" spans="2:75" x14ac:dyDescent="0.3">
      <c r="B536" s="158">
        <f t="shared" si="448"/>
        <v>44436</v>
      </c>
      <c r="C536" s="61"/>
      <c r="D536" s="17">
        <v>72785</v>
      </c>
      <c r="E536" s="16"/>
      <c r="F536" s="16"/>
      <c r="G536" s="16"/>
      <c r="H536" s="16">
        <f t="shared" ref="H536:H551" si="449">+H535+D536</f>
        <v>38337699</v>
      </c>
      <c r="I536" s="16"/>
      <c r="J536" s="436">
        <f t="shared" ref="J536:J551" si="450">+D536/H535</f>
        <v>1.9021341587230538E-3</v>
      </c>
      <c r="K536" s="16"/>
      <c r="L536" s="16"/>
      <c r="M536" s="16"/>
      <c r="N536" s="16">
        <f t="shared" ref="N536:N551" si="451">SUM(D530:D536)</f>
        <v>970034</v>
      </c>
      <c r="O536" s="16">
        <f t="shared" ref="O536:O551" si="452">+H536/BW536</f>
        <v>72747.056925996207</v>
      </c>
      <c r="P536" s="41"/>
      <c r="Q536" s="17">
        <f t="shared" ref="Q536:Q551" si="453">SUM(D530:D536)</f>
        <v>970034</v>
      </c>
      <c r="R536" s="16"/>
      <c r="S536" s="60">
        <f t="shared" ref="S536:S551" si="454">+(Q536-Q529)/Q529</f>
        <v>9.224655982542683E-2</v>
      </c>
      <c r="T536" s="16"/>
      <c r="U536" s="41"/>
      <c r="V536" s="10">
        <f t="shared" si="349"/>
        <v>428</v>
      </c>
      <c r="W536" s="34">
        <v>648</v>
      </c>
      <c r="X536" s="33">
        <v>4256</v>
      </c>
      <c r="Y536" s="33"/>
      <c r="Z536" s="33">
        <f t="shared" ref="Z536:Z551" si="455">SUM(W531:W536)</f>
        <v>6117</v>
      </c>
      <c r="AA536" s="33">
        <f t="shared" ref="AA536:AA551" si="456">+AA535+W536</f>
        <v>631174</v>
      </c>
      <c r="AB536" s="33"/>
      <c r="AC536" s="46">
        <f t="shared" ref="AC536:AC551" si="457">+AA536/H536</f>
        <v>1.6463533713903904E-2</v>
      </c>
      <c r="AD536" s="33"/>
      <c r="AE536" s="33">
        <f t="shared" ref="AE536:AE551" si="458">+AA536/BW536</f>
        <v>1197.6736242884251</v>
      </c>
      <c r="AF536" s="50"/>
      <c r="AG536" s="33">
        <f t="shared" ref="AG536:AG551" si="459">SUM(W530:W536)</f>
        <v>6504</v>
      </c>
      <c r="AH536" s="33">
        <f>SUM(D507:D1188)</f>
        <v>1193105704.060914</v>
      </c>
      <c r="AI536" s="213">
        <f t="shared" ref="AI536:AI551" si="460">+(AG536-AG529)/AG529</f>
        <v>0.22462813029561288</v>
      </c>
      <c r="AJ536" s="50"/>
      <c r="AK536" s="111"/>
      <c r="AL536" s="23">
        <f t="shared" ref="AL536:AL551" si="461">+AP536-AP535</f>
        <v>25874</v>
      </c>
      <c r="AM536" s="24"/>
      <c r="AN536" s="24"/>
      <c r="AO536" s="24">
        <v>178263</v>
      </c>
      <c r="AP536" s="24">
        <v>30812242</v>
      </c>
      <c r="AQ536" s="24">
        <v>20336656</v>
      </c>
      <c r="AR536" s="461">
        <f t="shared" ref="AR536:AR551" si="462">+AL536/AP535</f>
        <v>8.4043691025846242E-4</v>
      </c>
      <c r="AS536" s="25"/>
      <c r="AT536" s="25"/>
      <c r="AU536" s="24"/>
      <c r="AV536" s="298">
        <f t="shared" ref="AV536:AV551" si="463">+AP536/H536</f>
        <v>0.80370608575126012</v>
      </c>
      <c r="AW536" s="298"/>
      <c r="AX536" s="24">
        <f t="shared" ref="AX536:AX551" si="464">+AP536/BW536</f>
        <v>58467.252371916511</v>
      </c>
      <c r="AY536" s="308"/>
      <c r="AZ536" s="111"/>
      <c r="BA536" s="65">
        <f t="shared" ref="BA536:BA551" si="465">+BC536-BC535</f>
        <v>999373</v>
      </c>
      <c r="BB536" s="66"/>
      <c r="BC536" s="66">
        <v>578473611</v>
      </c>
      <c r="BD536" s="66"/>
      <c r="BE536" s="66">
        <f t="shared" ref="BE536:BE551" si="466">+D536</f>
        <v>72785</v>
      </c>
      <c r="BF536" s="66"/>
      <c r="BG536" s="144">
        <f t="shared" ref="BG536:BG551" si="467">+BE536/BA536</f>
        <v>7.2830664826846428E-2</v>
      </c>
      <c r="BH536" s="66"/>
      <c r="BI536" s="170"/>
      <c r="BJ536" s="66"/>
      <c r="BK536" s="66">
        <f t="shared" ref="BK536:BK551" si="468">SUM(BA530:BA536)</f>
        <v>12385858</v>
      </c>
      <c r="BL536" s="66"/>
      <c r="BM536" s="144">
        <f t="shared" ref="BM536:BM551" si="469">+Q536/BK536</f>
        <v>7.8317868653104208E-2</v>
      </c>
      <c r="BN536" s="65">
        <f t="shared" ref="BN536:BN551" si="470">+BC536/BW536</f>
        <v>1097672.8861480076</v>
      </c>
      <c r="BO536" s="66"/>
      <c r="BP536" s="66">
        <f t="shared" ref="BP536:BP551" si="471">+BP535+BE536</f>
        <v>37430721</v>
      </c>
      <c r="BQ536" s="66"/>
      <c r="BR536" s="435">
        <f t="shared" ref="BR536:BR551" si="472">+BP536/BC536</f>
        <v>6.47060130111968E-2</v>
      </c>
      <c r="BS536" s="66"/>
      <c r="BT536" s="75"/>
      <c r="BU536" s="170"/>
      <c r="BV536" s="1"/>
      <c r="BW536" s="61">
        <f t="shared" si="399"/>
        <v>527</v>
      </c>
    </row>
    <row r="537" spans="2:75" x14ac:dyDescent="0.3">
      <c r="B537" s="347">
        <f t="shared" si="448"/>
        <v>44437</v>
      </c>
      <c r="C537" s="61"/>
      <c r="D537" s="17">
        <v>37262</v>
      </c>
      <c r="E537" s="16"/>
      <c r="F537" s="16"/>
      <c r="G537" s="16"/>
      <c r="H537" s="16">
        <f t="shared" si="449"/>
        <v>38374961</v>
      </c>
      <c r="I537" s="16"/>
      <c r="J537" s="436">
        <f t="shared" si="450"/>
        <v>9.7194148245568937E-4</v>
      </c>
      <c r="K537" s="16"/>
      <c r="L537" s="16"/>
      <c r="M537" s="16"/>
      <c r="N537" s="16">
        <f t="shared" si="451"/>
        <v>908113</v>
      </c>
      <c r="O537" s="16">
        <f t="shared" si="452"/>
        <v>72679.850378787873</v>
      </c>
      <c r="P537" s="41"/>
      <c r="Q537" s="17">
        <f t="shared" si="453"/>
        <v>908113</v>
      </c>
      <c r="R537" s="16"/>
      <c r="S537" s="60">
        <f t="shared" si="454"/>
        <v>-5.0497224513780192E-2</v>
      </c>
      <c r="T537" s="16"/>
      <c r="U537" s="41"/>
      <c r="V537" s="10">
        <f t="shared" si="349"/>
        <v>429</v>
      </c>
      <c r="W537" s="34">
        <v>284</v>
      </c>
      <c r="X537" s="33">
        <v>4256</v>
      </c>
      <c r="Y537" s="33"/>
      <c r="Z537" s="33">
        <f t="shared" si="455"/>
        <v>5995</v>
      </c>
      <c r="AA537" s="33">
        <f t="shared" si="456"/>
        <v>631458</v>
      </c>
      <c r="AB537" s="33"/>
      <c r="AC537" s="46">
        <f t="shared" si="457"/>
        <v>1.6454948319035424E-2</v>
      </c>
      <c r="AD537" s="33"/>
      <c r="AE537" s="33">
        <f t="shared" si="458"/>
        <v>1195.9431818181818</v>
      </c>
      <c r="AF537" s="50"/>
      <c r="AG537" s="33">
        <f t="shared" si="459"/>
        <v>6401</v>
      </c>
      <c r="AH537" s="33">
        <f>SUM(D508:D1189)</f>
        <v>1193004606.060914</v>
      </c>
      <c r="AI537" s="213">
        <f t="shared" si="460"/>
        <v>0.14795552367288378</v>
      </c>
      <c r="AJ537" s="50"/>
      <c r="AK537" s="111"/>
      <c r="AL537" s="23">
        <f t="shared" si="461"/>
        <v>14236</v>
      </c>
      <c r="AM537" s="24"/>
      <c r="AN537" s="24"/>
      <c r="AO537" s="24">
        <v>178263</v>
      </c>
      <c r="AP537" s="24">
        <v>30826478</v>
      </c>
      <c r="AQ537" s="24">
        <v>20336656</v>
      </c>
      <c r="AR537" s="461">
        <f t="shared" si="462"/>
        <v>4.6202415260791476E-4</v>
      </c>
      <c r="AS537" s="25"/>
      <c r="AT537" s="25"/>
      <c r="AU537" s="24"/>
      <c r="AV537" s="298">
        <f t="shared" si="463"/>
        <v>0.80329666002787603</v>
      </c>
      <c r="AW537" s="298"/>
      <c r="AX537" s="24">
        <f t="shared" si="464"/>
        <v>58383.481060606064</v>
      </c>
      <c r="AY537" s="308"/>
      <c r="AZ537" s="111"/>
      <c r="BA537" s="65">
        <f t="shared" si="465"/>
        <v>891043</v>
      </c>
      <c r="BB537" s="66"/>
      <c r="BC537" s="66">
        <v>579364654</v>
      </c>
      <c r="BD537" s="66"/>
      <c r="BE537" s="66">
        <f t="shared" si="466"/>
        <v>37262</v>
      </c>
      <c r="BF537" s="66"/>
      <c r="BG537" s="144">
        <f t="shared" si="467"/>
        <v>4.1818408314750241E-2</v>
      </c>
      <c r="BH537" s="66"/>
      <c r="BI537" s="170"/>
      <c r="BJ537" s="66"/>
      <c r="BK537" s="66">
        <f t="shared" si="468"/>
        <v>12093959</v>
      </c>
      <c r="BL537" s="66"/>
      <c r="BM537" s="144">
        <f t="shared" si="469"/>
        <v>7.508814938102569E-2</v>
      </c>
      <c r="BN537" s="65">
        <f t="shared" si="470"/>
        <v>1097281.5416666667</v>
      </c>
      <c r="BO537" s="66"/>
      <c r="BP537" s="66">
        <f t="shared" si="471"/>
        <v>37467983</v>
      </c>
      <c r="BQ537" s="66"/>
      <c r="BR537" s="435">
        <f t="shared" si="472"/>
        <v>6.4670812658861307E-2</v>
      </c>
      <c r="BS537" s="66"/>
      <c r="BT537" s="75"/>
      <c r="BU537" s="170"/>
      <c r="BV537" s="1"/>
      <c r="BW537" s="61">
        <f t="shared" si="399"/>
        <v>528</v>
      </c>
    </row>
    <row r="538" spans="2:75" x14ac:dyDescent="0.3">
      <c r="B538" s="158">
        <f t="shared" si="448"/>
        <v>44438</v>
      </c>
      <c r="C538" s="61"/>
      <c r="D538" s="17">
        <v>119642</v>
      </c>
      <c r="E538" s="16"/>
      <c r="F538" s="16"/>
      <c r="G538" s="16"/>
      <c r="H538" s="16">
        <f t="shared" si="449"/>
        <v>38494603</v>
      </c>
      <c r="I538" s="16"/>
      <c r="J538" s="436">
        <f t="shared" si="450"/>
        <v>3.1177100088779245E-3</v>
      </c>
      <c r="K538" s="16"/>
      <c r="L538" s="16"/>
      <c r="M538" s="16"/>
      <c r="N538" s="16">
        <f t="shared" si="451"/>
        <v>916621</v>
      </c>
      <c r="O538" s="16">
        <f t="shared" si="452"/>
        <v>72768.625708884691</v>
      </c>
      <c r="P538" s="41"/>
      <c r="Q538" s="17">
        <f t="shared" si="453"/>
        <v>916621</v>
      </c>
      <c r="R538" s="16"/>
      <c r="S538" s="60">
        <f t="shared" si="454"/>
        <v>-4.89964164399707E-2</v>
      </c>
      <c r="T538" s="16"/>
      <c r="U538" s="41"/>
      <c r="V538" s="10">
        <f t="shared" si="349"/>
        <v>430</v>
      </c>
      <c r="W538" s="34">
        <v>569</v>
      </c>
      <c r="X538" s="33">
        <v>4256</v>
      </c>
      <c r="Y538" s="33"/>
      <c r="Z538" s="33">
        <f t="shared" si="455"/>
        <v>5430</v>
      </c>
      <c r="AA538" s="33">
        <f t="shared" si="456"/>
        <v>632027</v>
      </c>
      <c r="AB538" s="33"/>
      <c r="AC538" s="46">
        <f t="shared" si="457"/>
        <v>1.6418587301705645E-2</v>
      </c>
      <c r="AD538" s="33"/>
      <c r="AE538" s="33">
        <f t="shared" si="458"/>
        <v>1194.7580340264651</v>
      </c>
      <c r="AF538" s="50"/>
      <c r="AG538" s="33">
        <f t="shared" si="459"/>
        <v>6564</v>
      </c>
      <c r="AH538" s="33">
        <f>SUM(D509:D1190)</f>
        <v>1192952708.060914</v>
      </c>
      <c r="AI538" s="213">
        <f t="shared" si="460"/>
        <v>0.15685583362707084</v>
      </c>
      <c r="AJ538" s="50"/>
      <c r="AK538" s="111"/>
      <c r="AL538" s="23">
        <f t="shared" si="461"/>
        <v>117987</v>
      </c>
      <c r="AM538" s="24"/>
      <c r="AN538" s="24"/>
      <c r="AO538" s="24">
        <v>178263</v>
      </c>
      <c r="AP538" s="24">
        <v>30944465</v>
      </c>
      <c r="AQ538" s="24">
        <v>20336656</v>
      </c>
      <c r="AR538" s="461">
        <f t="shared" si="462"/>
        <v>3.8274563834376409E-3</v>
      </c>
      <c r="AS538" s="25"/>
      <c r="AT538" s="25"/>
      <c r="AU538" s="24"/>
      <c r="AV538" s="298">
        <f t="shared" si="463"/>
        <v>0.80386502492310419</v>
      </c>
      <c r="AW538" s="298"/>
      <c r="AX538" s="24">
        <f t="shared" si="464"/>
        <v>58496.153119092625</v>
      </c>
      <c r="AY538" s="308"/>
      <c r="AZ538" s="111"/>
      <c r="BA538" s="65">
        <f t="shared" si="465"/>
        <v>3159358</v>
      </c>
      <c r="BB538" s="66"/>
      <c r="BC538" s="66">
        <v>582524012</v>
      </c>
      <c r="BD538" s="66"/>
      <c r="BE538" s="66">
        <f t="shared" si="466"/>
        <v>119642</v>
      </c>
      <c r="BF538" s="66"/>
      <c r="BG538" s="144">
        <f t="shared" si="467"/>
        <v>3.7869086061155466E-2</v>
      </c>
      <c r="BH538" s="66"/>
      <c r="BI538" s="170"/>
      <c r="BJ538" s="66"/>
      <c r="BK538" s="66">
        <f t="shared" si="468"/>
        <v>13457657</v>
      </c>
      <c r="BL538" s="66"/>
      <c r="BM538" s="144">
        <f t="shared" si="469"/>
        <v>6.8111484785204443E-2</v>
      </c>
      <c r="BN538" s="65">
        <f t="shared" si="470"/>
        <v>1101179.6068052929</v>
      </c>
      <c r="BO538" s="66"/>
      <c r="BP538" s="66">
        <f t="shared" si="471"/>
        <v>37587625</v>
      </c>
      <c r="BQ538" s="66"/>
      <c r="BR538" s="435">
        <f t="shared" si="472"/>
        <v>6.4525451699319822E-2</v>
      </c>
      <c r="BS538" s="66"/>
      <c r="BT538" s="75"/>
      <c r="BU538" s="170"/>
      <c r="BV538" s="1"/>
      <c r="BW538" s="61">
        <f t="shared" si="399"/>
        <v>529</v>
      </c>
    </row>
    <row r="539" spans="2:75" x14ac:dyDescent="0.3">
      <c r="B539" s="158">
        <f t="shared" si="448"/>
        <v>44439</v>
      </c>
      <c r="C539" s="61"/>
      <c r="D539" s="17">
        <v>158666</v>
      </c>
      <c r="E539" s="16"/>
      <c r="F539" s="16"/>
      <c r="G539" s="16"/>
      <c r="H539" s="16">
        <f t="shared" si="449"/>
        <v>38653269</v>
      </c>
      <c r="I539" s="16"/>
      <c r="J539" s="436">
        <f t="shared" si="450"/>
        <v>4.1217726027723937E-3</v>
      </c>
      <c r="K539" s="16"/>
      <c r="L539" s="16"/>
      <c r="M539" s="16"/>
      <c r="N539" s="16">
        <f t="shared" si="451"/>
        <v>927668</v>
      </c>
      <c r="O539" s="16">
        <f t="shared" si="452"/>
        <v>72930.696226415093</v>
      </c>
      <c r="P539" s="41"/>
      <c r="Q539" s="17">
        <f t="shared" si="453"/>
        <v>927668</v>
      </c>
      <c r="R539" s="16"/>
      <c r="S539" s="60">
        <f t="shared" si="454"/>
        <v>-4.0843863184483409E-2</v>
      </c>
      <c r="T539" s="16"/>
      <c r="U539" s="41"/>
      <c r="V539" s="10">
        <f t="shared" si="349"/>
        <v>431</v>
      </c>
      <c r="W539" s="34">
        <v>1266</v>
      </c>
      <c r="X539" s="33">
        <v>4256</v>
      </c>
      <c r="Y539" s="33"/>
      <c r="Z539" s="33">
        <f t="shared" si="455"/>
        <v>5409</v>
      </c>
      <c r="AA539" s="33">
        <f t="shared" si="456"/>
        <v>633293</v>
      </c>
      <c r="AB539" s="33"/>
      <c r="AC539" s="46">
        <f t="shared" si="457"/>
        <v>1.6383944136781809E-2</v>
      </c>
      <c r="AD539" s="33"/>
      <c r="AE539" s="33">
        <f t="shared" si="458"/>
        <v>1194.8924528301886</v>
      </c>
      <c r="AF539" s="50"/>
      <c r="AG539" s="33">
        <f t="shared" si="459"/>
        <v>6696</v>
      </c>
      <c r="AH539" s="33">
        <f>SUM(D510:D1191)</f>
        <v>1192930940.060914</v>
      </c>
      <c r="AI539" s="213">
        <f t="shared" si="460"/>
        <v>0.14207743476036158</v>
      </c>
      <c r="AJ539" s="50"/>
      <c r="AK539" s="111"/>
      <c r="AL539" s="23">
        <f t="shared" si="461"/>
        <v>76147</v>
      </c>
      <c r="AM539" s="24"/>
      <c r="AN539" s="24"/>
      <c r="AO539" s="24">
        <v>178263</v>
      </c>
      <c r="AP539" s="24">
        <v>31020612</v>
      </c>
      <c r="AQ539" s="24">
        <v>20336656</v>
      </c>
      <c r="AR539" s="461">
        <f t="shared" si="462"/>
        <v>2.4607631768718574E-3</v>
      </c>
      <c r="AS539" s="25"/>
      <c r="AT539" s="25"/>
      <c r="AU539" s="24"/>
      <c r="AV539" s="298">
        <f t="shared" si="463"/>
        <v>0.8025352784521278</v>
      </c>
      <c r="AW539" s="298"/>
      <c r="AX539" s="24">
        <f t="shared" si="464"/>
        <v>58529.456603773586</v>
      </c>
      <c r="AY539" s="308"/>
      <c r="AZ539" s="111"/>
      <c r="BA539" s="65">
        <f t="shared" si="465"/>
        <v>1787032</v>
      </c>
      <c r="BB539" s="66"/>
      <c r="BC539" s="66">
        <v>584311044</v>
      </c>
      <c r="BD539" s="66"/>
      <c r="BE539" s="66">
        <f t="shared" si="466"/>
        <v>158666</v>
      </c>
      <c r="BF539" s="66"/>
      <c r="BG539" s="144">
        <f t="shared" si="467"/>
        <v>8.8787441970820891E-2</v>
      </c>
      <c r="BH539" s="66"/>
      <c r="BI539" s="170"/>
      <c r="BJ539" s="66"/>
      <c r="BK539" s="66">
        <f t="shared" si="468"/>
        <v>13797620</v>
      </c>
      <c r="BL539" s="66"/>
      <c r="BM539" s="144">
        <f t="shared" si="469"/>
        <v>6.7233914254777274E-2</v>
      </c>
      <c r="BN539" s="65">
        <f t="shared" si="470"/>
        <v>1102473.6679245282</v>
      </c>
      <c r="BO539" s="66"/>
      <c r="BP539" s="66">
        <f t="shared" si="471"/>
        <v>37746291</v>
      </c>
      <c r="BQ539" s="66"/>
      <c r="BR539" s="435">
        <f t="shared" si="472"/>
        <v>6.4599653536584534E-2</v>
      </c>
      <c r="BS539" s="66"/>
      <c r="BT539" s="75"/>
      <c r="BU539" s="170"/>
      <c r="BV539" s="1"/>
      <c r="BW539" s="61">
        <f t="shared" si="399"/>
        <v>530</v>
      </c>
    </row>
    <row r="540" spans="2:75" x14ac:dyDescent="0.3">
      <c r="B540" s="158">
        <f t="shared" si="448"/>
        <v>44440</v>
      </c>
      <c r="C540" s="61"/>
      <c r="D540" s="17">
        <v>184420</v>
      </c>
      <c r="E540" s="16"/>
      <c r="F540" s="16"/>
      <c r="G540" s="16"/>
      <c r="H540" s="16">
        <f t="shared" si="449"/>
        <v>38837689</v>
      </c>
      <c r="I540" s="16"/>
      <c r="J540" s="436">
        <f t="shared" si="450"/>
        <v>4.7711359160851315E-3</v>
      </c>
      <c r="K540" s="16"/>
      <c r="L540" s="16"/>
      <c r="M540" s="16"/>
      <c r="N540" s="16">
        <f t="shared" si="451"/>
        <v>940351</v>
      </c>
      <c r="O540" s="16">
        <f t="shared" si="452"/>
        <v>73140.657250470817</v>
      </c>
      <c r="P540" s="41"/>
      <c r="Q540" s="17">
        <f t="shared" si="453"/>
        <v>940351</v>
      </c>
      <c r="R540" s="16"/>
      <c r="S540" s="60">
        <f t="shared" si="454"/>
        <v>-4.1222250431034044E-2</v>
      </c>
      <c r="T540" s="16"/>
      <c r="U540" s="41"/>
      <c r="V540" s="10">
        <f t="shared" si="349"/>
        <v>432</v>
      </c>
      <c r="W540" s="34">
        <v>1480</v>
      </c>
      <c r="X540" s="33">
        <v>4256</v>
      </c>
      <c r="Y540" s="33"/>
      <c r="Z540" s="33">
        <f t="shared" si="455"/>
        <v>5551</v>
      </c>
      <c r="AA540" s="33">
        <f t="shared" si="456"/>
        <v>634773</v>
      </c>
      <c r="AB540" s="33"/>
      <c r="AC540" s="46">
        <f t="shared" si="457"/>
        <v>1.6344252615030724E-2</v>
      </c>
      <c r="AD540" s="33"/>
      <c r="AE540" s="33">
        <f t="shared" si="458"/>
        <v>1195.4293785310736</v>
      </c>
      <c r="AF540" s="50"/>
      <c r="AG540" s="33">
        <f t="shared" si="459"/>
        <v>6889</v>
      </c>
      <c r="AH540" s="33">
        <f>SUM(D511:D1192)</f>
        <v>1192874571.060914</v>
      </c>
      <c r="AI540" s="213">
        <f t="shared" si="460"/>
        <v>0.14378216835464055</v>
      </c>
      <c r="AJ540" s="50"/>
      <c r="AK540" s="111"/>
      <c r="AL540" s="23">
        <f t="shared" si="461"/>
        <v>117324</v>
      </c>
      <c r="AM540" s="24"/>
      <c r="AN540" s="24"/>
      <c r="AO540" s="24">
        <v>178263</v>
      </c>
      <c r="AP540" s="24">
        <v>31137936</v>
      </c>
      <c r="AQ540" s="24">
        <v>20336656</v>
      </c>
      <c r="AR540" s="461">
        <f t="shared" si="462"/>
        <v>3.7821304105799072E-3</v>
      </c>
      <c r="AS540" s="25"/>
      <c r="AT540" s="25"/>
      <c r="AU540" s="24"/>
      <c r="AV540" s="298">
        <f t="shared" si="463"/>
        <v>0.80174533556824146</v>
      </c>
      <c r="AW540" s="298"/>
      <c r="AX540" s="24">
        <f t="shared" si="464"/>
        <v>58640.180790960454</v>
      </c>
      <c r="AY540" s="308"/>
      <c r="AZ540" s="111"/>
      <c r="BA540" s="65">
        <f t="shared" si="465"/>
        <v>2369139</v>
      </c>
      <c r="BB540" s="66"/>
      <c r="BC540" s="66">
        <v>586680183</v>
      </c>
      <c r="BD540" s="66"/>
      <c r="BE540" s="66">
        <f t="shared" si="466"/>
        <v>184420</v>
      </c>
      <c r="BF540" s="66"/>
      <c r="BG540" s="144">
        <f t="shared" si="467"/>
        <v>7.78426255276706E-2</v>
      </c>
      <c r="BH540" s="66"/>
      <c r="BI540" s="170"/>
      <c r="BJ540" s="66"/>
      <c r="BK540" s="66">
        <f t="shared" si="468"/>
        <v>13028659</v>
      </c>
      <c r="BL540" s="66"/>
      <c r="BM540" s="144">
        <f t="shared" si="469"/>
        <v>7.217557846897367E-2</v>
      </c>
      <c r="BN540" s="65">
        <f t="shared" si="470"/>
        <v>1104859.1016949152</v>
      </c>
      <c r="BO540" s="66"/>
      <c r="BP540" s="66">
        <f t="shared" si="471"/>
        <v>37930711</v>
      </c>
      <c r="BQ540" s="66"/>
      <c r="BR540" s="435">
        <f t="shared" si="472"/>
        <v>6.465313146600693E-2</v>
      </c>
      <c r="BS540" s="66"/>
      <c r="BT540" s="75"/>
      <c r="BU540" s="170"/>
      <c r="BV540" s="1"/>
      <c r="BW540" s="61">
        <f t="shared" si="399"/>
        <v>531</v>
      </c>
    </row>
    <row r="541" spans="2:75" x14ac:dyDescent="0.3">
      <c r="B541" s="158">
        <f t="shared" si="448"/>
        <v>44441</v>
      </c>
      <c r="C541" s="61"/>
      <c r="D541" s="17">
        <v>177568</v>
      </c>
      <c r="E541" s="16"/>
      <c r="F541" s="16"/>
      <c r="G541" s="16"/>
      <c r="H541" s="16">
        <f t="shared" si="449"/>
        <v>39015257</v>
      </c>
      <c r="I541" s="16"/>
      <c r="J541" s="436">
        <f t="shared" si="450"/>
        <v>4.5720537079330338E-3</v>
      </c>
      <c r="K541" s="16"/>
      <c r="L541" s="16"/>
      <c r="M541" s="16"/>
      <c r="N541" s="16">
        <f t="shared" si="451"/>
        <v>940713</v>
      </c>
      <c r="O541" s="16">
        <f t="shared" si="452"/>
        <v>73336.949248120305</v>
      </c>
      <c r="P541" s="41"/>
      <c r="Q541" s="17">
        <f t="shared" si="453"/>
        <v>940713</v>
      </c>
      <c r="R541" s="16"/>
      <c r="S541" s="60">
        <f t="shared" si="454"/>
        <v>-6.216614991974638E-2</v>
      </c>
      <c r="T541" s="16"/>
      <c r="U541" s="41"/>
      <c r="V541" s="10">
        <f t="shared" si="349"/>
        <v>433</v>
      </c>
      <c r="W541" s="34">
        <v>1565</v>
      </c>
      <c r="X541" s="33">
        <v>4256</v>
      </c>
      <c r="Y541" s="33"/>
      <c r="Z541" s="33">
        <f t="shared" si="455"/>
        <v>5812</v>
      </c>
      <c r="AA541" s="33">
        <f t="shared" si="456"/>
        <v>636338</v>
      </c>
      <c r="AB541" s="33"/>
      <c r="AC541" s="46">
        <f t="shared" si="457"/>
        <v>1.6309978427157354E-2</v>
      </c>
      <c r="AD541" s="33"/>
      <c r="AE541" s="33">
        <f t="shared" si="458"/>
        <v>1196.124060150376</v>
      </c>
      <c r="AF541" s="50"/>
      <c r="AG541" s="33">
        <f t="shared" si="459"/>
        <v>7116</v>
      </c>
      <c r="AH541" s="33">
        <f>SUM(D512:D1193)</f>
        <v>1192769813.060914</v>
      </c>
      <c r="AI541" s="213">
        <f t="shared" si="460"/>
        <v>0.11291836096340319</v>
      </c>
      <c r="AJ541" s="50"/>
      <c r="AK541" s="111"/>
      <c r="AL541" s="23">
        <f t="shared" si="461"/>
        <v>61899</v>
      </c>
      <c r="AM541" s="24"/>
      <c r="AN541" s="24"/>
      <c r="AO541" s="24">
        <v>178263</v>
      </c>
      <c r="AP541" s="24">
        <v>31199835</v>
      </c>
      <c r="AQ541" s="24">
        <v>20336656</v>
      </c>
      <c r="AR541" s="461">
        <f t="shared" si="462"/>
        <v>1.9878966929599957E-3</v>
      </c>
      <c r="AS541" s="25"/>
      <c r="AT541" s="25"/>
      <c r="AU541" s="24"/>
      <c r="AV541" s="298">
        <f t="shared" si="463"/>
        <v>0.79968292916794059</v>
      </c>
      <c r="AW541" s="298"/>
      <c r="AX541" s="24">
        <f t="shared" si="464"/>
        <v>58646.306390977443</v>
      </c>
      <c r="AY541" s="308"/>
      <c r="AZ541" s="111"/>
      <c r="BA541" s="65">
        <f t="shared" si="465"/>
        <v>1881537</v>
      </c>
      <c r="BB541" s="66"/>
      <c r="BC541" s="66">
        <v>588561720</v>
      </c>
      <c r="BD541" s="66"/>
      <c r="BE541" s="66">
        <f t="shared" si="466"/>
        <v>177568</v>
      </c>
      <c r="BF541" s="66"/>
      <c r="BG541" s="144">
        <f t="shared" si="467"/>
        <v>9.4373908139994064E-2</v>
      </c>
      <c r="BH541" s="66"/>
      <c r="BI541" s="170"/>
      <c r="BJ541" s="66"/>
      <c r="BK541" s="66">
        <f t="shared" si="468"/>
        <v>12561720</v>
      </c>
      <c r="BL541" s="66"/>
      <c r="BM541" s="144">
        <f t="shared" si="469"/>
        <v>7.4887276583143078E-2</v>
      </c>
      <c r="BN541" s="65">
        <f t="shared" si="470"/>
        <v>1106319.0225563911</v>
      </c>
      <c r="BO541" s="66"/>
      <c r="BP541" s="66">
        <f t="shared" si="471"/>
        <v>38108279</v>
      </c>
      <c r="BQ541" s="66"/>
      <c r="BR541" s="435">
        <f t="shared" si="472"/>
        <v>6.4748144000938423E-2</v>
      </c>
      <c r="BS541" s="66"/>
      <c r="BT541" s="75"/>
      <c r="BU541" s="170"/>
      <c r="BV541" s="1"/>
      <c r="BW541" s="61">
        <f t="shared" si="399"/>
        <v>532</v>
      </c>
    </row>
    <row r="542" spans="2:75" x14ac:dyDescent="0.3">
      <c r="B542" s="158">
        <f t="shared" si="448"/>
        <v>44442</v>
      </c>
      <c r="C542" s="61"/>
      <c r="D542" s="17">
        <v>182593</v>
      </c>
      <c r="E542" s="16"/>
      <c r="F542" s="16"/>
      <c r="G542" s="16"/>
      <c r="H542" s="16">
        <f t="shared" si="449"/>
        <v>39197850</v>
      </c>
      <c r="I542" s="16"/>
      <c r="J542" s="436">
        <f t="shared" si="450"/>
        <v>4.6800409388563042E-3</v>
      </c>
      <c r="K542" s="16"/>
      <c r="L542" s="16"/>
      <c r="M542" s="16"/>
      <c r="N542" s="16">
        <f t="shared" si="451"/>
        <v>932936</v>
      </c>
      <c r="O542" s="16">
        <f t="shared" si="452"/>
        <v>73541.932457786112</v>
      </c>
      <c r="P542" s="41"/>
      <c r="Q542" s="17">
        <f t="shared" si="453"/>
        <v>932936</v>
      </c>
      <c r="R542" s="16"/>
      <c r="S542" s="60">
        <f t="shared" si="454"/>
        <v>-0.10495312434042128</v>
      </c>
      <c r="T542" s="16"/>
      <c r="U542" s="41"/>
      <c r="V542" s="10">
        <f t="shared" si="349"/>
        <v>434</v>
      </c>
      <c r="W542" s="34">
        <v>1512</v>
      </c>
      <c r="X542" s="33">
        <v>4256</v>
      </c>
      <c r="Y542" s="33"/>
      <c r="Z542" s="33">
        <f t="shared" si="455"/>
        <v>6676</v>
      </c>
      <c r="AA542" s="33">
        <f t="shared" si="456"/>
        <v>637850</v>
      </c>
      <c r="AB542" s="33"/>
      <c r="AC542" s="46">
        <f t="shared" si="457"/>
        <v>1.6272576174458549E-2</v>
      </c>
      <c r="AD542" s="33"/>
      <c r="AE542" s="33">
        <f t="shared" si="458"/>
        <v>1196.71669793621</v>
      </c>
      <c r="AF542" s="50"/>
      <c r="AG542" s="33">
        <f t="shared" si="459"/>
        <v>7324</v>
      </c>
      <c r="AH542" s="33">
        <f>SUM(D513:D1194)</f>
        <v>1192657534.060914</v>
      </c>
      <c r="AI542" s="213">
        <f t="shared" si="460"/>
        <v>0.10317818948636844</v>
      </c>
      <c r="AJ542" s="50"/>
      <c r="AK542" s="111"/>
      <c r="AL542" s="23">
        <f t="shared" si="461"/>
        <v>66012</v>
      </c>
      <c r="AM542" s="24"/>
      <c r="AN542" s="24"/>
      <c r="AO542" s="24">
        <v>178263</v>
      </c>
      <c r="AP542" s="24">
        <v>31265847</v>
      </c>
      <c r="AQ542" s="24">
        <v>20336656</v>
      </c>
      <c r="AR542" s="461">
        <f t="shared" si="462"/>
        <v>2.1157804199926056E-3</v>
      </c>
      <c r="AS542" s="25"/>
      <c r="AT542" s="25"/>
      <c r="AU542" s="24"/>
      <c r="AV542" s="298">
        <f t="shared" si="463"/>
        <v>0.79764188597078667</v>
      </c>
      <c r="AW542" s="298"/>
      <c r="AX542" s="24">
        <f t="shared" si="464"/>
        <v>58660.125703564729</v>
      </c>
      <c r="AY542" s="308"/>
      <c r="AZ542" s="111"/>
      <c r="BA542" s="65">
        <f t="shared" si="465"/>
        <v>2113664</v>
      </c>
      <c r="BB542" s="66"/>
      <c r="BC542" s="66">
        <v>590675384</v>
      </c>
      <c r="BD542" s="66"/>
      <c r="BE542" s="66">
        <f t="shared" si="466"/>
        <v>182593</v>
      </c>
      <c r="BF542" s="66"/>
      <c r="BG542" s="144">
        <f t="shared" si="467"/>
        <v>8.638695648882698E-2</v>
      </c>
      <c r="BH542" s="66"/>
      <c r="BI542" s="170"/>
      <c r="BJ542" s="66"/>
      <c r="BK542" s="66">
        <f t="shared" si="468"/>
        <v>13201146</v>
      </c>
      <c r="BL542" s="66"/>
      <c r="BM542" s="144">
        <f t="shared" si="469"/>
        <v>7.0670834183638301E-2</v>
      </c>
      <c r="BN542" s="65">
        <f t="shared" si="470"/>
        <v>1108208.9756097561</v>
      </c>
      <c r="BO542" s="66"/>
      <c r="BP542" s="66">
        <f t="shared" si="471"/>
        <v>38290872</v>
      </c>
      <c r="BQ542" s="66"/>
      <c r="BR542" s="435">
        <f t="shared" si="472"/>
        <v>6.4825576005381663E-2</v>
      </c>
      <c r="BS542" s="66"/>
      <c r="BT542" s="75"/>
      <c r="BU542" s="170"/>
      <c r="BV542" s="1"/>
      <c r="BW542" s="61">
        <f t="shared" si="399"/>
        <v>533</v>
      </c>
    </row>
    <row r="543" spans="2:75" x14ac:dyDescent="0.3">
      <c r="B543" s="158">
        <f t="shared" si="448"/>
        <v>44443</v>
      </c>
      <c r="C543" s="61"/>
      <c r="D543" s="17">
        <v>58682</v>
      </c>
      <c r="E543" s="16"/>
      <c r="F543" s="16"/>
      <c r="G543" s="16"/>
      <c r="H543" s="16">
        <f t="shared" si="449"/>
        <v>39256532</v>
      </c>
      <c r="I543" s="16"/>
      <c r="J543" s="436">
        <f t="shared" si="450"/>
        <v>1.4970719057295235E-3</v>
      </c>
      <c r="K543" s="16"/>
      <c r="L543" s="16"/>
      <c r="M543" s="16"/>
      <c r="N543" s="16">
        <f t="shared" si="451"/>
        <v>918833</v>
      </c>
      <c r="O543" s="16">
        <f t="shared" si="452"/>
        <v>73514.104868913855</v>
      </c>
      <c r="P543" s="41"/>
      <c r="Q543" s="17">
        <f t="shared" si="453"/>
        <v>918833</v>
      </c>
      <c r="R543" s="16"/>
      <c r="S543" s="60">
        <f t="shared" si="454"/>
        <v>-5.2782685967708347E-2</v>
      </c>
      <c r="T543" s="16"/>
      <c r="U543" s="41"/>
      <c r="V543" s="10">
        <f t="shared" si="349"/>
        <v>435</v>
      </c>
      <c r="W543" s="34">
        <v>576</v>
      </c>
      <c r="X543" s="33">
        <v>4256</v>
      </c>
      <c r="Y543" s="33"/>
      <c r="Z543" s="33">
        <f t="shared" si="455"/>
        <v>6968</v>
      </c>
      <c r="AA543" s="33">
        <f t="shared" si="456"/>
        <v>638426</v>
      </c>
      <c r="AB543" s="33"/>
      <c r="AC543" s="46">
        <f t="shared" si="457"/>
        <v>1.626292409120602E-2</v>
      </c>
      <c r="AD543" s="33"/>
      <c r="AE543" s="33">
        <f t="shared" si="458"/>
        <v>1195.5543071161048</v>
      </c>
      <c r="AF543" s="50"/>
      <c r="AG543" s="33">
        <f t="shared" si="459"/>
        <v>7252</v>
      </c>
      <c r="AH543" s="33">
        <f>SUM(D514:D1195)</f>
        <v>1192536589.060914</v>
      </c>
      <c r="AI543" s="213">
        <f t="shared" si="460"/>
        <v>0.11500615006150061</v>
      </c>
      <c r="AJ543" s="50"/>
      <c r="AK543" s="111"/>
      <c r="AL543" s="23">
        <f t="shared" si="461"/>
        <v>34077</v>
      </c>
      <c r="AM543" s="24"/>
      <c r="AN543" s="24"/>
      <c r="AO543" s="24">
        <v>178263</v>
      </c>
      <c r="AP543" s="24">
        <v>31299924</v>
      </c>
      <c r="AQ543" s="24">
        <v>20336656</v>
      </c>
      <c r="AR543" s="461">
        <f t="shared" si="462"/>
        <v>1.0899113016193036E-3</v>
      </c>
      <c r="AS543" s="25"/>
      <c r="AT543" s="25"/>
      <c r="AU543" s="24"/>
      <c r="AV543" s="298">
        <f t="shared" si="463"/>
        <v>0.79731760309341637</v>
      </c>
      <c r="AW543" s="298"/>
      <c r="AX543" s="24">
        <f t="shared" si="464"/>
        <v>58614.089887640446</v>
      </c>
      <c r="AY543" s="308"/>
      <c r="AZ543" s="111"/>
      <c r="BA543" s="65">
        <f t="shared" si="465"/>
        <v>834621</v>
      </c>
      <c r="BB543" s="66"/>
      <c r="BC543" s="66">
        <v>591510005</v>
      </c>
      <c r="BD543" s="66"/>
      <c r="BE543" s="66">
        <f t="shared" si="466"/>
        <v>58682</v>
      </c>
      <c r="BF543" s="66"/>
      <c r="BG543" s="144">
        <f t="shared" si="467"/>
        <v>7.0309757362922817E-2</v>
      </c>
      <c r="BH543" s="66"/>
      <c r="BI543" s="170"/>
      <c r="BJ543" s="66"/>
      <c r="BK543" s="66">
        <f t="shared" si="468"/>
        <v>13036394</v>
      </c>
      <c r="BL543" s="66"/>
      <c r="BM543" s="144">
        <f t="shared" si="469"/>
        <v>7.0482144065299041E-2</v>
      </c>
      <c r="BN543" s="65">
        <f t="shared" si="470"/>
        <v>1107696.638576779</v>
      </c>
      <c r="BO543" s="66"/>
      <c r="BP543" s="66">
        <f t="shared" si="471"/>
        <v>38349554</v>
      </c>
      <c r="BQ543" s="66"/>
      <c r="BR543" s="435">
        <f t="shared" si="472"/>
        <v>6.4833314188827623E-2</v>
      </c>
      <c r="BS543" s="66"/>
      <c r="BT543" s="75"/>
      <c r="BU543" s="170"/>
      <c r="BV543" s="1"/>
      <c r="BW543" s="61">
        <f t="shared" si="399"/>
        <v>534</v>
      </c>
    </row>
    <row r="544" spans="2:75" x14ac:dyDescent="0.3">
      <c r="B544" s="347">
        <f t="shared" si="448"/>
        <v>44444</v>
      </c>
      <c r="C544" s="61"/>
      <c r="D544" s="17">
        <v>35586</v>
      </c>
      <c r="E544" s="16"/>
      <c r="F544" s="16"/>
      <c r="G544" s="16"/>
      <c r="H544" s="16">
        <f t="shared" si="449"/>
        <v>39292118</v>
      </c>
      <c r="I544" s="16"/>
      <c r="J544" s="436">
        <f t="shared" si="450"/>
        <v>9.0649882164833102E-4</v>
      </c>
      <c r="K544" s="16"/>
      <c r="L544" s="16"/>
      <c r="M544" s="16"/>
      <c r="N544" s="16">
        <f t="shared" si="451"/>
        <v>917157</v>
      </c>
      <c r="O544" s="16">
        <f t="shared" si="452"/>
        <v>73443.211214953277</v>
      </c>
      <c r="P544" s="41"/>
      <c r="Q544" s="17">
        <f t="shared" si="453"/>
        <v>917157</v>
      </c>
      <c r="R544" s="16"/>
      <c r="S544" s="60">
        <f t="shared" si="454"/>
        <v>9.9591130178733264E-3</v>
      </c>
      <c r="T544" s="16"/>
      <c r="U544" s="41"/>
      <c r="V544" s="10">
        <f t="shared" si="349"/>
        <v>436</v>
      </c>
      <c r="W544" s="34">
        <v>367</v>
      </c>
      <c r="X544" s="33">
        <v>4256</v>
      </c>
      <c r="Y544" s="33"/>
      <c r="Z544" s="33">
        <f t="shared" si="455"/>
        <v>6766</v>
      </c>
      <c r="AA544" s="33">
        <f t="shared" si="456"/>
        <v>638793</v>
      </c>
      <c r="AB544" s="33"/>
      <c r="AC544" s="46">
        <f t="shared" si="457"/>
        <v>1.6257535417154148E-2</v>
      </c>
      <c r="AD544" s="33"/>
      <c r="AE544" s="33">
        <f t="shared" si="458"/>
        <v>1194.0056074766355</v>
      </c>
      <c r="AF544" s="50"/>
      <c r="AG544" s="33">
        <f t="shared" si="459"/>
        <v>7335</v>
      </c>
      <c r="AH544" s="33">
        <f>SUM(D515:D1196)</f>
        <v>1192405883.060914</v>
      </c>
      <c r="AI544" s="213">
        <f t="shared" si="460"/>
        <v>0.14591470082799562</v>
      </c>
      <c r="AJ544" s="50"/>
      <c r="AK544" s="111"/>
      <c r="AL544" s="23">
        <f t="shared" si="461"/>
        <v>15827</v>
      </c>
      <c r="AM544" s="24"/>
      <c r="AN544" s="24"/>
      <c r="AO544" s="24">
        <v>178263</v>
      </c>
      <c r="AP544" s="24">
        <v>31315751</v>
      </c>
      <c r="AQ544" s="24">
        <v>20336656</v>
      </c>
      <c r="AR544" s="461">
        <f t="shared" si="462"/>
        <v>5.0565617986804054E-4</v>
      </c>
      <c r="AS544" s="25"/>
      <c r="AT544" s="25"/>
      <c r="AU544" s="24"/>
      <c r="AV544" s="298">
        <f t="shared" si="463"/>
        <v>0.79699829365268626</v>
      </c>
      <c r="AW544" s="298"/>
      <c r="AX544" s="24">
        <f t="shared" si="464"/>
        <v>58534.114018691587</v>
      </c>
      <c r="AY544" s="308"/>
      <c r="AZ544" s="111"/>
      <c r="BA544" s="65">
        <f t="shared" si="465"/>
        <v>907739</v>
      </c>
      <c r="BB544" s="66"/>
      <c r="BC544" s="66">
        <v>592417744</v>
      </c>
      <c r="BD544" s="66"/>
      <c r="BE544" s="66">
        <f t="shared" si="466"/>
        <v>35586</v>
      </c>
      <c r="BF544" s="66"/>
      <c r="BG544" s="144">
        <f t="shared" si="467"/>
        <v>3.9202898630553498E-2</v>
      </c>
      <c r="BH544" s="66"/>
      <c r="BI544" s="170"/>
      <c r="BJ544" s="66"/>
      <c r="BK544" s="66">
        <f t="shared" si="468"/>
        <v>13053090</v>
      </c>
      <c r="BL544" s="66"/>
      <c r="BM544" s="144">
        <f t="shared" si="469"/>
        <v>7.0263592758496266E-2</v>
      </c>
      <c r="BN544" s="65">
        <f t="shared" si="470"/>
        <v>1107322.8859813083</v>
      </c>
      <c r="BO544" s="66"/>
      <c r="BP544" s="66">
        <f t="shared" si="471"/>
        <v>38385140</v>
      </c>
      <c r="BQ544" s="66"/>
      <c r="BR544" s="435">
        <f t="shared" si="472"/>
        <v>6.4794041685557621E-2</v>
      </c>
      <c r="BS544" s="66"/>
      <c r="BT544" s="75"/>
      <c r="BU544" s="170"/>
      <c r="BV544" s="1"/>
      <c r="BW544" s="61">
        <f t="shared" si="399"/>
        <v>535</v>
      </c>
    </row>
    <row r="545" spans="2:75" x14ac:dyDescent="0.3">
      <c r="B545" s="158">
        <f t="shared" si="448"/>
        <v>44445</v>
      </c>
      <c r="C545" s="61"/>
      <c r="D545" s="17">
        <v>39644</v>
      </c>
      <c r="E545" s="16"/>
      <c r="F545" s="16"/>
      <c r="G545" s="16"/>
      <c r="H545" s="16">
        <f t="shared" si="449"/>
        <v>39331762</v>
      </c>
      <c r="I545" s="16"/>
      <c r="J545" s="436">
        <f t="shared" si="450"/>
        <v>1.0089555365786086E-3</v>
      </c>
      <c r="K545" s="16"/>
      <c r="L545" s="16"/>
      <c r="M545" s="16"/>
      <c r="N545" s="16">
        <f t="shared" si="451"/>
        <v>837159</v>
      </c>
      <c r="O545" s="16">
        <f t="shared" si="452"/>
        <v>73380.15298507463</v>
      </c>
      <c r="P545" s="41"/>
      <c r="Q545" s="17">
        <f t="shared" si="453"/>
        <v>837159</v>
      </c>
      <c r="R545" s="16"/>
      <c r="S545" s="60">
        <f t="shared" si="454"/>
        <v>-8.669013692682144E-2</v>
      </c>
      <c r="T545" s="16"/>
      <c r="U545" s="41"/>
      <c r="V545" s="10">
        <f t="shared" si="349"/>
        <v>437</v>
      </c>
      <c r="W545" s="34">
        <v>236</v>
      </c>
      <c r="X545" s="33">
        <v>4256</v>
      </c>
      <c r="Y545" s="33"/>
      <c r="Z545" s="33">
        <f t="shared" si="455"/>
        <v>5736</v>
      </c>
      <c r="AA545" s="33">
        <f t="shared" si="456"/>
        <v>639029</v>
      </c>
      <c r="AB545" s="33"/>
      <c r="AC545" s="46">
        <f t="shared" si="457"/>
        <v>1.624714905983617E-2</v>
      </c>
      <c r="AD545" s="33"/>
      <c r="AE545" s="33">
        <f t="shared" si="458"/>
        <v>1192.2182835820895</v>
      </c>
      <c r="AF545" s="50"/>
      <c r="AG545" s="33">
        <f t="shared" si="459"/>
        <v>7002</v>
      </c>
      <c r="AH545" s="33">
        <f>SUM(D516:D1197)</f>
        <v>1192336933.060914</v>
      </c>
      <c r="AI545" s="213">
        <f t="shared" si="460"/>
        <v>6.6727605118829983E-2</v>
      </c>
      <c r="AJ545" s="50"/>
      <c r="AK545" s="111"/>
      <c r="AL545" s="23">
        <f t="shared" si="461"/>
        <v>19527</v>
      </c>
      <c r="AM545" s="24"/>
      <c r="AN545" s="24"/>
      <c r="AO545" s="24">
        <v>178263</v>
      </c>
      <c r="AP545" s="24">
        <v>31335278</v>
      </c>
      <c r="AQ545" s="24">
        <v>20336656</v>
      </c>
      <c r="AR545" s="461">
        <f t="shared" si="462"/>
        <v>6.2355202658240575E-4</v>
      </c>
      <c r="AS545" s="25"/>
      <c r="AT545" s="25"/>
      <c r="AU545" s="24"/>
      <c r="AV545" s="298">
        <f t="shared" si="463"/>
        <v>0.79669143731725012</v>
      </c>
      <c r="AW545" s="298"/>
      <c r="AX545" s="24">
        <f t="shared" si="464"/>
        <v>58461.339552238809</v>
      </c>
      <c r="AY545" s="308"/>
      <c r="AZ545" s="111"/>
      <c r="BA545" s="65">
        <f t="shared" si="465"/>
        <v>953476</v>
      </c>
      <c r="BB545" s="66"/>
      <c r="BC545" s="66">
        <v>593371220</v>
      </c>
      <c r="BD545" s="66"/>
      <c r="BE545" s="66">
        <f t="shared" si="466"/>
        <v>39644</v>
      </c>
      <c r="BF545" s="66"/>
      <c r="BG545" s="144">
        <f t="shared" si="467"/>
        <v>4.1578393163540561E-2</v>
      </c>
      <c r="BH545" s="66"/>
      <c r="BI545" s="170"/>
      <c r="BJ545" s="66"/>
      <c r="BK545" s="66">
        <f t="shared" si="468"/>
        <v>10847208</v>
      </c>
      <c r="BL545" s="66"/>
      <c r="BM545" s="144">
        <f t="shared" si="469"/>
        <v>7.7177371356758354E-2</v>
      </c>
      <c r="BN545" s="65">
        <f t="shared" si="470"/>
        <v>1107035.8582089553</v>
      </c>
      <c r="BO545" s="66"/>
      <c r="BP545" s="66">
        <f t="shared" si="471"/>
        <v>38424784</v>
      </c>
      <c r="BQ545" s="66"/>
      <c r="BR545" s="435">
        <f t="shared" si="472"/>
        <v>6.4756736937797557E-2</v>
      </c>
      <c r="BS545" s="66"/>
      <c r="BT545" s="75"/>
      <c r="BU545" s="170"/>
      <c r="BV545" s="1"/>
      <c r="BW545" s="61">
        <f t="shared" si="399"/>
        <v>536</v>
      </c>
    </row>
    <row r="546" spans="2:75" x14ac:dyDescent="0.3">
      <c r="B546" s="158">
        <f t="shared" si="448"/>
        <v>44446</v>
      </c>
      <c r="C546" s="61"/>
      <c r="D546" s="17">
        <v>115776</v>
      </c>
      <c r="E546" s="16"/>
      <c r="F546" s="16"/>
      <c r="G546" s="16"/>
      <c r="H546" s="16">
        <f t="shared" si="449"/>
        <v>39447538</v>
      </c>
      <c r="I546" s="16"/>
      <c r="J546" s="436">
        <f t="shared" si="450"/>
        <v>2.9435752204541457E-3</v>
      </c>
      <c r="K546" s="16"/>
      <c r="L546" s="16"/>
      <c r="M546" s="16"/>
      <c r="N546" s="16">
        <f t="shared" si="451"/>
        <v>794269</v>
      </c>
      <c r="O546" s="16">
        <f t="shared" si="452"/>
        <v>73459.102420856609</v>
      </c>
      <c r="P546" s="41"/>
      <c r="Q546" s="17">
        <f t="shared" si="453"/>
        <v>794269</v>
      </c>
      <c r="R546" s="16"/>
      <c r="S546" s="60">
        <f t="shared" si="454"/>
        <v>-0.14380036823518758</v>
      </c>
      <c r="T546" s="16"/>
      <c r="U546" s="41"/>
      <c r="V546" s="10">
        <f t="shared" si="349"/>
        <v>438</v>
      </c>
      <c r="W546" s="34">
        <v>919</v>
      </c>
      <c r="X546" s="33">
        <v>4256</v>
      </c>
      <c r="Y546" s="33"/>
      <c r="Z546" s="33">
        <f t="shared" si="455"/>
        <v>5175</v>
      </c>
      <c r="AA546" s="33">
        <f t="shared" si="456"/>
        <v>639948</v>
      </c>
      <c r="AB546" s="33"/>
      <c r="AC546" s="46">
        <f t="shared" si="457"/>
        <v>1.6222761481337569E-2</v>
      </c>
      <c r="AD546" s="33"/>
      <c r="AE546" s="33">
        <f t="shared" si="458"/>
        <v>1191.7094972067039</v>
      </c>
      <c r="AF546" s="50"/>
      <c r="AG546" s="33">
        <f t="shared" si="459"/>
        <v>6655</v>
      </c>
      <c r="AH546" s="33">
        <f>SUM(D517:D1198)</f>
        <v>1192312543.060914</v>
      </c>
      <c r="AI546" s="213">
        <f t="shared" si="460"/>
        <v>-6.1230585424133814E-3</v>
      </c>
      <c r="AJ546" s="50"/>
      <c r="AK546" s="111"/>
      <c r="AL546" s="23">
        <f t="shared" si="461"/>
        <v>209182</v>
      </c>
      <c r="AM546" s="24"/>
      <c r="AN546" s="24"/>
      <c r="AO546" s="24">
        <v>178263</v>
      </c>
      <c r="AP546" s="24">
        <v>31544460</v>
      </c>
      <c r="AQ546" s="24">
        <v>20336656</v>
      </c>
      <c r="AR546" s="461">
        <f t="shared" si="462"/>
        <v>6.6756069628614752E-3</v>
      </c>
      <c r="AS546" s="25"/>
      <c r="AT546" s="25"/>
      <c r="AU546" s="24"/>
      <c r="AV546" s="298">
        <f t="shared" si="463"/>
        <v>0.79965598867031951</v>
      </c>
      <c r="AW546" s="298"/>
      <c r="AX546" s="24">
        <f t="shared" si="464"/>
        <v>58742.011173184357</v>
      </c>
      <c r="AY546" s="308"/>
      <c r="AZ546" s="111"/>
      <c r="BA546" s="65">
        <f t="shared" si="465"/>
        <v>3957044</v>
      </c>
      <c r="BB546" s="66"/>
      <c r="BC546" s="66">
        <v>597328264</v>
      </c>
      <c r="BD546" s="66"/>
      <c r="BE546" s="66">
        <f t="shared" si="466"/>
        <v>115776</v>
      </c>
      <c r="BF546" s="66"/>
      <c r="BG546" s="144">
        <f t="shared" si="467"/>
        <v>2.9258203851157582E-2</v>
      </c>
      <c r="BH546" s="66"/>
      <c r="BI546" s="170"/>
      <c r="BJ546" s="66"/>
      <c r="BK546" s="66">
        <f t="shared" si="468"/>
        <v>13017220</v>
      </c>
      <c r="BL546" s="66"/>
      <c r="BM546" s="144">
        <f t="shared" si="469"/>
        <v>6.1016791603737207E-2</v>
      </c>
      <c r="BN546" s="65">
        <f t="shared" si="470"/>
        <v>1112343.1359404097</v>
      </c>
      <c r="BO546" s="66"/>
      <c r="BP546" s="66">
        <f t="shared" si="471"/>
        <v>38540560</v>
      </c>
      <c r="BQ546" s="66"/>
      <c r="BR546" s="435">
        <f t="shared" si="472"/>
        <v>6.4521574354968081E-2</v>
      </c>
      <c r="BS546" s="66"/>
      <c r="BT546" s="75"/>
      <c r="BU546" s="170"/>
      <c r="BV546" s="1"/>
      <c r="BW546" s="61">
        <f t="shared" si="399"/>
        <v>537</v>
      </c>
    </row>
    <row r="547" spans="2:75" x14ac:dyDescent="0.3">
      <c r="B547" s="158">
        <f t="shared" si="448"/>
        <v>44447</v>
      </c>
      <c r="C547" s="61"/>
      <c r="D547" s="17">
        <v>157759</v>
      </c>
      <c r="E547" s="16"/>
      <c r="F547" s="16"/>
      <c r="G547" s="16"/>
      <c r="H547" s="16">
        <f t="shared" si="449"/>
        <v>39605297</v>
      </c>
      <c r="I547" s="16"/>
      <c r="J547" s="436">
        <f t="shared" si="450"/>
        <v>3.9992102929211956E-3</v>
      </c>
      <c r="K547" s="16"/>
      <c r="L547" s="16"/>
      <c r="M547" s="16"/>
      <c r="N547" s="16">
        <f t="shared" si="451"/>
        <v>767608</v>
      </c>
      <c r="O547" s="16">
        <f t="shared" si="452"/>
        <v>73615.7936802974</v>
      </c>
      <c r="P547" s="41"/>
      <c r="Q547" s="17">
        <f t="shared" si="453"/>
        <v>767608</v>
      </c>
      <c r="R547" s="16"/>
      <c r="S547" s="60">
        <f t="shared" si="454"/>
        <v>-0.18370055436746491</v>
      </c>
      <c r="T547" s="16"/>
      <c r="U547" s="41"/>
      <c r="V547" s="10">
        <f t="shared" si="349"/>
        <v>439</v>
      </c>
      <c r="W547" s="34">
        <v>1700</v>
      </c>
      <c r="X547" s="33">
        <v>4256</v>
      </c>
      <c r="Y547" s="33"/>
      <c r="Z547" s="33">
        <f t="shared" si="455"/>
        <v>5310</v>
      </c>
      <c r="AA547" s="33">
        <f t="shared" si="456"/>
        <v>641648</v>
      </c>
      <c r="AB547" s="33"/>
      <c r="AC547" s="46">
        <f t="shared" si="457"/>
        <v>1.6201065226199414E-2</v>
      </c>
      <c r="AD547" s="33"/>
      <c r="AE547" s="33">
        <f t="shared" si="458"/>
        <v>1192.6542750929368</v>
      </c>
      <c r="AF547" s="50"/>
      <c r="AG547" s="33">
        <f t="shared" si="459"/>
        <v>6875</v>
      </c>
      <c r="AH547" s="33">
        <f>SUM(D518:D1199)</f>
        <v>1192210168.060914</v>
      </c>
      <c r="AI547" s="213">
        <f t="shared" si="460"/>
        <v>-2.0322252866889243E-3</v>
      </c>
      <c r="AJ547" s="50"/>
      <c r="AK547" s="111"/>
      <c r="AL547" s="23">
        <f t="shared" si="461"/>
        <v>123047</v>
      </c>
      <c r="AM547" s="24"/>
      <c r="AN547" s="24"/>
      <c r="AO547" s="24">
        <v>178263</v>
      </c>
      <c r="AP547" s="24">
        <v>31667507</v>
      </c>
      <c r="AQ547" s="24">
        <v>20336656</v>
      </c>
      <c r="AR547" s="461">
        <f t="shared" si="462"/>
        <v>3.9007483405960985E-3</v>
      </c>
      <c r="AS547" s="25"/>
      <c r="AT547" s="25"/>
      <c r="AU547" s="24"/>
      <c r="AV547" s="298">
        <f t="shared" si="463"/>
        <v>0.79957756660681023</v>
      </c>
      <c r="AW547" s="298"/>
      <c r="AX547" s="24">
        <f t="shared" si="464"/>
        <v>58861.53717472119</v>
      </c>
      <c r="AY547" s="308"/>
      <c r="AZ547" s="111"/>
      <c r="BA547" s="65">
        <f t="shared" si="465"/>
        <v>1689006</v>
      </c>
      <c r="BB547" s="66"/>
      <c r="BC547" s="66">
        <v>599017270</v>
      </c>
      <c r="BD547" s="66"/>
      <c r="BE547" s="66">
        <f t="shared" si="466"/>
        <v>157759</v>
      </c>
      <c r="BF547" s="66"/>
      <c r="BG547" s="144">
        <f t="shared" si="467"/>
        <v>9.3403457418150079E-2</v>
      </c>
      <c r="BH547" s="66"/>
      <c r="BI547" s="170"/>
      <c r="BJ547" s="66"/>
      <c r="BK547" s="66">
        <f t="shared" si="468"/>
        <v>12337087</v>
      </c>
      <c r="BL547" s="66"/>
      <c r="BM547" s="144">
        <f t="shared" si="469"/>
        <v>6.2219549882399305E-2</v>
      </c>
      <c r="BN547" s="65">
        <f t="shared" si="470"/>
        <v>1113415</v>
      </c>
      <c r="BO547" s="66"/>
      <c r="BP547" s="66">
        <f t="shared" si="471"/>
        <v>38698319</v>
      </c>
      <c r="BQ547" s="66"/>
      <c r="BR547" s="435">
        <f t="shared" si="472"/>
        <v>6.4603010527559582E-2</v>
      </c>
      <c r="BS547" s="66"/>
      <c r="BT547" s="75"/>
      <c r="BU547" s="170"/>
      <c r="BV547" s="1"/>
      <c r="BW547" s="61">
        <f t="shared" si="399"/>
        <v>538</v>
      </c>
    </row>
    <row r="548" spans="2:75" x14ac:dyDescent="0.3">
      <c r="B548" s="158">
        <f t="shared" si="448"/>
        <v>44448</v>
      </c>
      <c r="C548" s="61"/>
      <c r="D548" s="17">
        <v>160748</v>
      </c>
      <c r="E548" s="16"/>
      <c r="F548" s="16"/>
      <c r="G548" s="16"/>
      <c r="H548" s="16">
        <f t="shared" si="449"/>
        <v>39766045</v>
      </c>
      <c r="I548" s="16"/>
      <c r="J548" s="436">
        <f t="shared" si="450"/>
        <v>4.0587500202308793E-3</v>
      </c>
      <c r="K548" s="16"/>
      <c r="L548" s="16"/>
      <c r="M548" s="16"/>
      <c r="N548" s="16">
        <f t="shared" si="451"/>
        <v>750788</v>
      </c>
      <c r="O548" s="16">
        <f t="shared" si="452"/>
        <v>73777.448979591834</v>
      </c>
      <c r="P548" s="41"/>
      <c r="Q548" s="17">
        <f t="shared" si="453"/>
        <v>750788</v>
      </c>
      <c r="R548" s="16"/>
      <c r="S548" s="60">
        <f t="shared" si="454"/>
        <v>-0.20189473303760019</v>
      </c>
      <c r="T548" s="16"/>
      <c r="U548" s="41"/>
      <c r="V548" s="10">
        <f t="shared" si="349"/>
        <v>440</v>
      </c>
      <c r="W548" s="34">
        <v>1929</v>
      </c>
      <c r="X548" s="33">
        <v>4256</v>
      </c>
      <c r="Y548" s="33"/>
      <c r="Z548" s="33">
        <f t="shared" si="455"/>
        <v>5727</v>
      </c>
      <c r="AA548" s="33">
        <f t="shared" si="456"/>
        <v>643577</v>
      </c>
      <c r="AB548" s="33"/>
      <c r="AC548" s="46">
        <f t="shared" si="457"/>
        <v>1.618408368244818E-2</v>
      </c>
      <c r="AD548" s="33"/>
      <c r="AE548" s="33">
        <f t="shared" si="458"/>
        <v>1194.0204081632653</v>
      </c>
      <c r="AF548" s="50"/>
      <c r="AG548" s="33">
        <f t="shared" si="459"/>
        <v>7239</v>
      </c>
      <c r="AH548" s="33">
        <f>SUM(D519:D1200)</f>
        <v>1192108914.060914</v>
      </c>
      <c r="AI548" s="213">
        <f t="shared" si="460"/>
        <v>1.7284991568296795E-2</v>
      </c>
      <c r="AJ548" s="50"/>
      <c r="AK548" s="111"/>
      <c r="AL548" s="23">
        <f t="shared" si="461"/>
        <v>77452</v>
      </c>
      <c r="AM548" s="24"/>
      <c r="AN548" s="24"/>
      <c r="AO548" s="24">
        <v>178263</v>
      </c>
      <c r="AP548" s="24">
        <v>31744959</v>
      </c>
      <c r="AQ548" s="24">
        <v>20336656</v>
      </c>
      <c r="AR548" s="461">
        <f t="shared" si="462"/>
        <v>2.4457877280961841E-3</v>
      </c>
      <c r="AS548" s="25"/>
      <c r="AT548" s="25"/>
      <c r="AU548" s="24"/>
      <c r="AV548" s="298">
        <f t="shared" si="463"/>
        <v>0.7982930915055797</v>
      </c>
      <c r="AW548" s="298"/>
      <c r="AX548" s="24">
        <f t="shared" si="464"/>
        <v>58896.027829313542</v>
      </c>
      <c r="AY548" s="308"/>
      <c r="AZ548" s="111"/>
      <c r="BA548" s="65">
        <f t="shared" si="465"/>
        <v>1876420</v>
      </c>
      <c r="BB548" s="66"/>
      <c r="BC548" s="66">
        <v>600893690</v>
      </c>
      <c r="BD548" s="66"/>
      <c r="BE548" s="66">
        <f t="shared" si="466"/>
        <v>160748</v>
      </c>
      <c r="BF548" s="66"/>
      <c r="BG548" s="144">
        <f t="shared" si="467"/>
        <v>8.5667387898231737E-2</v>
      </c>
      <c r="BH548" s="66"/>
      <c r="BI548" s="170"/>
      <c r="BJ548" s="66"/>
      <c r="BK548" s="66">
        <f t="shared" si="468"/>
        <v>12331970</v>
      </c>
      <c r="BL548" s="66"/>
      <c r="BM548" s="144">
        <f t="shared" si="469"/>
        <v>6.0881432569167782E-2</v>
      </c>
      <c r="BN548" s="65">
        <f t="shared" si="470"/>
        <v>1114830.5936920224</v>
      </c>
      <c r="BO548" s="66"/>
      <c r="BP548" s="66">
        <f t="shared" si="471"/>
        <v>38859067</v>
      </c>
      <c r="BQ548" s="66"/>
      <c r="BR548" s="435">
        <f t="shared" si="472"/>
        <v>6.4668788583884113E-2</v>
      </c>
      <c r="BS548" s="66"/>
      <c r="BT548" s="75"/>
      <c r="BU548" s="170"/>
      <c r="BV548" s="1"/>
      <c r="BW548" s="61">
        <f t="shared" si="399"/>
        <v>539</v>
      </c>
    </row>
    <row r="549" spans="2:75" x14ac:dyDescent="0.3">
      <c r="B549" s="158">
        <f t="shared" si="448"/>
        <v>44449</v>
      </c>
      <c r="C549" s="61"/>
      <c r="D549" s="17">
        <v>171125</v>
      </c>
      <c r="E549" s="16"/>
      <c r="F549" s="16"/>
      <c r="G549" s="16"/>
      <c r="H549" s="16">
        <f t="shared" si="449"/>
        <v>39937170</v>
      </c>
      <c r="I549" s="16"/>
      <c r="J549" s="436">
        <f t="shared" si="450"/>
        <v>4.3032944312163804E-3</v>
      </c>
      <c r="K549" s="16"/>
      <c r="L549" s="16"/>
      <c r="M549" s="16"/>
      <c r="N549" s="16">
        <f t="shared" si="451"/>
        <v>739320</v>
      </c>
      <c r="O549" s="16">
        <f t="shared" si="452"/>
        <v>73957.722222222219</v>
      </c>
      <c r="P549" s="41"/>
      <c r="Q549" s="17">
        <f t="shared" si="453"/>
        <v>739320</v>
      </c>
      <c r="R549" s="16"/>
      <c r="S549" s="60">
        <f t="shared" si="454"/>
        <v>-0.20753406450174502</v>
      </c>
      <c r="T549" s="16"/>
      <c r="U549" s="41"/>
      <c r="V549" s="10">
        <f t="shared" si="349"/>
        <v>441</v>
      </c>
      <c r="W549" s="34">
        <v>1761</v>
      </c>
      <c r="X549" s="33">
        <v>4256</v>
      </c>
      <c r="Y549" s="33"/>
      <c r="Z549" s="33">
        <f t="shared" si="455"/>
        <v>6912</v>
      </c>
      <c r="AA549" s="33">
        <f t="shared" si="456"/>
        <v>645338</v>
      </c>
      <c r="AB549" s="33"/>
      <c r="AC549" s="46">
        <f t="shared" si="457"/>
        <v>1.6158831484554364E-2</v>
      </c>
      <c r="AD549" s="33"/>
      <c r="AE549" s="33">
        <f t="shared" si="458"/>
        <v>1195.0703703703705</v>
      </c>
      <c r="AF549" s="50"/>
      <c r="AG549" s="33">
        <f t="shared" si="459"/>
        <v>7488</v>
      </c>
      <c r="AH549" s="33">
        <f>SUM(D520:D1201)</f>
        <v>1191964279.060914</v>
      </c>
      <c r="AI549" s="213">
        <f t="shared" si="460"/>
        <v>2.2392135445111962E-2</v>
      </c>
      <c r="AJ549" s="50"/>
      <c r="AK549" s="111"/>
      <c r="AL549" s="23">
        <f t="shared" si="461"/>
        <v>76035</v>
      </c>
      <c r="AM549" s="24"/>
      <c r="AN549" s="24"/>
      <c r="AO549" s="24">
        <v>178263</v>
      </c>
      <c r="AP549" s="24">
        <v>31820994</v>
      </c>
      <c r="AQ549" s="24">
        <v>20336656</v>
      </c>
      <c r="AR549" s="461">
        <f t="shared" si="462"/>
        <v>2.3951834368411062E-3</v>
      </c>
      <c r="AS549" s="25"/>
      <c r="AT549" s="25"/>
      <c r="AU549" s="24"/>
      <c r="AV549" s="298">
        <f t="shared" si="463"/>
        <v>0.7967763865091092</v>
      </c>
      <c r="AW549" s="298"/>
      <c r="AX549" s="24">
        <f t="shared" si="464"/>
        <v>58927.76666666667</v>
      </c>
      <c r="AY549" s="308"/>
      <c r="AZ549" s="111"/>
      <c r="BA549" s="65">
        <f t="shared" si="465"/>
        <v>1900343</v>
      </c>
      <c r="BB549" s="66"/>
      <c r="BC549" s="66">
        <v>602794033</v>
      </c>
      <c r="BD549" s="66"/>
      <c r="BE549" s="66">
        <f t="shared" si="466"/>
        <v>171125</v>
      </c>
      <c r="BF549" s="66"/>
      <c r="BG549" s="144">
        <f t="shared" si="467"/>
        <v>9.0049533163223686E-2</v>
      </c>
      <c r="BH549" s="66"/>
      <c r="BI549" s="170"/>
      <c r="BJ549" s="66"/>
      <c r="BK549" s="66">
        <f t="shared" si="468"/>
        <v>12118649</v>
      </c>
      <c r="BL549" s="66"/>
      <c r="BM549" s="144">
        <f t="shared" si="469"/>
        <v>6.1006800345484058E-2</v>
      </c>
      <c r="BN549" s="65">
        <f t="shared" si="470"/>
        <v>1116285.2462962964</v>
      </c>
      <c r="BO549" s="66"/>
      <c r="BP549" s="66">
        <f t="shared" si="471"/>
        <v>39030192</v>
      </c>
      <c r="BQ549" s="66"/>
      <c r="BR549" s="435">
        <f t="shared" si="472"/>
        <v>6.4748802846892148E-2</v>
      </c>
      <c r="BS549" s="66"/>
      <c r="BT549" s="75"/>
      <c r="BU549" s="170"/>
      <c r="BV549" s="1"/>
      <c r="BW549" s="61">
        <f t="shared" si="399"/>
        <v>540</v>
      </c>
    </row>
    <row r="550" spans="2:75" x14ac:dyDescent="0.3">
      <c r="B550" s="158">
        <f t="shared" si="448"/>
        <v>44450</v>
      </c>
      <c r="C550" s="61"/>
      <c r="D550" s="17">
        <v>72088</v>
      </c>
      <c r="E550" s="16"/>
      <c r="F550" s="16"/>
      <c r="G550" s="16"/>
      <c r="H550" s="16">
        <f t="shared" si="449"/>
        <v>40009258</v>
      </c>
      <c r="I550" s="16"/>
      <c r="J550" s="436">
        <f t="shared" si="450"/>
        <v>1.8050352591332836E-3</v>
      </c>
      <c r="K550" s="16"/>
      <c r="L550" s="16"/>
      <c r="M550" s="16"/>
      <c r="N550" s="16">
        <f t="shared" si="451"/>
        <v>752726</v>
      </c>
      <c r="O550" s="16">
        <f t="shared" si="452"/>
        <v>73954.266173752316</v>
      </c>
      <c r="P550" s="41"/>
      <c r="Q550" s="17">
        <f t="shared" si="453"/>
        <v>752726</v>
      </c>
      <c r="R550" s="16"/>
      <c r="S550" s="60">
        <f t="shared" si="454"/>
        <v>-0.18078040296767747</v>
      </c>
      <c r="T550" s="16"/>
      <c r="U550" s="41"/>
      <c r="V550" s="10">
        <f t="shared" si="349"/>
        <v>442</v>
      </c>
      <c r="W550" s="34">
        <v>719</v>
      </c>
      <c r="X550" s="33">
        <v>4256</v>
      </c>
      <c r="Y550" s="33"/>
      <c r="Z550" s="33">
        <f t="shared" si="455"/>
        <v>7264</v>
      </c>
      <c r="AA550" s="33">
        <f t="shared" si="456"/>
        <v>646057</v>
      </c>
      <c r="AB550" s="33"/>
      <c r="AC550" s="46">
        <f t="shared" si="457"/>
        <v>1.6147687617700884E-2</v>
      </c>
      <c r="AD550" s="33"/>
      <c r="AE550" s="33">
        <f t="shared" si="458"/>
        <v>1194.1903881700555</v>
      </c>
      <c r="AF550" s="50"/>
      <c r="AG550" s="33">
        <f t="shared" si="459"/>
        <v>7631</v>
      </c>
      <c r="AH550" s="33">
        <f>SUM(D521:D1202)</f>
        <v>1191820742.060914</v>
      </c>
      <c r="AI550" s="213">
        <f t="shared" si="460"/>
        <v>5.2261445118587976E-2</v>
      </c>
      <c r="AJ550" s="50"/>
      <c r="AK550" s="111"/>
      <c r="AL550" s="23">
        <f t="shared" si="461"/>
        <v>36883</v>
      </c>
      <c r="AM550" s="24"/>
      <c r="AN550" s="24"/>
      <c r="AO550" s="24">
        <v>178263</v>
      </c>
      <c r="AP550" s="24">
        <v>31857877</v>
      </c>
      <c r="AQ550" s="24">
        <v>20336656</v>
      </c>
      <c r="AR550" s="461">
        <f t="shared" si="462"/>
        <v>1.1590775574138255E-3</v>
      </c>
      <c r="AS550" s="25"/>
      <c r="AT550" s="25"/>
      <c r="AU550" s="24"/>
      <c r="AV550" s="298">
        <f t="shared" si="463"/>
        <v>0.79626263001428321</v>
      </c>
      <c r="AW550" s="298"/>
      <c r="AX550" s="24">
        <f t="shared" si="464"/>
        <v>58887.018484288354</v>
      </c>
      <c r="AY550" s="308"/>
      <c r="AZ550" s="111"/>
      <c r="BA550" s="65">
        <f t="shared" si="465"/>
        <v>2261409</v>
      </c>
      <c r="BB550" s="66"/>
      <c r="BC550" s="66">
        <v>605055442</v>
      </c>
      <c r="BD550" s="66"/>
      <c r="BE550" s="66">
        <f t="shared" si="466"/>
        <v>72088</v>
      </c>
      <c r="BF550" s="66"/>
      <c r="BG550" s="144">
        <f t="shared" si="467"/>
        <v>3.1877471081082638E-2</v>
      </c>
      <c r="BH550" s="66"/>
      <c r="BI550" s="170"/>
      <c r="BJ550" s="66"/>
      <c r="BK550" s="66">
        <f t="shared" si="468"/>
        <v>13545437</v>
      </c>
      <c r="BL550" s="66"/>
      <c r="BM550" s="144">
        <f t="shared" si="469"/>
        <v>5.5570447819439123E-2</v>
      </c>
      <c r="BN550" s="65">
        <f t="shared" si="470"/>
        <v>1118401.9260628466</v>
      </c>
      <c r="BO550" s="66"/>
      <c r="BP550" s="66">
        <f t="shared" si="471"/>
        <v>39102280</v>
      </c>
      <c r="BQ550" s="66"/>
      <c r="BR550" s="435">
        <f t="shared" si="472"/>
        <v>6.4625945468316279E-2</v>
      </c>
      <c r="BS550" s="66"/>
      <c r="BT550" s="75"/>
      <c r="BU550" s="170"/>
      <c r="BV550" s="1"/>
      <c r="BW550" s="61">
        <f t="shared" si="399"/>
        <v>541</v>
      </c>
    </row>
    <row r="551" spans="2:75" x14ac:dyDescent="0.3">
      <c r="B551" s="347">
        <f t="shared" si="448"/>
        <v>44451</v>
      </c>
      <c r="C551" s="61"/>
      <c r="D551" s="17">
        <v>35450</v>
      </c>
      <c r="E551" s="16"/>
      <c r="F551" s="16"/>
      <c r="G551" s="16"/>
      <c r="H551" s="16">
        <f t="shared" si="449"/>
        <v>40044708</v>
      </c>
      <c r="I551" s="16"/>
      <c r="J551" s="436">
        <f t="shared" si="450"/>
        <v>8.8604492490213145E-4</v>
      </c>
      <c r="K551" s="16"/>
      <c r="L551" s="16"/>
      <c r="M551" s="16"/>
      <c r="N551" s="16">
        <f t="shared" si="451"/>
        <v>752590</v>
      </c>
      <c r="O551" s="16">
        <f t="shared" si="452"/>
        <v>73883.225092250927</v>
      </c>
      <c r="P551" s="41"/>
      <c r="Q551" s="17">
        <f t="shared" si="453"/>
        <v>752590</v>
      </c>
      <c r="R551" s="16"/>
      <c r="S551" s="60">
        <f t="shared" si="454"/>
        <v>-0.17943165673924966</v>
      </c>
      <c r="T551" s="16"/>
      <c r="U551" s="41"/>
      <c r="V551" s="10">
        <f t="shared" si="349"/>
        <v>443</v>
      </c>
      <c r="W551" s="34">
        <v>251</v>
      </c>
      <c r="X551" s="33">
        <v>4256</v>
      </c>
      <c r="Y551" s="33"/>
      <c r="Z551" s="33">
        <f t="shared" si="455"/>
        <v>7279</v>
      </c>
      <c r="AA551" s="33">
        <f t="shared" si="456"/>
        <v>646308</v>
      </c>
      <c r="AB551" s="33"/>
      <c r="AC551" s="46">
        <f t="shared" si="457"/>
        <v>1.6139660701234231E-2</v>
      </c>
      <c r="AD551" s="33"/>
      <c r="AE551" s="33">
        <f t="shared" si="458"/>
        <v>1192.4501845018451</v>
      </c>
      <c r="AF551" s="50"/>
      <c r="AG551" s="33">
        <f t="shared" si="459"/>
        <v>7515</v>
      </c>
      <c r="AH551" s="33">
        <f>SUM(D522:D1203)</f>
        <v>1191665445.060914</v>
      </c>
      <c r="AI551" s="213">
        <f t="shared" si="460"/>
        <v>2.4539877300613498E-2</v>
      </c>
      <c r="AJ551" s="50"/>
      <c r="AK551" s="111"/>
      <c r="AL551" s="23">
        <f t="shared" si="461"/>
        <v>13991</v>
      </c>
      <c r="AM551" s="24"/>
      <c r="AN551" s="24"/>
      <c r="AO551" s="24">
        <v>178263</v>
      </c>
      <c r="AP551" s="24">
        <v>31871868</v>
      </c>
      <c r="AQ551" s="24">
        <v>20336656</v>
      </c>
      <c r="AR551" s="461">
        <f t="shared" si="462"/>
        <v>4.3916925161083394E-4</v>
      </c>
      <c r="AS551" s="25"/>
      <c r="AT551" s="25"/>
      <c r="AU551" s="24"/>
      <c r="AV551" s="298">
        <f t="shared" si="463"/>
        <v>0.79590711461799146</v>
      </c>
      <c r="AW551" s="298"/>
      <c r="AX551" s="24">
        <f t="shared" si="464"/>
        <v>58804.184501845019</v>
      </c>
      <c r="AY551" s="308"/>
      <c r="AZ551" s="111"/>
      <c r="BA551" s="65">
        <f t="shared" si="465"/>
        <v>1143410</v>
      </c>
      <c r="BB551" s="66"/>
      <c r="BC551" s="66">
        <v>606198852</v>
      </c>
      <c r="BD551" s="66"/>
      <c r="BE551" s="66">
        <f t="shared" si="466"/>
        <v>35450</v>
      </c>
      <c r="BF551" s="66"/>
      <c r="BG551" s="144">
        <f t="shared" si="467"/>
        <v>3.1003751935001444E-2</v>
      </c>
      <c r="BH551" s="66"/>
      <c r="BI551" s="170"/>
      <c r="BJ551" s="66"/>
      <c r="BK551" s="66">
        <f t="shared" si="468"/>
        <v>13781108</v>
      </c>
      <c r="BL551" s="66"/>
      <c r="BM551" s="144">
        <f t="shared" si="469"/>
        <v>5.4610267911694765E-2</v>
      </c>
      <c r="BN551" s="65">
        <f t="shared" si="470"/>
        <v>1118448.0664206643</v>
      </c>
      <c r="BO551" s="66"/>
      <c r="BP551" s="66">
        <f t="shared" si="471"/>
        <v>39137730</v>
      </c>
      <c r="BQ551" s="66"/>
      <c r="BR551" s="435">
        <f t="shared" si="472"/>
        <v>6.4562527413034435E-2</v>
      </c>
      <c r="BS551" s="66"/>
      <c r="BT551" s="75"/>
      <c r="BU551" s="170"/>
      <c r="BV551" s="1"/>
      <c r="BW551" s="61">
        <f t="shared" si="399"/>
        <v>542</v>
      </c>
    </row>
    <row r="552" spans="2:75" x14ac:dyDescent="0.3">
      <c r="B552" s="158">
        <f t="shared" si="448"/>
        <v>44452</v>
      </c>
      <c r="C552" s="61"/>
      <c r="D552" s="17">
        <v>109432</v>
      </c>
      <c r="E552" s="16"/>
      <c r="F552" s="16"/>
      <c r="G552" s="16"/>
      <c r="H552" s="16">
        <f t="shared" ref="H552:H583" si="473">+H551+D552</f>
        <v>40154140</v>
      </c>
      <c r="I552" s="16"/>
      <c r="J552" s="436">
        <f t="shared" ref="J552:J583" si="474">+D552/H551</f>
        <v>2.7327456102314443E-3</v>
      </c>
      <c r="K552" s="16"/>
      <c r="L552" s="16"/>
      <c r="M552" s="16"/>
      <c r="N552" s="16">
        <f t="shared" ref="N552:N583" si="475">SUM(D546:D552)</f>
        <v>822378</v>
      </c>
      <c r="O552" s="16">
        <f t="shared" ref="O552:O583" si="476">+H552/BW552</f>
        <v>73948.69244935544</v>
      </c>
      <c r="P552" s="41"/>
      <c r="Q552" s="17">
        <f t="shared" ref="Q552:Q583" si="477">SUM(D546:D552)</f>
        <v>822378</v>
      </c>
      <c r="R552" s="16"/>
      <c r="S552" s="60">
        <f t="shared" ref="S552:S583" si="478">+(Q552-Q545)/Q545</f>
        <v>-1.7656144173329082E-2</v>
      </c>
      <c r="T552" s="16"/>
      <c r="U552" s="41"/>
      <c r="V552" s="10">
        <f t="shared" si="349"/>
        <v>444</v>
      </c>
      <c r="W552" s="34">
        <v>815</v>
      </c>
      <c r="X552" s="33">
        <v>4256</v>
      </c>
      <c r="Y552" s="33"/>
      <c r="Z552" s="33">
        <f t="shared" ref="Z552:Z583" si="479">SUM(W547:W552)</f>
        <v>7175</v>
      </c>
      <c r="AA552" s="33">
        <f t="shared" ref="AA552:AA583" si="480">+AA551+W552</f>
        <v>647123</v>
      </c>
      <c r="AB552" s="33"/>
      <c r="AC552" s="46">
        <f t="shared" ref="AC552:AC583" si="481">+AA552/H552</f>
        <v>1.6115972101506844E-2</v>
      </c>
      <c r="AD552" s="33"/>
      <c r="AE552" s="33">
        <f t="shared" ref="AE552:AE583" si="482">+AA552/BW552</f>
        <v>1191.7550644567218</v>
      </c>
      <c r="AF552" s="50"/>
      <c r="AG552" s="33">
        <f t="shared" ref="AG552:AG580" si="483">SUM(W546:W552)</f>
        <v>8094</v>
      </c>
      <c r="AH552" s="33">
        <f>SUM(D523:D1204)</f>
        <v>1191594310.060914</v>
      </c>
      <c r="AI552" s="213">
        <f t="shared" ref="AI552:AI580" si="484">+(AG552-AG545)/AG545</f>
        <v>0.15595544130248501</v>
      </c>
      <c r="AJ552" s="50"/>
      <c r="AK552" s="111"/>
      <c r="AL552" s="23">
        <f t="shared" ref="AL552:AL583" si="485">+AP552-AP551</f>
        <v>191037</v>
      </c>
      <c r="AM552" s="24"/>
      <c r="AN552" s="24"/>
      <c r="AO552" s="24">
        <v>178263</v>
      </c>
      <c r="AP552" s="24">
        <v>32062905</v>
      </c>
      <c r="AQ552" s="24">
        <v>20336656</v>
      </c>
      <c r="AR552" s="461">
        <f t="shared" ref="AR552:AR583" si="486">+AL552/AP551</f>
        <v>5.9939066012698093E-3</v>
      </c>
      <c r="AS552" s="25"/>
      <c r="AT552" s="25"/>
      <c r="AU552" s="24"/>
      <c r="AV552" s="298">
        <f t="shared" ref="AV552:AV583" si="487">+AP552/H552</f>
        <v>0.79849562212016001</v>
      </c>
      <c r="AW552" s="298"/>
      <c r="AX552" s="24">
        <f t="shared" ref="AX552:AX583" si="488">+AP552/BW552</f>
        <v>59047.707182320439</v>
      </c>
      <c r="AY552" s="308"/>
      <c r="AZ552" s="111"/>
      <c r="BA552" s="65">
        <f t="shared" ref="BA552:BA583" si="489">+BC552-BC551</f>
        <v>3507865</v>
      </c>
      <c r="BB552" s="66"/>
      <c r="BC552" s="66">
        <v>609706717</v>
      </c>
      <c r="BD552" s="66"/>
      <c r="BE552" s="66">
        <f t="shared" ref="BE552:BE583" si="490">+D552</f>
        <v>109432</v>
      </c>
      <c r="BF552" s="66"/>
      <c r="BG552" s="144">
        <f t="shared" ref="BG552:BG583" si="491">+BE552/BA552</f>
        <v>3.1196183433512978E-2</v>
      </c>
      <c r="BH552" s="66"/>
      <c r="BI552" s="170"/>
      <c r="BJ552" s="66"/>
      <c r="BK552" s="66">
        <f t="shared" ref="BK552:BK580" si="492">SUM(BA546:BA552)</f>
        <v>16335497</v>
      </c>
      <c r="BL552" s="66"/>
      <c r="BM552" s="144">
        <f t="shared" ref="BM552:BM580" si="493">+Q552/BK552</f>
        <v>5.034300456239562E-2</v>
      </c>
      <c r="BN552" s="65">
        <f t="shared" ref="BN552:BN583" si="494">+BC552/BW552</f>
        <v>1122848.4659300183</v>
      </c>
      <c r="BO552" s="66"/>
      <c r="BP552" s="66">
        <f t="shared" ref="BP552:BP583" si="495">+BP551+BE552</f>
        <v>39247162</v>
      </c>
      <c r="BQ552" s="66"/>
      <c r="BR552" s="435">
        <f t="shared" ref="BR552:BR583" si="496">+BP552/BC552</f>
        <v>6.4370558673048042E-2</v>
      </c>
      <c r="BS552" s="66"/>
      <c r="BT552" s="75"/>
      <c r="BU552" s="170"/>
      <c r="BV552" s="1"/>
      <c r="BW552" s="61">
        <f t="shared" si="399"/>
        <v>543</v>
      </c>
    </row>
    <row r="553" spans="2:75" x14ac:dyDescent="0.3">
      <c r="B553" s="158">
        <f t="shared" si="448"/>
        <v>44453</v>
      </c>
      <c r="C553" s="61"/>
      <c r="D553" s="17">
        <v>142059</v>
      </c>
      <c r="E553" s="16"/>
      <c r="F553" s="16"/>
      <c r="G553" s="16"/>
      <c r="H553" s="16">
        <f t="shared" si="473"/>
        <v>40296199</v>
      </c>
      <c r="I553" s="16"/>
      <c r="J553" s="436">
        <f t="shared" si="474"/>
        <v>3.5378419261376287E-3</v>
      </c>
      <c r="K553" s="16"/>
      <c r="L553" s="16"/>
      <c r="M553" s="16"/>
      <c r="N553" s="16">
        <f t="shared" si="475"/>
        <v>848661</v>
      </c>
      <c r="O553" s="16">
        <f t="shared" si="476"/>
        <v>74073.895220588238</v>
      </c>
      <c r="P553" s="41"/>
      <c r="Q553" s="17">
        <f t="shared" si="477"/>
        <v>848661</v>
      </c>
      <c r="R553" s="16"/>
      <c r="S553" s="60">
        <f t="shared" si="478"/>
        <v>6.8480577738776152E-2</v>
      </c>
      <c r="T553" s="16"/>
      <c r="U553" s="41"/>
      <c r="V553" s="10">
        <f t="shared" si="349"/>
        <v>445</v>
      </c>
      <c r="W553" s="34">
        <v>1934</v>
      </c>
      <c r="X553" s="33">
        <v>4256</v>
      </c>
      <c r="Y553" s="33"/>
      <c r="Z553" s="33">
        <f t="shared" si="479"/>
        <v>7409</v>
      </c>
      <c r="AA553" s="33">
        <f t="shared" si="480"/>
        <v>649057</v>
      </c>
      <c r="AB553" s="33"/>
      <c r="AC553" s="46">
        <f t="shared" si="481"/>
        <v>1.6107151942544258E-2</v>
      </c>
      <c r="AD553" s="33"/>
      <c r="AE553" s="33">
        <f t="shared" si="482"/>
        <v>1193.1194852941176</v>
      </c>
      <c r="AF553" s="50"/>
      <c r="AG553" s="33">
        <f t="shared" si="483"/>
        <v>9109</v>
      </c>
      <c r="AH553" s="33">
        <f>SUM(D524:D1205)</f>
        <v>1191563427.060914</v>
      </c>
      <c r="AI553" s="213">
        <f t="shared" si="484"/>
        <v>0.36874530428249436</v>
      </c>
      <c r="AJ553" s="50"/>
      <c r="AK553" s="111"/>
      <c r="AL553" s="23">
        <f t="shared" si="485"/>
        <v>113879</v>
      </c>
      <c r="AM553" s="24"/>
      <c r="AN553" s="24"/>
      <c r="AO553" s="24">
        <v>178263</v>
      </c>
      <c r="AP553" s="24">
        <v>32176784</v>
      </c>
      <c r="AQ553" s="24">
        <v>20336656</v>
      </c>
      <c r="AR553" s="461">
        <f t="shared" si="486"/>
        <v>3.5517368123693096E-3</v>
      </c>
      <c r="AS553" s="25"/>
      <c r="AT553" s="25"/>
      <c r="AU553" s="24"/>
      <c r="AV553" s="298">
        <f t="shared" si="487"/>
        <v>0.79850667801198816</v>
      </c>
      <c r="AW553" s="298"/>
      <c r="AX553" s="24">
        <f t="shared" si="488"/>
        <v>59148.5</v>
      </c>
      <c r="AY553" s="308"/>
      <c r="AZ553" s="111"/>
      <c r="BA553" s="65">
        <f t="shared" si="489"/>
        <v>1509314</v>
      </c>
      <c r="BB553" s="66"/>
      <c r="BC553" s="66">
        <v>611216031</v>
      </c>
      <c r="BD553" s="66"/>
      <c r="BE553" s="66">
        <f t="shared" si="490"/>
        <v>142059</v>
      </c>
      <c r="BF553" s="66"/>
      <c r="BG553" s="144">
        <f t="shared" si="491"/>
        <v>9.4121567811601831E-2</v>
      </c>
      <c r="BH553" s="66"/>
      <c r="BI553" s="170"/>
      <c r="BJ553" s="66"/>
      <c r="BK553" s="66">
        <f t="shared" si="492"/>
        <v>13887767</v>
      </c>
      <c r="BL553" s="66"/>
      <c r="BM553" s="144">
        <f t="shared" si="493"/>
        <v>6.1108528102466003E-2</v>
      </c>
      <c r="BN553" s="65">
        <f t="shared" si="494"/>
        <v>1123558.8805147058</v>
      </c>
      <c r="BO553" s="66"/>
      <c r="BP553" s="66">
        <f t="shared" si="495"/>
        <v>39389221</v>
      </c>
      <c r="BQ553" s="66"/>
      <c r="BR553" s="435">
        <f t="shared" si="496"/>
        <v>6.4444024701963351E-2</v>
      </c>
      <c r="BS553" s="66"/>
      <c r="BT553" s="75"/>
      <c r="BU553" s="170"/>
      <c r="BV553" s="1"/>
      <c r="BW553" s="61">
        <f t="shared" si="399"/>
        <v>544</v>
      </c>
    </row>
    <row r="554" spans="2:75" x14ac:dyDescent="0.3">
      <c r="B554" s="158">
        <f t="shared" si="448"/>
        <v>44454</v>
      </c>
      <c r="C554" s="61"/>
      <c r="D554" s="17">
        <v>164509</v>
      </c>
      <c r="E554" s="16"/>
      <c r="F554" s="16"/>
      <c r="G554" s="16"/>
      <c r="H554" s="16">
        <f t="shared" si="473"/>
        <v>40460708</v>
      </c>
      <c r="I554" s="16"/>
      <c r="J554" s="436">
        <f t="shared" si="474"/>
        <v>4.0824942322723792E-3</v>
      </c>
      <c r="K554" s="16"/>
      <c r="L554" s="16"/>
      <c r="M554" s="16"/>
      <c r="N554" s="16">
        <f t="shared" si="475"/>
        <v>855411</v>
      </c>
      <c r="O554" s="16">
        <f t="shared" si="476"/>
        <v>74239.831192660553</v>
      </c>
      <c r="P554" s="41"/>
      <c r="Q554" s="17">
        <f t="shared" si="477"/>
        <v>855411</v>
      </c>
      <c r="R554" s="16"/>
      <c r="S554" s="60">
        <f t="shared" si="478"/>
        <v>0.1143852070327563</v>
      </c>
      <c r="T554" s="16"/>
      <c r="U554" s="41"/>
      <c r="V554" s="10">
        <f t="shared" si="349"/>
        <v>446</v>
      </c>
      <c r="W554" s="34">
        <v>2282</v>
      </c>
      <c r="X554" s="33">
        <v>4256</v>
      </c>
      <c r="Y554" s="33"/>
      <c r="Z554" s="33">
        <f t="shared" si="479"/>
        <v>7762</v>
      </c>
      <c r="AA554" s="33">
        <f t="shared" si="480"/>
        <v>651339</v>
      </c>
      <c r="AB554" s="33"/>
      <c r="AC554" s="46">
        <f t="shared" si="481"/>
        <v>1.6098062347302475E-2</v>
      </c>
      <c r="AD554" s="33"/>
      <c r="AE554" s="33">
        <f t="shared" si="482"/>
        <v>1195.1174311926607</v>
      </c>
      <c r="AF554" s="50"/>
      <c r="AG554" s="33">
        <f t="shared" si="483"/>
        <v>9691</v>
      </c>
      <c r="AH554" s="33">
        <f>SUM(D525:D1206)</f>
        <v>1191459730.060914</v>
      </c>
      <c r="AI554" s="213">
        <f t="shared" si="484"/>
        <v>0.40960000000000002</v>
      </c>
      <c r="AJ554" s="50"/>
      <c r="AK554" s="111"/>
      <c r="AL554" s="23">
        <f t="shared" si="485"/>
        <v>94300</v>
      </c>
      <c r="AM554" s="24"/>
      <c r="AN554" s="24"/>
      <c r="AO554" s="24">
        <v>178263</v>
      </c>
      <c r="AP554" s="24">
        <v>32271084</v>
      </c>
      <c r="AQ554" s="24">
        <v>20336656</v>
      </c>
      <c r="AR554" s="461">
        <f t="shared" si="486"/>
        <v>2.9306844338452221E-3</v>
      </c>
      <c r="AS554" s="25"/>
      <c r="AT554" s="25"/>
      <c r="AU554" s="24"/>
      <c r="AV554" s="298">
        <f t="shared" si="487"/>
        <v>0.79759068971309155</v>
      </c>
      <c r="AW554" s="298"/>
      <c r="AX554" s="24">
        <f t="shared" si="488"/>
        <v>59212.998165137615</v>
      </c>
      <c r="AY554" s="308"/>
      <c r="AZ554" s="111"/>
      <c r="BA554" s="65">
        <f t="shared" si="489"/>
        <v>2550940</v>
      </c>
      <c r="BB554" s="66"/>
      <c r="BC554" s="66">
        <v>613766971</v>
      </c>
      <c r="BD554" s="66"/>
      <c r="BE554" s="66">
        <f t="shared" si="490"/>
        <v>164509</v>
      </c>
      <c r="BF554" s="66"/>
      <c r="BG554" s="144">
        <f t="shared" si="491"/>
        <v>6.4489560710953603E-2</v>
      </c>
      <c r="BH554" s="66"/>
      <c r="BI554" s="170"/>
      <c r="BJ554" s="66"/>
      <c r="BK554" s="66">
        <f t="shared" si="492"/>
        <v>14749701</v>
      </c>
      <c r="BL554" s="66"/>
      <c r="BM554" s="144">
        <f t="shared" si="493"/>
        <v>5.7995141732025621E-2</v>
      </c>
      <c r="BN554" s="65">
        <f t="shared" si="494"/>
        <v>1126177.9284403669</v>
      </c>
      <c r="BO554" s="66"/>
      <c r="BP554" s="66">
        <f t="shared" si="495"/>
        <v>39553730</v>
      </c>
      <c r="BQ554" s="66"/>
      <c r="BR554" s="435">
        <f t="shared" si="496"/>
        <v>6.4444213958851165E-2</v>
      </c>
      <c r="BS554" s="66"/>
      <c r="BT554" s="75"/>
      <c r="BU554" s="170"/>
      <c r="BV554" s="1"/>
      <c r="BW554" s="61">
        <f t="shared" si="399"/>
        <v>545</v>
      </c>
    </row>
    <row r="555" spans="2:75" x14ac:dyDescent="0.3">
      <c r="B555" s="158">
        <f t="shared" si="448"/>
        <v>44455</v>
      </c>
      <c r="C555" s="61"/>
      <c r="D555" s="17">
        <v>151142</v>
      </c>
      <c r="E555" s="16"/>
      <c r="F555" s="16"/>
      <c r="G555" s="16"/>
      <c r="H555" s="16">
        <f t="shared" si="473"/>
        <v>40611850</v>
      </c>
      <c r="I555" s="16"/>
      <c r="J555" s="436">
        <f t="shared" si="474"/>
        <v>3.7355253397938562E-3</v>
      </c>
      <c r="K555" s="16"/>
      <c r="L555" s="16"/>
      <c r="M555" s="16"/>
      <c r="N555" s="16">
        <f t="shared" si="475"/>
        <v>845805</v>
      </c>
      <c r="O555" s="16">
        <f t="shared" si="476"/>
        <v>74380.67765567766</v>
      </c>
      <c r="P555" s="41"/>
      <c r="Q555" s="17">
        <f t="shared" si="477"/>
        <v>845805</v>
      </c>
      <c r="R555" s="16"/>
      <c r="S555" s="60">
        <f t="shared" si="478"/>
        <v>0.1265563647794051</v>
      </c>
      <c r="T555" s="16"/>
      <c r="U555" s="41"/>
      <c r="V555" s="10">
        <f t="shared" si="349"/>
        <v>447</v>
      </c>
      <c r="W555" s="34">
        <v>1871</v>
      </c>
      <c r="X555" s="33">
        <v>4256</v>
      </c>
      <c r="Y555" s="33"/>
      <c r="Z555" s="33">
        <f t="shared" si="479"/>
        <v>7872</v>
      </c>
      <c r="AA555" s="33">
        <f t="shared" si="480"/>
        <v>653210</v>
      </c>
      <c r="AB555" s="33"/>
      <c r="AC555" s="46">
        <f t="shared" si="481"/>
        <v>1.6084221723462487E-2</v>
      </c>
      <c r="AD555" s="33"/>
      <c r="AE555" s="33">
        <f t="shared" si="482"/>
        <v>1196.3553113553114</v>
      </c>
      <c r="AF555" s="50"/>
      <c r="AG555" s="33">
        <f t="shared" si="483"/>
        <v>9633</v>
      </c>
      <c r="AH555" s="33">
        <f>SUM(D526:D1207)</f>
        <v>1191315436.060914</v>
      </c>
      <c r="AI555" s="213">
        <f t="shared" si="484"/>
        <v>0.33070866141732286</v>
      </c>
      <c r="AJ555" s="50"/>
      <c r="AK555" s="111"/>
      <c r="AL555" s="23">
        <f t="shared" si="485"/>
        <v>76642</v>
      </c>
      <c r="AM555" s="24"/>
      <c r="AN555" s="24"/>
      <c r="AO555" s="24">
        <v>178263</v>
      </c>
      <c r="AP555" s="24">
        <v>32347726</v>
      </c>
      <c r="AQ555" s="24">
        <v>20336656</v>
      </c>
      <c r="AR555" s="461">
        <f t="shared" si="486"/>
        <v>2.3749434633184309E-3</v>
      </c>
      <c r="AS555" s="25"/>
      <c r="AT555" s="25"/>
      <c r="AU555" s="24"/>
      <c r="AV555" s="298">
        <f t="shared" si="487"/>
        <v>0.7965095409344809</v>
      </c>
      <c r="AW555" s="298"/>
      <c r="AX555" s="24">
        <f t="shared" si="488"/>
        <v>59244.919413919415</v>
      </c>
      <c r="AY555" s="308"/>
      <c r="AZ555" s="111"/>
      <c r="BA555" s="65">
        <f t="shared" si="489"/>
        <v>1917422</v>
      </c>
      <c r="BB555" s="66"/>
      <c r="BC555" s="66">
        <v>615684393</v>
      </c>
      <c r="BD555" s="66"/>
      <c r="BE555" s="66">
        <f t="shared" si="490"/>
        <v>151142</v>
      </c>
      <c r="BF555" s="66"/>
      <c r="BG555" s="144">
        <f t="shared" si="491"/>
        <v>7.8825631498960588E-2</v>
      </c>
      <c r="BH555" s="66"/>
      <c r="BI555" s="170"/>
      <c r="BJ555" s="66"/>
      <c r="BK555" s="66">
        <f t="shared" si="492"/>
        <v>14790703</v>
      </c>
      <c r="BL555" s="66"/>
      <c r="BM555" s="144">
        <f t="shared" si="493"/>
        <v>5.7184908655119368E-2</v>
      </c>
      <c r="BN555" s="65">
        <f t="shared" si="494"/>
        <v>1127627.0934065934</v>
      </c>
      <c r="BO555" s="66"/>
      <c r="BP555" s="66">
        <f t="shared" si="495"/>
        <v>39704872</v>
      </c>
      <c r="BQ555" s="66"/>
      <c r="BR555" s="435">
        <f t="shared" si="496"/>
        <v>6.4489001916278876E-2</v>
      </c>
      <c r="BS555" s="66"/>
      <c r="BT555" s="75"/>
      <c r="BU555" s="170"/>
      <c r="BV555" s="1"/>
      <c r="BW555" s="61">
        <f t="shared" si="399"/>
        <v>546</v>
      </c>
    </row>
    <row r="556" spans="2:75" x14ac:dyDescent="0.3">
      <c r="B556" s="158">
        <f t="shared" si="448"/>
        <v>44456</v>
      </c>
      <c r="C556" s="61"/>
      <c r="D556" s="17">
        <v>158156</v>
      </c>
      <c r="E556" s="16"/>
      <c r="F556" s="16"/>
      <c r="G556" s="16"/>
      <c r="H556" s="16">
        <f t="shared" si="473"/>
        <v>40770006</v>
      </c>
      <c r="I556" s="16"/>
      <c r="J556" s="436">
        <f t="shared" si="474"/>
        <v>3.8943313343272959E-3</v>
      </c>
      <c r="K556" s="16"/>
      <c r="L556" s="16"/>
      <c r="M556" s="16"/>
      <c r="N556" s="16">
        <f t="shared" si="475"/>
        <v>832836</v>
      </c>
      <c r="O556" s="16">
        <f t="shared" si="476"/>
        <v>74533.831809872034</v>
      </c>
      <c r="P556" s="41"/>
      <c r="Q556" s="17">
        <f t="shared" si="477"/>
        <v>832836</v>
      </c>
      <c r="R556" s="16"/>
      <c r="S556" s="60">
        <f t="shared" si="478"/>
        <v>0.12648920629767896</v>
      </c>
      <c r="T556" s="16"/>
      <c r="U556" s="41"/>
      <c r="V556" s="10">
        <f t="shared" si="349"/>
        <v>448</v>
      </c>
      <c r="W556" s="34">
        <v>1938</v>
      </c>
      <c r="X556" s="33">
        <v>4256</v>
      </c>
      <c r="Y556" s="33"/>
      <c r="Z556" s="33">
        <f t="shared" si="479"/>
        <v>9091</v>
      </c>
      <c r="AA556" s="33">
        <f t="shared" si="480"/>
        <v>655148</v>
      </c>
      <c r="AB556" s="33"/>
      <c r="AC556" s="46">
        <f t="shared" si="481"/>
        <v>1.6069362364086973E-2</v>
      </c>
      <c r="AD556" s="33"/>
      <c r="AE556" s="33">
        <f t="shared" si="482"/>
        <v>1197.7111517367459</v>
      </c>
      <c r="AF556" s="50"/>
      <c r="AG556" s="33">
        <f t="shared" si="483"/>
        <v>9810</v>
      </c>
      <c r="AH556" s="33">
        <f>SUM(D527:D1208)</f>
        <v>1191157309.060914</v>
      </c>
      <c r="AI556" s="213">
        <f t="shared" si="484"/>
        <v>0.31009615384615385</v>
      </c>
      <c r="AJ556" s="50"/>
      <c r="AK556" s="111"/>
      <c r="AL556" s="23">
        <f t="shared" si="485"/>
        <v>86440</v>
      </c>
      <c r="AM556" s="24"/>
      <c r="AN556" s="24"/>
      <c r="AO556" s="24">
        <v>178263</v>
      </c>
      <c r="AP556" s="24">
        <v>32434166</v>
      </c>
      <c r="AQ556" s="24">
        <v>20336656</v>
      </c>
      <c r="AR556" s="461">
        <f t="shared" si="486"/>
        <v>2.6722125691308256E-3</v>
      </c>
      <c r="AS556" s="25"/>
      <c r="AT556" s="25"/>
      <c r="AU556" s="24"/>
      <c r="AV556" s="298">
        <f t="shared" si="487"/>
        <v>0.79553988782832163</v>
      </c>
      <c r="AW556" s="298"/>
      <c r="AX556" s="24">
        <f t="shared" si="488"/>
        <v>59294.636197440588</v>
      </c>
      <c r="AY556" s="308"/>
      <c r="AZ556" s="111"/>
      <c r="BA556" s="65">
        <f t="shared" si="489"/>
        <v>2140934</v>
      </c>
      <c r="BB556" s="66"/>
      <c r="BC556" s="66">
        <v>617825327</v>
      </c>
      <c r="BD556" s="66"/>
      <c r="BE556" s="66">
        <f t="shared" si="490"/>
        <v>158156</v>
      </c>
      <c r="BF556" s="66"/>
      <c r="BG556" s="144">
        <f t="shared" si="491"/>
        <v>7.3872431378080777E-2</v>
      </c>
      <c r="BH556" s="66"/>
      <c r="BI556" s="170"/>
      <c r="BJ556" s="66"/>
      <c r="BK556" s="66">
        <f t="shared" si="492"/>
        <v>15031294</v>
      </c>
      <c r="BL556" s="66"/>
      <c r="BM556" s="144">
        <f t="shared" si="493"/>
        <v>5.5406806626229252E-2</v>
      </c>
      <c r="BN556" s="65">
        <f t="shared" si="494"/>
        <v>1129479.5740402194</v>
      </c>
      <c r="BO556" s="66"/>
      <c r="BP556" s="66">
        <f t="shared" si="495"/>
        <v>39863028</v>
      </c>
      <c r="BQ556" s="66"/>
      <c r="BR556" s="435">
        <f t="shared" si="496"/>
        <v>6.452151806978286E-2</v>
      </c>
      <c r="BS556" s="66"/>
      <c r="BT556" s="75"/>
      <c r="BU556" s="170"/>
      <c r="BV556" s="1"/>
      <c r="BW556" s="61">
        <f t="shared" si="399"/>
        <v>547</v>
      </c>
    </row>
    <row r="557" spans="2:75" x14ac:dyDescent="0.3">
      <c r="B557" s="158">
        <f t="shared" si="448"/>
        <v>44457</v>
      </c>
      <c r="C557" s="61"/>
      <c r="D557" s="17">
        <v>64559</v>
      </c>
      <c r="E557" s="16"/>
      <c r="F557" s="16"/>
      <c r="G557" s="16"/>
      <c r="H557" s="16">
        <f t="shared" si="473"/>
        <v>40834565</v>
      </c>
      <c r="I557" s="16"/>
      <c r="J557" s="436">
        <f t="shared" si="474"/>
        <v>1.5834925312495662E-3</v>
      </c>
      <c r="K557" s="16"/>
      <c r="L557" s="16"/>
      <c r="M557" s="16"/>
      <c r="N557" s="16">
        <f t="shared" si="475"/>
        <v>825307</v>
      </c>
      <c r="O557" s="16">
        <f t="shared" si="476"/>
        <v>74515.629562043789</v>
      </c>
      <c r="P557" s="41"/>
      <c r="Q557" s="17">
        <f t="shared" si="477"/>
        <v>825307</v>
      </c>
      <c r="R557" s="16"/>
      <c r="S557" s="60">
        <f t="shared" si="478"/>
        <v>9.6424196852506749E-2</v>
      </c>
      <c r="T557" s="16"/>
      <c r="U557" s="41"/>
      <c r="V557" s="10">
        <f t="shared" si="349"/>
        <v>449</v>
      </c>
      <c r="W557" s="34">
        <v>849</v>
      </c>
      <c r="X557" s="33">
        <v>4256</v>
      </c>
      <c r="Y557" s="33"/>
      <c r="Z557" s="33">
        <f t="shared" si="479"/>
        <v>9689</v>
      </c>
      <c r="AA557" s="33">
        <f t="shared" si="480"/>
        <v>655997</v>
      </c>
      <c r="AB557" s="33"/>
      <c r="AC557" s="46">
        <f t="shared" si="481"/>
        <v>1.6064748087802574E-2</v>
      </c>
      <c r="AD557" s="33"/>
      <c r="AE557" s="33">
        <f t="shared" si="482"/>
        <v>1197.0748175182482</v>
      </c>
      <c r="AF557" s="50"/>
      <c r="AG557" s="33">
        <f t="shared" si="483"/>
        <v>9940</v>
      </c>
      <c r="AH557" s="33">
        <f>SUM(D528:D1209)</f>
        <v>1191002392.060914</v>
      </c>
      <c r="AI557" s="213">
        <f t="shared" si="484"/>
        <v>0.30258157515397721</v>
      </c>
      <c r="AJ557" s="50"/>
      <c r="AK557" s="111"/>
      <c r="AL557" s="23">
        <f t="shared" si="485"/>
        <v>49060</v>
      </c>
      <c r="AM557" s="24"/>
      <c r="AN557" s="24"/>
      <c r="AO557" s="24">
        <v>178263</v>
      </c>
      <c r="AP557" s="24">
        <v>32483226</v>
      </c>
      <c r="AQ557" s="24">
        <v>20336656</v>
      </c>
      <c r="AR557" s="461">
        <f t="shared" si="486"/>
        <v>1.5126024822096551E-3</v>
      </c>
      <c r="AS557" s="25"/>
      <c r="AT557" s="25"/>
      <c r="AU557" s="24"/>
      <c r="AV557" s="298">
        <f t="shared" si="487"/>
        <v>0.79548358112789985</v>
      </c>
      <c r="AW557" s="298"/>
      <c r="AX557" s="24">
        <f t="shared" si="488"/>
        <v>59275.959854014596</v>
      </c>
      <c r="AY557" s="308"/>
      <c r="AZ557" s="111"/>
      <c r="BA557" s="65">
        <f t="shared" si="489"/>
        <v>1161730</v>
      </c>
      <c r="BB557" s="66"/>
      <c r="BC557" s="66">
        <v>618987057</v>
      </c>
      <c r="BD557" s="66"/>
      <c r="BE557" s="66">
        <f t="shared" si="490"/>
        <v>64559</v>
      </c>
      <c r="BF557" s="66"/>
      <c r="BG557" s="144">
        <f t="shared" si="491"/>
        <v>5.5571432260508036E-2</v>
      </c>
      <c r="BH557" s="66"/>
      <c r="BI557" s="170"/>
      <c r="BJ557" s="66"/>
      <c r="BK557" s="66">
        <f t="shared" si="492"/>
        <v>13931615</v>
      </c>
      <c r="BL557" s="66"/>
      <c r="BM557" s="144">
        <f t="shared" si="493"/>
        <v>5.9239865586294196E-2</v>
      </c>
      <c r="BN557" s="65">
        <f t="shared" si="494"/>
        <v>1129538.4251824818</v>
      </c>
      <c r="BO557" s="66"/>
      <c r="BP557" s="66">
        <f t="shared" si="495"/>
        <v>39927587</v>
      </c>
      <c r="BQ557" s="66"/>
      <c r="BR557" s="435">
        <f t="shared" si="496"/>
        <v>6.4504720330525428E-2</v>
      </c>
      <c r="BS557" s="66"/>
      <c r="BT557" s="75"/>
      <c r="BU557" s="170"/>
      <c r="BV557" s="1"/>
      <c r="BW557" s="61">
        <f t="shared" si="399"/>
        <v>548</v>
      </c>
    </row>
    <row r="558" spans="2:75" x14ac:dyDescent="0.3">
      <c r="B558" s="347">
        <f t="shared" si="448"/>
        <v>44458</v>
      </c>
      <c r="C558" s="61"/>
      <c r="D558" s="17">
        <v>36497</v>
      </c>
      <c r="E558" s="16"/>
      <c r="F558" s="16"/>
      <c r="G558" s="16"/>
      <c r="H558" s="16">
        <f t="shared" si="473"/>
        <v>40871062</v>
      </c>
      <c r="I558" s="16"/>
      <c r="J558" s="436">
        <f t="shared" si="474"/>
        <v>8.9377712239618564E-4</v>
      </c>
      <c r="K558" s="16"/>
      <c r="L558" s="16"/>
      <c r="M558" s="16"/>
      <c r="N558" s="16">
        <f t="shared" si="475"/>
        <v>826354</v>
      </c>
      <c r="O558" s="16">
        <f t="shared" si="476"/>
        <v>74446.378870673958</v>
      </c>
      <c r="P558" s="41"/>
      <c r="Q558" s="17">
        <f t="shared" si="477"/>
        <v>826354</v>
      </c>
      <c r="R558" s="16"/>
      <c r="S558" s="60">
        <f t="shared" si="478"/>
        <v>9.8013526621400768E-2</v>
      </c>
      <c r="T558" s="16"/>
      <c r="U558" s="41"/>
      <c r="V558" s="10">
        <f t="shared" si="349"/>
        <v>450</v>
      </c>
      <c r="W558" s="34">
        <v>373</v>
      </c>
      <c r="X558" s="33">
        <v>4256</v>
      </c>
      <c r="Y558" s="33"/>
      <c r="Z558" s="33">
        <f t="shared" si="479"/>
        <v>9247</v>
      </c>
      <c r="AA558" s="33">
        <f t="shared" si="480"/>
        <v>656370</v>
      </c>
      <c r="AB558" s="33"/>
      <c r="AC558" s="46">
        <f t="shared" si="481"/>
        <v>1.6059528866658762E-2</v>
      </c>
      <c r="AD558" s="33"/>
      <c r="AE558" s="33">
        <f t="shared" si="482"/>
        <v>1195.5737704918033</v>
      </c>
      <c r="AF558" s="50"/>
      <c r="AG558" s="33">
        <f t="shared" si="483"/>
        <v>10062</v>
      </c>
      <c r="AH558" s="33">
        <f>SUM(D529:D1210)</f>
        <v>1190851284.060914</v>
      </c>
      <c r="AI558" s="213">
        <f t="shared" si="484"/>
        <v>0.33892215568862277</v>
      </c>
      <c r="AJ558" s="50"/>
      <c r="AK558" s="111"/>
      <c r="AL558" s="23">
        <f t="shared" si="485"/>
        <v>20769</v>
      </c>
      <c r="AM558" s="24"/>
      <c r="AN558" s="24"/>
      <c r="AO558" s="24">
        <v>178263</v>
      </c>
      <c r="AP558" s="24">
        <v>32503995</v>
      </c>
      <c r="AQ558" s="24">
        <v>20336656</v>
      </c>
      <c r="AR558" s="461">
        <f t="shared" si="486"/>
        <v>6.393761506323294E-4</v>
      </c>
      <c r="AS558" s="25"/>
      <c r="AT558" s="25"/>
      <c r="AU558" s="24"/>
      <c r="AV558" s="298">
        <f t="shared" si="487"/>
        <v>0.79528139004560239</v>
      </c>
      <c r="AW558" s="298"/>
      <c r="AX558" s="24">
        <f t="shared" si="488"/>
        <v>59205.819672131147</v>
      </c>
      <c r="AY558" s="308"/>
      <c r="AZ558" s="111"/>
      <c r="BA558" s="65">
        <f t="shared" si="489"/>
        <v>938244</v>
      </c>
      <c r="BB558" s="66"/>
      <c r="BC558" s="66">
        <v>619925301</v>
      </c>
      <c r="BD558" s="66"/>
      <c r="BE558" s="66">
        <f t="shared" si="490"/>
        <v>36497</v>
      </c>
      <c r="BF558" s="66"/>
      <c r="BG558" s="144">
        <f t="shared" si="491"/>
        <v>3.8899262878313107E-2</v>
      </c>
      <c r="BH558" s="66"/>
      <c r="BI558" s="170"/>
      <c r="BJ558" s="66"/>
      <c r="BK558" s="66">
        <f t="shared" si="492"/>
        <v>13726449</v>
      </c>
      <c r="BL558" s="66"/>
      <c r="BM558" s="144">
        <f t="shared" si="493"/>
        <v>6.0201586003779999E-2</v>
      </c>
      <c r="BN558" s="65">
        <f t="shared" si="494"/>
        <v>1129189.9836065574</v>
      </c>
      <c r="BO558" s="66"/>
      <c r="BP558" s="66">
        <f t="shared" si="495"/>
        <v>39964084</v>
      </c>
      <c r="BQ558" s="66"/>
      <c r="BR558" s="435">
        <f t="shared" si="496"/>
        <v>6.4465967005273114E-2</v>
      </c>
      <c r="BS558" s="66"/>
      <c r="BT558" s="75"/>
      <c r="BU558" s="170"/>
      <c r="BV558" s="1"/>
      <c r="BW558" s="61">
        <f t="shared" si="399"/>
        <v>549</v>
      </c>
    </row>
    <row r="559" spans="2:75" x14ac:dyDescent="0.3">
      <c r="B559" s="158">
        <f t="shared" si="448"/>
        <v>44459</v>
      </c>
      <c r="C559" s="61"/>
      <c r="D559" s="17">
        <v>86072</v>
      </c>
      <c r="E559" s="16"/>
      <c r="F559" s="16"/>
      <c r="G559" s="16"/>
      <c r="H559" s="16">
        <f t="shared" si="473"/>
        <v>40957134</v>
      </c>
      <c r="I559" s="16"/>
      <c r="J559" s="436">
        <f t="shared" si="474"/>
        <v>2.105939894588499E-3</v>
      </c>
      <c r="K559" s="16"/>
      <c r="L559" s="16"/>
      <c r="M559" s="16"/>
      <c r="N559" s="16">
        <f t="shared" si="475"/>
        <v>802994</v>
      </c>
      <c r="O559" s="16">
        <f t="shared" si="476"/>
        <v>74467.516363636358</v>
      </c>
      <c r="P559" s="41"/>
      <c r="Q559" s="17">
        <f t="shared" si="477"/>
        <v>802994</v>
      </c>
      <c r="R559" s="16"/>
      <c r="S559" s="60">
        <f t="shared" si="478"/>
        <v>-2.3570669448842261E-2</v>
      </c>
      <c r="T559" s="16"/>
      <c r="U559" s="41"/>
      <c r="V559" s="10">
        <f t="shared" si="349"/>
        <v>451</v>
      </c>
      <c r="W559" s="34">
        <v>746</v>
      </c>
      <c r="X559" s="33">
        <v>4256</v>
      </c>
      <c r="Y559" s="33"/>
      <c r="Z559" s="33">
        <f t="shared" si="479"/>
        <v>8059</v>
      </c>
      <c r="AA559" s="33">
        <f t="shared" si="480"/>
        <v>657116</v>
      </c>
      <c r="AB559" s="33"/>
      <c r="AC559" s="46">
        <f t="shared" si="481"/>
        <v>1.6043993703270351E-2</v>
      </c>
      <c r="AD559" s="33"/>
      <c r="AE559" s="33">
        <f t="shared" si="482"/>
        <v>1194.7563636363636</v>
      </c>
      <c r="AF559" s="50"/>
      <c r="AG559" s="33">
        <f t="shared" si="483"/>
        <v>9993</v>
      </c>
      <c r="AH559" s="33">
        <f>SUM(D530:D1211)</f>
        <v>1190706201.060914</v>
      </c>
      <c r="AI559" s="213">
        <f t="shared" si="484"/>
        <v>0.23461823573017049</v>
      </c>
      <c r="AJ559" s="50"/>
      <c r="AK559" s="111"/>
      <c r="AL559" s="23">
        <f t="shared" si="485"/>
        <v>171987</v>
      </c>
      <c r="AM559" s="24"/>
      <c r="AN559" s="24"/>
      <c r="AO559" s="24">
        <v>178263</v>
      </c>
      <c r="AP559" s="24">
        <v>32675982</v>
      </c>
      <c r="AQ559" s="24">
        <v>20336656</v>
      </c>
      <c r="AR559" s="461">
        <f t="shared" si="486"/>
        <v>5.2912572746826965E-3</v>
      </c>
      <c r="AS559" s="25"/>
      <c r="AT559" s="25"/>
      <c r="AU559" s="24"/>
      <c r="AV559" s="298">
        <f t="shared" si="487"/>
        <v>0.79780929007386114</v>
      </c>
      <c r="AW559" s="298"/>
      <c r="AX559" s="24">
        <f t="shared" si="488"/>
        <v>59410.876363636366</v>
      </c>
      <c r="AY559" s="308"/>
      <c r="AZ559" s="111"/>
      <c r="BA559" s="65">
        <f t="shared" si="489"/>
        <v>3246880</v>
      </c>
      <c r="BB559" s="66"/>
      <c r="BC559" s="66">
        <v>623172181</v>
      </c>
      <c r="BD559" s="66"/>
      <c r="BE559" s="66">
        <f t="shared" si="490"/>
        <v>86072</v>
      </c>
      <c r="BF559" s="66"/>
      <c r="BG559" s="144">
        <f t="shared" si="491"/>
        <v>2.6509141083132116E-2</v>
      </c>
      <c r="BH559" s="66"/>
      <c r="BI559" s="170"/>
      <c r="BJ559" s="66"/>
      <c r="BK559" s="66">
        <f t="shared" si="492"/>
        <v>13465464</v>
      </c>
      <c r="BL559" s="66"/>
      <c r="BM559" s="144">
        <f t="shared" si="493"/>
        <v>5.9633593019891476E-2</v>
      </c>
      <c r="BN559" s="65">
        <f t="shared" si="494"/>
        <v>1133040.3290909091</v>
      </c>
      <c r="BO559" s="66"/>
      <c r="BP559" s="66">
        <f t="shared" si="495"/>
        <v>40050156</v>
      </c>
      <c r="BQ559" s="66"/>
      <c r="BR559" s="435">
        <f t="shared" si="496"/>
        <v>6.4268202626971888E-2</v>
      </c>
      <c r="BS559" s="66"/>
      <c r="BT559" s="75"/>
      <c r="BU559" s="170"/>
      <c r="BV559" s="1"/>
      <c r="BW559" s="61">
        <f t="shared" si="399"/>
        <v>550</v>
      </c>
    </row>
    <row r="560" spans="2:75" x14ac:dyDescent="0.3">
      <c r="B560" s="158">
        <f t="shared" si="448"/>
        <v>44460</v>
      </c>
      <c r="C560" s="61"/>
      <c r="D560" s="17">
        <v>120579</v>
      </c>
      <c r="E560" s="16"/>
      <c r="F560" s="16"/>
      <c r="G560" s="16"/>
      <c r="H560" s="16">
        <f t="shared" si="473"/>
        <v>41077713</v>
      </c>
      <c r="I560" s="16"/>
      <c r="J560" s="436">
        <f t="shared" si="474"/>
        <v>2.9440292379833023E-3</v>
      </c>
      <c r="K560" s="16"/>
      <c r="L560" s="16"/>
      <c r="M560" s="16"/>
      <c r="N560" s="16">
        <f t="shared" si="475"/>
        <v>781514</v>
      </c>
      <c r="O560" s="16">
        <f t="shared" si="476"/>
        <v>74551.203266787663</v>
      </c>
      <c r="P560" s="41"/>
      <c r="Q560" s="17">
        <f t="shared" si="477"/>
        <v>781514</v>
      </c>
      <c r="R560" s="16"/>
      <c r="S560" s="60">
        <f t="shared" si="478"/>
        <v>-7.9121109606780565E-2</v>
      </c>
      <c r="T560" s="16"/>
      <c r="U560" s="41"/>
      <c r="V560" s="10">
        <f t="shared" si="349"/>
        <v>452</v>
      </c>
      <c r="W560" s="34">
        <v>1927</v>
      </c>
      <c r="X560" s="33">
        <v>4256</v>
      </c>
      <c r="Y560" s="33"/>
      <c r="Z560" s="33">
        <f t="shared" si="479"/>
        <v>7704</v>
      </c>
      <c r="AA560" s="33">
        <f t="shared" si="480"/>
        <v>659043</v>
      </c>
      <c r="AB560" s="33"/>
      <c r="AC560" s="46">
        <f t="shared" si="481"/>
        <v>1.6043809449664347E-2</v>
      </c>
      <c r="AD560" s="33"/>
      <c r="AE560" s="33">
        <f t="shared" si="482"/>
        <v>1196.0852994555353</v>
      </c>
      <c r="AF560" s="50"/>
      <c r="AG560" s="33">
        <f t="shared" si="483"/>
        <v>9986</v>
      </c>
      <c r="AH560" s="33">
        <f>SUM(D531:D1212)</f>
        <v>1190607018.060914</v>
      </c>
      <c r="AI560" s="213">
        <f t="shared" si="484"/>
        <v>9.6278405972115497E-2</v>
      </c>
      <c r="AJ560" s="50"/>
      <c r="AK560" s="111"/>
      <c r="AL560" s="23">
        <f t="shared" si="485"/>
        <v>154043</v>
      </c>
      <c r="AM560" s="24"/>
      <c r="AN560" s="24"/>
      <c r="AO560" s="24">
        <v>178263</v>
      </c>
      <c r="AP560" s="24">
        <v>32830025</v>
      </c>
      <c r="AQ560" s="24">
        <v>20336656</v>
      </c>
      <c r="AR560" s="461">
        <f t="shared" si="486"/>
        <v>4.7142577076949056E-3</v>
      </c>
      <c r="AS560" s="25"/>
      <c r="AT560" s="25"/>
      <c r="AU560" s="24"/>
      <c r="AV560" s="298">
        <f t="shared" si="487"/>
        <v>0.79921744913111403</v>
      </c>
      <c r="AW560" s="298"/>
      <c r="AX560" s="24">
        <f t="shared" si="488"/>
        <v>59582.622504537205</v>
      </c>
      <c r="AY560" s="308"/>
      <c r="AZ560" s="111"/>
      <c r="BA560" s="65">
        <f t="shared" si="489"/>
        <v>1840361</v>
      </c>
      <c r="BB560" s="66"/>
      <c r="BC560" s="66">
        <v>625012542</v>
      </c>
      <c r="BD560" s="66"/>
      <c r="BE560" s="66">
        <f t="shared" si="490"/>
        <v>120579</v>
      </c>
      <c r="BF560" s="66"/>
      <c r="BG560" s="144">
        <f t="shared" si="491"/>
        <v>6.5519210633131222E-2</v>
      </c>
      <c r="BH560" s="66"/>
      <c r="BI560" s="170"/>
      <c r="BJ560" s="66"/>
      <c r="BK560" s="66">
        <f t="shared" si="492"/>
        <v>13796511</v>
      </c>
      <c r="BL560" s="66"/>
      <c r="BM560" s="144">
        <f t="shared" si="493"/>
        <v>5.6645770803937318E-2</v>
      </c>
      <c r="BN560" s="65">
        <f t="shared" si="494"/>
        <v>1134324.0326678767</v>
      </c>
      <c r="BO560" s="66"/>
      <c r="BP560" s="66">
        <f t="shared" si="495"/>
        <v>40170735</v>
      </c>
      <c r="BQ560" s="66"/>
      <c r="BR560" s="435">
        <f t="shared" si="496"/>
        <v>6.4271886243204374E-2</v>
      </c>
      <c r="BS560" s="66"/>
      <c r="BT560" s="75"/>
      <c r="BU560" s="170"/>
      <c r="BV560" s="1"/>
      <c r="BW560" s="61">
        <f t="shared" si="399"/>
        <v>551</v>
      </c>
    </row>
    <row r="561" spans="2:75" x14ac:dyDescent="0.3">
      <c r="B561" s="158">
        <f t="shared" si="448"/>
        <v>44461</v>
      </c>
      <c r="C561" s="61"/>
      <c r="D561" s="17">
        <v>133620</v>
      </c>
      <c r="E561" s="16"/>
      <c r="F561" s="16"/>
      <c r="G561" s="16"/>
      <c r="H561" s="16">
        <f t="shared" si="473"/>
        <v>41211333</v>
      </c>
      <c r="I561" s="16"/>
      <c r="J561" s="436">
        <f t="shared" si="474"/>
        <v>3.2528587947435145E-3</v>
      </c>
      <c r="K561" s="16"/>
      <c r="L561" s="16"/>
      <c r="M561" s="16"/>
      <c r="N561" s="16">
        <f t="shared" si="475"/>
        <v>750625</v>
      </c>
      <c r="O561" s="16">
        <f t="shared" si="476"/>
        <v>74658.211956521744</v>
      </c>
      <c r="P561" s="41"/>
      <c r="Q561" s="17">
        <f t="shared" si="477"/>
        <v>750625</v>
      </c>
      <c r="R561" s="16"/>
      <c r="S561" s="60">
        <f t="shared" si="478"/>
        <v>-0.12249784021949682</v>
      </c>
      <c r="T561" s="16"/>
      <c r="U561" s="41"/>
      <c r="V561" s="10">
        <f t="shared" si="349"/>
        <v>453</v>
      </c>
      <c r="W561" s="34">
        <v>2228</v>
      </c>
      <c r="X561" s="33">
        <v>4256</v>
      </c>
      <c r="Y561" s="33"/>
      <c r="Z561" s="33">
        <f t="shared" si="479"/>
        <v>8061</v>
      </c>
      <c r="AA561" s="33">
        <f t="shared" si="480"/>
        <v>661271</v>
      </c>
      <c r="AB561" s="33"/>
      <c r="AC561" s="46">
        <f t="shared" si="481"/>
        <v>1.6045853212270519E-2</v>
      </c>
      <c r="AD561" s="33"/>
      <c r="AE561" s="33">
        <f t="shared" si="482"/>
        <v>1197.9547101449275</v>
      </c>
      <c r="AF561" s="50"/>
      <c r="AG561" s="33">
        <f t="shared" si="483"/>
        <v>9932</v>
      </c>
      <c r="AH561" s="33">
        <f>SUM(D532:D1213)</f>
        <v>1190495884.060914</v>
      </c>
      <c r="AI561" s="213">
        <f t="shared" si="484"/>
        <v>2.4868434630069138E-2</v>
      </c>
      <c r="AJ561" s="50"/>
      <c r="AK561" s="111"/>
      <c r="AL561" s="23">
        <f t="shared" si="485"/>
        <v>117829</v>
      </c>
      <c r="AM561" s="24"/>
      <c r="AN561" s="24"/>
      <c r="AO561" s="24">
        <v>178263</v>
      </c>
      <c r="AP561" s="24">
        <v>32947854</v>
      </c>
      <c r="AQ561" s="24">
        <v>20336656</v>
      </c>
      <c r="AR561" s="461">
        <f t="shared" si="486"/>
        <v>3.5890621466173112E-3</v>
      </c>
      <c r="AS561" s="25"/>
      <c r="AT561" s="25"/>
      <c r="AU561" s="24"/>
      <c r="AV561" s="298">
        <f t="shared" si="487"/>
        <v>0.79948527750849507</v>
      </c>
      <c r="AW561" s="298"/>
      <c r="AX561" s="24">
        <f t="shared" si="488"/>
        <v>59688.141304347824</v>
      </c>
      <c r="AY561" s="308"/>
      <c r="AZ561" s="111"/>
      <c r="BA561" s="65">
        <f t="shared" si="489"/>
        <v>2041090</v>
      </c>
      <c r="BB561" s="66"/>
      <c r="BC561" s="66">
        <v>627053632</v>
      </c>
      <c r="BD561" s="66"/>
      <c r="BE561" s="66">
        <f t="shared" si="490"/>
        <v>133620</v>
      </c>
      <c r="BF561" s="66"/>
      <c r="BG561" s="144">
        <f t="shared" si="491"/>
        <v>6.5465021140665033E-2</v>
      </c>
      <c r="BH561" s="66"/>
      <c r="BI561" s="170"/>
      <c r="BJ561" s="66"/>
      <c r="BK561" s="66">
        <f t="shared" si="492"/>
        <v>13286661</v>
      </c>
      <c r="BL561" s="66"/>
      <c r="BM561" s="144">
        <f t="shared" si="493"/>
        <v>5.649463021597375E-2</v>
      </c>
      <c r="BN561" s="65">
        <f t="shared" si="494"/>
        <v>1135966.7246376812</v>
      </c>
      <c r="BO561" s="66"/>
      <c r="BP561" s="66">
        <f t="shared" si="495"/>
        <v>40304355</v>
      </c>
      <c r="BQ561" s="66"/>
      <c r="BR561" s="435">
        <f t="shared" si="496"/>
        <v>6.4275769955192602E-2</v>
      </c>
      <c r="BS561" s="66"/>
      <c r="BT561" s="75"/>
      <c r="BU561" s="170"/>
      <c r="BV561" s="1"/>
      <c r="BW561" s="61">
        <f t="shared" si="399"/>
        <v>552</v>
      </c>
    </row>
    <row r="562" spans="2:75" x14ac:dyDescent="0.3">
      <c r="B562" s="158">
        <f t="shared" si="448"/>
        <v>44462</v>
      </c>
      <c r="C562" s="61"/>
      <c r="D562" s="17">
        <v>127463</v>
      </c>
      <c r="E562" s="16"/>
      <c r="F562" s="16"/>
      <c r="G562" s="16"/>
      <c r="H562" s="16">
        <f t="shared" si="473"/>
        <v>41338796</v>
      </c>
      <c r="I562" s="16"/>
      <c r="J562" s="436">
        <f t="shared" si="474"/>
        <v>3.0929113600863143E-3</v>
      </c>
      <c r="K562" s="16"/>
      <c r="L562" s="16"/>
      <c r="M562" s="16"/>
      <c r="N562" s="16">
        <f t="shared" si="475"/>
        <v>726946</v>
      </c>
      <c r="O562" s="16">
        <f t="shared" si="476"/>
        <v>74753.699819168178</v>
      </c>
      <c r="P562" s="41"/>
      <c r="Q562" s="17">
        <f t="shared" si="477"/>
        <v>726946</v>
      </c>
      <c r="R562" s="16"/>
      <c r="S562" s="60">
        <f t="shared" si="478"/>
        <v>-0.14052766299560773</v>
      </c>
      <c r="T562" s="16"/>
      <c r="U562" s="41"/>
      <c r="V562" s="10">
        <f t="shared" si="349"/>
        <v>454</v>
      </c>
      <c r="W562" s="34">
        <v>1974</v>
      </c>
      <c r="X562" s="33">
        <v>4256</v>
      </c>
      <c r="Y562" s="33"/>
      <c r="Z562" s="33">
        <f t="shared" si="479"/>
        <v>8097</v>
      </c>
      <c r="AA562" s="33">
        <f t="shared" si="480"/>
        <v>663245</v>
      </c>
      <c r="AB562" s="33"/>
      <c r="AC562" s="46">
        <f t="shared" si="481"/>
        <v>1.6044129587131663E-2</v>
      </c>
      <c r="AD562" s="33"/>
      <c r="AE562" s="33">
        <f t="shared" si="482"/>
        <v>1199.3580470162749</v>
      </c>
      <c r="AF562" s="50"/>
      <c r="AG562" s="33">
        <f t="shared" si="483"/>
        <v>10035</v>
      </c>
      <c r="AH562" s="33">
        <f>SUM(D533:D1214)</f>
        <v>1190348265.060914</v>
      </c>
      <c r="AI562" s="213">
        <f t="shared" si="484"/>
        <v>4.17315478044223E-2</v>
      </c>
      <c r="AJ562" s="50"/>
      <c r="AK562" s="111"/>
      <c r="AL562" s="23">
        <f t="shared" si="485"/>
        <v>85671</v>
      </c>
      <c r="AM562" s="24"/>
      <c r="AN562" s="24"/>
      <c r="AO562" s="24">
        <v>178263</v>
      </c>
      <c r="AP562" s="24">
        <v>33033525</v>
      </c>
      <c r="AQ562" s="24">
        <v>20336656</v>
      </c>
      <c r="AR562" s="461">
        <f t="shared" si="486"/>
        <v>2.6001996973763451E-3</v>
      </c>
      <c r="AS562" s="25"/>
      <c r="AT562" s="25"/>
      <c r="AU562" s="24"/>
      <c r="AV562" s="298">
        <f t="shared" si="487"/>
        <v>0.79909257637788966</v>
      </c>
      <c r="AW562" s="298"/>
      <c r="AX562" s="24">
        <f t="shared" si="488"/>
        <v>59735.126582278484</v>
      </c>
      <c r="AY562" s="308"/>
      <c r="AZ562" s="111"/>
      <c r="BA562" s="65">
        <f t="shared" si="489"/>
        <v>1964598</v>
      </c>
      <c r="BB562" s="66"/>
      <c r="BC562" s="66">
        <v>629018230</v>
      </c>
      <c r="BD562" s="66"/>
      <c r="BE562" s="66">
        <f t="shared" si="490"/>
        <v>127463</v>
      </c>
      <c r="BF562" s="66"/>
      <c r="BG562" s="144">
        <f t="shared" si="491"/>
        <v>6.4879939814659282E-2</v>
      </c>
      <c r="BH562" s="66"/>
      <c r="BI562" s="170"/>
      <c r="BJ562" s="66"/>
      <c r="BK562" s="66">
        <f t="shared" si="492"/>
        <v>13333837</v>
      </c>
      <c r="BL562" s="66"/>
      <c r="BM562" s="144">
        <f t="shared" si="493"/>
        <v>5.4518890548909515E-2</v>
      </c>
      <c r="BN562" s="65">
        <f t="shared" si="494"/>
        <v>1137465.1537070523</v>
      </c>
      <c r="BO562" s="66"/>
      <c r="BP562" s="66">
        <f t="shared" si="495"/>
        <v>40431818</v>
      </c>
      <c r="BQ562" s="66"/>
      <c r="BR562" s="435">
        <f t="shared" si="496"/>
        <v>6.4277656944855155E-2</v>
      </c>
      <c r="BS562" s="66"/>
      <c r="BT562" s="75"/>
      <c r="BU562" s="170"/>
      <c r="BV562" s="1"/>
      <c r="BW562" s="61">
        <f t="shared" si="399"/>
        <v>553</v>
      </c>
    </row>
    <row r="563" spans="2:75" x14ac:dyDescent="0.3">
      <c r="B563" s="158">
        <f t="shared" si="448"/>
        <v>44463</v>
      </c>
      <c r="C563" s="61"/>
      <c r="D563" s="17">
        <v>131007</v>
      </c>
      <c r="E563" s="16"/>
      <c r="F563" s="16"/>
      <c r="G563" s="16"/>
      <c r="H563" s="16">
        <f t="shared" si="473"/>
        <v>41469803</v>
      </c>
      <c r="I563" s="16"/>
      <c r="J563" s="436">
        <f t="shared" si="474"/>
        <v>3.1691053604947757E-3</v>
      </c>
      <c r="K563" s="16"/>
      <c r="L563" s="16"/>
      <c r="M563" s="16"/>
      <c r="N563" s="16">
        <f t="shared" si="475"/>
        <v>699797</v>
      </c>
      <c r="O563" s="16">
        <f t="shared" si="476"/>
        <v>74855.24007220217</v>
      </c>
      <c r="P563" s="41"/>
      <c r="Q563" s="17">
        <f t="shared" si="477"/>
        <v>699797</v>
      </c>
      <c r="R563" s="16"/>
      <c r="S563" s="60">
        <f t="shared" si="478"/>
        <v>-0.15974213410563423</v>
      </c>
      <c r="T563" s="16"/>
      <c r="U563" s="41"/>
      <c r="V563" s="10">
        <f t="shared" si="349"/>
        <v>455</v>
      </c>
      <c r="W563" s="34">
        <v>2004</v>
      </c>
      <c r="X563" s="33">
        <v>4256</v>
      </c>
      <c r="Y563" s="33"/>
      <c r="Z563" s="33">
        <f t="shared" si="479"/>
        <v>9252</v>
      </c>
      <c r="AA563" s="33">
        <f t="shared" si="480"/>
        <v>665249</v>
      </c>
      <c r="AB563" s="33"/>
      <c r="AC563" s="46">
        <f t="shared" si="481"/>
        <v>1.6041768995140874E-2</v>
      </c>
      <c r="AD563" s="33"/>
      <c r="AE563" s="33">
        <f t="shared" si="482"/>
        <v>1200.8104693140795</v>
      </c>
      <c r="AF563" s="50"/>
      <c r="AG563" s="33">
        <f t="shared" si="483"/>
        <v>10101</v>
      </c>
      <c r="AH563" s="33">
        <f>SUM(D534:D1215)</f>
        <v>1190176528.060914</v>
      </c>
      <c r="AI563" s="213">
        <f t="shared" si="484"/>
        <v>2.9663608562691131E-2</v>
      </c>
      <c r="AJ563" s="50"/>
      <c r="AK563" s="111"/>
      <c r="AL563" s="23">
        <f t="shared" si="485"/>
        <v>79468</v>
      </c>
      <c r="AM563" s="24"/>
      <c r="AN563" s="24"/>
      <c r="AO563" s="24">
        <v>178263</v>
      </c>
      <c r="AP563" s="24">
        <v>33112993</v>
      </c>
      <c r="AQ563" s="24">
        <v>20336656</v>
      </c>
      <c r="AR563" s="461">
        <f t="shared" si="486"/>
        <v>2.4056772627202212E-3</v>
      </c>
      <c r="AS563" s="25"/>
      <c r="AT563" s="25"/>
      <c r="AU563" s="24"/>
      <c r="AV563" s="298">
        <f t="shared" si="487"/>
        <v>0.79848445385670141</v>
      </c>
      <c r="AW563" s="298"/>
      <c r="AX563" s="24">
        <f t="shared" si="488"/>
        <v>59770.74548736462</v>
      </c>
      <c r="AY563" s="308"/>
      <c r="AZ563" s="111"/>
      <c r="BA563" s="65">
        <f t="shared" si="489"/>
        <v>2139205</v>
      </c>
      <c r="BB563" s="66"/>
      <c r="BC563" s="66">
        <v>631157435</v>
      </c>
      <c r="BD563" s="66"/>
      <c r="BE563" s="66">
        <f t="shared" si="490"/>
        <v>131007</v>
      </c>
      <c r="BF563" s="66"/>
      <c r="BG563" s="144">
        <f t="shared" si="491"/>
        <v>6.1240975035118189E-2</v>
      </c>
      <c r="BH563" s="66"/>
      <c r="BI563" s="170"/>
      <c r="BJ563" s="66"/>
      <c r="BK563" s="66">
        <f t="shared" si="492"/>
        <v>13332108</v>
      </c>
      <c r="BL563" s="66"/>
      <c r="BM563" s="144">
        <f t="shared" si="493"/>
        <v>5.2489598794129178E-2</v>
      </c>
      <c r="BN563" s="65">
        <f t="shared" si="494"/>
        <v>1139273.3483754513</v>
      </c>
      <c r="BO563" s="66"/>
      <c r="BP563" s="66">
        <f t="shared" si="495"/>
        <v>40562825</v>
      </c>
      <c r="BQ563" s="66"/>
      <c r="BR563" s="435">
        <f t="shared" si="496"/>
        <v>6.4267364607690947E-2</v>
      </c>
      <c r="BS563" s="66"/>
      <c r="BT563" s="75"/>
      <c r="BU563" s="170"/>
      <c r="BV563" s="1"/>
      <c r="BW563" s="61">
        <f t="shared" si="399"/>
        <v>554</v>
      </c>
    </row>
    <row r="564" spans="2:75" x14ac:dyDescent="0.3">
      <c r="B564" s="158">
        <f t="shared" si="448"/>
        <v>44464</v>
      </c>
      <c r="C564" s="61"/>
      <c r="D564" s="17">
        <v>84779</v>
      </c>
      <c r="E564" s="16"/>
      <c r="F564" s="16"/>
      <c r="G564" s="16"/>
      <c r="H564" s="16">
        <f t="shared" si="473"/>
        <v>41554582</v>
      </c>
      <c r="I564" s="16"/>
      <c r="J564" s="436">
        <f t="shared" si="474"/>
        <v>2.0443550214116041E-3</v>
      </c>
      <c r="K564" s="16"/>
      <c r="L564" s="16"/>
      <c r="M564" s="16"/>
      <c r="N564" s="16">
        <f t="shared" si="475"/>
        <v>720017</v>
      </c>
      <c r="O564" s="16">
        <f t="shared" si="476"/>
        <v>74873.120720720719</v>
      </c>
      <c r="P564" s="41"/>
      <c r="Q564" s="17">
        <f t="shared" si="477"/>
        <v>720017</v>
      </c>
      <c r="R564" s="16"/>
      <c r="S564" s="60">
        <f t="shared" si="478"/>
        <v>-0.12757676840254595</v>
      </c>
      <c r="T564" s="16"/>
      <c r="U564" s="41"/>
      <c r="V564" s="10">
        <f t="shared" si="349"/>
        <v>456</v>
      </c>
      <c r="W564" s="34">
        <v>1195</v>
      </c>
      <c r="X564" s="33">
        <v>4256</v>
      </c>
      <c r="Y564" s="33"/>
      <c r="Z564" s="33">
        <f t="shared" si="479"/>
        <v>10074</v>
      </c>
      <c r="AA564" s="33">
        <f t="shared" si="480"/>
        <v>666444</v>
      </c>
      <c r="AB564" s="33"/>
      <c r="AC564" s="46">
        <f t="shared" si="481"/>
        <v>1.6037798190341561E-2</v>
      </c>
      <c r="AD564" s="33"/>
      <c r="AE564" s="33">
        <f t="shared" si="482"/>
        <v>1200.8</v>
      </c>
      <c r="AF564" s="50"/>
      <c r="AG564" s="33">
        <f t="shared" si="483"/>
        <v>10447</v>
      </c>
      <c r="AH564" s="33">
        <f>SUM(D535:D1216)</f>
        <v>1189999322.060914</v>
      </c>
      <c r="AI564" s="213">
        <f t="shared" si="484"/>
        <v>5.1006036217303825E-2</v>
      </c>
      <c r="AJ564" s="50"/>
      <c r="AK564" s="111"/>
      <c r="AL564" s="23">
        <f t="shared" si="485"/>
        <v>57642</v>
      </c>
      <c r="AM564" s="24"/>
      <c r="AN564" s="24"/>
      <c r="AO564" s="24">
        <v>178263</v>
      </c>
      <c r="AP564" s="24">
        <v>33170635</v>
      </c>
      <c r="AQ564" s="24">
        <v>20336656</v>
      </c>
      <c r="AR564" s="461">
        <f t="shared" si="486"/>
        <v>1.7407668343359961E-3</v>
      </c>
      <c r="AS564" s="25"/>
      <c r="AT564" s="25"/>
      <c r="AU564" s="24"/>
      <c r="AV564" s="298">
        <f t="shared" si="487"/>
        <v>0.79824253797090294</v>
      </c>
      <c r="AW564" s="298"/>
      <c r="AX564" s="24">
        <f t="shared" si="488"/>
        <v>59766.909909909911</v>
      </c>
      <c r="AY564" s="308"/>
      <c r="AZ564" s="111"/>
      <c r="BA564" s="65">
        <f t="shared" si="489"/>
        <v>1512631</v>
      </c>
      <c r="BB564" s="66"/>
      <c r="BC564" s="66">
        <v>632670066</v>
      </c>
      <c r="BD564" s="66"/>
      <c r="BE564" s="66">
        <f t="shared" si="490"/>
        <v>84779</v>
      </c>
      <c r="BF564" s="66"/>
      <c r="BG564" s="144">
        <f t="shared" si="491"/>
        <v>5.6047377053623788E-2</v>
      </c>
      <c r="BH564" s="66"/>
      <c r="BI564" s="170"/>
      <c r="BJ564" s="66"/>
      <c r="BK564" s="66">
        <f t="shared" si="492"/>
        <v>13683009</v>
      </c>
      <c r="BL564" s="66"/>
      <c r="BM564" s="144">
        <f t="shared" si="493"/>
        <v>5.262124727097673E-2</v>
      </c>
      <c r="BN564" s="65">
        <f t="shared" si="494"/>
        <v>1139946.0648648648</v>
      </c>
      <c r="BO564" s="66"/>
      <c r="BP564" s="66">
        <f t="shared" si="495"/>
        <v>40647604</v>
      </c>
      <c r="BQ564" s="66"/>
      <c r="BR564" s="435">
        <f t="shared" si="496"/>
        <v>6.4247711697490051E-2</v>
      </c>
      <c r="BS564" s="66"/>
      <c r="BT564" s="75"/>
      <c r="BU564" s="170"/>
      <c r="BV564" s="1"/>
      <c r="BW564" s="61">
        <f t="shared" si="399"/>
        <v>555</v>
      </c>
    </row>
    <row r="565" spans="2:75" x14ac:dyDescent="0.3">
      <c r="B565" s="347">
        <f t="shared" si="448"/>
        <v>44465</v>
      </c>
      <c r="C565" s="61"/>
      <c r="D565" s="17">
        <v>58622</v>
      </c>
      <c r="E565" s="16"/>
      <c r="F565" s="16"/>
      <c r="G565" s="16"/>
      <c r="H565" s="16">
        <f t="shared" si="473"/>
        <v>41613204</v>
      </c>
      <c r="I565" s="16"/>
      <c r="J565" s="436">
        <f t="shared" si="474"/>
        <v>1.4107228897164699E-3</v>
      </c>
      <c r="K565" s="16"/>
      <c r="L565" s="16"/>
      <c r="M565" s="16"/>
      <c r="N565" s="16">
        <f t="shared" si="475"/>
        <v>742142</v>
      </c>
      <c r="O565" s="16">
        <f t="shared" si="476"/>
        <v>74843.892086330932</v>
      </c>
      <c r="P565" s="41"/>
      <c r="Q565" s="17">
        <f t="shared" si="477"/>
        <v>742142</v>
      </c>
      <c r="R565" s="16"/>
      <c r="S565" s="60">
        <f t="shared" si="478"/>
        <v>-0.10190789903600636</v>
      </c>
      <c r="T565" s="16"/>
      <c r="U565" s="41"/>
      <c r="V565" s="10">
        <f t="shared" si="349"/>
        <v>457</v>
      </c>
      <c r="W565" s="34">
        <v>586</v>
      </c>
      <c r="X565" s="33">
        <v>4256</v>
      </c>
      <c r="Y565" s="33"/>
      <c r="Z565" s="33">
        <f t="shared" si="479"/>
        <v>9914</v>
      </c>
      <c r="AA565" s="33">
        <f t="shared" si="480"/>
        <v>667030</v>
      </c>
      <c r="AB565" s="33"/>
      <c r="AC565" s="46">
        <f t="shared" si="481"/>
        <v>1.60292872425781E-2</v>
      </c>
      <c r="AD565" s="33"/>
      <c r="AE565" s="33">
        <f t="shared" si="482"/>
        <v>1199.6942446043165</v>
      </c>
      <c r="AF565" s="50"/>
      <c r="AG565" s="33">
        <f t="shared" si="483"/>
        <v>10660</v>
      </c>
      <c r="AH565" s="33">
        <f>SUM(D536:D1217)</f>
        <v>1189808952.060914</v>
      </c>
      <c r="AI565" s="213">
        <f t="shared" si="484"/>
        <v>5.9431524547803614E-2</v>
      </c>
      <c r="AJ565" s="50"/>
      <c r="AK565" s="111"/>
      <c r="AL565" s="23">
        <f t="shared" si="485"/>
        <v>34972</v>
      </c>
      <c r="AM565" s="24"/>
      <c r="AN565" s="24"/>
      <c r="AO565" s="24">
        <v>178263</v>
      </c>
      <c r="AP565" s="24">
        <v>33205607</v>
      </c>
      <c r="AQ565" s="24">
        <v>20336656</v>
      </c>
      <c r="AR565" s="461">
        <f t="shared" si="486"/>
        <v>1.0543060149436391E-3</v>
      </c>
      <c r="AS565" s="25"/>
      <c r="AT565" s="25"/>
      <c r="AU565" s="24"/>
      <c r="AV565" s="298">
        <f t="shared" si="487"/>
        <v>0.79795843165549085</v>
      </c>
      <c r="AW565" s="298"/>
      <c r="AX565" s="24">
        <f t="shared" si="488"/>
        <v>59722.314748201439</v>
      </c>
      <c r="AY565" s="308"/>
      <c r="AZ565" s="111"/>
      <c r="BA565" s="65">
        <f t="shared" si="489"/>
        <v>1143749</v>
      </c>
      <c r="BB565" s="66"/>
      <c r="BC565" s="66">
        <v>633813815</v>
      </c>
      <c r="BD565" s="66"/>
      <c r="BE565" s="66">
        <f t="shared" si="490"/>
        <v>58622</v>
      </c>
      <c r="BF565" s="66"/>
      <c r="BG565" s="144">
        <f t="shared" si="491"/>
        <v>5.1254252462734393E-2</v>
      </c>
      <c r="BH565" s="66"/>
      <c r="BI565" s="170"/>
      <c r="BJ565" s="66"/>
      <c r="BK565" s="66">
        <f t="shared" si="492"/>
        <v>13888514</v>
      </c>
      <c r="BL565" s="66"/>
      <c r="BM565" s="144">
        <f t="shared" si="493"/>
        <v>5.3435666335505727E-2</v>
      </c>
      <c r="BN565" s="65">
        <f t="shared" si="494"/>
        <v>1139952.904676259</v>
      </c>
      <c r="BO565" s="66"/>
      <c r="BP565" s="66">
        <f t="shared" si="495"/>
        <v>40706226</v>
      </c>
      <c r="BQ565" s="66"/>
      <c r="BR565" s="435">
        <f t="shared" si="496"/>
        <v>6.4224264344884943E-2</v>
      </c>
      <c r="BS565" s="66"/>
      <c r="BT565" s="75"/>
      <c r="BU565" s="170"/>
      <c r="BV565" s="1"/>
      <c r="BW565" s="61">
        <f t="shared" si="399"/>
        <v>556</v>
      </c>
    </row>
    <row r="566" spans="2:75" x14ac:dyDescent="0.3">
      <c r="B566" s="158">
        <f t="shared" si="448"/>
        <v>44466</v>
      </c>
      <c r="C566" s="61"/>
      <c r="D566" s="17">
        <v>81409</v>
      </c>
      <c r="E566" s="16"/>
      <c r="F566" s="16"/>
      <c r="G566" s="16"/>
      <c r="H566" s="16">
        <f t="shared" si="473"/>
        <v>41694613</v>
      </c>
      <c r="I566" s="16"/>
      <c r="J566" s="436">
        <f t="shared" si="474"/>
        <v>1.9563261699339471E-3</v>
      </c>
      <c r="K566" s="16"/>
      <c r="L566" s="16"/>
      <c r="M566" s="16"/>
      <c r="N566" s="16">
        <f t="shared" si="475"/>
        <v>737479</v>
      </c>
      <c r="O566" s="16">
        <f t="shared" si="476"/>
        <v>74855.678635547578</v>
      </c>
      <c r="P566" s="41"/>
      <c r="Q566" s="17">
        <f t="shared" si="477"/>
        <v>737479</v>
      </c>
      <c r="R566" s="16"/>
      <c r="S566" s="60">
        <f t="shared" si="478"/>
        <v>-8.1588405392817379E-2</v>
      </c>
      <c r="T566" s="16"/>
      <c r="U566" s="41"/>
      <c r="V566" s="10">
        <f t="shared" si="349"/>
        <v>458</v>
      </c>
      <c r="W566" s="34">
        <v>689</v>
      </c>
      <c r="X566" s="33">
        <v>4256</v>
      </c>
      <c r="Y566" s="33"/>
      <c r="Z566" s="33">
        <f t="shared" si="479"/>
        <v>8676</v>
      </c>
      <c r="AA566" s="33">
        <f t="shared" si="480"/>
        <v>667719</v>
      </c>
      <c r="AB566" s="33"/>
      <c r="AC566" s="46">
        <f t="shared" si="481"/>
        <v>1.60145148727007E-2</v>
      </c>
      <c r="AD566" s="33"/>
      <c r="AE566" s="33">
        <f t="shared" si="482"/>
        <v>1198.7773788150807</v>
      </c>
      <c r="AF566" s="50"/>
      <c r="AG566" s="33">
        <f t="shared" si="483"/>
        <v>10603</v>
      </c>
      <c r="AH566" s="33">
        <f>SUM(D537:D1218)</f>
        <v>1189736167.060914</v>
      </c>
      <c r="AI566" s="213">
        <f t="shared" si="484"/>
        <v>6.1042729910937656E-2</v>
      </c>
      <c r="AJ566" s="50"/>
      <c r="AK566" s="111"/>
      <c r="AL566" s="23">
        <f t="shared" si="485"/>
        <v>189226</v>
      </c>
      <c r="AM566" s="24"/>
      <c r="AN566" s="24"/>
      <c r="AO566" s="24">
        <v>178263</v>
      </c>
      <c r="AP566" s="24">
        <v>33394833</v>
      </c>
      <c r="AQ566" s="24">
        <v>20336656</v>
      </c>
      <c r="AR566" s="461">
        <f t="shared" si="486"/>
        <v>5.698615899417228E-3</v>
      </c>
      <c r="AS566" s="25"/>
      <c r="AT566" s="25"/>
      <c r="AU566" s="24"/>
      <c r="AV566" s="298">
        <f t="shared" si="487"/>
        <v>0.80093879274044344</v>
      </c>
      <c r="AW566" s="298"/>
      <c r="AX566" s="24">
        <f t="shared" si="488"/>
        <v>59954.81687612208</v>
      </c>
      <c r="AY566" s="308"/>
      <c r="AZ566" s="111"/>
      <c r="BA566" s="65">
        <f t="shared" si="489"/>
        <v>2710122</v>
      </c>
      <c r="BB566" s="66"/>
      <c r="BC566" s="66">
        <v>636523937</v>
      </c>
      <c r="BD566" s="66"/>
      <c r="BE566" s="66">
        <f t="shared" si="490"/>
        <v>81409</v>
      </c>
      <c r="BF566" s="66"/>
      <c r="BG566" s="144">
        <f t="shared" si="491"/>
        <v>3.0038869098881895E-2</v>
      </c>
      <c r="BH566" s="66"/>
      <c r="BI566" s="170"/>
      <c r="BJ566" s="66"/>
      <c r="BK566" s="66">
        <f t="shared" si="492"/>
        <v>13351756</v>
      </c>
      <c r="BL566" s="66"/>
      <c r="BM566" s="144">
        <f t="shared" si="493"/>
        <v>5.5234607343034127E-2</v>
      </c>
      <c r="BN566" s="65">
        <f t="shared" si="494"/>
        <v>1142771.8797127469</v>
      </c>
      <c r="BO566" s="66"/>
      <c r="BP566" s="66">
        <f t="shared" si="495"/>
        <v>40787635</v>
      </c>
      <c r="BQ566" s="66"/>
      <c r="BR566" s="435">
        <f t="shared" si="496"/>
        <v>6.4078713507988619E-2</v>
      </c>
      <c r="BS566" s="66"/>
      <c r="BT566" s="75"/>
      <c r="BU566" s="170"/>
      <c r="BV566" s="1"/>
      <c r="BW566" s="61">
        <f t="shared" si="399"/>
        <v>557</v>
      </c>
    </row>
    <row r="567" spans="2:75" x14ac:dyDescent="0.3">
      <c r="B567" s="158">
        <f t="shared" si="448"/>
        <v>44467</v>
      </c>
      <c r="C567" s="61"/>
      <c r="D567" s="17">
        <v>105633</v>
      </c>
      <c r="E567" s="16"/>
      <c r="F567" s="16"/>
      <c r="G567" s="16"/>
      <c r="H567" s="16">
        <f t="shared" si="473"/>
        <v>41800246</v>
      </c>
      <c r="I567" s="16"/>
      <c r="J567" s="436">
        <f t="shared" si="474"/>
        <v>2.5334927560066332E-3</v>
      </c>
      <c r="K567" s="16"/>
      <c r="L567" s="16"/>
      <c r="M567" s="16"/>
      <c r="N567" s="16">
        <f t="shared" si="475"/>
        <v>722533</v>
      </c>
      <c r="O567" s="16">
        <f t="shared" si="476"/>
        <v>74910.835125448022</v>
      </c>
      <c r="P567" s="41"/>
      <c r="Q567" s="17">
        <f t="shared" si="477"/>
        <v>722533</v>
      </c>
      <c r="R567" s="16"/>
      <c r="S567" s="60">
        <f t="shared" si="478"/>
        <v>-7.5470177117748366E-2</v>
      </c>
      <c r="T567" s="16"/>
      <c r="U567" s="41"/>
      <c r="V567" s="10">
        <f t="shared" si="349"/>
        <v>459</v>
      </c>
      <c r="W567" s="34">
        <v>1836</v>
      </c>
      <c r="X567" s="33">
        <v>4256</v>
      </c>
      <c r="Y567" s="33"/>
      <c r="Z567" s="33">
        <f t="shared" si="479"/>
        <v>8284</v>
      </c>
      <c r="AA567" s="33">
        <f t="shared" si="480"/>
        <v>669555</v>
      </c>
      <c r="AB567" s="33"/>
      <c r="AC567" s="46">
        <f t="shared" si="481"/>
        <v>1.6017967932533218E-2</v>
      </c>
      <c r="AD567" s="33"/>
      <c r="AE567" s="33">
        <f t="shared" si="482"/>
        <v>1199.9193548387098</v>
      </c>
      <c r="AF567" s="50"/>
      <c r="AG567" s="33">
        <f t="shared" si="483"/>
        <v>10512</v>
      </c>
      <c r="AH567" s="33">
        <f>SUM(D538:D1219)</f>
        <v>1189698905.060914</v>
      </c>
      <c r="AI567" s="213">
        <f t="shared" si="484"/>
        <v>5.2673743240536752E-2</v>
      </c>
      <c r="AJ567" s="50"/>
      <c r="AK567" s="111"/>
      <c r="AL567" s="23">
        <f t="shared" si="485"/>
        <v>126125</v>
      </c>
      <c r="AM567" s="24"/>
      <c r="AN567" s="24"/>
      <c r="AO567" s="24">
        <v>178263</v>
      </c>
      <c r="AP567" s="24">
        <v>33520958</v>
      </c>
      <c r="AQ567" s="24">
        <v>20336656</v>
      </c>
      <c r="AR567" s="461">
        <f t="shared" si="486"/>
        <v>3.77678187520806E-3</v>
      </c>
      <c r="AS567" s="25"/>
      <c r="AT567" s="25"/>
      <c r="AU567" s="24"/>
      <c r="AV567" s="298">
        <f t="shared" si="487"/>
        <v>0.80193207475381845</v>
      </c>
      <c r="AW567" s="298"/>
      <c r="AX567" s="24">
        <f t="shared" si="488"/>
        <v>60073.401433691753</v>
      </c>
      <c r="AY567" s="308"/>
      <c r="AZ567" s="111"/>
      <c r="BA567" s="65">
        <f t="shared" si="489"/>
        <v>1525802</v>
      </c>
      <c r="BB567" s="66"/>
      <c r="BC567" s="66">
        <v>638049739</v>
      </c>
      <c r="BD567" s="66"/>
      <c r="BE567" s="66">
        <f t="shared" si="490"/>
        <v>105633</v>
      </c>
      <c r="BF567" s="66"/>
      <c r="BG567" s="144">
        <f t="shared" si="491"/>
        <v>6.9231132217679625E-2</v>
      </c>
      <c r="BH567" s="66"/>
      <c r="BI567" s="170"/>
      <c r="BJ567" s="66"/>
      <c r="BK567" s="66">
        <f t="shared" si="492"/>
        <v>13037197</v>
      </c>
      <c r="BL567" s="66"/>
      <c r="BM567" s="144">
        <f t="shared" si="493"/>
        <v>5.5420885332943884E-2</v>
      </c>
      <c r="BN567" s="65">
        <f t="shared" si="494"/>
        <v>1143458.3136200716</v>
      </c>
      <c r="BO567" s="66"/>
      <c r="BP567" s="66">
        <f t="shared" si="495"/>
        <v>40893268</v>
      </c>
      <c r="BQ567" s="66"/>
      <c r="BR567" s="435">
        <f t="shared" si="496"/>
        <v>6.4091034758655394E-2</v>
      </c>
      <c r="BS567" s="66"/>
      <c r="BT567" s="75"/>
      <c r="BU567" s="170"/>
      <c r="BV567" s="1"/>
      <c r="BW567" s="61">
        <f t="shared" si="399"/>
        <v>558</v>
      </c>
    </row>
    <row r="568" spans="2:75" x14ac:dyDescent="0.3">
      <c r="B568" s="158">
        <f t="shared" si="448"/>
        <v>44468</v>
      </c>
      <c r="C568" s="61"/>
      <c r="D568" s="17">
        <v>123276</v>
      </c>
      <c r="E568" s="16"/>
      <c r="F568" s="16"/>
      <c r="G568" s="16"/>
      <c r="H568" s="16">
        <f t="shared" si="473"/>
        <v>41923522</v>
      </c>
      <c r="I568" s="16"/>
      <c r="J568" s="436">
        <f t="shared" si="474"/>
        <v>2.9491692465159177E-3</v>
      </c>
      <c r="K568" s="16"/>
      <c r="L568" s="16"/>
      <c r="M568" s="16"/>
      <c r="N568" s="16">
        <f t="shared" si="475"/>
        <v>712189</v>
      </c>
      <c r="O568" s="16">
        <f t="shared" si="476"/>
        <v>74997.355992844372</v>
      </c>
      <c r="P568" s="41"/>
      <c r="Q568" s="17">
        <f t="shared" si="477"/>
        <v>712189</v>
      </c>
      <c r="R568" s="16"/>
      <c r="S568" s="60">
        <f t="shared" si="478"/>
        <v>-5.1205328892589511E-2</v>
      </c>
      <c r="T568" s="16"/>
      <c r="U568" s="41"/>
      <c r="V568" s="10">
        <f t="shared" si="349"/>
        <v>460</v>
      </c>
      <c r="W568" s="34">
        <v>2190</v>
      </c>
      <c r="X568" s="33">
        <v>4256</v>
      </c>
      <c r="Y568" s="33"/>
      <c r="Z568" s="33">
        <f t="shared" si="479"/>
        <v>8500</v>
      </c>
      <c r="AA568" s="33">
        <f t="shared" si="480"/>
        <v>671745</v>
      </c>
      <c r="AB568" s="33"/>
      <c r="AC568" s="46">
        <f t="shared" si="481"/>
        <v>1.6023105119841792E-2</v>
      </c>
      <c r="AD568" s="33"/>
      <c r="AE568" s="33">
        <f t="shared" si="482"/>
        <v>1201.6905187835421</v>
      </c>
      <c r="AF568" s="50"/>
      <c r="AG568" s="33">
        <f t="shared" si="483"/>
        <v>10474</v>
      </c>
      <c r="AH568" s="33">
        <f>SUM(D539:D1220)</f>
        <v>1189579263.060914</v>
      </c>
      <c r="AI568" s="213">
        <f t="shared" si="484"/>
        <v>5.4571083366894882E-2</v>
      </c>
      <c r="AJ568" s="50"/>
      <c r="AK568" s="111"/>
      <c r="AL568" s="23">
        <f t="shared" si="485"/>
        <v>113744</v>
      </c>
      <c r="AM568" s="24"/>
      <c r="AN568" s="24"/>
      <c r="AO568" s="24">
        <v>178263</v>
      </c>
      <c r="AP568" s="24">
        <v>33634702</v>
      </c>
      <c r="AQ568" s="24">
        <v>20336656</v>
      </c>
      <c r="AR568" s="461">
        <f t="shared" si="486"/>
        <v>3.3932204443560352E-3</v>
      </c>
      <c r="AS568" s="25"/>
      <c r="AT568" s="25"/>
      <c r="AU568" s="24"/>
      <c r="AV568" s="298">
        <f t="shared" si="487"/>
        <v>0.80228712654437762</v>
      </c>
      <c r="AW568" s="298"/>
      <c r="AX568" s="24">
        <f t="shared" si="488"/>
        <v>60169.413237924869</v>
      </c>
      <c r="AY568" s="308"/>
      <c r="AZ568" s="111"/>
      <c r="BA568" s="65">
        <f t="shared" si="489"/>
        <v>1783117</v>
      </c>
      <c r="BB568" s="66"/>
      <c r="BC568" s="66">
        <v>639832856</v>
      </c>
      <c r="BD568" s="66"/>
      <c r="BE568" s="66">
        <f t="shared" si="490"/>
        <v>123276</v>
      </c>
      <c r="BF568" s="66"/>
      <c r="BG568" s="144">
        <f t="shared" si="491"/>
        <v>6.9135115643000428E-2</v>
      </c>
      <c r="BH568" s="66"/>
      <c r="BI568" s="170"/>
      <c r="BJ568" s="66"/>
      <c r="BK568" s="66">
        <f t="shared" si="492"/>
        <v>12779224</v>
      </c>
      <c r="BL568" s="66"/>
      <c r="BM568" s="144">
        <f t="shared" si="493"/>
        <v>5.5730222742789388E-2</v>
      </c>
      <c r="BN568" s="65">
        <f t="shared" si="494"/>
        <v>1144602.6046511629</v>
      </c>
      <c r="BO568" s="66"/>
      <c r="BP568" s="66">
        <f t="shared" si="495"/>
        <v>41016544</v>
      </c>
      <c r="BQ568" s="66"/>
      <c r="BR568" s="435">
        <f t="shared" si="496"/>
        <v>6.4105091846049247E-2</v>
      </c>
      <c r="BS568" s="66"/>
      <c r="BT568" s="75"/>
      <c r="BU568" s="170"/>
      <c r="BV568" s="1"/>
      <c r="BW568" s="61">
        <f t="shared" si="399"/>
        <v>559</v>
      </c>
    </row>
    <row r="569" spans="2:75" x14ac:dyDescent="0.3">
      <c r="B569" s="158">
        <f t="shared" si="448"/>
        <v>44469</v>
      </c>
      <c r="C569" s="61"/>
      <c r="D569" s="17">
        <v>113922</v>
      </c>
      <c r="E569" s="16"/>
      <c r="F569" s="16"/>
      <c r="G569" s="16"/>
      <c r="H569" s="16">
        <f t="shared" si="473"/>
        <v>42037444</v>
      </c>
      <c r="I569" s="16"/>
      <c r="J569" s="436">
        <f t="shared" si="474"/>
        <v>2.7173766555204973E-3</v>
      </c>
      <c r="K569" s="16"/>
      <c r="L569" s="16"/>
      <c r="M569" s="16"/>
      <c r="N569" s="16">
        <f t="shared" si="475"/>
        <v>698648</v>
      </c>
      <c r="O569" s="16">
        <f t="shared" si="476"/>
        <v>75066.864285714284</v>
      </c>
      <c r="P569" s="41"/>
      <c r="Q569" s="17">
        <f t="shared" si="477"/>
        <v>698648</v>
      </c>
      <c r="R569" s="16"/>
      <c r="S569" s="60">
        <f t="shared" si="478"/>
        <v>-3.8927238061699218E-2</v>
      </c>
      <c r="T569" s="16"/>
      <c r="U569" s="41"/>
      <c r="V569" s="10">
        <f t="shared" si="349"/>
        <v>461</v>
      </c>
      <c r="W569" s="34">
        <v>1812</v>
      </c>
      <c r="X569" s="33">
        <v>4256</v>
      </c>
      <c r="Y569" s="33"/>
      <c r="Z569" s="33">
        <f t="shared" si="479"/>
        <v>8308</v>
      </c>
      <c r="AA569" s="33">
        <f t="shared" si="480"/>
        <v>673557</v>
      </c>
      <c r="AB569" s="33"/>
      <c r="AC569" s="46">
        <f t="shared" si="481"/>
        <v>1.6022786732704301E-2</v>
      </c>
      <c r="AD569" s="33"/>
      <c r="AE569" s="33">
        <f t="shared" si="482"/>
        <v>1202.7803571428572</v>
      </c>
      <c r="AF569" s="50"/>
      <c r="AG569" s="33">
        <f t="shared" si="483"/>
        <v>10312</v>
      </c>
      <c r="AH569" s="33">
        <f>SUM(D540:D1221)</f>
        <v>1189420597.060914</v>
      </c>
      <c r="AI569" s="213">
        <f t="shared" si="484"/>
        <v>2.7603388141504735E-2</v>
      </c>
      <c r="AJ569" s="50"/>
      <c r="AK569" s="111"/>
      <c r="AL569" s="23">
        <f t="shared" si="485"/>
        <v>86996</v>
      </c>
      <c r="AM569" s="24"/>
      <c r="AN569" s="24"/>
      <c r="AO569" s="24">
        <v>178263</v>
      </c>
      <c r="AP569" s="24">
        <v>33721698</v>
      </c>
      <c r="AQ569" s="24">
        <v>20336656</v>
      </c>
      <c r="AR569" s="461">
        <f t="shared" si="486"/>
        <v>2.5864953404373852E-3</v>
      </c>
      <c r="AS569" s="25"/>
      <c r="AT569" s="25"/>
      <c r="AU569" s="24"/>
      <c r="AV569" s="298">
        <f t="shared" si="487"/>
        <v>0.80218240671340535</v>
      </c>
      <c r="AW569" s="298"/>
      <c r="AX569" s="24">
        <f t="shared" si="488"/>
        <v>60217.317857142858</v>
      </c>
      <c r="AY569" s="308"/>
      <c r="AZ569" s="111"/>
      <c r="BA569" s="65">
        <f t="shared" si="489"/>
        <v>2018518</v>
      </c>
      <c r="BB569" s="66"/>
      <c r="BC569" s="66">
        <v>641851374</v>
      </c>
      <c r="BD569" s="66"/>
      <c r="BE569" s="66">
        <f t="shared" si="490"/>
        <v>113922</v>
      </c>
      <c r="BF569" s="66"/>
      <c r="BG569" s="144">
        <f t="shared" si="491"/>
        <v>5.6438436516295619E-2</v>
      </c>
      <c r="BH569" s="66"/>
      <c r="BI569" s="170"/>
      <c r="BJ569" s="66"/>
      <c r="BK569" s="66">
        <f t="shared" si="492"/>
        <v>12833144</v>
      </c>
      <c r="BL569" s="66"/>
      <c r="BM569" s="144">
        <f t="shared" si="493"/>
        <v>5.4440907076239463E-2</v>
      </c>
      <c r="BN569" s="65">
        <f t="shared" si="494"/>
        <v>1146163.1678571429</v>
      </c>
      <c r="BO569" s="66"/>
      <c r="BP569" s="66">
        <f t="shared" si="495"/>
        <v>41130466</v>
      </c>
      <c r="BQ569" s="66"/>
      <c r="BR569" s="435">
        <f t="shared" si="496"/>
        <v>6.4080981464098255E-2</v>
      </c>
      <c r="BS569" s="66"/>
      <c r="BT569" s="75"/>
      <c r="BU569" s="170"/>
      <c r="BV569" s="1"/>
      <c r="BW569" s="61">
        <f t="shared" si="399"/>
        <v>560</v>
      </c>
    </row>
    <row r="570" spans="2:75" x14ac:dyDescent="0.3">
      <c r="B570" s="158">
        <f t="shared" si="448"/>
        <v>44470</v>
      </c>
      <c r="C570" s="61"/>
      <c r="D570" s="17">
        <v>120876</v>
      </c>
      <c r="E570" s="16"/>
      <c r="F570" s="16"/>
      <c r="G570" s="16"/>
      <c r="H570" s="16">
        <f t="shared" si="473"/>
        <v>42158320</v>
      </c>
      <c r="I570" s="16"/>
      <c r="J570" s="436">
        <f t="shared" si="474"/>
        <v>2.8754364799153821E-3</v>
      </c>
      <c r="K570" s="16"/>
      <c r="L570" s="16"/>
      <c r="M570" s="16"/>
      <c r="N570" s="16">
        <f t="shared" si="475"/>
        <v>688517</v>
      </c>
      <c r="O570" s="16">
        <f t="shared" si="476"/>
        <v>75148.520499108738</v>
      </c>
      <c r="P570" s="41"/>
      <c r="Q570" s="17">
        <f t="shared" si="477"/>
        <v>688517</v>
      </c>
      <c r="R570" s="16"/>
      <c r="S570" s="60">
        <f t="shared" si="478"/>
        <v>-1.6118960212747412E-2</v>
      </c>
      <c r="T570" s="16"/>
      <c r="U570" s="41"/>
      <c r="V570" s="10">
        <f t="shared" si="349"/>
        <v>462</v>
      </c>
      <c r="W570" s="34">
        <v>1821</v>
      </c>
      <c r="X570" s="33">
        <v>4256</v>
      </c>
      <c r="Y570" s="33"/>
      <c r="Z570" s="33">
        <f t="shared" si="479"/>
        <v>8934</v>
      </c>
      <c r="AA570" s="33">
        <f t="shared" si="480"/>
        <v>675378</v>
      </c>
      <c r="AB570" s="33"/>
      <c r="AC570" s="46">
        <f t="shared" si="481"/>
        <v>1.6020040646780993E-2</v>
      </c>
      <c r="AD570" s="33"/>
      <c r="AE570" s="33">
        <f t="shared" si="482"/>
        <v>1203.8823529411766</v>
      </c>
      <c r="AF570" s="50"/>
      <c r="AG570" s="33">
        <f t="shared" si="483"/>
        <v>10129</v>
      </c>
      <c r="AH570" s="33">
        <f>SUM(D541:D1222)</f>
        <v>1189236177.060914</v>
      </c>
      <c r="AI570" s="213">
        <f t="shared" si="484"/>
        <v>2.772002772002772E-3</v>
      </c>
      <c r="AJ570" s="50"/>
      <c r="AK570" s="111"/>
      <c r="AL570" s="23">
        <f t="shared" si="485"/>
        <v>94796</v>
      </c>
      <c r="AM570" s="24"/>
      <c r="AN570" s="24"/>
      <c r="AO570" s="24">
        <v>178263</v>
      </c>
      <c r="AP570" s="24">
        <v>33816494</v>
      </c>
      <c r="AQ570" s="24">
        <v>20336656</v>
      </c>
      <c r="AR570" s="461">
        <f t="shared" si="486"/>
        <v>2.8111277196065276E-3</v>
      </c>
      <c r="AS570" s="25"/>
      <c r="AT570" s="25"/>
      <c r="AU570" s="24"/>
      <c r="AV570" s="298">
        <f t="shared" si="487"/>
        <v>0.80213096726814537</v>
      </c>
      <c r="AW570" s="298"/>
      <c r="AX570" s="24">
        <f t="shared" si="488"/>
        <v>60278.955436720142</v>
      </c>
      <c r="AY570" s="308"/>
      <c r="AZ570" s="111"/>
      <c r="BA570" s="65">
        <f t="shared" si="489"/>
        <v>1915333</v>
      </c>
      <c r="BB570" s="66"/>
      <c r="BC570" s="66">
        <v>643766707</v>
      </c>
      <c r="BD570" s="66"/>
      <c r="BE570" s="66">
        <f t="shared" si="490"/>
        <v>120876</v>
      </c>
      <c r="BF570" s="66"/>
      <c r="BG570" s="144">
        <f t="shared" si="491"/>
        <v>6.3109652472964226E-2</v>
      </c>
      <c r="BH570" s="66"/>
      <c r="BI570" s="170"/>
      <c r="BJ570" s="66"/>
      <c r="BK570" s="66">
        <f t="shared" si="492"/>
        <v>12609272</v>
      </c>
      <c r="BL570" s="66"/>
      <c r="BM570" s="144">
        <f t="shared" si="493"/>
        <v>5.4604024720856209E-2</v>
      </c>
      <c r="BN570" s="65">
        <f t="shared" si="494"/>
        <v>1147534.2370766487</v>
      </c>
      <c r="BO570" s="66"/>
      <c r="BP570" s="66">
        <f t="shared" si="495"/>
        <v>41251342</v>
      </c>
      <c r="BQ570" s="66"/>
      <c r="BR570" s="435">
        <f t="shared" si="496"/>
        <v>6.4078091568658888E-2</v>
      </c>
      <c r="BS570" s="66"/>
      <c r="BT570" s="75"/>
      <c r="BU570" s="170"/>
      <c r="BV570" s="1"/>
      <c r="BW570" s="61">
        <f t="shared" si="399"/>
        <v>561</v>
      </c>
    </row>
    <row r="571" spans="2:75" x14ac:dyDescent="0.3">
      <c r="B571" s="158">
        <f t="shared" si="448"/>
        <v>44471</v>
      </c>
      <c r="C571" s="61"/>
      <c r="D571" s="17">
        <v>46482</v>
      </c>
      <c r="E571" s="16"/>
      <c r="F571" s="16"/>
      <c r="G571" s="16"/>
      <c r="H571" s="16">
        <f t="shared" si="473"/>
        <v>42204802</v>
      </c>
      <c r="I571" s="16"/>
      <c r="J571" s="436">
        <f t="shared" si="474"/>
        <v>1.1025581664544507E-3</v>
      </c>
      <c r="K571" s="16"/>
      <c r="L571" s="16"/>
      <c r="M571" s="16"/>
      <c r="N571" s="16">
        <f t="shared" si="475"/>
        <v>650220</v>
      </c>
      <c r="O571" s="16">
        <f t="shared" si="476"/>
        <v>75097.512455516015</v>
      </c>
      <c r="P571" s="41"/>
      <c r="Q571" s="17">
        <f t="shared" si="477"/>
        <v>650220</v>
      </c>
      <c r="R571" s="16"/>
      <c r="S571" s="60">
        <f t="shared" si="478"/>
        <v>-9.6937988964149457E-2</v>
      </c>
      <c r="T571" s="16"/>
      <c r="U571" s="41"/>
      <c r="V571" s="10">
        <f t="shared" si="349"/>
        <v>463</v>
      </c>
      <c r="W571" s="34">
        <v>690</v>
      </c>
      <c r="X571" s="33">
        <v>4256</v>
      </c>
      <c r="Y571" s="33"/>
      <c r="Z571" s="33">
        <f t="shared" si="479"/>
        <v>9038</v>
      </c>
      <c r="AA571" s="33">
        <f t="shared" si="480"/>
        <v>676068</v>
      </c>
      <c r="AB571" s="33"/>
      <c r="AC571" s="46">
        <f t="shared" si="481"/>
        <v>1.6018745923745834E-2</v>
      </c>
      <c r="AD571" s="33"/>
      <c r="AE571" s="33">
        <f t="shared" si="482"/>
        <v>1202.9679715302491</v>
      </c>
      <c r="AF571" s="50"/>
      <c r="AG571" s="33">
        <f t="shared" si="483"/>
        <v>9624</v>
      </c>
      <c r="AH571" s="33">
        <f>SUM(D542:D1223)</f>
        <v>1189058609.060914</v>
      </c>
      <c r="AI571" s="213">
        <f t="shared" si="484"/>
        <v>-7.8778596726332917E-2</v>
      </c>
      <c r="AJ571" s="50"/>
      <c r="AK571" s="111"/>
      <c r="AL571" s="23">
        <f t="shared" si="485"/>
        <v>101465</v>
      </c>
      <c r="AM571" s="24"/>
      <c r="AN571" s="24"/>
      <c r="AO571" s="24">
        <v>178263</v>
      </c>
      <c r="AP571" s="24">
        <v>33917959</v>
      </c>
      <c r="AQ571" s="24">
        <v>20336656</v>
      </c>
      <c r="AR571" s="461">
        <f t="shared" si="486"/>
        <v>3.000458888493881E-3</v>
      </c>
      <c r="AS571" s="25"/>
      <c r="AT571" s="25"/>
      <c r="AU571" s="24"/>
      <c r="AV571" s="298">
        <f t="shared" si="487"/>
        <v>0.80365165556279594</v>
      </c>
      <c r="AW571" s="298"/>
      <c r="AX571" s="24">
        <f t="shared" si="488"/>
        <v>60352.240213523131</v>
      </c>
      <c r="AY571" s="308"/>
      <c r="AZ571" s="111"/>
      <c r="BA571" s="65">
        <f t="shared" si="489"/>
        <v>573593</v>
      </c>
      <c r="BB571" s="66"/>
      <c r="BC571" s="66">
        <v>644340300</v>
      </c>
      <c r="BD571" s="66"/>
      <c r="BE571" s="66">
        <f t="shared" si="490"/>
        <v>46482</v>
      </c>
      <c r="BF571" s="66"/>
      <c r="BG571" s="144">
        <f t="shared" si="491"/>
        <v>8.1036553793369159E-2</v>
      </c>
      <c r="BH571" s="66"/>
      <c r="BI571" s="170"/>
      <c r="BJ571" s="66"/>
      <c r="BK571" s="66">
        <f t="shared" si="492"/>
        <v>11670234</v>
      </c>
      <c r="BL571" s="66"/>
      <c r="BM571" s="144">
        <f t="shared" si="493"/>
        <v>5.5716106463675023E-2</v>
      </c>
      <c r="BN571" s="65">
        <f t="shared" si="494"/>
        <v>1146512.9893238435</v>
      </c>
      <c r="BO571" s="66"/>
      <c r="BP571" s="66">
        <f t="shared" si="495"/>
        <v>41297824</v>
      </c>
      <c r="BQ571" s="66"/>
      <c r="BR571" s="435">
        <f t="shared" si="496"/>
        <v>6.4093188025023423E-2</v>
      </c>
      <c r="BS571" s="66"/>
      <c r="BT571" s="75"/>
      <c r="BU571" s="170"/>
      <c r="BV571" s="1"/>
      <c r="BW571" s="61">
        <f t="shared" si="399"/>
        <v>562</v>
      </c>
    </row>
    <row r="572" spans="2:75" x14ac:dyDescent="0.3">
      <c r="B572" s="347">
        <f t="shared" si="448"/>
        <v>44472</v>
      </c>
      <c r="C572" s="61"/>
      <c r="D572" s="17">
        <v>26933</v>
      </c>
      <c r="E572" s="16"/>
      <c r="F572" s="16"/>
      <c r="G572" s="16"/>
      <c r="H572" s="16">
        <f t="shared" si="473"/>
        <v>42231735</v>
      </c>
      <c r="I572" s="16"/>
      <c r="J572" s="436">
        <f t="shared" si="474"/>
        <v>6.38150132773991E-4</v>
      </c>
      <c r="K572" s="16"/>
      <c r="L572" s="16"/>
      <c r="M572" s="16"/>
      <c r="N572" s="16">
        <f t="shared" si="475"/>
        <v>618531</v>
      </c>
      <c r="O572" s="16">
        <f t="shared" si="476"/>
        <v>75011.962699822383</v>
      </c>
      <c r="P572" s="41"/>
      <c r="Q572" s="17">
        <f t="shared" si="477"/>
        <v>618531</v>
      </c>
      <c r="R572" s="16"/>
      <c r="S572" s="60">
        <f t="shared" si="478"/>
        <v>-0.16655976888519985</v>
      </c>
      <c r="T572" s="16"/>
      <c r="U572" s="41"/>
      <c r="V572" s="10">
        <f t="shared" si="349"/>
        <v>464</v>
      </c>
      <c r="W572" s="34">
        <v>259</v>
      </c>
      <c r="X572" s="33">
        <v>4256</v>
      </c>
      <c r="Y572" s="33"/>
      <c r="Z572" s="33">
        <f t="shared" si="479"/>
        <v>8608</v>
      </c>
      <c r="AA572" s="33">
        <f t="shared" si="480"/>
        <v>676327</v>
      </c>
      <c r="AB572" s="33"/>
      <c r="AC572" s="46">
        <f t="shared" si="481"/>
        <v>1.6014662906934797E-2</v>
      </c>
      <c r="AD572" s="33"/>
      <c r="AE572" s="33">
        <f t="shared" si="482"/>
        <v>1201.291296625222</v>
      </c>
      <c r="AF572" s="50"/>
      <c r="AG572" s="33">
        <f t="shared" si="483"/>
        <v>9297</v>
      </c>
      <c r="AH572" s="33">
        <f>SUM(D543:D1224)</f>
        <v>1188876016.060914</v>
      </c>
      <c r="AI572" s="213">
        <f t="shared" si="484"/>
        <v>-0.12786116322701688</v>
      </c>
      <c r="AJ572" s="50"/>
      <c r="AK572" s="111"/>
      <c r="AL572" s="23">
        <f t="shared" si="485"/>
        <v>20188</v>
      </c>
      <c r="AM572" s="24"/>
      <c r="AN572" s="24"/>
      <c r="AO572" s="24">
        <v>178263</v>
      </c>
      <c r="AP572" s="24">
        <v>33938147</v>
      </c>
      <c r="AQ572" s="24">
        <v>20336656</v>
      </c>
      <c r="AR572" s="461">
        <f t="shared" si="486"/>
        <v>5.9520090816785293E-4</v>
      </c>
      <c r="AS572" s="25"/>
      <c r="AT572" s="25"/>
      <c r="AU572" s="24"/>
      <c r="AV572" s="298">
        <f t="shared" si="487"/>
        <v>0.80361716135981631</v>
      </c>
      <c r="AW572" s="298"/>
      <c r="AX572" s="24">
        <f t="shared" si="488"/>
        <v>60280.900532859683</v>
      </c>
      <c r="AY572" s="308"/>
      <c r="AZ572" s="111"/>
      <c r="BA572" s="65">
        <f t="shared" si="489"/>
        <v>408356</v>
      </c>
      <c r="BB572" s="66"/>
      <c r="BC572" s="66">
        <v>644748656</v>
      </c>
      <c r="BD572" s="66"/>
      <c r="BE572" s="66">
        <f t="shared" si="490"/>
        <v>26933</v>
      </c>
      <c r="BF572" s="66"/>
      <c r="BG572" s="144">
        <f t="shared" si="491"/>
        <v>6.5954706187738146E-2</v>
      </c>
      <c r="BH572" s="66"/>
      <c r="BI572" s="170"/>
      <c r="BJ572" s="66"/>
      <c r="BK572" s="66">
        <f t="shared" si="492"/>
        <v>10934841</v>
      </c>
      <c r="BL572" s="66"/>
      <c r="BM572" s="144">
        <f t="shared" si="493"/>
        <v>5.656515718884253E-2</v>
      </c>
      <c r="BN572" s="65">
        <f t="shared" si="494"/>
        <v>1145201.8756660747</v>
      </c>
      <c r="BO572" s="66"/>
      <c r="BP572" s="66">
        <f t="shared" si="495"/>
        <v>41324757</v>
      </c>
      <c r="BQ572" s="66"/>
      <c r="BR572" s="435">
        <f t="shared" si="496"/>
        <v>6.4094367030367264E-2</v>
      </c>
      <c r="BS572" s="66"/>
      <c r="BT572" s="75"/>
      <c r="BU572" s="170"/>
      <c r="BV572" s="1"/>
      <c r="BW572" s="61">
        <f t="shared" si="399"/>
        <v>563</v>
      </c>
    </row>
    <row r="573" spans="2:75" x14ac:dyDescent="0.3">
      <c r="B573" s="158">
        <f t="shared" si="448"/>
        <v>44473</v>
      </c>
      <c r="C573" s="61"/>
      <c r="D573" s="17">
        <v>73729</v>
      </c>
      <c r="E573" s="16"/>
      <c r="F573" s="16"/>
      <c r="G573" s="16"/>
      <c r="H573" s="16">
        <f t="shared" si="473"/>
        <v>42305464</v>
      </c>
      <c r="I573" s="16"/>
      <c r="J573" s="436">
        <f t="shared" si="474"/>
        <v>1.7458198200950067E-3</v>
      </c>
      <c r="K573" s="16"/>
      <c r="L573" s="16"/>
      <c r="M573" s="16"/>
      <c r="N573" s="16">
        <f t="shared" si="475"/>
        <v>610851</v>
      </c>
      <c r="O573" s="16">
        <f t="shared" si="476"/>
        <v>75009.687943262412</v>
      </c>
      <c r="P573" s="41"/>
      <c r="Q573" s="17">
        <f t="shared" si="477"/>
        <v>610851</v>
      </c>
      <c r="R573" s="16"/>
      <c r="S573" s="60">
        <f t="shared" si="478"/>
        <v>-0.17170387224585379</v>
      </c>
      <c r="T573" s="16"/>
      <c r="U573" s="41"/>
      <c r="V573" s="10">
        <f t="shared" si="349"/>
        <v>465</v>
      </c>
      <c r="W573" s="34">
        <v>733</v>
      </c>
      <c r="X573" s="33">
        <v>4256</v>
      </c>
      <c r="Y573" s="33"/>
      <c r="Z573" s="33">
        <f t="shared" si="479"/>
        <v>7505</v>
      </c>
      <c r="AA573" s="33">
        <f t="shared" si="480"/>
        <v>677060</v>
      </c>
      <c r="AB573" s="33"/>
      <c r="AC573" s="46">
        <f t="shared" si="481"/>
        <v>1.6004079283943085E-2</v>
      </c>
      <c r="AD573" s="33"/>
      <c r="AE573" s="33">
        <f t="shared" si="482"/>
        <v>1200.4609929078015</v>
      </c>
      <c r="AF573" s="50"/>
      <c r="AG573" s="33">
        <f t="shared" si="483"/>
        <v>9341</v>
      </c>
      <c r="AH573" s="33">
        <f>SUM(D544:D1225)</f>
        <v>1188817334.060914</v>
      </c>
      <c r="AI573" s="213">
        <f t="shared" si="484"/>
        <v>-0.11902291804206357</v>
      </c>
      <c r="AJ573" s="50"/>
      <c r="AK573" s="111"/>
      <c r="AL573" s="23">
        <f t="shared" si="485"/>
        <v>216630</v>
      </c>
      <c r="AM573" s="24"/>
      <c r="AN573" s="24"/>
      <c r="AO573" s="24">
        <v>178263</v>
      </c>
      <c r="AP573" s="24">
        <v>34154777</v>
      </c>
      <c r="AQ573" s="24">
        <v>20336656</v>
      </c>
      <c r="AR573" s="461">
        <f t="shared" si="486"/>
        <v>6.3830827298850465E-3</v>
      </c>
      <c r="AS573" s="25"/>
      <c r="AT573" s="25"/>
      <c r="AU573" s="24"/>
      <c r="AV573" s="298">
        <f t="shared" si="487"/>
        <v>0.80733725080996632</v>
      </c>
      <c r="AW573" s="298"/>
      <c r="AX573" s="24">
        <f t="shared" si="488"/>
        <v>60558.115248226954</v>
      </c>
      <c r="AY573" s="308"/>
      <c r="AZ573" s="111"/>
      <c r="BA573" s="65">
        <f t="shared" si="489"/>
        <v>4512688</v>
      </c>
      <c r="BB573" s="66"/>
      <c r="BC573" s="66">
        <v>649261344</v>
      </c>
      <c r="BD573" s="66"/>
      <c r="BE573" s="66">
        <f t="shared" si="490"/>
        <v>73729</v>
      </c>
      <c r="BF573" s="66"/>
      <c r="BG573" s="144">
        <f t="shared" si="491"/>
        <v>1.6338155884031869E-2</v>
      </c>
      <c r="BH573" s="66"/>
      <c r="BI573" s="170"/>
      <c r="BJ573" s="66"/>
      <c r="BK573" s="66">
        <f t="shared" si="492"/>
        <v>12737407</v>
      </c>
      <c r="BL573" s="66"/>
      <c r="BM573" s="144">
        <f t="shared" si="493"/>
        <v>4.7957249069610478E-2</v>
      </c>
      <c r="BN573" s="65">
        <f t="shared" si="494"/>
        <v>1151172.5957446808</v>
      </c>
      <c r="BO573" s="66"/>
      <c r="BP573" s="66">
        <f t="shared" si="495"/>
        <v>41398486</v>
      </c>
      <c r="BQ573" s="66"/>
      <c r="BR573" s="435">
        <f t="shared" si="496"/>
        <v>6.3762437703360333E-2</v>
      </c>
      <c r="BS573" s="66"/>
      <c r="BT573" s="75"/>
      <c r="BU573" s="170"/>
      <c r="BV573" s="1"/>
      <c r="BW573" s="61">
        <f t="shared" si="399"/>
        <v>564</v>
      </c>
    </row>
    <row r="574" spans="2:75" x14ac:dyDescent="0.3">
      <c r="B574" s="158">
        <f t="shared" si="448"/>
        <v>44474</v>
      </c>
      <c r="C574" s="61"/>
      <c r="D574" s="17">
        <v>94811</v>
      </c>
      <c r="E574" s="16"/>
      <c r="F574" s="16"/>
      <c r="G574" s="16"/>
      <c r="H574" s="16">
        <f t="shared" si="473"/>
        <v>42400275</v>
      </c>
      <c r="I574" s="16"/>
      <c r="J574" s="436">
        <f t="shared" si="474"/>
        <v>2.2411053097065666E-3</v>
      </c>
      <c r="K574" s="16"/>
      <c r="L574" s="16"/>
      <c r="M574" s="16"/>
      <c r="N574" s="16">
        <f t="shared" si="475"/>
        <v>600029</v>
      </c>
      <c r="O574" s="16">
        <f t="shared" si="476"/>
        <v>75044.734513274336</v>
      </c>
      <c r="P574" s="41"/>
      <c r="Q574" s="17">
        <f t="shared" si="477"/>
        <v>600029</v>
      </c>
      <c r="R574" s="16"/>
      <c r="S574" s="60">
        <f t="shared" si="478"/>
        <v>-0.16954796528324659</v>
      </c>
      <c r="T574" s="16"/>
      <c r="U574" s="41"/>
      <c r="V574" s="10">
        <f t="shared" si="349"/>
        <v>466</v>
      </c>
      <c r="W574" s="34">
        <v>1811</v>
      </c>
      <c r="X574" s="33">
        <v>4256</v>
      </c>
      <c r="Y574" s="33"/>
      <c r="Z574" s="33">
        <f t="shared" si="479"/>
        <v>7126</v>
      </c>
      <c r="AA574" s="33">
        <f t="shared" si="480"/>
        <v>678871</v>
      </c>
      <c r="AB574" s="33"/>
      <c r="AC574" s="46">
        <f t="shared" si="481"/>
        <v>1.6011004645606661E-2</v>
      </c>
      <c r="AD574" s="33"/>
      <c r="AE574" s="33">
        <f t="shared" si="482"/>
        <v>1201.5415929203539</v>
      </c>
      <c r="AF574" s="50"/>
      <c r="AG574" s="33">
        <f t="shared" si="483"/>
        <v>9316</v>
      </c>
      <c r="AH574" s="33">
        <f>SUM(D545:D1226)</f>
        <v>1188781748.060914</v>
      </c>
      <c r="AI574" s="213">
        <f t="shared" si="484"/>
        <v>-0.11377473363774733</v>
      </c>
      <c r="AJ574" s="50"/>
      <c r="AK574" s="111"/>
      <c r="AL574" s="23">
        <f t="shared" si="485"/>
        <v>127344</v>
      </c>
      <c r="AM574" s="24"/>
      <c r="AN574" s="24"/>
      <c r="AO574" s="24">
        <v>178263</v>
      </c>
      <c r="AP574" s="24">
        <v>34282121</v>
      </c>
      <c r="AQ574" s="24">
        <v>20336656</v>
      </c>
      <c r="AR574" s="461">
        <f t="shared" si="486"/>
        <v>3.7284389237850976E-3</v>
      </c>
      <c r="AS574" s="25"/>
      <c r="AT574" s="25"/>
      <c r="AU574" s="24"/>
      <c r="AV574" s="298">
        <f t="shared" si="487"/>
        <v>0.80853534558443307</v>
      </c>
      <c r="AW574" s="298"/>
      <c r="AX574" s="24">
        <f t="shared" si="488"/>
        <v>60676.320353982301</v>
      </c>
      <c r="AY574" s="308"/>
      <c r="AZ574" s="111"/>
      <c r="BA574" s="65">
        <f t="shared" si="489"/>
        <v>1427929</v>
      </c>
      <c r="BB574" s="66"/>
      <c r="BC574" s="66">
        <v>650689273</v>
      </c>
      <c r="BD574" s="66"/>
      <c r="BE574" s="66">
        <f t="shared" si="490"/>
        <v>94811</v>
      </c>
      <c r="BF574" s="66"/>
      <c r="BG574" s="144">
        <f t="shared" si="491"/>
        <v>6.6397558982274327E-2</v>
      </c>
      <c r="BH574" s="66"/>
      <c r="BI574" s="170"/>
      <c r="BJ574" s="66"/>
      <c r="BK574" s="66">
        <f t="shared" si="492"/>
        <v>12639534</v>
      </c>
      <c r="BL574" s="66"/>
      <c r="BM574" s="144">
        <f t="shared" si="493"/>
        <v>4.7472398903313999E-2</v>
      </c>
      <c r="BN574" s="65">
        <f t="shared" si="494"/>
        <v>1151662.4300884956</v>
      </c>
      <c r="BO574" s="66"/>
      <c r="BP574" s="66">
        <f t="shared" si="495"/>
        <v>41493297</v>
      </c>
      <c r="BQ574" s="66"/>
      <c r="BR574" s="435">
        <f t="shared" si="496"/>
        <v>6.3768220442140283E-2</v>
      </c>
      <c r="BS574" s="66"/>
      <c r="BT574" s="75"/>
      <c r="BU574" s="170"/>
      <c r="BV574" s="1"/>
      <c r="BW574" s="61">
        <f t="shared" si="399"/>
        <v>565</v>
      </c>
    </row>
    <row r="575" spans="2:75" x14ac:dyDescent="0.3">
      <c r="B575" s="158">
        <f t="shared" si="448"/>
        <v>44475</v>
      </c>
      <c r="C575" s="61"/>
      <c r="D575" s="17">
        <v>107987</v>
      </c>
      <c r="E575" s="16"/>
      <c r="F575" s="16"/>
      <c r="G575" s="16"/>
      <c r="H575" s="16">
        <f t="shared" si="473"/>
        <v>42508262</v>
      </c>
      <c r="I575" s="16"/>
      <c r="J575" s="436">
        <f t="shared" si="474"/>
        <v>2.5468466890839741E-3</v>
      </c>
      <c r="K575" s="16"/>
      <c r="L575" s="16"/>
      <c r="M575" s="16"/>
      <c r="N575" s="16">
        <f t="shared" si="475"/>
        <v>584740</v>
      </c>
      <c r="O575" s="16">
        <f t="shared" si="476"/>
        <v>75102.936395759723</v>
      </c>
      <c r="P575" s="41"/>
      <c r="Q575" s="17">
        <f t="shared" si="477"/>
        <v>584740</v>
      </c>
      <c r="R575" s="16"/>
      <c r="S575" s="60">
        <f t="shared" si="478"/>
        <v>-0.17895390128182267</v>
      </c>
      <c r="T575" s="16"/>
      <c r="U575" s="41"/>
      <c r="V575" s="10">
        <f t="shared" si="349"/>
        <v>467</v>
      </c>
      <c r="W575" s="34">
        <v>2102</v>
      </c>
      <c r="X575" s="33">
        <v>4256</v>
      </c>
      <c r="Y575" s="33"/>
      <c r="Z575" s="33">
        <f t="shared" si="479"/>
        <v>7416</v>
      </c>
      <c r="AA575" s="33">
        <f t="shared" si="480"/>
        <v>680973</v>
      </c>
      <c r="AB575" s="33"/>
      <c r="AC575" s="46">
        <f t="shared" si="481"/>
        <v>1.6019779872439858E-2</v>
      </c>
      <c r="AD575" s="33"/>
      <c r="AE575" s="33">
        <f t="shared" si="482"/>
        <v>1203.1325088339222</v>
      </c>
      <c r="AF575" s="50"/>
      <c r="AG575" s="33">
        <f t="shared" si="483"/>
        <v>9228</v>
      </c>
      <c r="AH575" s="33">
        <f>SUM(D546:D1227)</f>
        <v>1188742104.060914</v>
      </c>
      <c r="AI575" s="213">
        <f t="shared" si="484"/>
        <v>-0.11896123734962764</v>
      </c>
      <c r="AJ575" s="50"/>
      <c r="AK575" s="111"/>
      <c r="AL575" s="23">
        <f t="shared" si="485"/>
        <v>110205</v>
      </c>
      <c r="AM575" s="24"/>
      <c r="AN575" s="24"/>
      <c r="AO575" s="24">
        <v>178263</v>
      </c>
      <c r="AP575" s="24">
        <v>34392326</v>
      </c>
      <c r="AQ575" s="24">
        <v>20336656</v>
      </c>
      <c r="AR575" s="461">
        <f t="shared" si="486"/>
        <v>3.2146494086523992E-3</v>
      </c>
      <c r="AS575" s="25"/>
      <c r="AT575" s="25"/>
      <c r="AU575" s="24"/>
      <c r="AV575" s="298">
        <f t="shared" si="487"/>
        <v>0.80907391603072365</v>
      </c>
      <c r="AW575" s="298"/>
      <c r="AX575" s="24">
        <f t="shared" si="488"/>
        <v>60763.826855123676</v>
      </c>
      <c r="AY575" s="308"/>
      <c r="AZ575" s="111"/>
      <c r="BA575" s="65">
        <f t="shared" si="489"/>
        <v>1700356</v>
      </c>
      <c r="BB575" s="66"/>
      <c r="BC575" s="66">
        <v>652389629</v>
      </c>
      <c r="BD575" s="66"/>
      <c r="BE575" s="66">
        <f t="shared" si="490"/>
        <v>107987</v>
      </c>
      <c r="BF575" s="66"/>
      <c r="BG575" s="144">
        <f t="shared" si="491"/>
        <v>6.3508465286093024E-2</v>
      </c>
      <c r="BH575" s="66"/>
      <c r="BI575" s="170"/>
      <c r="BJ575" s="66"/>
      <c r="BK575" s="66">
        <f t="shared" si="492"/>
        <v>12556773</v>
      </c>
      <c r="BL575" s="66"/>
      <c r="BM575" s="144">
        <f t="shared" si="493"/>
        <v>4.6567696971188378E-2</v>
      </c>
      <c r="BN575" s="65">
        <f t="shared" si="494"/>
        <v>1152631.8533568904</v>
      </c>
      <c r="BO575" s="66"/>
      <c r="BP575" s="66">
        <f t="shared" si="495"/>
        <v>41601284</v>
      </c>
      <c r="BQ575" s="66"/>
      <c r="BR575" s="435">
        <f t="shared" si="496"/>
        <v>6.3767543429173679E-2</v>
      </c>
      <c r="BS575" s="66"/>
      <c r="BT575" s="75"/>
      <c r="BU575" s="170"/>
      <c r="BV575" s="1"/>
      <c r="BW575" s="61">
        <f t="shared" si="399"/>
        <v>566</v>
      </c>
    </row>
    <row r="576" spans="2:75" x14ac:dyDescent="0.3">
      <c r="B576" s="158">
        <f t="shared" si="448"/>
        <v>44476</v>
      </c>
      <c r="C576" s="61"/>
      <c r="D576" s="17">
        <v>108725</v>
      </c>
      <c r="E576" s="16"/>
      <c r="F576" s="16"/>
      <c r="G576" s="16"/>
      <c r="H576" s="16">
        <f t="shared" si="473"/>
        <v>42616987</v>
      </c>
      <c r="I576" s="16"/>
      <c r="J576" s="436">
        <f t="shared" si="474"/>
        <v>2.5577380698368706E-3</v>
      </c>
      <c r="K576" s="16"/>
      <c r="L576" s="16"/>
      <c r="M576" s="16"/>
      <c r="N576" s="16">
        <f t="shared" si="475"/>
        <v>579543</v>
      </c>
      <c r="O576" s="16">
        <f t="shared" si="476"/>
        <v>75162.234567901236</v>
      </c>
      <c r="P576" s="41"/>
      <c r="Q576" s="17">
        <f t="shared" si="477"/>
        <v>579543</v>
      </c>
      <c r="R576" s="16"/>
      <c r="S576" s="60">
        <f t="shared" si="478"/>
        <v>-0.17047926853007522</v>
      </c>
      <c r="T576" s="16"/>
      <c r="U576" s="41"/>
      <c r="V576" s="10">
        <f t="shared" si="349"/>
        <v>468</v>
      </c>
      <c r="W576" s="34">
        <v>1876</v>
      </c>
      <c r="X576" s="33">
        <v>4256</v>
      </c>
      <c r="Y576" s="33"/>
      <c r="Z576" s="33">
        <f t="shared" si="479"/>
        <v>7471</v>
      </c>
      <c r="AA576" s="33">
        <f t="shared" si="480"/>
        <v>682849</v>
      </c>
      <c r="AB576" s="33"/>
      <c r="AC576" s="46">
        <f t="shared" si="481"/>
        <v>1.6022930011452944E-2</v>
      </c>
      <c r="AD576" s="33"/>
      <c r="AE576" s="33">
        <f t="shared" si="482"/>
        <v>1204.3192239858906</v>
      </c>
      <c r="AF576" s="50"/>
      <c r="AG576" s="33">
        <f t="shared" si="483"/>
        <v>9292</v>
      </c>
      <c r="AH576" s="33">
        <f>SUM(D547:D1228)</f>
        <v>1188626328.060914</v>
      </c>
      <c r="AI576" s="213">
        <f t="shared" si="484"/>
        <v>-9.8913886733902251E-2</v>
      </c>
      <c r="AJ576" s="50"/>
      <c r="AK576" s="111"/>
      <c r="AL576" s="23">
        <f t="shared" si="485"/>
        <v>86805</v>
      </c>
      <c r="AM576" s="24"/>
      <c r="AN576" s="24"/>
      <c r="AO576" s="24">
        <v>178263</v>
      </c>
      <c r="AP576" s="24">
        <v>34479131</v>
      </c>
      <c r="AQ576" s="24">
        <v>20336656</v>
      </c>
      <c r="AR576" s="461">
        <f t="shared" si="486"/>
        <v>2.5239642122489767E-3</v>
      </c>
      <c r="AS576" s="25"/>
      <c r="AT576" s="25"/>
      <c r="AU576" s="24"/>
      <c r="AV576" s="298">
        <f t="shared" si="487"/>
        <v>0.80904666019678961</v>
      </c>
      <c r="AW576" s="298"/>
      <c r="AX576" s="24">
        <f t="shared" si="488"/>
        <v>60809.754850088182</v>
      </c>
      <c r="AY576" s="308"/>
      <c r="AZ576" s="111"/>
      <c r="BA576" s="65">
        <f t="shared" si="489"/>
        <v>1776421</v>
      </c>
      <c r="BB576" s="66"/>
      <c r="BC576" s="66">
        <v>654166050</v>
      </c>
      <c r="BD576" s="66"/>
      <c r="BE576" s="66">
        <f t="shared" si="490"/>
        <v>108725</v>
      </c>
      <c r="BF576" s="66"/>
      <c r="BG576" s="144">
        <f t="shared" si="491"/>
        <v>6.1204523026917604E-2</v>
      </c>
      <c r="BH576" s="66"/>
      <c r="BI576" s="170"/>
      <c r="BJ576" s="66"/>
      <c r="BK576" s="66">
        <f t="shared" si="492"/>
        <v>12314676</v>
      </c>
      <c r="BL576" s="66"/>
      <c r="BM576" s="144">
        <f t="shared" si="493"/>
        <v>4.7061165068411057E-2</v>
      </c>
      <c r="BN576" s="65">
        <f t="shared" si="494"/>
        <v>1153732.0105820105</v>
      </c>
      <c r="BO576" s="66"/>
      <c r="BP576" s="66">
        <f t="shared" si="495"/>
        <v>41710009</v>
      </c>
      <c r="BQ576" s="66"/>
      <c r="BR576" s="435">
        <f t="shared" si="496"/>
        <v>6.3760583417620031E-2</v>
      </c>
      <c r="BS576" s="66"/>
      <c r="BT576" s="75"/>
      <c r="BU576" s="170"/>
      <c r="BV576" s="1"/>
      <c r="BW576" s="61">
        <f t="shared" si="399"/>
        <v>567</v>
      </c>
    </row>
    <row r="577" spans="2:75" x14ac:dyDescent="0.3">
      <c r="B577" s="158">
        <f t="shared" si="448"/>
        <v>44477</v>
      </c>
      <c r="C577" s="61"/>
      <c r="D577" s="17">
        <v>106298</v>
      </c>
      <c r="E577" s="16"/>
      <c r="F577" s="16"/>
      <c r="G577" s="16"/>
      <c r="H577" s="16">
        <f t="shared" si="473"/>
        <v>42723285</v>
      </c>
      <c r="I577" s="16"/>
      <c r="J577" s="436">
        <f t="shared" si="474"/>
        <v>2.4942636137087778E-3</v>
      </c>
      <c r="K577" s="16"/>
      <c r="L577" s="16"/>
      <c r="M577" s="16"/>
      <c r="N577" s="16">
        <f t="shared" si="475"/>
        <v>564965</v>
      </c>
      <c r="O577" s="16">
        <f t="shared" si="476"/>
        <v>75217.051056338023</v>
      </c>
      <c r="P577" s="41"/>
      <c r="Q577" s="17">
        <f t="shared" si="477"/>
        <v>564965</v>
      </c>
      <c r="R577" s="16"/>
      <c r="S577" s="60">
        <f t="shared" si="478"/>
        <v>-0.17944654961315407</v>
      </c>
      <c r="T577" s="16"/>
      <c r="U577" s="41"/>
      <c r="V577" s="10">
        <f t="shared" si="349"/>
        <v>469</v>
      </c>
      <c r="W577" s="34">
        <v>1937</v>
      </c>
      <c r="X577" s="33">
        <v>4256</v>
      </c>
      <c r="Y577" s="33"/>
      <c r="Z577" s="33">
        <f t="shared" si="479"/>
        <v>8718</v>
      </c>
      <c r="AA577" s="33">
        <f t="shared" si="480"/>
        <v>684786</v>
      </c>
      <c r="AB577" s="33"/>
      <c r="AC577" s="46">
        <f t="shared" si="481"/>
        <v>1.6028402310356051E-2</v>
      </c>
      <c r="AD577" s="33"/>
      <c r="AE577" s="33">
        <f t="shared" si="482"/>
        <v>1205.6091549295775</v>
      </c>
      <c r="AF577" s="50"/>
      <c r="AG577" s="33">
        <f t="shared" si="483"/>
        <v>9408</v>
      </c>
      <c r="AH577" s="33">
        <f>SUM(D548:D1229)</f>
        <v>1188468569.060914</v>
      </c>
      <c r="AI577" s="213">
        <f t="shared" si="484"/>
        <v>-7.1181755355908774E-2</v>
      </c>
      <c r="AJ577" s="50"/>
      <c r="AK577" s="111"/>
      <c r="AL577" s="23">
        <f t="shared" si="485"/>
        <v>98385</v>
      </c>
      <c r="AM577" s="24"/>
      <c r="AN577" s="24"/>
      <c r="AO577" s="24">
        <v>178263</v>
      </c>
      <c r="AP577" s="24">
        <v>34577516</v>
      </c>
      <c r="AQ577" s="24">
        <v>20336656</v>
      </c>
      <c r="AR577" s="461">
        <f t="shared" si="486"/>
        <v>2.8534651873911789E-3</v>
      </c>
      <c r="AS577" s="25"/>
      <c r="AT577" s="25"/>
      <c r="AU577" s="24"/>
      <c r="AV577" s="298">
        <f t="shared" si="487"/>
        <v>0.80933654797378063</v>
      </c>
      <c r="AW577" s="298"/>
      <c r="AX577" s="24">
        <f t="shared" si="488"/>
        <v>60875.908450704228</v>
      </c>
      <c r="AY577" s="308"/>
      <c r="AZ577" s="111"/>
      <c r="BA577" s="65">
        <f t="shared" si="489"/>
        <v>2387687</v>
      </c>
      <c r="BB577" s="66"/>
      <c r="BC577" s="66">
        <v>656553737</v>
      </c>
      <c r="BD577" s="66"/>
      <c r="BE577" s="66">
        <f t="shared" si="490"/>
        <v>106298</v>
      </c>
      <c r="BF577" s="66"/>
      <c r="BG577" s="144">
        <f t="shared" si="491"/>
        <v>4.4519235561445034E-2</v>
      </c>
      <c r="BH577" s="66"/>
      <c r="BI577" s="170"/>
      <c r="BJ577" s="66"/>
      <c r="BK577" s="66">
        <f t="shared" si="492"/>
        <v>12787030</v>
      </c>
      <c r="BL577" s="66"/>
      <c r="BM577" s="144">
        <f t="shared" si="493"/>
        <v>4.4182660086040305E-2</v>
      </c>
      <c r="BN577" s="65">
        <f t="shared" si="494"/>
        <v>1155904.4665492957</v>
      </c>
      <c r="BO577" s="66"/>
      <c r="BP577" s="66">
        <f t="shared" si="495"/>
        <v>41816307</v>
      </c>
      <c r="BQ577" s="66"/>
      <c r="BR577" s="435">
        <f t="shared" si="496"/>
        <v>6.3690608465762188E-2</v>
      </c>
      <c r="BS577" s="66"/>
      <c r="BT577" s="75"/>
      <c r="BU577" s="170"/>
      <c r="BV577" s="1"/>
      <c r="BW577" s="61">
        <f t="shared" si="399"/>
        <v>568</v>
      </c>
    </row>
    <row r="578" spans="2:75" x14ac:dyDescent="0.3">
      <c r="B578" s="158">
        <f t="shared" si="448"/>
        <v>44478</v>
      </c>
      <c r="C578" s="61"/>
      <c r="D578" s="17">
        <v>42357</v>
      </c>
      <c r="E578" s="16"/>
      <c r="F578" s="16"/>
      <c r="G578" s="16"/>
      <c r="H578" s="16">
        <f t="shared" si="473"/>
        <v>42765642</v>
      </c>
      <c r="I578" s="16"/>
      <c r="J578" s="436">
        <f t="shared" si="474"/>
        <v>9.9142657218423153E-4</v>
      </c>
      <c r="K578" s="16"/>
      <c r="L578" s="16"/>
      <c r="M578" s="16"/>
      <c r="N578" s="16">
        <f t="shared" si="475"/>
        <v>560840</v>
      </c>
      <c r="O578" s="16">
        <f t="shared" si="476"/>
        <v>75159.300527240775</v>
      </c>
      <c r="P578" s="41"/>
      <c r="Q578" s="17">
        <f t="shared" si="477"/>
        <v>560840</v>
      </c>
      <c r="R578" s="16"/>
      <c r="S578" s="60">
        <f t="shared" si="478"/>
        <v>-0.13746116698963429</v>
      </c>
      <c r="T578" s="16"/>
      <c r="U578" s="41"/>
      <c r="V578" s="10">
        <f t="shared" si="349"/>
        <v>470</v>
      </c>
      <c r="W578" s="34">
        <v>581</v>
      </c>
      <c r="X578" s="33">
        <v>4256</v>
      </c>
      <c r="Y578" s="33"/>
      <c r="Z578" s="33">
        <f t="shared" si="479"/>
        <v>9040</v>
      </c>
      <c r="AA578" s="33">
        <f t="shared" si="480"/>
        <v>685367</v>
      </c>
      <c r="AB578" s="33"/>
      <c r="AC578" s="46">
        <f t="shared" si="481"/>
        <v>1.6026112737884304E-2</v>
      </c>
      <c r="AD578" s="33"/>
      <c r="AE578" s="33">
        <f t="shared" si="482"/>
        <v>1204.5114235500878</v>
      </c>
      <c r="AF578" s="50"/>
      <c r="AG578" s="33">
        <f t="shared" si="483"/>
        <v>9299</v>
      </c>
      <c r="AH578" s="33">
        <f>SUM(D549:D1230)</f>
        <v>1188307821.060914</v>
      </c>
      <c r="AI578" s="213">
        <f t="shared" si="484"/>
        <v>-3.3769742310889445E-2</v>
      </c>
      <c r="AJ578" s="50"/>
      <c r="AK578" s="111"/>
      <c r="AL578" s="23">
        <f t="shared" si="485"/>
        <v>53138</v>
      </c>
      <c r="AM578" s="24"/>
      <c r="AN578" s="24"/>
      <c r="AO578" s="24">
        <v>178263</v>
      </c>
      <c r="AP578" s="24">
        <v>34630654</v>
      </c>
      <c r="AQ578" s="24">
        <v>20336656</v>
      </c>
      <c r="AR578" s="461">
        <f t="shared" si="486"/>
        <v>1.5367789866686779E-3</v>
      </c>
      <c r="AS578" s="25"/>
      <c r="AT578" s="25"/>
      <c r="AU578" s="24"/>
      <c r="AV578" s="298">
        <f t="shared" si="487"/>
        <v>0.8097774844582013</v>
      </c>
      <c r="AW578" s="298"/>
      <c r="AX578" s="24">
        <f t="shared" si="488"/>
        <v>60862.309314586993</v>
      </c>
      <c r="AY578" s="308"/>
      <c r="AZ578" s="111"/>
      <c r="BA578" s="65">
        <f t="shared" si="489"/>
        <v>549020</v>
      </c>
      <c r="BB578" s="66"/>
      <c r="BC578" s="66">
        <v>657102757</v>
      </c>
      <c r="BD578" s="66"/>
      <c r="BE578" s="66">
        <f t="shared" si="490"/>
        <v>42357</v>
      </c>
      <c r="BF578" s="66"/>
      <c r="BG578" s="144">
        <f t="shared" si="491"/>
        <v>7.7150194892717933E-2</v>
      </c>
      <c r="BH578" s="66"/>
      <c r="BI578" s="170"/>
      <c r="BJ578" s="66"/>
      <c r="BK578" s="66">
        <f t="shared" si="492"/>
        <v>12762457</v>
      </c>
      <c r="BL578" s="66"/>
      <c r="BM578" s="144">
        <f t="shared" si="493"/>
        <v>4.3944516326284197E-2</v>
      </c>
      <c r="BN578" s="65">
        <f t="shared" si="494"/>
        <v>1154837.8857644992</v>
      </c>
      <c r="BO578" s="66"/>
      <c r="BP578" s="66">
        <f t="shared" si="495"/>
        <v>41858664</v>
      </c>
      <c r="BQ578" s="66"/>
      <c r="BR578" s="435">
        <f t="shared" si="496"/>
        <v>6.3701854168297156E-2</v>
      </c>
      <c r="BS578" s="66"/>
      <c r="BT578" s="75"/>
      <c r="BU578" s="170"/>
      <c r="BV578" s="1"/>
      <c r="BW578" s="61">
        <f t="shared" si="399"/>
        <v>569</v>
      </c>
    </row>
    <row r="579" spans="2:75" x14ac:dyDescent="0.3">
      <c r="B579" s="347">
        <f t="shared" si="448"/>
        <v>44479</v>
      </c>
      <c r="C579" s="61"/>
      <c r="D579" s="17">
        <v>24694</v>
      </c>
      <c r="E579" s="16"/>
      <c r="F579" s="16"/>
      <c r="G579" s="16"/>
      <c r="H579" s="16">
        <f t="shared" si="473"/>
        <v>42790336</v>
      </c>
      <c r="I579" s="16"/>
      <c r="J579" s="436">
        <f t="shared" si="474"/>
        <v>5.7742614971149041E-4</v>
      </c>
      <c r="K579" s="16"/>
      <c r="L579" s="16"/>
      <c r="M579" s="16"/>
      <c r="N579" s="16">
        <f t="shared" si="475"/>
        <v>558601</v>
      </c>
      <c r="O579" s="16">
        <f t="shared" si="476"/>
        <v>75070.764912280705</v>
      </c>
      <c r="P579" s="41"/>
      <c r="Q579" s="17">
        <f t="shared" si="477"/>
        <v>558601</v>
      </c>
      <c r="R579" s="16"/>
      <c r="S579" s="60">
        <f t="shared" si="478"/>
        <v>-9.6890859148530961E-2</v>
      </c>
      <c r="T579" s="16"/>
      <c r="U579" s="41"/>
      <c r="V579" s="10">
        <f t="shared" si="349"/>
        <v>471</v>
      </c>
      <c r="W579" s="34">
        <v>517</v>
      </c>
      <c r="X579" s="33">
        <v>4256</v>
      </c>
      <c r="Y579" s="33"/>
      <c r="Z579" s="33">
        <f t="shared" si="479"/>
        <v>8824</v>
      </c>
      <c r="AA579" s="33">
        <f t="shared" si="480"/>
        <v>685884</v>
      </c>
      <c r="AB579" s="33"/>
      <c r="AC579" s="46">
        <f t="shared" si="481"/>
        <v>1.6028946349007402E-2</v>
      </c>
      <c r="AD579" s="33"/>
      <c r="AE579" s="33">
        <f t="shared" si="482"/>
        <v>1203.3052631578948</v>
      </c>
      <c r="AF579" s="50"/>
      <c r="AG579" s="33">
        <f t="shared" si="483"/>
        <v>9557</v>
      </c>
      <c r="AH579" s="33">
        <f>SUM(D550:D1231)</f>
        <v>1188136696.060914</v>
      </c>
      <c r="AI579" s="213">
        <f t="shared" si="484"/>
        <v>2.7966010541034741E-2</v>
      </c>
      <c r="AJ579" s="50"/>
      <c r="AK579" s="111"/>
      <c r="AL579" s="23">
        <f t="shared" si="485"/>
        <v>34309</v>
      </c>
      <c r="AM579" s="24"/>
      <c r="AN579" s="24"/>
      <c r="AO579" s="24">
        <v>178263</v>
      </c>
      <c r="AP579" s="24">
        <v>34664963</v>
      </c>
      <c r="AQ579" s="24">
        <v>20336656</v>
      </c>
      <c r="AR579" s="461">
        <f t="shared" si="486"/>
        <v>9.9071187047175026E-4</v>
      </c>
      <c r="AS579" s="25"/>
      <c r="AT579" s="25"/>
      <c r="AU579" s="24"/>
      <c r="AV579" s="298">
        <f t="shared" si="487"/>
        <v>0.81011196079413816</v>
      </c>
      <c r="AW579" s="298"/>
      <c r="AX579" s="24">
        <f t="shared" si="488"/>
        <v>60815.724561403506</v>
      </c>
      <c r="AY579" s="308"/>
      <c r="AZ579" s="111"/>
      <c r="BA579" s="65">
        <f t="shared" si="489"/>
        <v>311143</v>
      </c>
      <c r="BB579" s="66"/>
      <c r="BC579" s="66">
        <v>657413900</v>
      </c>
      <c r="BD579" s="66"/>
      <c r="BE579" s="66">
        <f t="shared" si="490"/>
        <v>24694</v>
      </c>
      <c r="BF579" s="66"/>
      <c r="BG579" s="144">
        <f t="shared" si="491"/>
        <v>7.9365436471333123E-2</v>
      </c>
      <c r="BH579" s="66"/>
      <c r="BI579" s="170"/>
      <c r="BJ579" s="66"/>
      <c r="BK579" s="66">
        <f t="shared" si="492"/>
        <v>12665244</v>
      </c>
      <c r="BL579" s="66"/>
      <c r="BM579" s="144">
        <f t="shared" si="493"/>
        <v>4.4105032638929023E-2</v>
      </c>
      <c r="BN579" s="65">
        <f t="shared" si="494"/>
        <v>1153357.7192982456</v>
      </c>
      <c r="BO579" s="66"/>
      <c r="BP579" s="66">
        <f t="shared" si="495"/>
        <v>41883358</v>
      </c>
      <c r="BQ579" s="66"/>
      <c r="BR579" s="435">
        <f t="shared" si="496"/>
        <v>6.3709267479741455E-2</v>
      </c>
      <c r="BS579" s="66"/>
      <c r="BT579" s="75"/>
      <c r="BU579" s="170"/>
      <c r="BV579" s="1"/>
      <c r="BW579" s="61">
        <f t="shared" si="399"/>
        <v>570</v>
      </c>
    </row>
    <row r="580" spans="2:75" x14ac:dyDescent="0.3">
      <c r="B580" s="158">
        <f t="shared" si="448"/>
        <v>44480</v>
      </c>
      <c r="C580" s="61"/>
      <c r="D580" s="17">
        <v>64991</v>
      </c>
      <c r="E580" s="16"/>
      <c r="F580" s="16"/>
      <c r="G580" s="16"/>
      <c r="H580" s="16">
        <f t="shared" si="473"/>
        <v>42855327</v>
      </c>
      <c r="I580" s="16"/>
      <c r="J580" s="436">
        <f t="shared" si="474"/>
        <v>1.5188242504101861E-3</v>
      </c>
      <c r="K580" s="16"/>
      <c r="L580" s="16"/>
      <c r="M580" s="16"/>
      <c r="N580" s="16">
        <f t="shared" si="475"/>
        <v>549863</v>
      </c>
      <c r="O580" s="16">
        <f t="shared" si="476"/>
        <v>75053.112084063046</v>
      </c>
      <c r="P580" s="41"/>
      <c r="Q580" s="17">
        <f t="shared" si="477"/>
        <v>549863</v>
      </c>
      <c r="R580" s="16"/>
      <c r="S580" s="60">
        <f t="shared" si="478"/>
        <v>-9.9841041432362387E-2</v>
      </c>
      <c r="T580" s="16"/>
      <c r="U580" s="41"/>
      <c r="V580" s="10">
        <f t="shared" si="349"/>
        <v>472</v>
      </c>
      <c r="W580" s="34">
        <v>651</v>
      </c>
      <c r="X580" s="33">
        <v>4256</v>
      </c>
      <c r="Y580" s="33"/>
      <c r="Z580" s="33">
        <f t="shared" si="479"/>
        <v>7664</v>
      </c>
      <c r="AA580" s="33">
        <f t="shared" si="480"/>
        <v>686535</v>
      </c>
      <c r="AB580" s="33"/>
      <c r="AC580" s="46">
        <f t="shared" si="481"/>
        <v>1.6019828760144569E-2</v>
      </c>
      <c r="AD580" s="33"/>
      <c r="AE580" s="33">
        <f t="shared" si="482"/>
        <v>1202.3380035026269</v>
      </c>
      <c r="AF580" s="50"/>
      <c r="AG580" s="33">
        <f t="shared" si="483"/>
        <v>9475</v>
      </c>
      <c r="AH580" s="33">
        <f>SUM(D551:D1232)</f>
        <v>1188064608.060914</v>
      </c>
      <c r="AI580" s="213">
        <f t="shared" si="484"/>
        <v>1.4345359169253826E-2</v>
      </c>
      <c r="AJ580" s="50"/>
      <c r="AK580" s="111" t="s">
        <v>26</v>
      </c>
      <c r="AL580" s="23">
        <f t="shared" si="485"/>
        <v>150000</v>
      </c>
      <c r="AM580" s="24"/>
      <c r="AN580" s="24"/>
      <c r="AO580" s="24">
        <v>178263</v>
      </c>
      <c r="AP580" s="24">
        <f>+AP579+150000</f>
        <v>34814963</v>
      </c>
      <c r="AQ580" s="24">
        <v>20336656</v>
      </c>
      <c r="AR580" s="461">
        <f t="shared" si="486"/>
        <v>4.327135730679995E-3</v>
      </c>
      <c r="AS580" s="25"/>
      <c r="AT580" s="25"/>
      <c r="AU580" s="24"/>
      <c r="AV580" s="298">
        <f t="shared" si="487"/>
        <v>0.81238355735799195</v>
      </c>
      <c r="AW580" s="298"/>
      <c r="AX580" s="24">
        <f t="shared" si="488"/>
        <v>60971.914185639231</v>
      </c>
      <c r="AY580" s="308"/>
      <c r="AZ580" s="111" t="s">
        <v>26</v>
      </c>
      <c r="BA580" s="65">
        <f t="shared" si="489"/>
        <v>2200000</v>
      </c>
      <c r="BB580" s="66"/>
      <c r="BC580" s="66">
        <f>+BC579+2200000</f>
        <v>659613900</v>
      </c>
      <c r="BD580" s="66"/>
      <c r="BE580" s="66">
        <f t="shared" si="490"/>
        <v>64991</v>
      </c>
      <c r="BF580" s="66"/>
      <c r="BG580" s="144">
        <f t="shared" si="491"/>
        <v>2.9541363636363636E-2</v>
      </c>
      <c r="BH580" s="66"/>
      <c r="BI580" s="170"/>
      <c r="BJ580" s="66"/>
      <c r="BK580" s="66">
        <f t="shared" si="492"/>
        <v>10352556</v>
      </c>
      <c r="BL580" s="66"/>
      <c r="BM580" s="144">
        <f t="shared" si="493"/>
        <v>5.3113743118124647E-2</v>
      </c>
      <c r="BN580" s="65">
        <f t="shared" si="494"/>
        <v>1155190.7180385289</v>
      </c>
      <c r="BO580" s="66"/>
      <c r="BP580" s="66">
        <f t="shared" si="495"/>
        <v>41948349</v>
      </c>
      <c r="BQ580" s="66"/>
      <c r="BR580" s="435">
        <f t="shared" si="496"/>
        <v>6.359530780051785E-2</v>
      </c>
      <c r="BS580" s="66"/>
      <c r="BT580" s="75"/>
      <c r="BU580" s="170"/>
      <c r="BV580" s="1"/>
      <c r="BW580" s="61">
        <f t="shared" si="399"/>
        <v>571</v>
      </c>
    </row>
    <row r="581" spans="2:75" x14ac:dyDescent="0.3">
      <c r="B581" s="158">
        <f t="shared" si="448"/>
        <v>44481</v>
      </c>
      <c r="C581" s="61"/>
      <c r="D581" s="17">
        <v>92247</v>
      </c>
      <c r="E581" s="16"/>
      <c r="F581" s="16"/>
      <c r="G581" s="16"/>
      <c r="H581" s="16">
        <f t="shared" si="473"/>
        <v>42947574</v>
      </c>
      <c r="I581" s="16"/>
      <c r="J581" s="436">
        <f t="shared" si="474"/>
        <v>2.1525212023233422E-3</v>
      </c>
      <c r="K581" s="16"/>
      <c r="L581" s="16"/>
      <c r="M581" s="16"/>
      <c r="N581" s="16">
        <f t="shared" si="475"/>
        <v>547299</v>
      </c>
      <c r="O581" s="16">
        <f t="shared" si="476"/>
        <v>75083.171328671335</v>
      </c>
      <c r="P581" s="41"/>
      <c r="Q581" s="17">
        <f t="shared" si="477"/>
        <v>547299</v>
      </c>
      <c r="R581" s="16"/>
      <c r="S581" s="60">
        <f t="shared" si="478"/>
        <v>-8.7879085844184204E-2</v>
      </c>
      <c r="T581" s="16"/>
      <c r="U581" s="41"/>
      <c r="V581" s="10">
        <f t="shared" si="349"/>
        <v>473</v>
      </c>
      <c r="W581" s="34">
        <v>1597</v>
      </c>
      <c r="X581" s="33">
        <v>4256</v>
      </c>
      <c r="Y581" s="33"/>
      <c r="Z581" s="33">
        <f t="shared" si="479"/>
        <v>7159</v>
      </c>
      <c r="AA581" s="33">
        <f t="shared" si="480"/>
        <v>688132</v>
      </c>
      <c r="AB581" s="33"/>
      <c r="AC581" s="46">
        <f t="shared" si="481"/>
        <v>1.6022604676110459E-2</v>
      </c>
      <c r="AD581" s="33"/>
      <c r="AE581" s="33">
        <f t="shared" si="482"/>
        <v>1203.0279720279721</v>
      </c>
      <c r="AF581" s="50"/>
      <c r="AG581" s="33"/>
      <c r="AH581" s="33"/>
      <c r="AI581" s="213"/>
      <c r="AJ581" s="50"/>
      <c r="AK581" s="111" t="s">
        <v>26</v>
      </c>
      <c r="AL581" s="23">
        <f t="shared" si="485"/>
        <v>150000</v>
      </c>
      <c r="AM581" s="24"/>
      <c r="AN581" s="24"/>
      <c r="AO581" s="24">
        <v>178263</v>
      </c>
      <c r="AP581" s="24">
        <f>+AP580+150000</f>
        <v>34964963</v>
      </c>
      <c r="AQ581" s="24">
        <v>20336656</v>
      </c>
      <c r="AR581" s="461">
        <f t="shared" si="486"/>
        <v>4.3084922997045838E-3</v>
      </c>
      <c r="AS581" s="25"/>
      <c r="AT581" s="25"/>
      <c r="AU581" s="24"/>
      <c r="AV581" s="298">
        <f t="shared" si="487"/>
        <v>0.81413127083732362</v>
      </c>
      <c r="AW581" s="298"/>
      <c r="AX581" s="24">
        <f t="shared" si="488"/>
        <v>61127.557692307695</v>
      </c>
      <c r="AY581" s="308"/>
      <c r="AZ581" s="111" t="s">
        <v>26</v>
      </c>
      <c r="BA581" s="65">
        <f t="shared" si="489"/>
        <v>2200000</v>
      </c>
      <c r="BB581" s="66"/>
      <c r="BC581" s="66">
        <f>+BC580+2200000</f>
        <v>661813900</v>
      </c>
      <c r="BD581" s="66"/>
      <c r="BE581" s="66">
        <f t="shared" si="490"/>
        <v>92247</v>
      </c>
      <c r="BF581" s="66"/>
      <c r="BG581" s="144">
        <f t="shared" si="491"/>
        <v>4.1930454545454549E-2</v>
      </c>
      <c r="BH581" s="66"/>
      <c r="BI581" s="170"/>
      <c r="BJ581" s="66"/>
      <c r="BK581" s="66"/>
      <c r="BL581" s="66"/>
      <c r="BM581" s="144"/>
      <c r="BN581" s="65">
        <f t="shared" si="494"/>
        <v>1157017.3076923077</v>
      </c>
      <c r="BO581" s="66"/>
      <c r="BP581" s="66">
        <f t="shared" si="495"/>
        <v>42040596</v>
      </c>
      <c r="BQ581" s="66"/>
      <c r="BR581" s="435">
        <f t="shared" si="496"/>
        <v>6.3523289553150813E-2</v>
      </c>
      <c r="BS581" s="66"/>
      <c r="BT581" s="75"/>
      <c r="BU581" s="170"/>
      <c r="BV581" s="1"/>
      <c r="BW581" s="61">
        <f t="shared" si="399"/>
        <v>572</v>
      </c>
    </row>
    <row r="582" spans="2:75" x14ac:dyDescent="0.3">
      <c r="B582" s="158">
        <f t="shared" si="448"/>
        <v>44482</v>
      </c>
      <c r="C582" s="61"/>
      <c r="D582" s="17">
        <v>99775</v>
      </c>
      <c r="E582" s="16"/>
      <c r="F582" s="16"/>
      <c r="G582" s="16"/>
      <c r="H582" s="16">
        <f t="shared" si="473"/>
        <v>43047349</v>
      </c>
      <c r="I582" s="16"/>
      <c r="J582" s="436">
        <f t="shared" si="474"/>
        <v>2.3231812814386208E-3</v>
      </c>
      <c r="K582" s="16"/>
      <c r="L582" s="16"/>
      <c r="M582" s="16"/>
      <c r="N582" s="16">
        <f t="shared" si="475"/>
        <v>539087</v>
      </c>
      <c r="O582" s="16">
        <f t="shared" si="476"/>
        <v>75126.263525305403</v>
      </c>
      <c r="P582" s="41"/>
      <c r="Q582" s="17">
        <f t="shared" si="477"/>
        <v>539087</v>
      </c>
      <c r="R582" s="16"/>
      <c r="S582" s="60">
        <f t="shared" si="478"/>
        <v>-7.8074015801894853E-2</v>
      </c>
      <c r="T582" s="16"/>
      <c r="U582" s="41"/>
      <c r="V582" s="10">
        <f t="shared" si="349"/>
        <v>474</v>
      </c>
      <c r="W582" s="34">
        <v>1819</v>
      </c>
      <c r="X582" s="33">
        <v>4256</v>
      </c>
      <c r="Y582" s="33"/>
      <c r="Z582" s="33">
        <f t="shared" si="479"/>
        <v>7102</v>
      </c>
      <c r="AA582" s="33">
        <f t="shared" si="480"/>
        <v>689951</v>
      </c>
      <c r="AB582" s="33"/>
      <c r="AC582" s="46">
        <f t="shared" si="481"/>
        <v>1.6027723333206883E-2</v>
      </c>
      <c r="AD582" s="33"/>
      <c r="AE582" s="33">
        <f t="shared" si="482"/>
        <v>1204.1029668411868</v>
      </c>
      <c r="AF582" s="50"/>
      <c r="AG582" s="33"/>
      <c r="AH582" s="33"/>
      <c r="AI582" s="213"/>
      <c r="AJ582" s="50"/>
      <c r="AK582" s="111"/>
      <c r="AL582" s="23">
        <f t="shared" si="485"/>
        <v>142489</v>
      </c>
      <c r="AM582" s="24"/>
      <c r="AN582" s="24"/>
      <c r="AO582" s="24">
        <v>178263</v>
      </c>
      <c r="AP582" s="24">
        <v>35107452</v>
      </c>
      <c r="AQ582" s="24">
        <v>20336656</v>
      </c>
      <c r="AR582" s="461">
        <f t="shared" si="486"/>
        <v>4.0751937875638539E-3</v>
      </c>
      <c r="AS582" s="25"/>
      <c r="AT582" s="25"/>
      <c r="AU582" s="24"/>
      <c r="AV582" s="298">
        <f t="shared" si="487"/>
        <v>0.81555433297413971</v>
      </c>
      <c r="AW582" s="298"/>
      <c r="AX582" s="24">
        <f t="shared" si="488"/>
        <v>61269.549738219896</v>
      </c>
      <c r="AY582" s="308"/>
      <c r="AZ582" s="111"/>
      <c r="BA582" s="65">
        <f t="shared" si="489"/>
        <v>2261407</v>
      </c>
      <c r="BB582" s="66"/>
      <c r="BC582" s="66">
        <v>664075307</v>
      </c>
      <c r="BD582" s="66"/>
      <c r="BE582" s="66">
        <f t="shared" si="490"/>
        <v>99775</v>
      </c>
      <c r="BF582" s="66"/>
      <c r="BG582" s="144">
        <f t="shared" si="491"/>
        <v>4.4120761985790263E-2</v>
      </c>
      <c r="BH582" s="66"/>
      <c r="BI582" s="170"/>
      <c r="BJ582" s="66"/>
      <c r="BK582" s="66"/>
      <c r="BL582" s="66"/>
      <c r="BM582" s="144"/>
      <c r="BN582" s="65">
        <f t="shared" si="494"/>
        <v>1158944.6893542758</v>
      </c>
      <c r="BO582" s="66"/>
      <c r="BP582" s="66">
        <f t="shared" si="495"/>
        <v>42140371</v>
      </c>
      <c r="BQ582" s="66"/>
      <c r="BR582" s="435">
        <f t="shared" si="496"/>
        <v>6.3457217209854783E-2</v>
      </c>
      <c r="BS582" s="66"/>
      <c r="BT582" s="75"/>
      <c r="BU582" s="170"/>
      <c r="BV582" s="1"/>
      <c r="BW582" s="61">
        <f t="shared" si="399"/>
        <v>573</v>
      </c>
    </row>
    <row r="583" spans="2:75" x14ac:dyDescent="0.3">
      <c r="B583" s="158">
        <f t="shared" si="448"/>
        <v>44483</v>
      </c>
      <c r="C583" s="61"/>
      <c r="D583" s="17">
        <v>89680</v>
      </c>
      <c r="E583" s="16"/>
      <c r="F583" s="16"/>
      <c r="G583" s="16"/>
      <c r="H583" s="16">
        <f t="shared" si="473"/>
        <v>43137029</v>
      </c>
      <c r="I583" s="16"/>
      <c r="J583" s="436">
        <f t="shared" si="474"/>
        <v>2.0832874052244192E-3</v>
      </c>
      <c r="K583" s="16"/>
      <c r="L583" s="16"/>
      <c r="M583" s="16"/>
      <c r="N583" s="16">
        <f t="shared" si="475"/>
        <v>520042</v>
      </c>
      <c r="O583" s="16">
        <f t="shared" si="476"/>
        <v>75151.618466898959</v>
      </c>
      <c r="P583" s="41"/>
      <c r="Q583" s="17">
        <f t="shared" si="477"/>
        <v>520042</v>
      </c>
      <c r="R583" s="16"/>
      <c r="S583" s="60">
        <f t="shared" si="478"/>
        <v>-0.10266882698954176</v>
      </c>
      <c r="T583" s="16"/>
      <c r="U583" s="41"/>
      <c r="V583" s="10">
        <f t="shared" si="349"/>
        <v>475</v>
      </c>
      <c r="W583" s="34">
        <v>1654</v>
      </c>
      <c r="X583" s="33">
        <v>4256</v>
      </c>
      <c r="Y583" s="33"/>
      <c r="Z583" s="33">
        <f t="shared" si="479"/>
        <v>6819</v>
      </c>
      <c r="AA583" s="33">
        <f t="shared" si="480"/>
        <v>691605</v>
      </c>
      <c r="AB583" s="33"/>
      <c r="AC583" s="46">
        <f t="shared" si="481"/>
        <v>1.6032745324208581E-2</v>
      </c>
      <c r="AD583" s="33"/>
      <c r="AE583" s="33">
        <f t="shared" si="482"/>
        <v>1204.8867595818815</v>
      </c>
      <c r="AF583" s="50"/>
      <c r="AG583" s="33"/>
      <c r="AH583" s="33"/>
      <c r="AI583" s="213"/>
      <c r="AJ583" s="50"/>
      <c r="AK583" s="111"/>
      <c r="AL583" s="23">
        <f t="shared" si="485"/>
        <v>97806</v>
      </c>
      <c r="AM583" s="24"/>
      <c r="AN583" s="24"/>
      <c r="AO583" s="24">
        <v>178263</v>
      </c>
      <c r="AP583" s="24">
        <v>35205258</v>
      </c>
      <c r="AQ583" s="24">
        <v>20336656</v>
      </c>
      <c r="AR583" s="461">
        <f t="shared" si="486"/>
        <v>2.7859042575918069E-3</v>
      </c>
      <c r="AS583" s="25"/>
      <c r="AT583" s="25"/>
      <c r="AU583" s="24"/>
      <c r="AV583" s="298">
        <f t="shared" si="487"/>
        <v>0.81612616390433379</v>
      </c>
      <c r="AW583" s="298"/>
      <c r="AX583" s="24">
        <f t="shared" si="488"/>
        <v>61333.202090592335</v>
      </c>
      <c r="AY583" s="308"/>
      <c r="AZ583" s="111"/>
      <c r="BA583" s="65">
        <f t="shared" si="489"/>
        <v>1805837</v>
      </c>
      <c r="BB583" s="66"/>
      <c r="BC583" s="66">
        <v>665881144</v>
      </c>
      <c r="BD583" s="66"/>
      <c r="BE583" s="66">
        <f t="shared" si="490"/>
        <v>89680</v>
      </c>
      <c r="BF583" s="66"/>
      <c r="BG583" s="144">
        <f t="shared" si="491"/>
        <v>4.9661182044669593E-2</v>
      </c>
      <c r="BH583" s="66"/>
      <c r="BI583" s="170"/>
      <c r="BJ583" s="66"/>
      <c r="BK583" s="66"/>
      <c r="BL583" s="66"/>
      <c r="BM583" s="144"/>
      <c r="BN583" s="65">
        <f t="shared" si="494"/>
        <v>1160071.6794425086</v>
      </c>
      <c r="BO583" s="66"/>
      <c r="BP583" s="66">
        <f t="shared" si="495"/>
        <v>42230051</v>
      </c>
      <c r="BQ583" s="66"/>
      <c r="BR583" s="435">
        <f t="shared" si="496"/>
        <v>6.3419803039204248E-2</v>
      </c>
      <c r="BS583" s="66"/>
      <c r="BT583" s="75"/>
      <c r="BU583" s="170"/>
      <c r="BV583" s="1"/>
      <c r="BW583" s="61">
        <f t="shared" si="399"/>
        <v>574</v>
      </c>
    </row>
    <row r="584" spans="2:75" x14ac:dyDescent="0.3">
      <c r="B584" s="158">
        <f t="shared" si="448"/>
        <v>44484</v>
      </c>
      <c r="C584" s="61"/>
      <c r="D584" s="17">
        <v>92966</v>
      </c>
      <c r="E584" s="16"/>
      <c r="F584" s="16"/>
      <c r="G584" s="16"/>
      <c r="H584" s="16">
        <f t="shared" ref="H584:H615" si="497">+H583+D584</f>
        <v>43229995</v>
      </c>
      <c r="I584" s="16"/>
      <c r="J584" s="436">
        <f t="shared" ref="J584:J615" si="498">+D584/H583</f>
        <v>2.1551321951263727E-3</v>
      </c>
      <c r="K584" s="16"/>
      <c r="L584" s="16"/>
      <c r="M584" s="16"/>
      <c r="N584" s="16">
        <f t="shared" ref="N584:N615" si="499">SUM(D578:D584)</f>
        <v>506710</v>
      </c>
      <c r="O584" s="16">
        <f t="shared" ref="O584:O615" si="500">+H584/BW584</f>
        <v>75182.600000000006</v>
      </c>
      <c r="P584" s="41"/>
      <c r="Q584" s="17">
        <f t="shared" ref="Q584:Q615" si="501">SUM(D578:D584)</f>
        <v>506710</v>
      </c>
      <c r="R584" s="16"/>
      <c r="S584" s="60">
        <f t="shared" ref="S584:S615" si="502">+(Q584-Q577)/Q577</f>
        <v>-0.10311258219535724</v>
      </c>
      <c r="T584" s="16"/>
      <c r="U584" s="41"/>
      <c r="V584" s="10">
        <f t="shared" si="349"/>
        <v>476</v>
      </c>
      <c r="W584" s="34">
        <v>1705</v>
      </c>
      <c r="X584" s="33">
        <v>4256</v>
      </c>
      <c r="Y584" s="33"/>
      <c r="Z584" s="33">
        <f t="shared" ref="Z584:Z615" si="503">SUM(W579:W584)</f>
        <v>7943</v>
      </c>
      <c r="AA584" s="33">
        <f t="shared" ref="AA584:AA615" si="504">+AA583+W584</f>
        <v>693310</v>
      </c>
      <c r="AB584" s="33"/>
      <c r="AC584" s="46">
        <f t="shared" ref="AC584:AC615" si="505">+AA584/H584</f>
        <v>1.6037707152175243E-2</v>
      </c>
      <c r="AD584" s="33"/>
      <c r="AE584" s="33">
        <f t="shared" ref="AE584:AE615" si="506">+AA584/BW584</f>
        <v>1205.7565217391304</v>
      </c>
      <c r="AF584" s="50"/>
      <c r="AG584" s="33"/>
      <c r="AH584" s="33"/>
      <c r="AI584" s="213"/>
      <c r="AJ584" s="50"/>
      <c r="AK584" s="111"/>
      <c r="AL584" s="23">
        <f t="shared" ref="AL584:AL615" si="507">+AP584-AP583</f>
        <v>98839</v>
      </c>
      <c r="AM584" s="24"/>
      <c r="AN584" s="24"/>
      <c r="AO584" s="24">
        <v>178263</v>
      </c>
      <c r="AP584" s="24">
        <v>35304097</v>
      </c>
      <c r="AQ584" s="24">
        <v>20336656</v>
      </c>
      <c r="AR584" s="461">
        <f t="shared" ref="AR584:AR615" si="508">+AL584/AP583</f>
        <v>2.8075067650406085E-3</v>
      </c>
      <c r="AS584" s="25"/>
      <c r="AT584" s="25"/>
      <c r="AU584" s="24"/>
      <c r="AV584" s="298">
        <f t="shared" ref="AV584:AV615" si="509">+AP584/H584</f>
        <v>0.81665743889167697</v>
      </c>
      <c r="AW584" s="298"/>
      <c r="AX584" s="24">
        <f t="shared" ref="AX584:AX615" si="510">+AP584/BW584</f>
        <v>61398.42956521739</v>
      </c>
      <c r="AY584" s="308"/>
      <c r="AZ584" s="111"/>
      <c r="BA584" s="65">
        <f t="shared" ref="BA584:BA615" si="511">+BC584-BC583</f>
        <v>1950623</v>
      </c>
      <c r="BB584" s="66"/>
      <c r="BC584" s="66">
        <v>667831767</v>
      </c>
      <c r="BD584" s="66"/>
      <c r="BE584" s="66">
        <f t="shared" ref="BE584:BE615" si="512">+D584</f>
        <v>92966</v>
      </c>
      <c r="BF584" s="66"/>
      <c r="BG584" s="144">
        <f t="shared" ref="BG584:BG615" si="513">+BE584/BA584</f>
        <v>4.7659645149267696E-2</v>
      </c>
      <c r="BH584" s="66"/>
      <c r="BI584" s="170"/>
      <c r="BJ584" s="66"/>
      <c r="BK584" s="66"/>
      <c r="BL584" s="66"/>
      <c r="BM584" s="144"/>
      <c r="BN584" s="65">
        <f t="shared" ref="BN584:BN615" si="514">+BC584/BW584</f>
        <v>1161446.5513043478</v>
      </c>
      <c r="BO584" s="66"/>
      <c r="BP584" s="66">
        <f t="shared" ref="BP584:BP615" si="515">+BP583+BE584</f>
        <v>42323017</v>
      </c>
      <c r="BQ584" s="66"/>
      <c r="BR584" s="435">
        <f t="shared" ref="BR584:BR615" si="516">+BP584/BC584</f>
        <v>6.3373770298650683E-2</v>
      </c>
      <c r="BS584" s="66"/>
      <c r="BT584" s="75"/>
      <c r="BU584" s="170"/>
      <c r="BV584" s="1"/>
      <c r="BW584" s="61">
        <f t="shared" si="399"/>
        <v>575</v>
      </c>
    </row>
    <row r="585" spans="2:75" x14ac:dyDescent="0.3">
      <c r="B585" s="158">
        <f t="shared" si="448"/>
        <v>44485</v>
      </c>
      <c r="C585" s="61"/>
      <c r="D585" s="17">
        <v>33910</v>
      </c>
      <c r="E585" s="16"/>
      <c r="F585" s="16"/>
      <c r="G585" s="16"/>
      <c r="H585" s="16">
        <f t="shared" si="497"/>
        <v>43263905</v>
      </c>
      <c r="I585" s="16"/>
      <c r="J585" s="436">
        <f t="shared" si="498"/>
        <v>7.8440906597375274E-4</v>
      </c>
      <c r="K585" s="16"/>
      <c r="L585" s="16"/>
      <c r="M585" s="16"/>
      <c r="N585" s="16">
        <f t="shared" si="499"/>
        <v>498263</v>
      </c>
      <c r="O585" s="16">
        <f t="shared" si="500"/>
        <v>75110.946180555562</v>
      </c>
      <c r="P585" s="41"/>
      <c r="Q585" s="17">
        <f t="shared" si="501"/>
        <v>498263</v>
      </c>
      <c r="R585" s="16"/>
      <c r="S585" s="60">
        <f t="shared" si="502"/>
        <v>-0.11157727694173027</v>
      </c>
      <c r="T585" s="16"/>
      <c r="U585" s="41"/>
      <c r="V585" s="10">
        <f t="shared" si="349"/>
        <v>477</v>
      </c>
      <c r="W585" s="34">
        <v>464</v>
      </c>
      <c r="X585" s="33">
        <v>4256</v>
      </c>
      <c r="Y585" s="33"/>
      <c r="Z585" s="33">
        <f t="shared" si="503"/>
        <v>7890</v>
      </c>
      <c r="AA585" s="33">
        <f t="shared" si="504"/>
        <v>693774</v>
      </c>
      <c r="AB585" s="33"/>
      <c r="AC585" s="46">
        <f t="shared" si="505"/>
        <v>1.603586176513655E-2</v>
      </c>
      <c r="AD585" s="33"/>
      <c r="AE585" s="33">
        <f t="shared" si="506"/>
        <v>1204.46875</v>
      </c>
      <c r="AF585" s="50"/>
      <c r="AG585" s="33"/>
      <c r="AH585" s="33"/>
      <c r="AI585" s="213"/>
      <c r="AJ585" s="50"/>
      <c r="AK585" s="111"/>
      <c r="AL585" s="23">
        <f t="shared" si="507"/>
        <v>48246</v>
      </c>
      <c r="AM585" s="24"/>
      <c r="AN585" s="24"/>
      <c r="AO585" s="24">
        <v>178263</v>
      </c>
      <c r="AP585" s="24">
        <v>35352343</v>
      </c>
      <c r="AQ585" s="24">
        <v>20336656</v>
      </c>
      <c r="AR585" s="461">
        <f t="shared" si="508"/>
        <v>1.3665836007645232E-3</v>
      </c>
      <c r="AS585" s="25"/>
      <c r="AT585" s="25"/>
      <c r="AU585" s="24"/>
      <c r="AV585" s="298">
        <f t="shared" si="509"/>
        <v>0.81713250341133103</v>
      </c>
      <c r="AW585" s="298"/>
      <c r="AX585" s="24">
        <f t="shared" si="510"/>
        <v>61375.595486111109</v>
      </c>
      <c r="AY585" s="308"/>
      <c r="AZ585" s="111"/>
      <c r="BA585" s="65">
        <f t="shared" si="511"/>
        <v>543948</v>
      </c>
      <c r="BB585" s="66"/>
      <c r="BC585" s="66">
        <v>668375715</v>
      </c>
      <c r="BD585" s="66"/>
      <c r="BE585" s="66">
        <f t="shared" si="512"/>
        <v>33910</v>
      </c>
      <c r="BF585" s="66"/>
      <c r="BG585" s="144">
        <f t="shared" si="513"/>
        <v>6.2340517843617403E-2</v>
      </c>
      <c r="BH585" s="66"/>
      <c r="BI585" s="170"/>
      <c r="BJ585" s="66"/>
      <c r="BK585" s="66"/>
      <c r="BL585" s="66"/>
      <c r="BM585" s="144"/>
      <c r="BN585" s="65">
        <f t="shared" si="514"/>
        <v>1160374.5052083333</v>
      </c>
      <c r="BO585" s="66"/>
      <c r="BP585" s="66">
        <f t="shared" si="515"/>
        <v>42356927</v>
      </c>
      <c r="BQ585" s="66"/>
      <c r="BR585" s="435">
        <f t="shared" si="516"/>
        <v>6.3372929400943301E-2</v>
      </c>
      <c r="BS585" s="66"/>
      <c r="BT585" s="75"/>
      <c r="BU585" s="170"/>
      <c r="BV585" s="1"/>
      <c r="BW585" s="61">
        <f t="shared" si="399"/>
        <v>576</v>
      </c>
    </row>
    <row r="586" spans="2:75" x14ac:dyDescent="0.3">
      <c r="B586" s="347">
        <f t="shared" si="448"/>
        <v>44486</v>
      </c>
      <c r="C586" s="61"/>
      <c r="D586" s="17">
        <v>17947</v>
      </c>
      <c r="E586" s="16"/>
      <c r="F586" s="16"/>
      <c r="G586" s="16"/>
      <c r="H586" s="16">
        <f t="shared" si="497"/>
        <v>43281852</v>
      </c>
      <c r="I586" s="16"/>
      <c r="J586" s="436">
        <f t="shared" si="498"/>
        <v>4.1482616975975701E-4</v>
      </c>
      <c r="K586" s="16"/>
      <c r="L586" s="16"/>
      <c r="M586" s="16"/>
      <c r="N586" s="16">
        <f t="shared" si="499"/>
        <v>491516</v>
      </c>
      <c r="O586" s="16">
        <f t="shared" si="500"/>
        <v>75011.875216637782</v>
      </c>
      <c r="P586" s="41"/>
      <c r="Q586" s="17">
        <f t="shared" si="501"/>
        <v>491516</v>
      </c>
      <c r="R586" s="16"/>
      <c r="S586" s="60">
        <f t="shared" si="502"/>
        <v>-0.12009466506504643</v>
      </c>
      <c r="T586" s="16"/>
      <c r="U586" s="41"/>
      <c r="V586" s="10">
        <f t="shared" si="349"/>
        <v>478</v>
      </c>
      <c r="W586" s="34">
        <v>161</v>
      </c>
      <c r="X586" s="33">
        <v>4256</v>
      </c>
      <c r="Y586" s="33"/>
      <c r="Z586" s="33">
        <f t="shared" si="503"/>
        <v>7400</v>
      </c>
      <c r="AA586" s="33">
        <f t="shared" si="504"/>
        <v>693935</v>
      </c>
      <c r="AB586" s="33"/>
      <c r="AC586" s="46">
        <f t="shared" si="505"/>
        <v>1.6032932232197459E-2</v>
      </c>
      <c r="AD586" s="33"/>
      <c r="AE586" s="33">
        <f t="shared" si="506"/>
        <v>1202.6603119584056</v>
      </c>
      <c r="AF586" s="50"/>
      <c r="AG586" s="33"/>
      <c r="AH586" s="33"/>
      <c r="AI586" s="213"/>
      <c r="AJ586" s="50"/>
      <c r="AK586" s="111"/>
      <c r="AL586" s="23">
        <f t="shared" si="507"/>
        <v>22252</v>
      </c>
      <c r="AM586" s="24"/>
      <c r="AN586" s="24"/>
      <c r="AO586" s="24">
        <v>178263</v>
      </c>
      <c r="AP586" s="24">
        <v>35374595</v>
      </c>
      <c r="AQ586" s="24">
        <v>20336656</v>
      </c>
      <c r="AR586" s="461">
        <f t="shared" si="508"/>
        <v>6.294349429682779E-4</v>
      </c>
      <c r="AS586" s="25"/>
      <c r="AT586" s="25"/>
      <c r="AU586" s="24"/>
      <c r="AV586" s="298">
        <f t="shared" si="509"/>
        <v>0.81730779450010593</v>
      </c>
      <c r="AW586" s="298"/>
      <c r="AX586" s="24">
        <f t="shared" si="510"/>
        <v>61307.790294627383</v>
      </c>
      <c r="AY586" s="308"/>
      <c r="AZ586" s="111"/>
      <c r="BA586" s="65">
        <f t="shared" si="511"/>
        <v>393976</v>
      </c>
      <c r="BB586" s="66"/>
      <c r="BC586" s="66">
        <v>668769691</v>
      </c>
      <c r="BD586" s="66"/>
      <c r="BE586" s="66">
        <f t="shared" si="512"/>
        <v>17947</v>
      </c>
      <c r="BF586" s="66"/>
      <c r="BG586" s="144">
        <f t="shared" si="513"/>
        <v>4.5553536256015596E-2</v>
      </c>
      <c r="BH586" s="66"/>
      <c r="BI586" s="170"/>
      <c r="BJ586" s="66"/>
      <c r="BK586" s="66"/>
      <c r="BL586" s="66"/>
      <c r="BM586" s="144"/>
      <c r="BN586" s="65">
        <f t="shared" si="514"/>
        <v>1159046.2582322357</v>
      </c>
      <c r="BO586" s="66"/>
      <c r="BP586" s="66">
        <f t="shared" si="515"/>
        <v>42374874</v>
      </c>
      <c r="BQ586" s="66"/>
      <c r="BR586" s="435">
        <f t="shared" si="516"/>
        <v>6.3362431895855761E-2</v>
      </c>
      <c r="BS586" s="66"/>
      <c r="BT586" s="75"/>
      <c r="BU586" s="170"/>
      <c r="BV586" s="1"/>
      <c r="BW586" s="61">
        <f t="shared" si="399"/>
        <v>577</v>
      </c>
    </row>
    <row r="587" spans="2:75" x14ac:dyDescent="0.3">
      <c r="B587" s="158">
        <f t="shared" si="448"/>
        <v>44487</v>
      </c>
      <c r="C587" s="61"/>
      <c r="D587" s="17">
        <v>53135</v>
      </c>
      <c r="E587" s="16"/>
      <c r="F587" s="16"/>
      <c r="G587" s="16"/>
      <c r="H587" s="16">
        <f t="shared" si="497"/>
        <v>43334987</v>
      </c>
      <c r="I587" s="16"/>
      <c r="J587" s="436">
        <f t="shared" si="498"/>
        <v>1.2276507946101752E-3</v>
      </c>
      <c r="K587" s="16"/>
      <c r="L587" s="16"/>
      <c r="M587" s="16"/>
      <c r="N587" s="16">
        <f t="shared" si="499"/>
        <v>479660</v>
      </c>
      <c r="O587" s="16">
        <f t="shared" si="500"/>
        <v>74974.025951557094</v>
      </c>
      <c r="P587" s="41"/>
      <c r="Q587" s="17">
        <f t="shared" si="501"/>
        <v>479660</v>
      </c>
      <c r="R587" s="16"/>
      <c r="S587" s="60">
        <f t="shared" si="502"/>
        <v>-0.12767362052002043</v>
      </c>
      <c r="T587" s="16"/>
      <c r="U587" s="41"/>
      <c r="V587" s="10">
        <f t="shared" si="349"/>
        <v>479</v>
      </c>
      <c r="W587" s="34">
        <v>684</v>
      </c>
      <c r="X587" s="33">
        <v>4256</v>
      </c>
      <c r="Y587" s="33"/>
      <c r="Z587" s="33">
        <f t="shared" si="503"/>
        <v>6487</v>
      </c>
      <c r="AA587" s="33">
        <f t="shared" si="504"/>
        <v>694619</v>
      </c>
      <c r="AB587" s="33"/>
      <c r="AC587" s="46">
        <f t="shared" si="505"/>
        <v>1.602905753727352E-2</v>
      </c>
      <c r="AD587" s="33"/>
      <c r="AE587" s="33">
        <f t="shared" si="506"/>
        <v>1201.7629757785467</v>
      </c>
      <c r="AF587" s="50"/>
      <c r="AG587" s="33"/>
      <c r="AH587" s="33"/>
      <c r="AI587" s="213"/>
      <c r="AJ587" s="50"/>
      <c r="AK587" s="111"/>
      <c r="AL587" s="23">
        <f t="shared" si="507"/>
        <v>198915</v>
      </c>
      <c r="AM587" s="24"/>
      <c r="AN587" s="24"/>
      <c r="AO587" s="24">
        <v>178263</v>
      </c>
      <c r="AP587" s="24">
        <v>35573510</v>
      </c>
      <c r="AQ587" s="24">
        <v>20336656</v>
      </c>
      <c r="AR587" s="461">
        <f t="shared" si="508"/>
        <v>5.6231032468357593E-3</v>
      </c>
      <c r="AS587" s="25"/>
      <c r="AT587" s="25"/>
      <c r="AU587" s="24"/>
      <c r="AV587" s="298">
        <f t="shared" si="509"/>
        <v>0.82089582719847132</v>
      </c>
      <c r="AW587" s="298"/>
      <c r="AX587" s="24">
        <f t="shared" si="510"/>
        <v>61545.865051903114</v>
      </c>
      <c r="AY587" s="308"/>
      <c r="AZ587" s="111"/>
      <c r="BA587" s="65">
        <f t="shared" si="511"/>
        <v>3763587</v>
      </c>
      <c r="BB587" s="66"/>
      <c r="BC587" s="66">
        <v>672533278</v>
      </c>
      <c r="BD587" s="66"/>
      <c r="BE587" s="66">
        <f t="shared" si="512"/>
        <v>53135</v>
      </c>
      <c r="BF587" s="66"/>
      <c r="BG587" s="144">
        <f t="shared" si="513"/>
        <v>1.4118180342317051E-2</v>
      </c>
      <c r="BH587" s="66"/>
      <c r="BI587" s="170"/>
      <c r="BJ587" s="66"/>
      <c r="BK587" s="66"/>
      <c r="BL587" s="66"/>
      <c r="BM587" s="144"/>
      <c r="BN587" s="65">
        <f t="shared" si="514"/>
        <v>1163552.3840830449</v>
      </c>
      <c r="BO587" s="66"/>
      <c r="BP587" s="66">
        <f t="shared" si="515"/>
        <v>42428009</v>
      </c>
      <c r="BQ587" s="66"/>
      <c r="BR587" s="435">
        <f t="shared" si="516"/>
        <v>6.3086854417336358E-2</v>
      </c>
      <c r="BS587" s="66"/>
      <c r="BT587" s="75"/>
      <c r="BU587" s="170"/>
      <c r="BV587" s="1"/>
      <c r="BW587" s="61">
        <f t="shared" si="399"/>
        <v>578</v>
      </c>
    </row>
    <row r="588" spans="2:75" x14ac:dyDescent="0.3">
      <c r="B588" s="158">
        <f t="shared" si="448"/>
        <v>44488</v>
      </c>
      <c r="C588" s="61"/>
      <c r="D588" s="17">
        <v>71809</v>
      </c>
      <c r="E588" s="16"/>
      <c r="F588" s="16"/>
      <c r="G588" s="16"/>
      <c r="H588" s="16">
        <f t="shared" si="497"/>
        <v>43406796</v>
      </c>
      <c r="I588" s="16"/>
      <c r="J588" s="436">
        <f t="shared" si="498"/>
        <v>1.6570675329843759E-3</v>
      </c>
      <c r="K588" s="16"/>
      <c r="L588" s="16"/>
      <c r="M588" s="16"/>
      <c r="N588" s="16">
        <f t="shared" si="499"/>
        <v>459222</v>
      </c>
      <c r="O588" s="16">
        <f t="shared" si="500"/>
        <v>74968.559585492229</v>
      </c>
      <c r="P588" s="41"/>
      <c r="Q588" s="17">
        <f t="shared" si="501"/>
        <v>459222</v>
      </c>
      <c r="R588" s="16"/>
      <c r="S588" s="60">
        <f t="shared" si="502"/>
        <v>-0.16093031414272638</v>
      </c>
      <c r="T588" s="16"/>
      <c r="U588" s="41"/>
      <c r="V588" s="10">
        <f t="shared" si="349"/>
        <v>480</v>
      </c>
      <c r="W588" s="34">
        <v>1563</v>
      </c>
      <c r="X588" s="33">
        <v>4256</v>
      </c>
      <c r="Y588" s="33"/>
      <c r="Z588" s="33">
        <f t="shared" si="503"/>
        <v>6231</v>
      </c>
      <c r="AA588" s="33">
        <f t="shared" si="504"/>
        <v>696182</v>
      </c>
      <c r="AB588" s="33"/>
      <c r="AC588" s="46">
        <f t="shared" si="505"/>
        <v>1.6038548433752169E-2</v>
      </c>
      <c r="AD588" s="33"/>
      <c r="AE588" s="33">
        <f t="shared" si="506"/>
        <v>1202.3868739205527</v>
      </c>
      <c r="AF588" s="50"/>
      <c r="AG588" s="33"/>
      <c r="AH588" s="33"/>
      <c r="AI588" s="213"/>
      <c r="AJ588" s="50"/>
      <c r="AK588" s="111"/>
      <c r="AL588" s="23">
        <f t="shared" si="507"/>
        <v>136821</v>
      </c>
      <c r="AM588" s="24"/>
      <c r="AN588" s="24"/>
      <c r="AO588" s="24">
        <v>178263</v>
      </c>
      <c r="AP588" s="24">
        <v>35710331</v>
      </c>
      <c r="AQ588" s="24">
        <v>20336656</v>
      </c>
      <c r="AR588" s="461">
        <f t="shared" si="508"/>
        <v>3.8461484402298228E-3</v>
      </c>
      <c r="AS588" s="25"/>
      <c r="AT588" s="25"/>
      <c r="AU588" s="24"/>
      <c r="AV588" s="298">
        <f t="shared" si="509"/>
        <v>0.82268986174423009</v>
      </c>
      <c r="AW588" s="298"/>
      <c r="AX588" s="24">
        <f t="shared" si="510"/>
        <v>61675.87392055268</v>
      </c>
      <c r="AY588" s="308"/>
      <c r="AZ588" s="111"/>
      <c r="BA588" s="65">
        <f t="shared" si="511"/>
        <v>1445773</v>
      </c>
      <c r="BB588" s="66"/>
      <c r="BC588" s="66">
        <v>673979051</v>
      </c>
      <c r="BD588" s="66"/>
      <c r="BE588" s="66">
        <f t="shared" si="512"/>
        <v>71809</v>
      </c>
      <c r="BF588" s="66"/>
      <c r="BG588" s="144">
        <f t="shared" si="513"/>
        <v>4.9668239758246975E-2</v>
      </c>
      <c r="BH588" s="66"/>
      <c r="BI588" s="170"/>
      <c r="BJ588" s="66"/>
      <c r="BK588" s="66"/>
      <c r="BL588" s="66"/>
      <c r="BM588" s="144"/>
      <c r="BN588" s="65">
        <f t="shared" si="514"/>
        <v>1164039.8117443868</v>
      </c>
      <c r="BO588" s="66"/>
      <c r="BP588" s="66">
        <f t="shared" si="515"/>
        <v>42499818</v>
      </c>
      <c r="BQ588" s="66"/>
      <c r="BR588" s="435">
        <f t="shared" si="516"/>
        <v>6.3058069738134936E-2</v>
      </c>
      <c r="BS588" s="66"/>
      <c r="BT588" s="75"/>
      <c r="BU588" s="170"/>
      <c r="BV588" s="1"/>
      <c r="BW588" s="61">
        <f t="shared" si="399"/>
        <v>579</v>
      </c>
    </row>
    <row r="589" spans="2:75" x14ac:dyDescent="0.3">
      <c r="B589" s="158">
        <f t="shared" si="448"/>
        <v>44489</v>
      </c>
      <c r="C589" s="61"/>
      <c r="D589" s="17">
        <v>80425</v>
      </c>
      <c r="E589" s="16"/>
      <c r="F589" s="16"/>
      <c r="G589" s="16"/>
      <c r="H589" s="16">
        <f t="shared" si="497"/>
        <v>43487221</v>
      </c>
      <c r="I589" s="16"/>
      <c r="J589" s="436">
        <f t="shared" si="498"/>
        <v>1.8528204661776926E-3</v>
      </c>
      <c r="K589" s="16"/>
      <c r="L589" s="16"/>
      <c r="M589" s="16"/>
      <c r="N589" s="16">
        <f t="shared" si="499"/>
        <v>439872</v>
      </c>
      <c r="O589" s="16">
        <f t="shared" si="500"/>
        <v>74977.967241379316</v>
      </c>
      <c r="P589" s="41"/>
      <c r="Q589" s="17">
        <f t="shared" si="501"/>
        <v>439872</v>
      </c>
      <c r="R589" s="16"/>
      <c r="S589" s="60">
        <f t="shared" si="502"/>
        <v>-0.18404264988768046</v>
      </c>
      <c r="T589" s="16"/>
      <c r="U589" s="41"/>
      <c r="V589" s="10">
        <f t="shared" si="349"/>
        <v>481</v>
      </c>
      <c r="W589" s="34">
        <v>2005</v>
      </c>
      <c r="X589" s="33">
        <v>4256</v>
      </c>
      <c r="Y589" s="33"/>
      <c r="Z589" s="33">
        <f t="shared" si="503"/>
        <v>6582</v>
      </c>
      <c r="AA589" s="33">
        <f t="shared" si="504"/>
        <v>698187</v>
      </c>
      <c r="AB589" s="33"/>
      <c r="AC589" s="46">
        <f t="shared" si="505"/>
        <v>1.60549923390138E-2</v>
      </c>
      <c r="AD589" s="33"/>
      <c r="AE589" s="33">
        <f t="shared" si="506"/>
        <v>1203.7706896551724</v>
      </c>
      <c r="AF589" s="50"/>
      <c r="AG589" s="33"/>
      <c r="AH589" s="33"/>
      <c r="AI589" s="213"/>
      <c r="AJ589" s="50"/>
      <c r="AK589" s="111"/>
      <c r="AL589" s="23">
        <f t="shared" si="507"/>
        <v>103995</v>
      </c>
      <c r="AM589" s="24"/>
      <c r="AN589" s="24"/>
      <c r="AO589" s="24">
        <v>178263</v>
      </c>
      <c r="AP589" s="24">
        <v>35814326</v>
      </c>
      <c r="AQ589" s="24">
        <v>20336656</v>
      </c>
      <c r="AR589" s="461">
        <f t="shared" si="508"/>
        <v>2.9121824717894661E-3</v>
      </c>
      <c r="AS589" s="25"/>
      <c r="AT589" s="25"/>
      <c r="AU589" s="24"/>
      <c r="AV589" s="298">
        <f t="shared" si="509"/>
        <v>0.8235597763306145</v>
      </c>
      <c r="AW589" s="298"/>
      <c r="AX589" s="24">
        <f t="shared" si="510"/>
        <v>61748.837931034483</v>
      </c>
      <c r="AY589" s="308"/>
      <c r="AZ589" s="111"/>
      <c r="BA589" s="65">
        <f t="shared" si="511"/>
        <v>1636577</v>
      </c>
      <c r="BB589" s="66"/>
      <c r="BC589" s="66">
        <v>675615628</v>
      </c>
      <c r="BD589" s="66"/>
      <c r="BE589" s="66">
        <f t="shared" si="512"/>
        <v>80425</v>
      </c>
      <c r="BF589" s="66"/>
      <c r="BG589" s="144">
        <f t="shared" si="513"/>
        <v>4.9142203513797396E-2</v>
      </c>
      <c r="BH589" s="66"/>
      <c r="BI589" s="170"/>
      <c r="BJ589" s="66"/>
      <c r="BK589" s="66"/>
      <c r="BL589" s="66"/>
      <c r="BM589" s="144"/>
      <c r="BN589" s="65">
        <f t="shared" si="514"/>
        <v>1164854.5310344826</v>
      </c>
      <c r="BO589" s="66"/>
      <c r="BP589" s="66">
        <f t="shared" si="515"/>
        <v>42580243</v>
      </c>
      <c r="BQ589" s="66"/>
      <c r="BR589" s="435">
        <f t="shared" si="516"/>
        <v>6.3024360650224626E-2</v>
      </c>
      <c r="BS589" s="66"/>
      <c r="BT589" s="75"/>
      <c r="BU589" s="170"/>
      <c r="BV589" s="1"/>
      <c r="BW589" s="61">
        <f t="shared" si="399"/>
        <v>580</v>
      </c>
    </row>
    <row r="590" spans="2:75" x14ac:dyDescent="0.3">
      <c r="B590" s="158">
        <f t="shared" si="448"/>
        <v>44490</v>
      </c>
      <c r="C590" s="61"/>
      <c r="D590" s="17">
        <v>80835</v>
      </c>
      <c r="E590" s="16"/>
      <c r="F590" s="16"/>
      <c r="G590" s="16"/>
      <c r="H590" s="16">
        <f t="shared" si="497"/>
        <v>43568056</v>
      </c>
      <c r="I590" s="16"/>
      <c r="J590" s="436">
        <f t="shared" si="498"/>
        <v>1.8588219284005295E-3</v>
      </c>
      <c r="K590" s="16"/>
      <c r="L590" s="16"/>
      <c r="M590" s="16"/>
      <c r="N590" s="16">
        <f t="shared" si="499"/>
        <v>431027</v>
      </c>
      <c r="O590" s="16">
        <f t="shared" si="500"/>
        <v>74988.048192771079</v>
      </c>
      <c r="P590" s="41"/>
      <c r="Q590" s="17">
        <f t="shared" si="501"/>
        <v>431027</v>
      </c>
      <c r="R590" s="16"/>
      <c r="S590" s="60">
        <f t="shared" si="502"/>
        <v>-0.17116886712996257</v>
      </c>
      <c r="T590" s="16"/>
      <c r="U590" s="41"/>
      <c r="V590" s="10">
        <f t="shared" si="349"/>
        <v>482</v>
      </c>
      <c r="W590" s="34">
        <v>1428</v>
      </c>
      <c r="X590" s="33">
        <v>4256</v>
      </c>
      <c r="Y590" s="33"/>
      <c r="Z590" s="33">
        <f t="shared" si="503"/>
        <v>6305</v>
      </c>
      <c r="AA590" s="33">
        <f t="shared" si="504"/>
        <v>699615</v>
      </c>
      <c r="AB590" s="33"/>
      <c r="AC590" s="46">
        <f t="shared" si="505"/>
        <v>1.6057980645269095E-2</v>
      </c>
      <c r="AD590" s="33"/>
      <c r="AE590" s="33">
        <f t="shared" si="506"/>
        <v>1204.1566265060242</v>
      </c>
      <c r="AF590" s="50"/>
      <c r="AG590" s="33"/>
      <c r="AH590" s="33"/>
      <c r="AI590" s="213"/>
      <c r="AJ590" s="50"/>
      <c r="AK590" s="111"/>
      <c r="AL590" s="23">
        <f t="shared" si="507"/>
        <v>83715</v>
      </c>
      <c r="AM590" s="24"/>
      <c r="AN590" s="24"/>
      <c r="AO590" s="24">
        <v>178263</v>
      </c>
      <c r="AP590" s="24">
        <v>35898041</v>
      </c>
      <c r="AQ590" s="24">
        <v>20336656</v>
      </c>
      <c r="AR590" s="461">
        <f t="shared" si="508"/>
        <v>2.3374724404976936E-3</v>
      </c>
      <c r="AS590" s="25"/>
      <c r="AT590" s="25"/>
      <c r="AU590" s="24"/>
      <c r="AV590" s="298">
        <f t="shared" si="509"/>
        <v>0.82395324225620714</v>
      </c>
      <c r="AW590" s="298"/>
      <c r="AX590" s="24">
        <f t="shared" si="510"/>
        <v>61786.645438898449</v>
      </c>
      <c r="AY590" s="308"/>
      <c r="AZ590" s="111"/>
      <c r="BA590" s="65">
        <f t="shared" si="511"/>
        <v>1676971</v>
      </c>
      <c r="BB590" s="66"/>
      <c r="BC590" s="66">
        <v>677292599</v>
      </c>
      <c r="BD590" s="66"/>
      <c r="BE590" s="66">
        <f t="shared" si="512"/>
        <v>80835</v>
      </c>
      <c r="BF590" s="66"/>
      <c r="BG590" s="144">
        <f t="shared" si="513"/>
        <v>4.8202980254279888E-2</v>
      </c>
      <c r="BH590" s="66"/>
      <c r="BI590" s="170"/>
      <c r="BJ590" s="66"/>
      <c r="BK590" s="66"/>
      <c r="BL590" s="66"/>
      <c r="BM590" s="144"/>
      <c r="BN590" s="65">
        <f t="shared" si="514"/>
        <v>1165735.9707401032</v>
      </c>
      <c r="BO590" s="66"/>
      <c r="BP590" s="66">
        <f t="shared" si="515"/>
        <v>42661078</v>
      </c>
      <c r="BQ590" s="66"/>
      <c r="BR590" s="435">
        <f t="shared" si="516"/>
        <v>6.2987663032177912E-2</v>
      </c>
      <c r="BS590" s="66"/>
      <c r="BT590" s="75"/>
      <c r="BU590" s="170"/>
      <c r="BV590" s="1"/>
      <c r="BW590" s="61">
        <f t="shared" si="399"/>
        <v>581</v>
      </c>
    </row>
    <row r="591" spans="2:75" x14ac:dyDescent="0.3">
      <c r="B591" s="158">
        <f t="shared" si="448"/>
        <v>44491</v>
      </c>
      <c r="C591" s="61"/>
      <c r="D591" s="17">
        <v>82438</v>
      </c>
      <c r="E591" s="16"/>
      <c r="F591" s="16"/>
      <c r="G591" s="16"/>
      <c r="H591" s="16">
        <f t="shared" si="497"/>
        <v>43650494</v>
      </c>
      <c r="I591" s="16"/>
      <c r="J591" s="436">
        <f t="shared" si="498"/>
        <v>1.8921661319935873E-3</v>
      </c>
      <c r="K591" s="16"/>
      <c r="L591" s="16"/>
      <c r="M591" s="16"/>
      <c r="N591" s="16">
        <f t="shared" si="499"/>
        <v>420499</v>
      </c>
      <c r="O591" s="16">
        <f t="shared" si="500"/>
        <v>75000.848797250859</v>
      </c>
      <c r="P591" s="41"/>
      <c r="Q591" s="17">
        <f t="shared" si="501"/>
        <v>420499</v>
      </c>
      <c r="R591" s="16"/>
      <c r="S591" s="60">
        <f t="shared" si="502"/>
        <v>-0.17013873813423852</v>
      </c>
      <c r="T591" s="16"/>
      <c r="U591" s="41"/>
      <c r="V591" s="10">
        <f t="shared" si="349"/>
        <v>483</v>
      </c>
      <c r="W591" s="34">
        <v>1610</v>
      </c>
      <c r="X591" s="33">
        <v>4256</v>
      </c>
      <c r="Y591" s="33"/>
      <c r="Z591" s="33">
        <f t="shared" si="503"/>
        <v>7451</v>
      </c>
      <c r="AA591" s="33">
        <f t="shared" si="504"/>
        <v>701225</v>
      </c>
      <c r="AB591" s="33"/>
      <c r="AC591" s="46">
        <f t="shared" si="505"/>
        <v>1.6064537551396325E-2</v>
      </c>
      <c r="AD591" s="33"/>
      <c r="AE591" s="33">
        <f t="shared" si="506"/>
        <v>1204.8539518900343</v>
      </c>
      <c r="AF591" s="50"/>
      <c r="AG591" s="33"/>
      <c r="AH591" s="33"/>
      <c r="AI591" s="213"/>
      <c r="AJ591" s="50"/>
      <c r="AK591" s="111"/>
      <c r="AL591" s="23">
        <f t="shared" si="507"/>
        <v>102780</v>
      </c>
      <c r="AM591" s="24"/>
      <c r="AN591" s="24"/>
      <c r="AO591" s="24">
        <v>178263</v>
      </c>
      <c r="AP591" s="24">
        <v>36000821</v>
      </c>
      <c r="AQ591" s="24">
        <v>20336656</v>
      </c>
      <c r="AR591" s="461">
        <f t="shared" si="508"/>
        <v>2.8631088810667968E-3</v>
      </c>
      <c r="AS591" s="25"/>
      <c r="AT591" s="25"/>
      <c r="AU591" s="24"/>
      <c r="AV591" s="298">
        <f t="shared" si="509"/>
        <v>0.82475174278669106</v>
      </c>
      <c r="AW591" s="298"/>
      <c r="AX591" s="24">
        <f t="shared" si="510"/>
        <v>61857.080756013747</v>
      </c>
      <c r="AY591" s="308"/>
      <c r="AZ591" s="111"/>
      <c r="BA591" s="65">
        <f t="shared" si="511"/>
        <v>1815348</v>
      </c>
      <c r="BB591" s="66"/>
      <c r="BC591" s="66">
        <v>679107947</v>
      </c>
      <c r="BD591" s="66"/>
      <c r="BE591" s="66">
        <f t="shared" si="512"/>
        <v>82438</v>
      </c>
      <c r="BF591" s="66"/>
      <c r="BG591" s="144">
        <f t="shared" si="513"/>
        <v>4.5411678642331942E-2</v>
      </c>
      <c r="BH591" s="66"/>
      <c r="BI591" s="170"/>
      <c r="BJ591" s="66"/>
      <c r="BK591" s="66"/>
      <c r="BL591" s="66"/>
      <c r="BM591" s="144"/>
      <c r="BN591" s="65">
        <f t="shared" si="514"/>
        <v>1166852.1426116838</v>
      </c>
      <c r="BO591" s="66"/>
      <c r="BP591" s="66">
        <f t="shared" si="515"/>
        <v>42743516</v>
      </c>
      <c r="BQ591" s="66"/>
      <c r="BR591" s="435">
        <f t="shared" si="516"/>
        <v>6.2940680033008067E-2</v>
      </c>
      <c r="BS591" s="66"/>
      <c r="BT591" s="75"/>
      <c r="BU591" s="170"/>
      <c r="BV591" s="1"/>
      <c r="BW591" s="61">
        <f t="shared" si="399"/>
        <v>582</v>
      </c>
    </row>
    <row r="592" spans="2:75" x14ac:dyDescent="0.3">
      <c r="B592" s="158">
        <f t="shared" si="448"/>
        <v>44492</v>
      </c>
      <c r="C592" s="61"/>
      <c r="D592" s="17">
        <v>28824</v>
      </c>
      <c r="E592" s="16"/>
      <c r="F592" s="16"/>
      <c r="G592" s="16"/>
      <c r="H592" s="16">
        <f t="shared" si="497"/>
        <v>43679318</v>
      </c>
      <c r="I592" s="16"/>
      <c r="J592" s="436">
        <f t="shared" si="498"/>
        <v>6.603361693913476E-4</v>
      </c>
      <c r="K592" s="16"/>
      <c r="L592" s="16"/>
      <c r="M592" s="16"/>
      <c r="N592" s="16">
        <f t="shared" si="499"/>
        <v>415413</v>
      </c>
      <c r="O592" s="16">
        <f t="shared" si="500"/>
        <v>74921.64322469983</v>
      </c>
      <c r="P592" s="41"/>
      <c r="Q592" s="17">
        <f t="shared" si="501"/>
        <v>415413</v>
      </c>
      <c r="R592" s="16"/>
      <c r="S592" s="60">
        <f t="shared" si="502"/>
        <v>-0.16627764855106641</v>
      </c>
      <c r="T592" s="16"/>
      <c r="U592" s="41"/>
      <c r="V592" s="10">
        <f t="shared" si="349"/>
        <v>484</v>
      </c>
      <c r="W592" s="34">
        <v>484</v>
      </c>
      <c r="X592" s="33">
        <v>4256</v>
      </c>
      <c r="Y592" s="33"/>
      <c r="Z592" s="33">
        <f t="shared" si="503"/>
        <v>7774</v>
      </c>
      <c r="AA592" s="33">
        <f t="shared" si="504"/>
        <v>701709</v>
      </c>
      <c r="AB592" s="33"/>
      <c r="AC592" s="46">
        <f t="shared" si="505"/>
        <v>1.6065017315517609E-2</v>
      </c>
      <c r="AD592" s="33"/>
      <c r="AE592" s="33">
        <f t="shared" si="506"/>
        <v>1203.6174957118353</v>
      </c>
      <c r="AF592" s="50"/>
      <c r="AG592" s="33"/>
      <c r="AH592" s="33"/>
      <c r="AI592" s="213"/>
      <c r="AJ592" s="50"/>
      <c r="AK592" s="111"/>
      <c r="AL592" s="23">
        <f t="shared" si="507"/>
        <v>33065</v>
      </c>
      <c r="AM592" s="24"/>
      <c r="AN592" s="24"/>
      <c r="AO592" s="24">
        <v>178263</v>
      </c>
      <c r="AP592" s="24">
        <v>36033886</v>
      </c>
      <c r="AQ592" s="24">
        <v>20336656</v>
      </c>
      <c r="AR592" s="461">
        <f t="shared" si="508"/>
        <v>9.1845127643061248E-4</v>
      </c>
      <c r="AS592" s="25"/>
      <c r="AT592" s="25"/>
      <c r="AU592" s="24"/>
      <c r="AV592" s="298">
        <f t="shared" si="509"/>
        <v>0.82496448319087767</v>
      </c>
      <c r="AW592" s="298"/>
      <c r="AX592" s="24">
        <f t="shared" si="510"/>
        <v>61807.694682675814</v>
      </c>
      <c r="AY592" s="308"/>
      <c r="AZ592" s="111"/>
      <c r="BA592" s="65">
        <f t="shared" si="511"/>
        <v>472974</v>
      </c>
      <c r="BB592" s="66"/>
      <c r="BC592" s="66">
        <v>679580921</v>
      </c>
      <c r="BD592" s="66"/>
      <c r="BE592" s="66">
        <f t="shared" si="512"/>
        <v>28824</v>
      </c>
      <c r="BF592" s="66"/>
      <c r="BG592" s="144">
        <f t="shared" si="513"/>
        <v>6.0942039097286529E-2</v>
      </c>
      <c r="BH592" s="66"/>
      <c r="BI592" s="170"/>
      <c r="BJ592" s="66"/>
      <c r="BK592" s="66"/>
      <c r="BL592" s="66"/>
      <c r="BM592" s="144"/>
      <c r="BN592" s="65">
        <f t="shared" si="514"/>
        <v>1165661.9571183533</v>
      </c>
      <c r="BO592" s="66"/>
      <c r="BP592" s="66">
        <f t="shared" si="515"/>
        <v>42772340</v>
      </c>
      <c r="BQ592" s="66"/>
      <c r="BR592" s="435">
        <f t="shared" si="516"/>
        <v>6.2939289021034781E-2</v>
      </c>
      <c r="BS592" s="66"/>
      <c r="BT592" s="75"/>
      <c r="BU592" s="170"/>
      <c r="BV592" s="1"/>
      <c r="BW592" s="61">
        <f t="shared" si="399"/>
        <v>583</v>
      </c>
    </row>
    <row r="593" spans="2:75" x14ac:dyDescent="0.3">
      <c r="B593" s="347">
        <f t="shared" si="448"/>
        <v>44493</v>
      </c>
      <c r="C593" s="61"/>
      <c r="D593" s="17">
        <v>17580</v>
      </c>
      <c r="E593" s="16"/>
      <c r="F593" s="16"/>
      <c r="G593" s="16"/>
      <c r="H593" s="16">
        <f t="shared" si="497"/>
        <v>43696898</v>
      </c>
      <c r="I593" s="16"/>
      <c r="J593" s="436">
        <f t="shared" si="498"/>
        <v>4.0247881159682941E-4</v>
      </c>
      <c r="K593" s="16"/>
      <c r="L593" s="16"/>
      <c r="M593" s="16"/>
      <c r="N593" s="16">
        <f t="shared" si="499"/>
        <v>415046</v>
      </c>
      <c r="O593" s="16">
        <f t="shared" si="500"/>
        <v>74823.455479452052</v>
      </c>
      <c r="P593" s="41"/>
      <c r="Q593" s="17">
        <f t="shared" si="501"/>
        <v>415046</v>
      </c>
      <c r="R593" s="16"/>
      <c r="S593" s="60">
        <f t="shared" si="502"/>
        <v>-0.15557987939354975</v>
      </c>
      <c r="T593" s="16"/>
      <c r="U593" s="41"/>
      <c r="V593" s="10">
        <f t="shared" si="349"/>
        <v>485</v>
      </c>
      <c r="W593" s="34">
        <v>157</v>
      </c>
      <c r="X593" s="33">
        <v>4256</v>
      </c>
      <c r="Y593" s="33"/>
      <c r="Z593" s="33">
        <f t="shared" si="503"/>
        <v>7247</v>
      </c>
      <c r="AA593" s="33">
        <f t="shared" si="504"/>
        <v>701866</v>
      </c>
      <c r="AB593" s="33"/>
      <c r="AC593" s="46">
        <f t="shared" si="505"/>
        <v>1.6062147020138591E-2</v>
      </c>
      <c r="AD593" s="33"/>
      <c r="AE593" s="33">
        <f t="shared" si="506"/>
        <v>1201.8253424657535</v>
      </c>
      <c r="AF593" s="50"/>
      <c r="AG593" s="33"/>
      <c r="AH593" s="33"/>
      <c r="AI593" s="213"/>
      <c r="AJ593" s="50"/>
      <c r="AK593" s="111"/>
      <c r="AL593" s="23">
        <f t="shared" si="507"/>
        <v>18728</v>
      </c>
      <c r="AM593" s="24"/>
      <c r="AN593" s="24"/>
      <c r="AO593" s="24">
        <v>178263</v>
      </c>
      <c r="AP593" s="24">
        <v>36052614</v>
      </c>
      <c r="AQ593" s="24">
        <v>20336656</v>
      </c>
      <c r="AR593" s="461">
        <f t="shared" si="508"/>
        <v>5.1973300909038782E-4</v>
      </c>
      <c r="AS593" s="25"/>
      <c r="AT593" s="25"/>
      <c r="AU593" s="24"/>
      <c r="AV593" s="298">
        <f t="shared" si="509"/>
        <v>0.82506117482298169</v>
      </c>
      <c r="AW593" s="298"/>
      <c r="AX593" s="24">
        <f t="shared" si="510"/>
        <v>61733.928082191778</v>
      </c>
      <c r="AY593" s="308"/>
      <c r="AZ593" s="111"/>
      <c r="BA593" s="65">
        <f t="shared" si="511"/>
        <v>377616</v>
      </c>
      <c r="BB593" s="66"/>
      <c r="BC593" s="66">
        <v>679958537</v>
      </c>
      <c r="BD593" s="66"/>
      <c r="BE593" s="66">
        <f t="shared" si="512"/>
        <v>17580</v>
      </c>
      <c r="BF593" s="66"/>
      <c r="BG593" s="144">
        <f t="shared" si="513"/>
        <v>4.6555230710563111E-2</v>
      </c>
      <c r="BH593" s="66"/>
      <c r="BI593" s="170"/>
      <c r="BJ593" s="66"/>
      <c r="BK593" s="66"/>
      <c r="BL593" s="66"/>
      <c r="BM593" s="144"/>
      <c r="BN593" s="65">
        <f t="shared" si="514"/>
        <v>1164312.5633561644</v>
      </c>
      <c r="BO593" s="66"/>
      <c r="BP593" s="66">
        <f t="shared" si="515"/>
        <v>42789920</v>
      </c>
      <c r="BQ593" s="66"/>
      <c r="BR593" s="435">
        <f t="shared" si="516"/>
        <v>6.2930190109518405E-2</v>
      </c>
      <c r="BS593" s="66"/>
      <c r="BT593" s="75"/>
      <c r="BU593" s="170"/>
      <c r="BV593" s="1"/>
      <c r="BW593" s="61">
        <f t="shared" si="399"/>
        <v>584</v>
      </c>
    </row>
    <row r="594" spans="2:75" x14ac:dyDescent="0.3">
      <c r="B594" s="158">
        <f t="shared" si="448"/>
        <v>44494</v>
      </c>
      <c r="C594" s="61"/>
      <c r="D594" s="17">
        <v>48771</v>
      </c>
      <c r="E594" s="16"/>
      <c r="F594" s="16"/>
      <c r="G594" s="16"/>
      <c r="H594" s="16">
        <f t="shared" si="497"/>
        <v>43745669</v>
      </c>
      <c r="I594" s="16"/>
      <c r="J594" s="436">
        <f t="shared" si="498"/>
        <v>1.1161204166025699E-3</v>
      </c>
      <c r="K594" s="16"/>
      <c r="L594" s="16"/>
      <c r="M594" s="16"/>
      <c r="N594" s="16">
        <f t="shared" si="499"/>
        <v>410682</v>
      </c>
      <c r="O594" s="16">
        <f t="shared" si="500"/>
        <v>74778.921367521369</v>
      </c>
      <c r="P594" s="41"/>
      <c r="Q594" s="17">
        <f t="shared" si="501"/>
        <v>410682</v>
      </c>
      <c r="R594" s="16"/>
      <c r="S594" s="60">
        <f t="shared" si="502"/>
        <v>-0.14380602927073344</v>
      </c>
      <c r="T594" s="16"/>
      <c r="U594" s="41"/>
      <c r="V594" s="10">
        <f t="shared" si="349"/>
        <v>486</v>
      </c>
      <c r="W594" s="34">
        <v>510</v>
      </c>
      <c r="X594" s="33">
        <v>4256</v>
      </c>
      <c r="Y594" s="33"/>
      <c r="Z594" s="33">
        <f t="shared" si="503"/>
        <v>6194</v>
      </c>
      <c r="AA594" s="33">
        <f t="shared" si="504"/>
        <v>702376</v>
      </c>
      <c r="AB594" s="33"/>
      <c r="AC594" s="46">
        <f t="shared" si="505"/>
        <v>1.6055898013583928E-2</v>
      </c>
      <c r="AD594" s="33"/>
      <c r="AE594" s="33">
        <f t="shared" si="506"/>
        <v>1200.642735042735</v>
      </c>
      <c r="AF594" s="50"/>
      <c r="AG594" s="33"/>
      <c r="AH594" s="33"/>
      <c r="AI594" s="213"/>
      <c r="AJ594" s="50"/>
      <c r="AK594" s="111"/>
      <c r="AL594" s="23">
        <f t="shared" si="507"/>
        <v>218713</v>
      </c>
      <c r="AM594" s="24"/>
      <c r="AN594" s="24"/>
      <c r="AO594" s="24">
        <v>178263</v>
      </c>
      <c r="AP594" s="24">
        <v>36271327</v>
      </c>
      <c r="AQ594" s="24">
        <v>20336656</v>
      </c>
      <c r="AR594" s="461">
        <f t="shared" si="508"/>
        <v>6.0664949287727102E-3</v>
      </c>
      <c r="AS594" s="25"/>
      <c r="AT594" s="25"/>
      <c r="AU594" s="24"/>
      <c r="AV594" s="298">
        <f t="shared" si="509"/>
        <v>0.82914098307651896</v>
      </c>
      <c r="AW594" s="298"/>
      <c r="AX594" s="24">
        <f t="shared" si="510"/>
        <v>62002.268376068379</v>
      </c>
      <c r="AY594" s="308"/>
      <c r="AZ594" s="111"/>
      <c r="BA594" s="65">
        <f t="shared" si="511"/>
        <v>10304065</v>
      </c>
      <c r="BB594" s="66"/>
      <c r="BC594" s="66">
        <v>690262602</v>
      </c>
      <c r="BD594" s="66"/>
      <c r="BE594" s="66">
        <f t="shared" si="512"/>
        <v>48771</v>
      </c>
      <c r="BF594" s="66"/>
      <c r="BG594" s="144">
        <f t="shared" si="513"/>
        <v>4.7331805457360761E-3</v>
      </c>
      <c r="BH594" s="66"/>
      <c r="BI594" s="170"/>
      <c r="BJ594" s="66"/>
      <c r="BK594" s="66"/>
      <c r="BL594" s="66"/>
      <c r="BM594" s="144"/>
      <c r="BN594" s="65">
        <f t="shared" si="514"/>
        <v>1179936.0717948717</v>
      </c>
      <c r="BO594" s="66"/>
      <c r="BP594" s="66">
        <f t="shared" si="515"/>
        <v>42838691</v>
      </c>
      <c r="BQ594" s="66"/>
      <c r="BR594" s="435">
        <f t="shared" si="516"/>
        <v>6.2061439915587373E-2</v>
      </c>
      <c r="BS594" s="66"/>
      <c r="BT594" s="75"/>
      <c r="BU594" s="170"/>
      <c r="BV594" s="1"/>
      <c r="BW594" s="61">
        <f t="shared" si="399"/>
        <v>585</v>
      </c>
    </row>
    <row r="595" spans="2:75" x14ac:dyDescent="0.3">
      <c r="B595" s="158">
        <f t="shared" si="448"/>
        <v>44495</v>
      </c>
      <c r="C595" s="61"/>
      <c r="D595" s="17">
        <v>69634</v>
      </c>
      <c r="E595" s="16"/>
      <c r="F595" s="16"/>
      <c r="G595" s="16"/>
      <c r="H595" s="16">
        <f t="shared" si="497"/>
        <v>43815303</v>
      </c>
      <c r="I595" s="16"/>
      <c r="J595" s="436">
        <f t="shared" si="498"/>
        <v>1.5917918640128694E-3</v>
      </c>
      <c r="K595" s="16"/>
      <c r="L595" s="16"/>
      <c r="M595" s="16"/>
      <c r="N595" s="16">
        <f t="shared" si="499"/>
        <v>408507</v>
      </c>
      <c r="O595" s="16">
        <f t="shared" si="500"/>
        <v>74770.14163822525</v>
      </c>
      <c r="P595" s="41"/>
      <c r="Q595" s="17">
        <f t="shared" si="501"/>
        <v>408507</v>
      </c>
      <c r="R595" s="16"/>
      <c r="S595" s="60">
        <f t="shared" si="502"/>
        <v>-0.11043678220991154</v>
      </c>
      <c r="T595" s="16"/>
      <c r="U595" s="41"/>
      <c r="V595" s="10">
        <f t="shared" si="349"/>
        <v>487</v>
      </c>
      <c r="W595" s="34">
        <v>1451</v>
      </c>
      <c r="X595" s="33">
        <v>4256</v>
      </c>
      <c r="Y595" s="33"/>
      <c r="Z595" s="33">
        <f t="shared" si="503"/>
        <v>5640</v>
      </c>
      <c r="AA595" s="33">
        <f t="shared" si="504"/>
        <v>703827</v>
      </c>
      <c r="AB595" s="33"/>
      <c r="AC595" s="46">
        <f t="shared" si="505"/>
        <v>1.6063497267153441E-2</v>
      </c>
      <c r="AD595" s="33"/>
      <c r="AE595" s="33">
        <f t="shared" si="506"/>
        <v>1201.0699658703072</v>
      </c>
      <c r="AF595" s="50"/>
      <c r="AG595" s="33"/>
      <c r="AH595" s="33"/>
      <c r="AI595" s="213"/>
      <c r="AJ595" s="50"/>
      <c r="AK595" s="111"/>
      <c r="AL595" s="23">
        <f t="shared" si="507"/>
        <v>103862</v>
      </c>
      <c r="AM595" s="24"/>
      <c r="AN595" s="24"/>
      <c r="AO595" s="24">
        <v>178263</v>
      </c>
      <c r="AP595" s="24">
        <v>36375189</v>
      </c>
      <c r="AQ595" s="24">
        <v>20336656</v>
      </c>
      <c r="AR595" s="461">
        <f t="shared" si="508"/>
        <v>2.8634739500983794E-3</v>
      </c>
      <c r="AS595" s="25"/>
      <c r="AT595" s="25"/>
      <c r="AU595" s="24"/>
      <c r="AV595" s="298">
        <f t="shared" si="509"/>
        <v>0.83019371108765361</v>
      </c>
      <c r="AW595" s="298"/>
      <c r="AX595" s="24">
        <f t="shared" si="510"/>
        <v>62073.701365187713</v>
      </c>
      <c r="AY595" s="308"/>
      <c r="AZ595" s="111"/>
      <c r="BA595" s="65">
        <f t="shared" si="511"/>
        <v>2553451</v>
      </c>
      <c r="BB595" s="66"/>
      <c r="BC595" s="66">
        <v>692816053</v>
      </c>
      <c r="BD595" s="66"/>
      <c r="BE595" s="66">
        <f t="shared" si="512"/>
        <v>69634</v>
      </c>
      <c r="BF595" s="66"/>
      <c r="BG595" s="144">
        <f t="shared" si="513"/>
        <v>2.7270544843037911E-2</v>
      </c>
      <c r="BH595" s="66"/>
      <c r="BI595" s="170"/>
      <c r="BJ595" s="66"/>
      <c r="BK595" s="66"/>
      <c r="BL595" s="66"/>
      <c r="BM595" s="144"/>
      <c r="BN595" s="65">
        <f t="shared" si="514"/>
        <v>1182279.9539249146</v>
      </c>
      <c r="BO595" s="66"/>
      <c r="BP595" s="66">
        <f t="shared" si="515"/>
        <v>42908325</v>
      </c>
      <c r="BQ595" s="66"/>
      <c r="BR595" s="435">
        <f t="shared" si="516"/>
        <v>6.1933214183188104E-2</v>
      </c>
      <c r="BS595" s="66"/>
      <c r="BT595" s="75"/>
      <c r="BU595" s="170"/>
      <c r="BV595" s="1"/>
      <c r="BW595" s="61">
        <f t="shared" si="399"/>
        <v>586</v>
      </c>
    </row>
    <row r="596" spans="2:75" x14ac:dyDescent="0.3">
      <c r="B596" s="158">
        <f t="shared" si="448"/>
        <v>44496</v>
      </c>
      <c r="C596" s="61"/>
      <c r="D596" s="17">
        <v>78932</v>
      </c>
      <c r="E596" s="16"/>
      <c r="F596" s="16"/>
      <c r="G596" s="16"/>
      <c r="H596" s="16">
        <f t="shared" si="497"/>
        <v>43894235</v>
      </c>
      <c r="I596" s="16"/>
      <c r="J596" s="436">
        <f t="shared" si="498"/>
        <v>1.8014710522485716E-3</v>
      </c>
      <c r="K596" s="16"/>
      <c r="L596" s="16"/>
      <c r="M596" s="16"/>
      <c r="N596" s="16">
        <f t="shared" si="499"/>
        <v>407014</v>
      </c>
      <c r="O596" s="16">
        <f t="shared" si="500"/>
        <v>74777.231686541738</v>
      </c>
      <c r="P596" s="41"/>
      <c r="Q596" s="17">
        <f t="shared" si="501"/>
        <v>407014</v>
      </c>
      <c r="R596" s="16"/>
      <c r="S596" s="60">
        <f t="shared" si="502"/>
        <v>-7.4699003346428053E-2</v>
      </c>
      <c r="T596" s="16"/>
      <c r="U596" s="41"/>
      <c r="V596" s="10">
        <f t="shared" si="349"/>
        <v>488</v>
      </c>
      <c r="W596" s="34">
        <v>1594</v>
      </c>
      <c r="X596" s="33">
        <v>4256</v>
      </c>
      <c r="Y596" s="33"/>
      <c r="Z596" s="33">
        <f t="shared" si="503"/>
        <v>5806</v>
      </c>
      <c r="AA596" s="33">
        <f t="shared" si="504"/>
        <v>705421</v>
      </c>
      <c r="AB596" s="33"/>
      <c r="AC596" s="46">
        <f t="shared" si="505"/>
        <v>1.6070925942780413E-2</v>
      </c>
      <c r="AD596" s="33"/>
      <c r="AE596" s="33">
        <f t="shared" si="506"/>
        <v>1201.7393526405451</v>
      </c>
      <c r="AF596" s="50"/>
      <c r="AG596" s="33"/>
      <c r="AH596" s="33"/>
      <c r="AI596" s="213"/>
      <c r="AJ596" s="50"/>
      <c r="AK596" s="111"/>
      <c r="AL596" s="23">
        <f t="shared" si="507"/>
        <v>101567</v>
      </c>
      <c r="AM596" s="24"/>
      <c r="AN596" s="24"/>
      <c r="AO596" s="24">
        <v>178263</v>
      </c>
      <c r="AP596" s="24">
        <v>36476756</v>
      </c>
      <c r="AQ596" s="24">
        <v>20336656</v>
      </c>
      <c r="AR596" s="461">
        <f t="shared" si="508"/>
        <v>2.7922054233175254E-3</v>
      </c>
      <c r="AS596" s="25"/>
      <c r="AT596" s="25"/>
      <c r="AU596" s="24"/>
      <c r="AV596" s="298">
        <f t="shared" si="509"/>
        <v>0.83101473348379351</v>
      </c>
      <c r="AW596" s="298"/>
      <c r="AX596" s="24">
        <f t="shared" si="510"/>
        <v>62140.981260647357</v>
      </c>
      <c r="AY596" s="308"/>
      <c r="AZ596" s="111"/>
      <c r="BA596" s="65">
        <f t="shared" si="511"/>
        <v>1500941</v>
      </c>
      <c r="BB596" s="66"/>
      <c r="BC596" s="66">
        <v>694316994</v>
      </c>
      <c r="BD596" s="66"/>
      <c r="BE596" s="66">
        <f t="shared" si="512"/>
        <v>78932</v>
      </c>
      <c r="BF596" s="66"/>
      <c r="BG596" s="144">
        <f t="shared" si="513"/>
        <v>5.2588342912879317E-2</v>
      </c>
      <c r="BH596" s="66"/>
      <c r="BI596" s="170"/>
      <c r="BJ596" s="66"/>
      <c r="BK596" s="66"/>
      <c r="BL596" s="66"/>
      <c r="BM596" s="144"/>
      <c r="BN596" s="65">
        <f t="shared" si="514"/>
        <v>1182822.8177172062</v>
      </c>
      <c r="BO596" s="66"/>
      <c r="BP596" s="66">
        <f t="shared" si="515"/>
        <v>42987257</v>
      </c>
      <c r="BQ596" s="66"/>
      <c r="BR596" s="435">
        <f t="shared" si="516"/>
        <v>6.1913012891054199E-2</v>
      </c>
      <c r="BS596" s="66"/>
      <c r="BT596" s="75"/>
      <c r="BU596" s="170"/>
      <c r="BV596" s="1"/>
      <c r="BW596" s="61">
        <f t="shared" si="399"/>
        <v>587</v>
      </c>
    </row>
    <row r="597" spans="2:75" x14ac:dyDescent="0.3">
      <c r="B597" s="158">
        <f t="shared" si="448"/>
        <v>44497</v>
      </c>
      <c r="C597" s="61"/>
      <c r="D597" s="17">
        <v>78460</v>
      </c>
      <c r="E597" s="16"/>
      <c r="F597" s="16"/>
      <c r="G597" s="16"/>
      <c r="H597" s="16">
        <f t="shared" si="497"/>
        <v>43972695</v>
      </c>
      <c r="I597" s="16"/>
      <c r="J597" s="436">
        <f t="shared" si="498"/>
        <v>1.7874784695530062E-3</v>
      </c>
      <c r="K597" s="16"/>
      <c r="L597" s="16"/>
      <c r="M597" s="16"/>
      <c r="N597" s="16">
        <f t="shared" si="499"/>
        <v>404639</v>
      </c>
      <c r="O597" s="16">
        <f t="shared" si="500"/>
        <v>74783.494897959186</v>
      </c>
      <c r="P597" s="41"/>
      <c r="Q597" s="17">
        <f t="shared" si="501"/>
        <v>404639</v>
      </c>
      <c r="R597" s="16"/>
      <c r="S597" s="60">
        <f t="shared" si="502"/>
        <v>-6.1221222800427813E-2</v>
      </c>
      <c r="T597" s="16"/>
      <c r="U597" s="41"/>
      <c r="V597" s="10">
        <f t="shared" si="349"/>
        <v>489</v>
      </c>
      <c r="W597" s="34">
        <v>1208</v>
      </c>
      <c r="X597" s="33">
        <v>4256</v>
      </c>
      <c r="Y597" s="33"/>
      <c r="Z597" s="33">
        <f t="shared" si="503"/>
        <v>5404</v>
      </c>
      <c r="AA597" s="33">
        <f t="shared" si="504"/>
        <v>706629</v>
      </c>
      <c r="AB597" s="33"/>
      <c r="AC597" s="46">
        <f t="shared" si="505"/>
        <v>1.6069722358386267E-2</v>
      </c>
      <c r="AD597" s="33"/>
      <c r="AE597" s="33">
        <f t="shared" si="506"/>
        <v>1201.75</v>
      </c>
      <c r="AF597" s="50"/>
      <c r="AG597" s="33"/>
      <c r="AH597" s="33"/>
      <c r="AI597" s="213"/>
      <c r="AJ597" s="50"/>
      <c r="AK597" s="111"/>
      <c r="AL597" s="23">
        <f t="shared" si="507"/>
        <v>89192</v>
      </c>
      <c r="AM597" s="24"/>
      <c r="AN597" s="24"/>
      <c r="AO597" s="24">
        <v>178263</v>
      </c>
      <c r="AP597" s="24">
        <v>36565948</v>
      </c>
      <c r="AQ597" s="24">
        <v>20336656</v>
      </c>
      <c r="AR597" s="461">
        <f t="shared" si="508"/>
        <v>2.4451735784837884E-3</v>
      </c>
      <c r="AS597" s="25"/>
      <c r="AT597" s="25"/>
      <c r="AU597" s="24"/>
      <c r="AV597" s="298">
        <f t="shared" si="509"/>
        <v>0.83156031259853413</v>
      </c>
      <c r="AW597" s="298"/>
      <c r="AX597" s="24">
        <f t="shared" si="510"/>
        <v>62186.986394557825</v>
      </c>
      <c r="AY597" s="308"/>
      <c r="AZ597" s="111"/>
      <c r="BA597" s="65">
        <f t="shared" si="511"/>
        <v>1767712</v>
      </c>
      <c r="BB597" s="66"/>
      <c r="BC597" s="66">
        <v>696084706</v>
      </c>
      <c r="BD597" s="66"/>
      <c r="BE597" s="66">
        <f t="shared" si="512"/>
        <v>78460</v>
      </c>
      <c r="BF597" s="66"/>
      <c r="BG597" s="144">
        <f t="shared" si="513"/>
        <v>4.4385058199525713E-2</v>
      </c>
      <c r="BH597" s="66"/>
      <c r="BI597" s="170"/>
      <c r="BJ597" s="66"/>
      <c r="BK597" s="66"/>
      <c r="BL597" s="66"/>
      <c r="BM597" s="144"/>
      <c r="BN597" s="65">
        <f t="shared" si="514"/>
        <v>1183817.5272108843</v>
      </c>
      <c r="BO597" s="66"/>
      <c r="BP597" s="66">
        <f t="shared" si="515"/>
        <v>43065717</v>
      </c>
      <c r="BQ597" s="66"/>
      <c r="BR597" s="435">
        <f t="shared" si="516"/>
        <v>6.1868500527003392E-2</v>
      </c>
      <c r="BS597" s="66"/>
      <c r="BT597" s="75"/>
      <c r="BU597" s="170"/>
      <c r="BV597" s="1"/>
      <c r="BW597" s="61">
        <f t="shared" si="399"/>
        <v>588</v>
      </c>
    </row>
    <row r="598" spans="2:75" x14ac:dyDescent="0.3">
      <c r="B598" s="158">
        <f t="shared" si="448"/>
        <v>44498</v>
      </c>
      <c r="C598" s="61"/>
      <c r="D598" s="17">
        <v>80469</v>
      </c>
      <c r="E598" s="16"/>
      <c r="F598" s="16"/>
      <c r="G598" s="16"/>
      <c r="H598" s="16">
        <f t="shared" si="497"/>
        <v>44053164</v>
      </c>
      <c r="I598" s="16"/>
      <c r="J598" s="436">
        <f t="shared" si="498"/>
        <v>1.8299765343015705E-3</v>
      </c>
      <c r="K598" s="16"/>
      <c r="L598" s="16"/>
      <c r="M598" s="16"/>
      <c r="N598" s="16">
        <f t="shared" si="499"/>
        <v>402670</v>
      </c>
      <c r="O598" s="16">
        <f t="shared" si="500"/>
        <v>74793.147707979631</v>
      </c>
      <c r="P598" s="41"/>
      <c r="Q598" s="17">
        <f t="shared" si="501"/>
        <v>402670</v>
      </c>
      <c r="R598" s="16"/>
      <c r="S598" s="60">
        <f t="shared" si="502"/>
        <v>-4.2399625207194307E-2</v>
      </c>
      <c r="T598" s="16"/>
      <c r="U598" s="41"/>
      <c r="V598" s="10">
        <f t="shared" si="349"/>
        <v>490</v>
      </c>
      <c r="W598" s="34">
        <v>1556</v>
      </c>
      <c r="X598" s="33">
        <v>4256</v>
      </c>
      <c r="Y598" s="33"/>
      <c r="Z598" s="33">
        <f t="shared" si="503"/>
        <v>6476</v>
      </c>
      <c r="AA598" s="33">
        <f t="shared" si="504"/>
        <v>708185</v>
      </c>
      <c r="AB598" s="33"/>
      <c r="AC598" s="46">
        <f t="shared" si="505"/>
        <v>1.6075689818783503E-2</v>
      </c>
      <c r="AD598" s="33"/>
      <c r="AE598" s="33">
        <f t="shared" si="506"/>
        <v>1202.3514431239389</v>
      </c>
      <c r="AF598" s="50"/>
      <c r="AG598" s="33"/>
      <c r="AH598" s="33"/>
      <c r="AI598" s="213"/>
      <c r="AJ598" s="50"/>
      <c r="AK598" s="111"/>
      <c r="AL598" s="23">
        <f t="shared" si="507"/>
        <v>80952</v>
      </c>
      <c r="AM598" s="24"/>
      <c r="AN598" s="24"/>
      <c r="AO598" s="24">
        <v>178263</v>
      </c>
      <c r="AP598" s="24">
        <v>36646900</v>
      </c>
      <c r="AQ598" s="24">
        <v>20336656</v>
      </c>
      <c r="AR598" s="461">
        <f t="shared" si="508"/>
        <v>2.2138630181282324E-3</v>
      </c>
      <c r="AS598" s="25"/>
      <c r="AT598" s="25"/>
      <c r="AU598" s="24"/>
      <c r="AV598" s="298">
        <f t="shared" si="509"/>
        <v>0.8318789542562709</v>
      </c>
      <c r="AW598" s="298"/>
      <c r="AX598" s="24">
        <f t="shared" si="510"/>
        <v>62218.845500848896</v>
      </c>
      <c r="AY598" s="308"/>
      <c r="AZ598" s="111"/>
      <c r="BA598" s="65">
        <f t="shared" si="511"/>
        <v>1763092</v>
      </c>
      <c r="BB598" s="66"/>
      <c r="BC598" s="66">
        <v>697847798</v>
      </c>
      <c r="BD598" s="66"/>
      <c r="BE598" s="66">
        <f t="shared" si="512"/>
        <v>80469</v>
      </c>
      <c r="BF598" s="66"/>
      <c r="BG598" s="144">
        <f t="shared" si="513"/>
        <v>4.564084006960499E-2</v>
      </c>
      <c r="BH598" s="66"/>
      <c r="BI598" s="170"/>
      <c r="BJ598" s="66"/>
      <c r="BK598" s="66"/>
      <c r="BL598" s="66"/>
      <c r="BM598" s="144"/>
      <c r="BN598" s="65">
        <f t="shared" si="514"/>
        <v>1184801.0152801359</v>
      </c>
      <c r="BO598" s="66"/>
      <c r="BP598" s="66">
        <f t="shared" si="515"/>
        <v>43146186</v>
      </c>
      <c r="BQ598" s="66"/>
      <c r="BR598" s="435">
        <f t="shared" si="516"/>
        <v>6.1827501818670208E-2</v>
      </c>
      <c r="BS598" s="66"/>
      <c r="BT598" s="75"/>
      <c r="BU598" s="170"/>
      <c r="BV598" s="1"/>
      <c r="BW598" s="61">
        <f t="shared" si="399"/>
        <v>589</v>
      </c>
    </row>
    <row r="599" spans="2:75" x14ac:dyDescent="0.3">
      <c r="B599" s="158">
        <f t="shared" si="448"/>
        <v>44499</v>
      </c>
      <c r="C599" s="61"/>
      <c r="D599" s="17">
        <v>30780</v>
      </c>
      <c r="E599" s="16"/>
      <c r="F599" s="16"/>
      <c r="G599" s="16"/>
      <c r="H599" s="16">
        <f t="shared" si="497"/>
        <v>44083944</v>
      </c>
      <c r="I599" s="16"/>
      <c r="J599" s="436">
        <f t="shared" si="498"/>
        <v>6.9870123290122817E-4</v>
      </c>
      <c r="K599" s="16"/>
      <c r="L599" s="16"/>
      <c r="M599" s="16"/>
      <c r="N599" s="16">
        <f t="shared" si="499"/>
        <v>404626</v>
      </c>
      <c r="O599" s="16">
        <f t="shared" si="500"/>
        <v>74718.549152542371</v>
      </c>
      <c r="P599" s="41"/>
      <c r="Q599" s="17">
        <f t="shared" si="501"/>
        <v>404626</v>
      </c>
      <c r="R599" s="16"/>
      <c r="S599" s="60">
        <f t="shared" si="502"/>
        <v>-2.5966929296868418E-2</v>
      </c>
      <c r="T599" s="16"/>
      <c r="U599" s="41"/>
      <c r="V599" s="10">
        <f t="shared" si="349"/>
        <v>491</v>
      </c>
      <c r="W599" s="34">
        <v>370</v>
      </c>
      <c r="X599" s="33">
        <v>4256</v>
      </c>
      <c r="Y599" s="33"/>
      <c r="Z599" s="33">
        <f t="shared" si="503"/>
        <v>6689</v>
      </c>
      <c r="AA599" s="33">
        <f t="shared" si="504"/>
        <v>708555</v>
      </c>
      <c r="AB599" s="33"/>
      <c r="AC599" s="46">
        <f t="shared" si="505"/>
        <v>1.6072858635334444E-2</v>
      </c>
      <c r="AD599" s="33"/>
      <c r="AE599" s="33">
        <f t="shared" si="506"/>
        <v>1200.9406779661017</v>
      </c>
      <c r="AF599" s="50"/>
      <c r="AG599" s="33"/>
      <c r="AH599" s="33"/>
      <c r="AI599" s="213"/>
      <c r="AJ599" s="50"/>
      <c r="AK599" s="111"/>
      <c r="AL599" s="23">
        <f t="shared" si="507"/>
        <v>50045</v>
      </c>
      <c r="AM599" s="24"/>
      <c r="AN599" s="24"/>
      <c r="AO599" s="24">
        <v>178263</v>
      </c>
      <c r="AP599" s="24">
        <v>36696945</v>
      </c>
      <c r="AQ599" s="24">
        <v>20336656</v>
      </c>
      <c r="AR599" s="461">
        <f t="shared" si="508"/>
        <v>1.3655998188114137E-3</v>
      </c>
      <c r="AS599" s="25"/>
      <c r="AT599" s="25"/>
      <c r="AU599" s="24"/>
      <c r="AV599" s="298">
        <f t="shared" si="509"/>
        <v>0.83243334580045747</v>
      </c>
      <c r="AW599" s="298"/>
      <c r="AX599" s="24">
        <f t="shared" si="510"/>
        <v>62198.211864406781</v>
      </c>
      <c r="AY599" s="308"/>
      <c r="AZ599" s="111"/>
      <c r="BA599" s="65">
        <f t="shared" si="511"/>
        <v>280826</v>
      </c>
      <c r="BB599" s="66"/>
      <c r="BC599" s="66">
        <v>698128624</v>
      </c>
      <c r="BD599" s="66"/>
      <c r="BE599" s="66">
        <f t="shared" si="512"/>
        <v>30780</v>
      </c>
      <c r="BF599" s="66"/>
      <c r="BG599" s="144">
        <f t="shared" si="513"/>
        <v>0.10960523598242328</v>
      </c>
      <c r="BH599" s="66"/>
      <c r="BI599" s="170"/>
      <c r="BJ599" s="66"/>
      <c r="BK599" s="66"/>
      <c r="BL599" s="66"/>
      <c r="BM599" s="144"/>
      <c r="BN599" s="65">
        <f t="shared" si="514"/>
        <v>1183268.8542372882</v>
      </c>
      <c r="BO599" s="66"/>
      <c r="BP599" s="66">
        <f t="shared" si="515"/>
        <v>43176966</v>
      </c>
      <c r="BQ599" s="66"/>
      <c r="BR599" s="435">
        <f t="shared" si="516"/>
        <v>6.1846720669628354E-2</v>
      </c>
      <c r="BS599" s="66"/>
      <c r="BT599" s="75"/>
      <c r="BU599" s="170"/>
      <c r="BV599" s="1"/>
      <c r="BW599" s="61">
        <f t="shared" si="399"/>
        <v>590</v>
      </c>
    </row>
    <row r="600" spans="2:75" x14ac:dyDescent="0.3">
      <c r="B600" s="347">
        <f t="shared" si="448"/>
        <v>44500</v>
      </c>
      <c r="C600" s="61"/>
      <c r="D600" s="17">
        <v>19975</v>
      </c>
      <c r="E600" s="16"/>
      <c r="F600" s="16"/>
      <c r="G600" s="16"/>
      <c r="H600" s="16">
        <f t="shared" si="497"/>
        <v>44103919</v>
      </c>
      <c r="I600" s="16"/>
      <c r="J600" s="436">
        <f t="shared" si="498"/>
        <v>4.5311281585876253E-4</v>
      </c>
      <c r="K600" s="16"/>
      <c r="L600" s="16"/>
      <c r="M600" s="16"/>
      <c r="N600" s="16">
        <f t="shared" si="499"/>
        <v>407021</v>
      </c>
      <c r="O600" s="16">
        <f t="shared" si="500"/>
        <v>74625.920473773265</v>
      </c>
      <c r="P600" s="41"/>
      <c r="Q600" s="17">
        <f t="shared" si="501"/>
        <v>407021</v>
      </c>
      <c r="R600" s="16"/>
      <c r="S600" s="60">
        <f t="shared" si="502"/>
        <v>-1.9335206218105944E-2</v>
      </c>
      <c r="T600" s="16"/>
      <c r="U600" s="41"/>
      <c r="V600" s="10">
        <f t="shared" si="349"/>
        <v>492</v>
      </c>
      <c r="W600" s="34">
        <v>162</v>
      </c>
      <c r="X600" s="33">
        <v>4256</v>
      </c>
      <c r="Y600" s="33"/>
      <c r="Z600" s="33">
        <f t="shared" si="503"/>
        <v>6341</v>
      </c>
      <c r="AA600" s="33">
        <f t="shared" si="504"/>
        <v>708717</v>
      </c>
      <c r="AB600" s="33"/>
      <c r="AC600" s="46">
        <f t="shared" si="505"/>
        <v>1.6069252258512447E-2</v>
      </c>
      <c r="AD600" s="33"/>
      <c r="AE600" s="33">
        <f t="shared" si="506"/>
        <v>1199.1827411167512</v>
      </c>
      <c r="AF600" s="50"/>
      <c r="AG600" s="33"/>
      <c r="AH600" s="33"/>
      <c r="AI600" s="213"/>
      <c r="AJ600" s="50"/>
      <c r="AK600" s="111"/>
      <c r="AL600" s="23">
        <f t="shared" si="507"/>
        <v>18368</v>
      </c>
      <c r="AM600" s="24"/>
      <c r="AN600" s="24"/>
      <c r="AO600" s="24">
        <v>178263</v>
      </c>
      <c r="AP600" s="24">
        <v>36715313</v>
      </c>
      <c r="AQ600" s="24">
        <v>20336656</v>
      </c>
      <c r="AR600" s="461">
        <f t="shared" si="508"/>
        <v>5.0053212876439719E-4</v>
      </c>
      <c r="AS600" s="25"/>
      <c r="AT600" s="25"/>
      <c r="AU600" s="24"/>
      <c r="AV600" s="298">
        <f t="shared" si="509"/>
        <v>0.83247280133994439</v>
      </c>
      <c r="AW600" s="298"/>
      <c r="AX600" s="24">
        <f t="shared" si="510"/>
        <v>62124.049069373941</v>
      </c>
      <c r="AY600" s="308"/>
      <c r="AZ600" s="111"/>
      <c r="BA600" s="65">
        <f t="shared" si="511"/>
        <v>563570</v>
      </c>
      <c r="BB600" s="66"/>
      <c r="BC600" s="66">
        <v>698692194</v>
      </c>
      <c r="BD600" s="66"/>
      <c r="BE600" s="66">
        <f t="shared" si="512"/>
        <v>19975</v>
      </c>
      <c r="BF600" s="66"/>
      <c r="BG600" s="144">
        <f t="shared" si="513"/>
        <v>3.5443689337615561E-2</v>
      </c>
      <c r="BH600" s="66"/>
      <c r="BI600" s="170"/>
      <c r="BJ600" s="66"/>
      <c r="BK600" s="66"/>
      <c r="BL600" s="66"/>
      <c r="BM600" s="144"/>
      <c r="BN600" s="65">
        <f t="shared" si="514"/>
        <v>1182220.2944162437</v>
      </c>
      <c r="BO600" s="66"/>
      <c r="BP600" s="66">
        <f t="shared" si="515"/>
        <v>43196941</v>
      </c>
      <c r="BQ600" s="66"/>
      <c r="BR600" s="435">
        <f t="shared" si="516"/>
        <v>6.1825423800283649E-2</v>
      </c>
      <c r="BS600" s="66"/>
      <c r="BT600" s="75"/>
      <c r="BU600" s="170"/>
      <c r="BV600" s="1"/>
      <c r="BW600" s="61">
        <f t="shared" si="399"/>
        <v>591</v>
      </c>
    </row>
    <row r="601" spans="2:75" x14ac:dyDescent="0.3">
      <c r="B601" s="158">
        <f t="shared" si="448"/>
        <v>44501</v>
      </c>
      <c r="C601" s="61"/>
      <c r="D601" s="17">
        <v>54561</v>
      </c>
      <c r="E601" s="16"/>
      <c r="F601" s="16"/>
      <c r="G601" s="16"/>
      <c r="H601" s="16">
        <f t="shared" si="497"/>
        <v>44158480</v>
      </c>
      <c r="I601" s="16"/>
      <c r="J601" s="436">
        <f t="shared" si="498"/>
        <v>1.2371009478772169E-3</v>
      </c>
      <c r="K601" s="16"/>
      <c r="L601" s="16"/>
      <c r="M601" s="16"/>
      <c r="N601" s="16">
        <f t="shared" si="499"/>
        <v>412811</v>
      </c>
      <c r="O601" s="16">
        <f t="shared" si="500"/>
        <v>74592.027027027027</v>
      </c>
      <c r="P601" s="41"/>
      <c r="Q601" s="17">
        <f t="shared" si="501"/>
        <v>412811</v>
      </c>
      <c r="R601" s="16"/>
      <c r="S601" s="60">
        <f t="shared" si="502"/>
        <v>5.1840596860831499E-3</v>
      </c>
      <c r="T601" s="16"/>
      <c r="U601" s="41"/>
      <c r="V601" s="10">
        <f t="shared" si="349"/>
        <v>493</v>
      </c>
      <c r="W601" s="34">
        <v>700</v>
      </c>
      <c r="X601" s="33">
        <v>4256</v>
      </c>
      <c r="Y601" s="33"/>
      <c r="Z601" s="33">
        <f t="shared" si="503"/>
        <v>5590</v>
      </c>
      <c r="AA601" s="33">
        <f t="shared" si="504"/>
        <v>709417</v>
      </c>
      <c r="AB601" s="33"/>
      <c r="AC601" s="46">
        <f t="shared" si="505"/>
        <v>1.606524952851638E-2</v>
      </c>
      <c r="AD601" s="33"/>
      <c r="AE601" s="33">
        <f t="shared" si="506"/>
        <v>1198.3395270270271</v>
      </c>
      <c r="AF601" s="50"/>
      <c r="AG601" s="33"/>
      <c r="AH601" s="33"/>
      <c r="AI601" s="213"/>
      <c r="AJ601" s="50"/>
      <c r="AK601" s="111" t="s">
        <v>26</v>
      </c>
      <c r="AL601" s="23">
        <f t="shared" si="507"/>
        <v>134687</v>
      </c>
      <c r="AM601" s="24"/>
      <c r="AN601" s="24"/>
      <c r="AO601" s="24">
        <v>178263</v>
      </c>
      <c r="AP601" s="24">
        <v>36850000</v>
      </c>
      <c r="AQ601" s="24">
        <v>20336656</v>
      </c>
      <c r="AR601" s="461">
        <f t="shared" si="508"/>
        <v>3.6684148654813321E-3</v>
      </c>
      <c r="AS601" s="25"/>
      <c r="AT601" s="25"/>
      <c r="AU601" s="24"/>
      <c r="AV601" s="298">
        <f t="shared" si="509"/>
        <v>0.83449430324594509</v>
      </c>
      <c r="AW601" s="298"/>
      <c r="AX601" s="24">
        <f t="shared" si="510"/>
        <v>62246.62162162162</v>
      </c>
      <c r="AY601" s="308"/>
      <c r="AZ601" s="111" t="s">
        <v>26</v>
      </c>
      <c r="BA601" s="65">
        <f t="shared" si="511"/>
        <v>1307806</v>
      </c>
      <c r="BB601" s="66"/>
      <c r="BC601" s="66">
        <v>700000000</v>
      </c>
      <c r="BD601" s="66"/>
      <c r="BE601" s="66">
        <f t="shared" si="512"/>
        <v>54561</v>
      </c>
      <c r="BF601" s="66"/>
      <c r="BG601" s="144">
        <f t="shared" si="513"/>
        <v>4.1719490505472523E-2</v>
      </c>
      <c r="BH601" s="66"/>
      <c r="BI601" s="170"/>
      <c r="BJ601" s="66"/>
      <c r="BK601" s="66"/>
      <c r="BL601" s="66"/>
      <c r="BM601" s="144"/>
      <c r="BN601" s="65">
        <f t="shared" si="514"/>
        <v>1182432.4324324324</v>
      </c>
      <c r="BO601" s="66"/>
      <c r="BP601" s="66">
        <f t="shared" si="515"/>
        <v>43251502</v>
      </c>
      <c r="BQ601" s="66"/>
      <c r="BR601" s="435">
        <f t="shared" si="516"/>
        <v>6.178786E-2</v>
      </c>
      <c r="BS601" s="66"/>
      <c r="BT601" s="75"/>
      <c r="BU601" s="170"/>
      <c r="BV601" s="1"/>
      <c r="BW601" s="61">
        <f t="shared" si="399"/>
        <v>592</v>
      </c>
    </row>
    <row r="602" spans="2:75" x14ac:dyDescent="0.3">
      <c r="B602" s="158">
        <f t="shared" si="448"/>
        <v>44502</v>
      </c>
      <c r="C602" s="61"/>
      <c r="D602" s="17">
        <v>76526</v>
      </c>
      <c r="E602" s="16"/>
      <c r="F602" s="16"/>
      <c r="G602" s="16"/>
      <c r="H602" s="16">
        <f t="shared" si="497"/>
        <v>44235006</v>
      </c>
      <c r="I602" s="16"/>
      <c r="J602" s="436">
        <f t="shared" si="498"/>
        <v>1.7329853744965859E-3</v>
      </c>
      <c r="K602" s="16"/>
      <c r="L602" s="16"/>
      <c r="M602" s="16"/>
      <c r="N602" s="16">
        <f t="shared" si="499"/>
        <v>419703</v>
      </c>
      <c r="O602" s="16">
        <f t="shared" si="500"/>
        <v>74595.288364249573</v>
      </c>
      <c r="P602" s="41"/>
      <c r="Q602" s="17">
        <f t="shared" si="501"/>
        <v>419703</v>
      </c>
      <c r="R602" s="16"/>
      <c r="S602" s="60">
        <f t="shared" si="502"/>
        <v>2.7407119094654438E-2</v>
      </c>
      <c r="T602" s="16"/>
      <c r="U602" s="41"/>
      <c r="V602" s="10">
        <f t="shared" si="349"/>
        <v>494</v>
      </c>
      <c r="W602" s="34">
        <v>1269</v>
      </c>
      <c r="X602" s="33">
        <v>4256</v>
      </c>
      <c r="Y602" s="33"/>
      <c r="Z602" s="33">
        <f t="shared" si="503"/>
        <v>5265</v>
      </c>
      <c r="AA602" s="33">
        <f t="shared" si="504"/>
        <v>710686</v>
      </c>
      <c r="AB602" s="33"/>
      <c r="AC602" s="46">
        <f t="shared" si="505"/>
        <v>1.6066144537202051E-2</v>
      </c>
      <c r="AD602" s="33"/>
      <c r="AE602" s="33">
        <f t="shared" si="506"/>
        <v>1198.4586846543002</v>
      </c>
      <c r="AF602" s="50"/>
      <c r="AG602" s="33"/>
      <c r="AH602" s="33"/>
      <c r="AI602" s="213"/>
      <c r="AJ602" s="50"/>
      <c r="AL602" s="23">
        <f t="shared" si="507"/>
        <v>171623</v>
      </c>
      <c r="AM602" s="24"/>
      <c r="AN602" s="24"/>
      <c r="AO602" s="24">
        <v>178263</v>
      </c>
      <c r="AP602" s="24">
        <v>37021623</v>
      </c>
      <c r="AQ602" s="24">
        <v>20336656</v>
      </c>
      <c r="AR602" s="461">
        <f t="shared" si="508"/>
        <v>4.657340569877883E-3</v>
      </c>
      <c r="AS602" s="25"/>
      <c r="AT602" s="25"/>
      <c r="AU602" s="24"/>
      <c r="AV602" s="298">
        <f t="shared" si="509"/>
        <v>0.83693043920916388</v>
      </c>
      <c r="AW602" s="298"/>
      <c r="AX602" s="24">
        <f t="shared" si="510"/>
        <v>62431.067453625634</v>
      </c>
      <c r="AY602" s="308"/>
      <c r="BA602" s="65">
        <f t="shared" si="511"/>
        <v>3560959</v>
      </c>
      <c r="BB602" s="66"/>
      <c r="BC602" s="66">
        <v>703560959</v>
      </c>
      <c r="BD602" s="66"/>
      <c r="BE602" s="66">
        <f t="shared" si="512"/>
        <v>76526</v>
      </c>
      <c r="BF602" s="66"/>
      <c r="BG602" s="144">
        <f t="shared" si="513"/>
        <v>2.1490278321092716E-2</v>
      </c>
      <c r="BH602" s="66"/>
      <c r="BI602" s="170"/>
      <c r="BJ602" s="66"/>
      <c r="BK602" s="66"/>
      <c r="BL602" s="66"/>
      <c r="BM602" s="144"/>
      <c r="BN602" s="65">
        <f t="shared" si="514"/>
        <v>1186443.4384485667</v>
      </c>
      <c r="BO602" s="66"/>
      <c r="BP602" s="66">
        <f t="shared" si="515"/>
        <v>43328028</v>
      </c>
      <c r="BQ602" s="66"/>
      <c r="BR602" s="435">
        <f t="shared" si="516"/>
        <v>6.1583900365341337E-2</v>
      </c>
      <c r="BS602" s="66"/>
      <c r="BT602" s="75"/>
      <c r="BU602" s="170"/>
      <c r="BV602" s="1"/>
      <c r="BW602" s="61">
        <f t="shared" si="399"/>
        <v>593</v>
      </c>
    </row>
    <row r="603" spans="2:75" x14ac:dyDescent="0.3">
      <c r="B603" s="158">
        <f t="shared" si="448"/>
        <v>44503</v>
      </c>
      <c r="C603" s="61"/>
      <c r="D603" s="17">
        <v>75639</v>
      </c>
      <c r="E603" s="16"/>
      <c r="F603" s="16"/>
      <c r="G603" s="16"/>
      <c r="H603" s="16">
        <f t="shared" si="497"/>
        <v>44310645</v>
      </c>
      <c r="I603" s="16"/>
      <c r="J603" s="436">
        <f t="shared" si="498"/>
        <v>1.7099353394458678E-3</v>
      </c>
      <c r="K603" s="16"/>
      <c r="L603" s="16"/>
      <c r="M603" s="16"/>
      <c r="N603" s="16">
        <f t="shared" si="499"/>
        <v>416410</v>
      </c>
      <c r="O603" s="16">
        <f t="shared" si="500"/>
        <v>74597.045454545456</v>
      </c>
      <c r="P603" s="41"/>
      <c r="Q603" s="17">
        <f t="shared" si="501"/>
        <v>416410</v>
      </c>
      <c r="R603" s="16"/>
      <c r="S603" s="60">
        <f t="shared" si="502"/>
        <v>2.3085201000456988E-2</v>
      </c>
      <c r="T603" s="16"/>
      <c r="U603" s="41"/>
      <c r="V603" s="10">
        <f t="shared" si="349"/>
        <v>495</v>
      </c>
      <c r="W603" s="34">
        <v>1436</v>
      </c>
      <c r="X603" s="33">
        <v>4256</v>
      </c>
      <c r="Y603" s="33"/>
      <c r="Z603" s="33">
        <f t="shared" si="503"/>
        <v>5493</v>
      </c>
      <c r="AA603" s="33">
        <f t="shared" si="504"/>
        <v>712122</v>
      </c>
      <c r="AB603" s="33"/>
      <c r="AC603" s="46">
        <f t="shared" si="505"/>
        <v>1.6071126926723814E-2</v>
      </c>
      <c r="AD603" s="33"/>
      <c r="AE603" s="33">
        <f t="shared" si="506"/>
        <v>1198.8585858585859</v>
      </c>
      <c r="AF603" s="50"/>
      <c r="AG603" s="33"/>
      <c r="AH603" s="33"/>
      <c r="AI603" s="213"/>
      <c r="AJ603" s="50"/>
      <c r="AL603" s="23">
        <f t="shared" si="507"/>
        <v>94981</v>
      </c>
      <c r="AM603" s="24"/>
      <c r="AN603" s="24"/>
      <c r="AO603" s="24">
        <v>178263</v>
      </c>
      <c r="AP603" s="24">
        <v>37116604</v>
      </c>
      <c r="AQ603" s="24">
        <v>20336656</v>
      </c>
      <c r="AR603" s="461">
        <f t="shared" si="508"/>
        <v>2.5655547300019775E-3</v>
      </c>
      <c r="AS603" s="25"/>
      <c r="AT603" s="25"/>
      <c r="AU603" s="24"/>
      <c r="AV603" s="298">
        <f t="shared" si="509"/>
        <v>0.83764531073740855</v>
      </c>
      <c r="AW603" s="298"/>
      <c r="AX603" s="24">
        <f t="shared" si="510"/>
        <v>62485.865319865319</v>
      </c>
      <c r="AY603" s="308"/>
      <c r="BA603" s="65">
        <f t="shared" si="511"/>
        <v>1584324</v>
      </c>
      <c r="BB603" s="66"/>
      <c r="BC603" s="66">
        <v>705145283</v>
      </c>
      <c r="BD603" s="66"/>
      <c r="BE603" s="66">
        <f t="shared" si="512"/>
        <v>75639</v>
      </c>
      <c r="BF603" s="66"/>
      <c r="BG603" s="144">
        <f t="shared" si="513"/>
        <v>4.7742128504018121E-2</v>
      </c>
      <c r="BH603" s="66"/>
      <c r="BI603" s="170"/>
      <c r="BJ603" s="66"/>
      <c r="BK603" s="66"/>
      <c r="BL603" s="66"/>
      <c r="BM603" s="144"/>
      <c r="BN603" s="65">
        <f t="shared" si="514"/>
        <v>1187113.2710437709</v>
      </c>
      <c r="BO603" s="66"/>
      <c r="BP603" s="66">
        <f t="shared" si="515"/>
        <v>43403667</v>
      </c>
      <c r="BQ603" s="66"/>
      <c r="BR603" s="435">
        <f t="shared" si="516"/>
        <v>6.1552800602085289E-2</v>
      </c>
      <c r="BS603" s="66"/>
      <c r="BT603" s="75"/>
      <c r="BU603" s="170"/>
      <c r="BV603" s="1"/>
      <c r="BW603" s="61">
        <f t="shared" si="399"/>
        <v>594</v>
      </c>
    </row>
    <row r="604" spans="2:75" x14ac:dyDescent="0.3">
      <c r="B604" s="158">
        <f t="shared" si="448"/>
        <v>44504</v>
      </c>
      <c r="C604" s="61"/>
      <c r="D604" s="17">
        <v>81033</v>
      </c>
      <c r="E604" s="16"/>
      <c r="F604" s="16"/>
      <c r="G604" s="16"/>
      <c r="H604" s="16">
        <f t="shared" si="497"/>
        <v>44391678</v>
      </c>
      <c r="I604" s="16"/>
      <c r="J604" s="436">
        <f t="shared" si="498"/>
        <v>1.8287479227621264E-3</v>
      </c>
      <c r="K604" s="16"/>
      <c r="L604" s="16"/>
      <c r="M604" s="16"/>
      <c r="N604" s="16">
        <f t="shared" si="499"/>
        <v>418983</v>
      </c>
      <c r="O604" s="16">
        <f t="shared" si="500"/>
        <v>74607.862184873957</v>
      </c>
      <c r="P604" s="41"/>
      <c r="Q604" s="17">
        <f t="shared" si="501"/>
        <v>418983</v>
      </c>
      <c r="R604" s="16"/>
      <c r="S604" s="60">
        <f t="shared" si="502"/>
        <v>3.544888159569394E-2</v>
      </c>
      <c r="T604" s="16"/>
      <c r="U604" s="41"/>
      <c r="V604" s="10">
        <f t="shared" si="349"/>
        <v>496</v>
      </c>
      <c r="W604" s="34">
        <v>1149</v>
      </c>
      <c r="X604" s="33">
        <v>4256</v>
      </c>
      <c r="Y604" s="33"/>
      <c r="Z604" s="33">
        <f t="shared" si="503"/>
        <v>5086</v>
      </c>
      <c r="AA604" s="33">
        <f t="shared" si="504"/>
        <v>713271</v>
      </c>
      <c r="AB604" s="33"/>
      <c r="AC604" s="46">
        <f t="shared" si="505"/>
        <v>1.6067673765339529E-2</v>
      </c>
      <c r="AD604" s="33"/>
      <c r="AE604" s="33">
        <f t="shared" si="506"/>
        <v>1198.7747899159665</v>
      </c>
      <c r="AF604" s="50"/>
      <c r="AG604" s="33"/>
      <c r="AH604" s="33"/>
      <c r="AI604" s="213"/>
      <c r="AJ604" s="50"/>
      <c r="AL604" s="23">
        <f t="shared" si="507"/>
        <v>77507</v>
      </c>
      <c r="AM604" s="24"/>
      <c r="AN604" s="24"/>
      <c r="AO604" s="24">
        <v>178263</v>
      </c>
      <c r="AP604" s="24">
        <v>37194111</v>
      </c>
      <c r="AQ604" s="24">
        <v>20336656</v>
      </c>
      <c r="AR604" s="461">
        <f t="shared" si="508"/>
        <v>2.0882028970107287E-3</v>
      </c>
      <c r="AS604" s="25"/>
      <c r="AT604" s="25"/>
      <c r="AU604" s="24"/>
      <c r="AV604" s="298">
        <f t="shared" si="509"/>
        <v>0.83786224526137532</v>
      </c>
      <c r="AW604" s="298"/>
      <c r="AX604" s="24">
        <f t="shared" si="510"/>
        <v>62511.11092436975</v>
      </c>
      <c r="AY604" s="308"/>
      <c r="BA604" s="65">
        <f t="shared" si="511"/>
        <v>1598118</v>
      </c>
      <c r="BB604" s="66"/>
      <c r="BC604" s="66">
        <v>706743401</v>
      </c>
      <c r="BD604" s="66"/>
      <c r="BE604" s="66">
        <f t="shared" si="512"/>
        <v>81033</v>
      </c>
      <c r="BF604" s="66"/>
      <c r="BG604" s="144">
        <f t="shared" si="513"/>
        <v>5.0705267070391545E-2</v>
      </c>
      <c r="BH604" s="66"/>
      <c r="BI604" s="170"/>
      <c r="BJ604" s="66"/>
      <c r="BK604" s="66"/>
      <c r="BL604" s="66"/>
      <c r="BM604" s="144"/>
      <c r="BN604" s="65">
        <f t="shared" si="514"/>
        <v>1187804.0352941176</v>
      </c>
      <c r="BO604" s="66"/>
      <c r="BP604" s="66">
        <f t="shared" si="515"/>
        <v>43484700</v>
      </c>
      <c r="BQ604" s="66"/>
      <c r="BR604" s="435">
        <f t="shared" si="516"/>
        <v>6.1528271701542216E-2</v>
      </c>
      <c r="BS604" s="66"/>
      <c r="BT604" s="75"/>
      <c r="BU604" s="170"/>
      <c r="BV604" s="1"/>
      <c r="BW604" s="61">
        <f t="shared" si="399"/>
        <v>595</v>
      </c>
    </row>
    <row r="605" spans="2:75" x14ac:dyDescent="0.3">
      <c r="B605" s="158">
        <f t="shared" si="448"/>
        <v>44505</v>
      </c>
      <c r="C605" s="61"/>
      <c r="D605" s="17">
        <v>84846</v>
      </c>
      <c r="E605" s="16"/>
      <c r="F605" s="16"/>
      <c r="G605" s="16"/>
      <c r="H605" s="16">
        <f t="shared" si="497"/>
        <v>44476524</v>
      </c>
      <c r="I605" s="16"/>
      <c r="J605" s="436">
        <f t="shared" si="498"/>
        <v>1.9113041863387096E-3</v>
      </c>
      <c r="K605" s="16"/>
      <c r="L605" s="16"/>
      <c r="M605" s="16"/>
      <c r="N605" s="16">
        <f t="shared" si="499"/>
        <v>423360</v>
      </c>
      <c r="O605" s="16">
        <f t="shared" si="500"/>
        <v>74625.040268456374</v>
      </c>
      <c r="P605" s="41"/>
      <c r="Q605" s="17">
        <f t="shared" si="501"/>
        <v>423360</v>
      </c>
      <c r="R605" s="16"/>
      <c r="S605" s="60">
        <f t="shared" si="502"/>
        <v>5.1382024983236893E-2</v>
      </c>
      <c r="T605" s="16"/>
      <c r="U605" s="41"/>
      <c r="V605" s="10">
        <f t="shared" si="349"/>
        <v>497</v>
      </c>
      <c r="W605" s="34">
        <v>1345</v>
      </c>
      <c r="X605" s="33">
        <v>4256</v>
      </c>
      <c r="Y605" s="33"/>
      <c r="Z605" s="33">
        <f t="shared" si="503"/>
        <v>6061</v>
      </c>
      <c r="AA605" s="33">
        <f t="shared" si="504"/>
        <v>714616</v>
      </c>
      <c r="AB605" s="33"/>
      <c r="AC605" s="46">
        <f t="shared" si="505"/>
        <v>1.6067262810376098E-2</v>
      </c>
      <c r="AD605" s="33"/>
      <c r="AE605" s="33">
        <f t="shared" si="506"/>
        <v>1199.020134228188</v>
      </c>
      <c r="AF605" s="50"/>
      <c r="AG605" s="33"/>
      <c r="AH605" s="33"/>
      <c r="AI605" s="213"/>
      <c r="AJ605" s="50"/>
      <c r="AL605" s="23">
        <f t="shared" si="507"/>
        <v>75398</v>
      </c>
      <c r="AM605" s="24"/>
      <c r="AN605" s="24"/>
      <c r="AO605" s="24">
        <v>178263</v>
      </c>
      <c r="AP605" s="24">
        <v>37269509</v>
      </c>
      <c r="AQ605" s="24">
        <v>20336656</v>
      </c>
      <c r="AR605" s="461">
        <f t="shared" si="508"/>
        <v>2.0271488677333894E-3</v>
      </c>
      <c r="AS605" s="25"/>
      <c r="AT605" s="25"/>
      <c r="AU605" s="24"/>
      <c r="AV605" s="298">
        <f t="shared" si="509"/>
        <v>0.83795912198534217</v>
      </c>
      <c r="AW605" s="298"/>
      <c r="AX605" s="24">
        <f t="shared" si="510"/>
        <v>62532.733221476512</v>
      </c>
      <c r="AY605" s="308"/>
      <c r="BA605" s="65">
        <f t="shared" si="511"/>
        <v>1766699</v>
      </c>
      <c r="BB605" s="66"/>
      <c r="BC605" s="66">
        <v>708510100</v>
      </c>
      <c r="BD605" s="66"/>
      <c r="BE605" s="66">
        <f t="shared" si="512"/>
        <v>84846</v>
      </c>
      <c r="BF605" s="66"/>
      <c r="BG605" s="144">
        <f t="shared" si="513"/>
        <v>4.802515878482979E-2</v>
      </c>
      <c r="BH605" s="66"/>
      <c r="BI605" s="170"/>
      <c r="BJ605" s="66"/>
      <c r="BK605" s="66"/>
      <c r="BL605" s="66"/>
      <c r="BM605" s="144"/>
      <c r="BN605" s="65">
        <f t="shared" si="514"/>
        <v>1188775.3355704697</v>
      </c>
      <c r="BO605" s="66"/>
      <c r="BP605" s="66">
        <f t="shared" si="515"/>
        <v>43569546</v>
      </c>
      <c r="BQ605" s="66"/>
      <c r="BR605" s="435">
        <f t="shared" si="516"/>
        <v>6.1494601135537799E-2</v>
      </c>
      <c r="BS605" s="66"/>
      <c r="BT605" s="75"/>
      <c r="BU605" s="170"/>
      <c r="BV605" s="1"/>
      <c r="BW605" s="61">
        <f t="shared" si="399"/>
        <v>596</v>
      </c>
    </row>
    <row r="606" spans="2:75" x14ac:dyDescent="0.3">
      <c r="B606" s="158">
        <f t="shared" si="448"/>
        <v>44506</v>
      </c>
      <c r="C606" s="61"/>
      <c r="D606" s="17">
        <v>32479</v>
      </c>
      <c r="E606" s="16"/>
      <c r="F606" s="16"/>
      <c r="G606" s="16"/>
      <c r="H606" s="16">
        <f t="shared" si="497"/>
        <v>44509003</v>
      </c>
      <c r="I606" s="16"/>
      <c r="J606" s="436">
        <f t="shared" si="498"/>
        <v>7.3025041255472215E-4</v>
      </c>
      <c r="K606" s="16"/>
      <c r="L606" s="16"/>
      <c r="M606" s="16"/>
      <c r="N606" s="16">
        <f t="shared" si="499"/>
        <v>425059</v>
      </c>
      <c r="O606" s="16">
        <f t="shared" si="500"/>
        <v>74554.443886097157</v>
      </c>
      <c r="P606" s="41"/>
      <c r="Q606" s="17">
        <f t="shared" si="501"/>
        <v>425059</v>
      </c>
      <c r="R606" s="16"/>
      <c r="S606" s="60">
        <f t="shared" si="502"/>
        <v>5.0498485020735194E-2</v>
      </c>
      <c r="T606" s="16"/>
      <c r="U606" s="41"/>
      <c r="V606" s="10">
        <f t="shared" si="349"/>
        <v>498</v>
      </c>
      <c r="W606" s="34">
        <v>422</v>
      </c>
      <c r="X606" s="33">
        <v>4256</v>
      </c>
      <c r="Y606" s="33"/>
      <c r="Z606" s="33">
        <f t="shared" si="503"/>
        <v>6321</v>
      </c>
      <c r="AA606" s="33">
        <f t="shared" si="504"/>
        <v>715038</v>
      </c>
      <c r="AB606" s="33"/>
      <c r="AC606" s="46">
        <f t="shared" si="505"/>
        <v>1.6065019474824003E-2</v>
      </c>
      <c r="AD606" s="33"/>
      <c r="AE606" s="33">
        <f t="shared" si="506"/>
        <v>1197.7185929648242</v>
      </c>
      <c r="AF606" s="50"/>
      <c r="AG606" s="33"/>
      <c r="AH606" s="33"/>
      <c r="AI606" s="213"/>
      <c r="AJ606" s="50"/>
      <c r="AL606" s="23">
        <f t="shared" si="507"/>
        <v>42157</v>
      </c>
      <c r="AM606" s="24"/>
      <c r="AN606" s="24"/>
      <c r="AO606" s="24">
        <v>178263</v>
      </c>
      <c r="AP606" s="24">
        <v>37311666</v>
      </c>
      <c r="AQ606" s="24">
        <v>20336656</v>
      </c>
      <c r="AR606" s="461">
        <f t="shared" si="508"/>
        <v>1.1311391303813528E-3</v>
      </c>
      <c r="AS606" s="25"/>
      <c r="AT606" s="25"/>
      <c r="AU606" s="24"/>
      <c r="AV606" s="298">
        <f t="shared" si="509"/>
        <v>0.83829480521053235</v>
      </c>
      <c r="AW606" s="298"/>
      <c r="AX606" s="24">
        <f t="shared" si="510"/>
        <v>62498.60301507538</v>
      </c>
      <c r="AY606" s="308"/>
      <c r="BA606" s="65">
        <f t="shared" si="511"/>
        <v>486536</v>
      </c>
      <c r="BB606" s="66"/>
      <c r="BC606" s="66">
        <v>708996636</v>
      </c>
      <c r="BD606" s="66"/>
      <c r="BE606" s="66">
        <f t="shared" si="512"/>
        <v>32479</v>
      </c>
      <c r="BF606" s="66"/>
      <c r="BG606" s="144">
        <f t="shared" si="513"/>
        <v>6.675559465281089E-2</v>
      </c>
      <c r="BH606" s="66"/>
      <c r="BI606" s="170"/>
      <c r="BJ606" s="66"/>
      <c r="BK606" s="66"/>
      <c r="BL606" s="66"/>
      <c r="BM606" s="144"/>
      <c r="BN606" s="65">
        <f t="shared" si="514"/>
        <v>1187599.055276382</v>
      </c>
      <c r="BO606" s="66"/>
      <c r="BP606" s="66">
        <f t="shared" si="515"/>
        <v>43602025</v>
      </c>
      <c r="BQ606" s="66"/>
      <c r="BR606" s="435">
        <f t="shared" si="516"/>
        <v>6.149821139630908E-2</v>
      </c>
      <c r="BS606" s="66"/>
      <c r="BT606" s="75"/>
      <c r="BU606" s="170"/>
      <c r="BV606" s="1"/>
      <c r="BW606" s="61">
        <f t="shared" si="399"/>
        <v>597</v>
      </c>
    </row>
    <row r="607" spans="2:75" x14ac:dyDescent="0.3">
      <c r="B607" s="347">
        <f t="shared" si="448"/>
        <v>44507</v>
      </c>
      <c r="C607" s="61"/>
      <c r="D607" s="17">
        <v>23165</v>
      </c>
      <c r="E607" s="16"/>
      <c r="F607" s="16"/>
      <c r="G607" s="16"/>
      <c r="H607" s="16">
        <f t="shared" si="497"/>
        <v>44532168</v>
      </c>
      <c r="I607" s="16"/>
      <c r="J607" s="436">
        <f t="shared" si="498"/>
        <v>5.2045650180032111E-4</v>
      </c>
      <c r="K607" s="16"/>
      <c r="L607" s="16"/>
      <c r="M607" s="16"/>
      <c r="N607" s="16">
        <f t="shared" si="499"/>
        <v>428249</v>
      </c>
      <c r="O607" s="16">
        <f t="shared" si="500"/>
        <v>74468.508361204018</v>
      </c>
      <c r="P607" s="41"/>
      <c r="Q607" s="17">
        <f t="shared" si="501"/>
        <v>428249</v>
      </c>
      <c r="R607" s="16"/>
      <c r="S607" s="60">
        <f t="shared" si="502"/>
        <v>5.2154557135872595E-2</v>
      </c>
      <c r="T607" s="16"/>
      <c r="U607" s="41"/>
      <c r="V607" s="10">
        <f t="shared" si="349"/>
        <v>499</v>
      </c>
      <c r="W607" s="34">
        <v>123</v>
      </c>
      <c r="X607" s="33">
        <v>4256</v>
      </c>
      <c r="Y607" s="33"/>
      <c r="Z607" s="33">
        <f t="shared" si="503"/>
        <v>5744</v>
      </c>
      <c r="AA607" s="33">
        <f t="shared" si="504"/>
        <v>715161</v>
      </c>
      <c r="AB607" s="33"/>
      <c r="AC607" s="46">
        <f t="shared" si="505"/>
        <v>1.6059424728659066E-2</v>
      </c>
      <c r="AD607" s="33"/>
      <c r="AE607" s="33">
        <f t="shared" si="506"/>
        <v>1195.9214046822742</v>
      </c>
      <c r="AF607" s="50"/>
      <c r="AG607" s="33"/>
      <c r="AH607" s="33"/>
      <c r="AI607" s="213"/>
      <c r="AJ607" s="50"/>
      <c r="AL607" s="23">
        <f t="shared" si="507"/>
        <v>21283</v>
      </c>
      <c r="AM607" s="24"/>
      <c r="AN607" s="24"/>
      <c r="AO607" s="24">
        <v>178263</v>
      </c>
      <c r="AP607" s="24">
        <v>37332949</v>
      </c>
      <c r="AQ607" s="24">
        <v>20336656</v>
      </c>
      <c r="AR607" s="461">
        <f t="shared" si="508"/>
        <v>5.7041140966474131E-4</v>
      </c>
      <c r="AS607" s="25"/>
      <c r="AT607" s="25"/>
      <c r="AU607" s="24"/>
      <c r="AV607" s="298">
        <f t="shared" si="509"/>
        <v>0.83833666036650178</v>
      </c>
      <c r="AW607" s="298"/>
      <c r="AX607" s="24">
        <f t="shared" si="510"/>
        <v>62429.680602006687</v>
      </c>
      <c r="AY607" s="308"/>
      <c r="BA607" s="65">
        <f t="shared" si="511"/>
        <v>385115</v>
      </c>
      <c r="BB607" s="66"/>
      <c r="BC607" s="66">
        <v>709381751</v>
      </c>
      <c r="BD607" s="66"/>
      <c r="BE607" s="66">
        <f t="shared" si="512"/>
        <v>23165</v>
      </c>
      <c r="BF607" s="66"/>
      <c r="BG607" s="144">
        <f t="shared" si="513"/>
        <v>6.0150864027628113E-2</v>
      </c>
      <c r="BH607" s="66"/>
      <c r="BI607" s="170"/>
      <c r="BJ607" s="66"/>
      <c r="BK607" s="66"/>
      <c r="BL607" s="66"/>
      <c r="BM607" s="144"/>
      <c r="BN607" s="65">
        <f t="shared" si="514"/>
        <v>1186257.1086956521</v>
      </c>
      <c r="BO607" s="66"/>
      <c r="BP607" s="66">
        <f t="shared" si="515"/>
        <v>43625190</v>
      </c>
      <c r="BQ607" s="66"/>
      <c r="BR607" s="435">
        <f t="shared" si="516"/>
        <v>6.1497479937286971E-2</v>
      </c>
      <c r="BS607" s="66"/>
      <c r="BT607" s="75"/>
      <c r="BU607" s="170"/>
      <c r="BV607" s="1"/>
      <c r="BW607" s="61">
        <f t="shared" si="399"/>
        <v>598</v>
      </c>
    </row>
    <row r="608" spans="2:75" x14ac:dyDescent="0.3">
      <c r="B608" s="158">
        <f t="shared" si="448"/>
        <v>44508</v>
      </c>
      <c r="C608" s="61"/>
      <c r="D608" s="17">
        <v>54847</v>
      </c>
      <c r="E608" s="16"/>
      <c r="F608" s="16"/>
      <c r="G608" s="16"/>
      <c r="H608" s="16">
        <f t="shared" si="497"/>
        <v>44587015</v>
      </c>
      <c r="I608" s="16"/>
      <c r="J608" s="436">
        <f t="shared" si="498"/>
        <v>1.231626540167548E-3</v>
      </c>
      <c r="K608" s="16"/>
      <c r="L608" s="16"/>
      <c r="M608" s="16"/>
      <c r="N608" s="16">
        <f t="shared" si="499"/>
        <v>428535</v>
      </c>
      <c r="O608" s="16">
        <f t="shared" si="500"/>
        <v>74435.751252086819</v>
      </c>
      <c r="P608" s="41"/>
      <c r="Q608" s="17">
        <f t="shared" si="501"/>
        <v>428535</v>
      </c>
      <c r="R608" s="16"/>
      <c r="S608" s="60">
        <f t="shared" si="502"/>
        <v>3.8090070274290171E-2</v>
      </c>
      <c r="T608" s="16"/>
      <c r="U608" s="41"/>
      <c r="V608" s="10">
        <f t="shared" si="349"/>
        <v>500</v>
      </c>
      <c r="W608" s="34">
        <v>483</v>
      </c>
      <c r="X608" s="33">
        <v>4256</v>
      </c>
      <c r="Y608" s="33"/>
      <c r="Z608" s="33">
        <f t="shared" si="503"/>
        <v>4958</v>
      </c>
      <c r="AA608" s="33">
        <f t="shared" si="504"/>
        <v>715644</v>
      </c>
      <c r="AB608" s="33"/>
      <c r="AC608" s="46">
        <f t="shared" si="505"/>
        <v>1.605050259587909E-2</v>
      </c>
      <c r="AD608" s="33"/>
      <c r="AE608" s="33">
        <f t="shared" si="506"/>
        <v>1194.7312186978297</v>
      </c>
      <c r="AF608" s="50"/>
      <c r="AG608" s="33"/>
      <c r="AH608" s="33"/>
      <c r="AI608" s="213"/>
      <c r="AJ608" s="50"/>
      <c r="AL608" s="23">
        <f t="shared" si="507"/>
        <v>163415</v>
      </c>
      <c r="AM608" s="24"/>
      <c r="AN608" s="24"/>
      <c r="AO608" s="24">
        <v>178263</v>
      </c>
      <c r="AP608" s="24">
        <v>37496364</v>
      </c>
      <c r="AQ608" s="24">
        <v>20336656</v>
      </c>
      <c r="AR608" s="461">
        <f t="shared" si="508"/>
        <v>4.3772325620459289E-3</v>
      </c>
      <c r="AS608" s="25"/>
      <c r="AT608" s="25"/>
      <c r="AU608" s="24"/>
      <c r="AV608" s="298">
        <f t="shared" si="509"/>
        <v>0.84097049331515017</v>
      </c>
      <c r="AW608" s="298"/>
      <c r="AX608" s="24">
        <f t="shared" si="510"/>
        <v>62598.270450751254</v>
      </c>
      <c r="AY608" s="308"/>
      <c r="BA608" s="65">
        <f t="shared" si="511"/>
        <v>3603531</v>
      </c>
      <c r="BB608" s="66"/>
      <c r="BC608" s="66">
        <v>712985282</v>
      </c>
      <c r="BD608" s="66"/>
      <c r="BE608" s="66">
        <f t="shared" si="512"/>
        <v>54847</v>
      </c>
      <c r="BF608" s="66"/>
      <c r="BG608" s="144">
        <f t="shared" si="513"/>
        <v>1.5220349151984539E-2</v>
      </c>
      <c r="BH608" s="66"/>
      <c r="BI608" s="170"/>
      <c r="BJ608" s="66"/>
      <c r="BK608" s="66"/>
      <c r="BL608" s="66"/>
      <c r="BM608" s="144"/>
      <c r="BN608" s="65">
        <f t="shared" si="514"/>
        <v>1190292.6243739566</v>
      </c>
      <c r="BO608" s="66"/>
      <c r="BP608" s="66">
        <f t="shared" si="515"/>
        <v>43680037</v>
      </c>
      <c r="BQ608" s="66"/>
      <c r="BR608" s="435">
        <f t="shared" si="516"/>
        <v>6.1263588607990367E-2</v>
      </c>
      <c r="BS608" s="66"/>
      <c r="BT608" s="75"/>
      <c r="BU608" s="170"/>
      <c r="BV608" s="1"/>
      <c r="BW608" s="61">
        <f t="shared" si="399"/>
        <v>599</v>
      </c>
    </row>
    <row r="609" spans="2:75" x14ac:dyDescent="0.3">
      <c r="B609" s="158">
        <f t="shared" si="448"/>
        <v>44509</v>
      </c>
      <c r="C609" s="61"/>
      <c r="D609" s="17">
        <v>72358</v>
      </c>
      <c r="E609" s="16"/>
      <c r="F609" s="16"/>
      <c r="G609" s="16"/>
      <c r="H609" s="16">
        <f t="shared" si="497"/>
        <v>44659373</v>
      </c>
      <c r="I609" s="16"/>
      <c r="J609" s="436">
        <f t="shared" si="498"/>
        <v>1.6228491635961726E-3</v>
      </c>
      <c r="K609" s="16"/>
      <c r="L609" s="16"/>
      <c r="M609" s="16"/>
      <c r="N609" s="16">
        <f t="shared" si="499"/>
        <v>424367</v>
      </c>
      <c r="O609" s="16">
        <f t="shared" si="500"/>
        <v>74432.28833333333</v>
      </c>
      <c r="P609" s="41"/>
      <c r="Q609" s="17">
        <f t="shared" si="501"/>
        <v>424367</v>
      </c>
      <c r="R609" s="16"/>
      <c r="S609" s="60">
        <f t="shared" si="502"/>
        <v>1.1112620114700157E-2</v>
      </c>
      <c r="T609" s="16"/>
      <c r="U609" s="41"/>
      <c r="V609" s="10">
        <f t="shared" si="349"/>
        <v>501</v>
      </c>
      <c r="W609" s="34">
        <v>1339</v>
      </c>
      <c r="X609" s="33">
        <v>4256</v>
      </c>
      <c r="Y609" s="33"/>
      <c r="Z609" s="33">
        <f t="shared" si="503"/>
        <v>4861</v>
      </c>
      <c r="AA609" s="33">
        <f t="shared" si="504"/>
        <v>716983</v>
      </c>
      <c r="AB609" s="33"/>
      <c r="AC609" s="46">
        <f t="shared" si="505"/>
        <v>1.6054479761728854E-2</v>
      </c>
      <c r="AD609" s="33"/>
      <c r="AE609" s="33">
        <f t="shared" si="506"/>
        <v>1194.9716666666666</v>
      </c>
      <c r="AF609" s="50"/>
      <c r="AG609" s="33"/>
      <c r="AH609" s="33"/>
      <c r="AI609" s="213"/>
      <c r="AJ609" s="50"/>
      <c r="AL609" s="23">
        <f t="shared" si="507"/>
        <v>108176</v>
      </c>
      <c r="AM609" s="24"/>
      <c r="AN609" s="24"/>
      <c r="AO609" s="24">
        <v>178263</v>
      </c>
      <c r="AP609" s="24">
        <v>37604540</v>
      </c>
      <c r="AQ609" s="24">
        <v>20336656</v>
      </c>
      <c r="AR609" s="461">
        <f t="shared" si="508"/>
        <v>2.8849730603212622E-3</v>
      </c>
      <c r="AS609" s="25"/>
      <c r="AT609" s="25"/>
      <c r="AU609" s="24"/>
      <c r="AV609" s="298">
        <f t="shared" si="509"/>
        <v>0.84203018255540663</v>
      </c>
      <c r="AW609" s="298"/>
      <c r="AX609" s="24">
        <f t="shared" si="510"/>
        <v>62674.23333333333</v>
      </c>
      <c r="AY609" s="308"/>
      <c r="BA609" s="65">
        <f t="shared" si="511"/>
        <v>1458675</v>
      </c>
      <c r="BB609" s="66"/>
      <c r="BC609" s="66">
        <v>714443957</v>
      </c>
      <c r="BD609" s="66"/>
      <c r="BE609" s="66">
        <f t="shared" si="512"/>
        <v>72358</v>
      </c>
      <c r="BF609" s="66"/>
      <c r="BG609" s="144">
        <f t="shared" si="513"/>
        <v>4.9605292474334588E-2</v>
      </c>
      <c r="BH609" s="66"/>
      <c r="BI609" s="170"/>
      <c r="BJ609" s="66"/>
      <c r="BK609" s="66"/>
      <c r="BL609" s="66"/>
      <c r="BM609" s="144"/>
      <c r="BN609" s="65">
        <f t="shared" si="514"/>
        <v>1190739.9283333332</v>
      </c>
      <c r="BO609" s="66"/>
      <c r="BP609" s="66">
        <f t="shared" si="515"/>
        <v>43752395</v>
      </c>
      <c r="BQ609" s="66"/>
      <c r="BR609" s="435">
        <f t="shared" si="516"/>
        <v>6.1239785950068577E-2</v>
      </c>
      <c r="BS609" s="66"/>
      <c r="BT609" s="75"/>
      <c r="BU609" s="170"/>
      <c r="BV609" s="1"/>
      <c r="BW609" s="61">
        <f t="shared" si="399"/>
        <v>600</v>
      </c>
    </row>
    <row r="610" spans="2:75" x14ac:dyDescent="0.3">
      <c r="B610" s="158">
        <f t="shared" si="448"/>
        <v>44510</v>
      </c>
      <c r="C610" s="61"/>
      <c r="D610" s="17">
        <v>94376</v>
      </c>
      <c r="E610" s="16"/>
      <c r="F610" s="16"/>
      <c r="G610" s="16"/>
      <c r="H610" s="16">
        <f t="shared" si="497"/>
        <v>44753749</v>
      </c>
      <c r="I610" s="16"/>
      <c r="J610" s="436">
        <f t="shared" si="498"/>
        <v>2.1132405956527872E-3</v>
      </c>
      <c r="K610" s="16"/>
      <c r="L610" s="16"/>
      <c r="M610" s="16"/>
      <c r="N610" s="16">
        <f t="shared" si="499"/>
        <v>443104</v>
      </c>
      <c r="O610" s="16">
        <f t="shared" si="500"/>
        <v>74465.472545757075</v>
      </c>
      <c r="P610" s="41"/>
      <c r="Q610" s="17">
        <f t="shared" si="501"/>
        <v>443104</v>
      </c>
      <c r="R610" s="16"/>
      <c r="S610" s="60">
        <f t="shared" si="502"/>
        <v>6.4105088734660545E-2</v>
      </c>
      <c r="T610" s="16"/>
      <c r="U610" s="41"/>
      <c r="V610" s="10">
        <f t="shared" si="349"/>
        <v>502</v>
      </c>
      <c r="W610" s="34">
        <v>1493</v>
      </c>
      <c r="X610" s="33">
        <v>4256</v>
      </c>
      <c r="Y610" s="33"/>
      <c r="Z610" s="33">
        <f t="shared" si="503"/>
        <v>5205</v>
      </c>
      <c r="AA610" s="33">
        <f t="shared" si="504"/>
        <v>718476</v>
      </c>
      <c r="AB610" s="33"/>
      <c r="AC610" s="46">
        <f t="shared" si="505"/>
        <v>1.6053984661709569E-2</v>
      </c>
      <c r="AD610" s="33"/>
      <c r="AE610" s="33">
        <f t="shared" si="506"/>
        <v>1195.467554076539</v>
      </c>
      <c r="AF610" s="50"/>
      <c r="AG610" s="33"/>
      <c r="AH610" s="33"/>
      <c r="AI610" s="213"/>
      <c r="AJ610" s="50"/>
      <c r="AL610" s="23">
        <f t="shared" si="507"/>
        <v>97225</v>
      </c>
      <c r="AM610" s="24"/>
      <c r="AN610" s="24"/>
      <c r="AO610" s="24">
        <v>178263</v>
      </c>
      <c r="AP610" s="24">
        <v>37701765</v>
      </c>
      <c r="AQ610" s="24">
        <v>20336656</v>
      </c>
      <c r="AR610" s="461">
        <f t="shared" si="508"/>
        <v>2.5854590961623251E-3</v>
      </c>
      <c r="AS610" s="25"/>
      <c r="AT610" s="25"/>
      <c r="AU610" s="24"/>
      <c r="AV610" s="298">
        <f t="shared" si="509"/>
        <v>0.84242696628610936</v>
      </c>
      <c r="AW610" s="298"/>
      <c r="AX610" s="24">
        <f t="shared" si="510"/>
        <v>62731.722129783695</v>
      </c>
      <c r="AY610" s="308"/>
      <c r="BA610" s="65">
        <f t="shared" si="511"/>
        <v>1594643</v>
      </c>
      <c r="BB610" s="66"/>
      <c r="BC610" s="66">
        <v>716038600</v>
      </c>
      <c r="BD610" s="66"/>
      <c r="BE610" s="66">
        <f t="shared" si="512"/>
        <v>94376</v>
      </c>
      <c r="BF610" s="66"/>
      <c r="BG610" s="144">
        <f t="shared" si="513"/>
        <v>5.9183152592774686E-2</v>
      </c>
      <c r="BH610" s="66"/>
      <c r="BI610" s="170"/>
      <c r="BJ610" s="66"/>
      <c r="BK610" s="66"/>
      <c r="BL610" s="66"/>
      <c r="BM610" s="144"/>
      <c r="BN610" s="65">
        <f t="shared" si="514"/>
        <v>1191411.9800332778</v>
      </c>
      <c r="BO610" s="66"/>
      <c r="BP610" s="66">
        <f t="shared" si="515"/>
        <v>43846771</v>
      </c>
      <c r="BQ610" s="66"/>
      <c r="BR610" s="435">
        <f t="shared" si="516"/>
        <v>6.1235205755667363E-2</v>
      </c>
      <c r="BS610" s="66"/>
      <c r="BT610" s="75"/>
      <c r="BU610" s="170"/>
      <c r="BV610" s="1"/>
      <c r="BW610" s="61">
        <f t="shared" si="399"/>
        <v>601</v>
      </c>
    </row>
    <row r="611" spans="2:75" x14ac:dyDescent="0.3">
      <c r="B611" s="158">
        <f t="shared" si="448"/>
        <v>44511</v>
      </c>
      <c r="C611" s="61"/>
      <c r="D611" s="17">
        <v>43596</v>
      </c>
      <c r="E611" s="16"/>
      <c r="F611" s="16"/>
      <c r="G611" s="16"/>
      <c r="H611" s="16">
        <f t="shared" si="497"/>
        <v>44797345</v>
      </c>
      <c r="I611" s="16"/>
      <c r="J611" s="436">
        <f t="shared" si="498"/>
        <v>9.7413068120840557E-4</v>
      </c>
      <c r="K611" s="16"/>
      <c r="L611" s="16"/>
      <c r="M611" s="16"/>
      <c r="N611" s="16">
        <f t="shared" si="499"/>
        <v>405667</v>
      </c>
      <c r="O611" s="16">
        <f t="shared" si="500"/>
        <v>74414.194352159466</v>
      </c>
      <c r="P611" s="41"/>
      <c r="Q611" s="17">
        <f t="shared" si="501"/>
        <v>405667</v>
      </c>
      <c r="R611" s="16"/>
      <c r="S611" s="60">
        <f t="shared" si="502"/>
        <v>-3.1781719067360728E-2</v>
      </c>
      <c r="T611" s="16"/>
      <c r="U611" s="41"/>
      <c r="V611" s="10">
        <f t="shared" si="349"/>
        <v>503</v>
      </c>
      <c r="W611" s="34">
        <v>539</v>
      </c>
      <c r="X611" s="33">
        <v>4256</v>
      </c>
      <c r="Y611" s="33"/>
      <c r="Z611" s="33">
        <f t="shared" si="503"/>
        <v>4399</v>
      </c>
      <c r="AA611" s="33">
        <f t="shared" si="504"/>
        <v>719015</v>
      </c>
      <c r="AB611" s="33"/>
      <c r="AC611" s="46">
        <f t="shared" si="505"/>
        <v>1.6050393165041366E-2</v>
      </c>
      <c r="AD611" s="33"/>
      <c r="AE611" s="33">
        <f t="shared" si="506"/>
        <v>1194.3770764119602</v>
      </c>
      <c r="AF611" s="50"/>
      <c r="AG611" s="33"/>
      <c r="AH611" s="33"/>
      <c r="AI611" s="213"/>
      <c r="AJ611" s="50"/>
      <c r="AL611" s="23">
        <f t="shared" si="507"/>
        <v>27724</v>
      </c>
      <c r="AM611" s="24"/>
      <c r="AN611" s="24"/>
      <c r="AO611" s="24">
        <v>178263</v>
      </c>
      <c r="AP611" s="24">
        <v>37729489</v>
      </c>
      <c r="AQ611" s="24">
        <v>20336656</v>
      </c>
      <c r="AR611" s="461">
        <f t="shared" si="508"/>
        <v>7.3535018851239456E-4</v>
      </c>
      <c r="AS611" s="25"/>
      <c r="AT611" s="25"/>
      <c r="AU611" s="24"/>
      <c r="AV611" s="298">
        <f t="shared" si="509"/>
        <v>0.84222600692072269</v>
      </c>
      <c r="AW611" s="298"/>
      <c r="AX611" s="24">
        <f t="shared" si="510"/>
        <v>62673.569767441862</v>
      </c>
      <c r="AY611" s="308"/>
      <c r="BA611" s="65">
        <f t="shared" si="511"/>
        <v>657149</v>
      </c>
      <c r="BB611" s="66"/>
      <c r="BC611" s="66">
        <v>716695749</v>
      </c>
      <c r="BD611" s="66"/>
      <c r="BE611" s="66">
        <f t="shared" si="512"/>
        <v>43596</v>
      </c>
      <c r="BF611" s="66"/>
      <c r="BG611" s="144">
        <f t="shared" si="513"/>
        <v>6.6341118985192099E-2</v>
      </c>
      <c r="BH611" s="66"/>
      <c r="BI611" s="170"/>
      <c r="BJ611" s="66"/>
      <c r="BK611" s="66"/>
      <c r="BL611" s="66"/>
      <c r="BM611" s="144"/>
      <c r="BN611" s="65">
        <f t="shared" si="514"/>
        <v>1190524.5</v>
      </c>
      <c r="BO611" s="66"/>
      <c r="BP611" s="66">
        <f t="shared" si="515"/>
        <v>43890367</v>
      </c>
      <c r="BQ611" s="66"/>
      <c r="BR611" s="435">
        <f t="shared" si="516"/>
        <v>6.1239887443507078E-2</v>
      </c>
      <c r="BS611" s="66"/>
      <c r="BT611" s="75"/>
      <c r="BU611" s="170"/>
      <c r="BV611" s="1"/>
      <c r="BW611" s="61">
        <f t="shared" si="399"/>
        <v>602</v>
      </c>
    </row>
    <row r="612" spans="2:75" x14ac:dyDescent="0.3">
      <c r="B612" s="158">
        <f t="shared" si="448"/>
        <v>44512</v>
      </c>
      <c r="C612" s="61"/>
      <c r="D612" s="17">
        <v>90208</v>
      </c>
      <c r="E612" s="16"/>
      <c r="F612" s="16"/>
      <c r="G612" s="16"/>
      <c r="H612" s="16">
        <f t="shared" si="497"/>
        <v>44887553</v>
      </c>
      <c r="I612" s="16"/>
      <c r="J612" s="436">
        <f t="shared" si="498"/>
        <v>2.0136907667184295E-3</v>
      </c>
      <c r="K612" s="16"/>
      <c r="L612" s="16"/>
      <c r="M612" s="16"/>
      <c r="N612" s="16">
        <f t="shared" si="499"/>
        <v>411029</v>
      </c>
      <c r="O612" s="16">
        <f t="shared" si="500"/>
        <v>74440.386401326701</v>
      </c>
      <c r="P612" s="41"/>
      <c r="Q612" s="17">
        <f t="shared" si="501"/>
        <v>411029</v>
      </c>
      <c r="R612" s="16"/>
      <c r="S612" s="60">
        <f t="shared" si="502"/>
        <v>-2.9126511715797429E-2</v>
      </c>
      <c r="T612" s="16"/>
      <c r="U612" s="41"/>
      <c r="V612" s="10">
        <f t="shared" si="349"/>
        <v>504</v>
      </c>
      <c r="W612" s="34">
        <v>987</v>
      </c>
      <c r="X612" s="33">
        <v>4256</v>
      </c>
      <c r="Y612" s="33"/>
      <c r="Z612" s="33">
        <f t="shared" si="503"/>
        <v>4964</v>
      </c>
      <c r="AA612" s="33">
        <f t="shared" si="504"/>
        <v>720002</v>
      </c>
      <c r="AB612" s="33"/>
      <c r="AC612" s="46">
        <f t="shared" si="505"/>
        <v>1.6040125867409168E-2</v>
      </c>
      <c r="AD612" s="33"/>
      <c r="AE612" s="33">
        <f t="shared" si="506"/>
        <v>1194.0331674958541</v>
      </c>
      <c r="AF612" s="50"/>
      <c r="AG612" s="33"/>
      <c r="AH612" s="33"/>
      <c r="AI612" s="213"/>
      <c r="AJ612" s="50"/>
      <c r="AL612" s="23">
        <f t="shared" si="507"/>
        <v>116816</v>
      </c>
      <c r="AM612" s="24"/>
      <c r="AN612" s="24"/>
      <c r="AO612" s="24">
        <v>178263</v>
      </c>
      <c r="AP612" s="24">
        <v>37846305</v>
      </c>
      <c r="AQ612" s="24">
        <v>20336656</v>
      </c>
      <c r="AR612" s="461">
        <f t="shared" si="508"/>
        <v>3.0961458290622488E-3</v>
      </c>
      <c r="AS612" s="25"/>
      <c r="AT612" s="25"/>
      <c r="AU612" s="24"/>
      <c r="AV612" s="298">
        <f t="shared" si="509"/>
        <v>0.84313584658981078</v>
      </c>
      <c r="AW612" s="298"/>
      <c r="AX612" s="24">
        <f t="shared" si="510"/>
        <v>62763.358208955222</v>
      </c>
      <c r="AY612" s="308"/>
      <c r="BA612" s="65">
        <f t="shared" si="511"/>
        <v>2392195</v>
      </c>
      <c r="BB612" s="66"/>
      <c r="BC612" s="66">
        <v>719087944</v>
      </c>
      <c r="BD612" s="66"/>
      <c r="BE612" s="66">
        <f t="shared" si="512"/>
        <v>90208</v>
      </c>
      <c r="BF612" s="66"/>
      <c r="BG612" s="144">
        <f t="shared" si="513"/>
        <v>3.7709300454185385E-2</v>
      </c>
      <c r="BH612" s="66"/>
      <c r="BI612" s="170"/>
      <c r="BJ612" s="66"/>
      <c r="BK612" s="66"/>
      <c r="BL612" s="66"/>
      <c r="BM612" s="144"/>
      <c r="BN612" s="65">
        <f t="shared" si="514"/>
        <v>1192517.3200663349</v>
      </c>
      <c r="BO612" s="66"/>
      <c r="BP612" s="66">
        <f t="shared" si="515"/>
        <v>43980575</v>
      </c>
      <c r="BQ612" s="66"/>
      <c r="BR612" s="435">
        <f t="shared" si="516"/>
        <v>6.1161608071682534E-2</v>
      </c>
      <c r="BS612" s="66"/>
      <c r="BT612" s="75"/>
      <c r="BU612" s="170"/>
      <c r="BV612" s="1"/>
      <c r="BW612" s="61">
        <f t="shared" si="399"/>
        <v>603</v>
      </c>
    </row>
    <row r="613" spans="2:75" x14ac:dyDescent="0.3">
      <c r="B613" s="158">
        <f t="shared" si="448"/>
        <v>44513</v>
      </c>
      <c r="C613" s="61"/>
      <c r="D613" s="17">
        <v>41107</v>
      </c>
      <c r="E613" s="16"/>
      <c r="F613" s="16"/>
      <c r="G613" s="16"/>
      <c r="H613" s="16">
        <f t="shared" si="497"/>
        <v>44928660</v>
      </c>
      <c r="I613" s="16"/>
      <c r="J613" s="436">
        <f t="shared" si="498"/>
        <v>9.1577725344039139E-4</v>
      </c>
      <c r="K613" s="16"/>
      <c r="L613" s="16"/>
      <c r="M613" s="16"/>
      <c r="N613" s="16">
        <f t="shared" si="499"/>
        <v>419657</v>
      </c>
      <c r="O613" s="16">
        <f t="shared" si="500"/>
        <v>74385.198675496693</v>
      </c>
      <c r="P613" s="41"/>
      <c r="Q613" s="17">
        <f t="shared" si="501"/>
        <v>419657</v>
      </c>
      <c r="R613" s="16"/>
      <c r="S613" s="60">
        <f t="shared" si="502"/>
        <v>-1.2708823951498497E-2</v>
      </c>
      <c r="T613" s="16"/>
      <c r="U613" s="41"/>
      <c r="V613" s="10">
        <f t="shared" si="349"/>
        <v>505</v>
      </c>
      <c r="W613" s="34">
        <v>506</v>
      </c>
      <c r="X613" s="33">
        <v>4256</v>
      </c>
      <c r="Y613" s="33"/>
      <c r="Z613" s="33">
        <f t="shared" si="503"/>
        <v>5347</v>
      </c>
      <c r="AA613" s="33">
        <f t="shared" si="504"/>
        <v>720508</v>
      </c>
      <c r="AB613" s="33"/>
      <c r="AC613" s="46">
        <f t="shared" si="505"/>
        <v>1.6036712423651185E-2</v>
      </c>
      <c r="AD613" s="33"/>
      <c r="AE613" s="33">
        <f t="shared" si="506"/>
        <v>1192.8940397350993</v>
      </c>
      <c r="AF613" s="50"/>
      <c r="AG613" s="33"/>
      <c r="AH613" s="33"/>
      <c r="AI613" s="213"/>
      <c r="AJ613" s="50"/>
      <c r="AL613" s="23">
        <f t="shared" si="507"/>
        <v>51030</v>
      </c>
      <c r="AM613" s="24"/>
      <c r="AN613" s="24"/>
      <c r="AO613" s="24">
        <v>178263</v>
      </c>
      <c r="AP613" s="24">
        <v>37897335</v>
      </c>
      <c r="AQ613" s="24">
        <v>20336656</v>
      </c>
      <c r="AR613" s="461">
        <f t="shared" si="508"/>
        <v>1.3483482733651277E-3</v>
      </c>
      <c r="AS613" s="25"/>
      <c r="AT613" s="25"/>
      <c r="AU613" s="24"/>
      <c r="AV613" s="298">
        <f t="shared" si="509"/>
        <v>0.84350022902975519</v>
      </c>
      <c r="AW613" s="298"/>
      <c r="AX613" s="24">
        <f t="shared" si="510"/>
        <v>62743.932119205296</v>
      </c>
      <c r="AY613" s="308"/>
      <c r="BA613" s="65">
        <f t="shared" si="511"/>
        <v>1335550</v>
      </c>
      <c r="BB613" s="66"/>
      <c r="BC613" s="66">
        <v>720423494</v>
      </c>
      <c r="BD613" s="66"/>
      <c r="BE613" s="66">
        <f t="shared" si="512"/>
        <v>41107</v>
      </c>
      <c r="BF613" s="66"/>
      <c r="BG613" s="144">
        <f t="shared" si="513"/>
        <v>3.0779079779865971E-2</v>
      </c>
      <c r="BH613" s="66"/>
      <c r="BI613" s="170"/>
      <c r="BJ613" s="66"/>
      <c r="BK613" s="66"/>
      <c r="BL613" s="66"/>
      <c r="BM613" s="144"/>
      <c r="BN613" s="65">
        <f t="shared" si="514"/>
        <v>1192754.129139073</v>
      </c>
      <c r="BO613" s="66"/>
      <c r="BP613" s="66">
        <f t="shared" si="515"/>
        <v>44021682</v>
      </c>
      <c r="BQ613" s="66"/>
      <c r="BR613" s="435">
        <f t="shared" si="516"/>
        <v>6.1105283720799923E-2</v>
      </c>
      <c r="BS613" s="66"/>
      <c r="BT613" s="75"/>
      <c r="BU613" s="170"/>
      <c r="BV613" s="1"/>
      <c r="BW613" s="61">
        <f t="shared" si="399"/>
        <v>604</v>
      </c>
    </row>
    <row r="614" spans="2:75" x14ac:dyDescent="0.3">
      <c r="B614" s="347">
        <f t="shared" si="448"/>
        <v>44514</v>
      </c>
      <c r="C614" s="61"/>
      <c r="D614" s="17">
        <v>36669</v>
      </c>
      <c r="E614" s="16"/>
      <c r="F614" s="16"/>
      <c r="G614" s="16"/>
      <c r="H614" s="16">
        <f t="shared" si="497"/>
        <v>44965329</v>
      </c>
      <c r="I614" s="16"/>
      <c r="J614" s="436">
        <f t="shared" si="498"/>
        <v>8.1616055319700168E-4</v>
      </c>
      <c r="K614" s="16"/>
      <c r="L614" s="16"/>
      <c r="M614" s="16"/>
      <c r="N614" s="16">
        <f t="shared" si="499"/>
        <v>433161</v>
      </c>
      <c r="O614" s="16">
        <f t="shared" si="500"/>
        <v>74322.857851239663</v>
      </c>
      <c r="P614" s="41"/>
      <c r="Q614" s="17">
        <f t="shared" si="501"/>
        <v>433161</v>
      </c>
      <c r="R614" s="16"/>
      <c r="S614" s="60">
        <f t="shared" si="502"/>
        <v>1.1469962568505706E-2</v>
      </c>
      <c r="T614" s="16"/>
      <c r="U614" s="41"/>
      <c r="V614" s="10">
        <f t="shared" si="349"/>
        <v>506</v>
      </c>
      <c r="W614" s="34">
        <v>243</v>
      </c>
      <c r="X614" s="33">
        <v>4256</v>
      </c>
      <c r="Y614" s="33"/>
      <c r="Z614" s="33">
        <f t="shared" si="503"/>
        <v>5107</v>
      </c>
      <c r="AA614" s="33">
        <f t="shared" si="504"/>
        <v>720751</v>
      </c>
      <c r="AB614" s="33"/>
      <c r="AC614" s="46">
        <f t="shared" si="505"/>
        <v>1.6029038728928236E-2</v>
      </c>
      <c r="AD614" s="33"/>
      <c r="AE614" s="33">
        <f t="shared" si="506"/>
        <v>1191.3239669421487</v>
      </c>
      <c r="AF614" s="50"/>
      <c r="AG614" s="33"/>
      <c r="AH614" s="33"/>
      <c r="AI614" s="213"/>
      <c r="AJ614" s="50"/>
      <c r="AL614" s="23">
        <f t="shared" si="507"/>
        <v>46343</v>
      </c>
      <c r="AM614" s="24"/>
      <c r="AN614" s="24"/>
      <c r="AO614" s="24">
        <v>178263</v>
      </c>
      <c r="AP614" s="24">
        <v>37943678</v>
      </c>
      <c r="AQ614" s="24">
        <v>20336656</v>
      </c>
      <c r="AR614" s="461">
        <f t="shared" si="508"/>
        <v>1.2228564356834063E-3</v>
      </c>
      <c r="AS614" s="25"/>
      <c r="AT614" s="25"/>
      <c r="AU614" s="24"/>
      <c r="AV614" s="298">
        <f t="shared" si="509"/>
        <v>0.84384299734579948</v>
      </c>
      <c r="AW614" s="298"/>
      <c r="AX614" s="24">
        <f t="shared" si="510"/>
        <v>62716.823140495864</v>
      </c>
      <c r="AY614" s="308"/>
      <c r="BA614" s="65">
        <f t="shared" si="511"/>
        <v>762810</v>
      </c>
      <c r="BB614" s="66"/>
      <c r="BC614" s="66">
        <v>721186304</v>
      </c>
      <c r="BD614" s="66"/>
      <c r="BE614" s="66">
        <f t="shared" si="512"/>
        <v>36669</v>
      </c>
      <c r="BF614" s="66"/>
      <c r="BG614" s="144">
        <f t="shared" si="513"/>
        <v>4.8070948204664336E-2</v>
      </c>
      <c r="BH614" s="66"/>
      <c r="BI614" s="170"/>
      <c r="BJ614" s="66"/>
      <c r="BK614" s="66"/>
      <c r="BL614" s="66"/>
      <c r="BM614" s="144"/>
      <c r="BN614" s="65">
        <f t="shared" si="514"/>
        <v>1192043.4776859505</v>
      </c>
      <c r="BO614" s="66"/>
      <c r="BP614" s="66">
        <f t="shared" si="515"/>
        <v>44058351</v>
      </c>
      <c r="BQ614" s="66"/>
      <c r="BR614" s="435">
        <f t="shared" si="516"/>
        <v>6.109149710086563E-2</v>
      </c>
      <c r="BS614" s="66"/>
      <c r="BT614" s="75"/>
      <c r="BU614" s="170"/>
      <c r="BV614" s="1"/>
      <c r="BW614" s="61">
        <f t="shared" si="399"/>
        <v>605</v>
      </c>
    </row>
    <row r="615" spans="2:75" x14ac:dyDescent="0.3">
      <c r="B615" s="158">
        <f t="shared" si="448"/>
        <v>44515</v>
      </c>
      <c r="C615" s="61"/>
      <c r="D615" s="17">
        <v>70823</v>
      </c>
      <c r="E615" s="16"/>
      <c r="F615" s="16"/>
      <c r="G615" s="16"/>
      <c r="H615" s="16">
        <f t="shared" si="497"/>
        <v>45036152</v>
      </c>
      <c r="I615" s="16"/>
      <c r="J615" s="436">
        <f t="shared" si="498"/>
        <v>1.575057974111565E-3</v>
      </c>
      <c r="K615" s="16"/>
      <c r="L615" s="16"/>
      <c r="M615" s="16"/>
      <c r="N615" s="16">
        <f t="shared" si="499"/>
        <v>449137</v>
      </c>
      <c r="O615" s="16">
        <f t="shared" si="500"/>
        <v>74317.082508250824</v>
      </c>
      <c r="P615" s="41"/>
      <c r="Q615" s="17">
        <f t="shared" si="501"/>
        <v>449137</v>
      </c>
      <c r="R615" s="16"/>
      <c r="S615" s="60">
        <f t="shared" si="502"/>
        <v>4.8075419744011576E-2</v>
      </c>
      <c r="T615" s="16"/>
      <c r="U615" s="41"/>
      <c r="V615" s="10">
        <f t="shared" si="349"/>
        <v>507</v>
      </c>
      <c r="W615" s="34">
        <v>510</v>
      </c>
      <c r="X615" s="33">
        <v>4256</v>
      </c>
      <c r="Y615" s="33"/>
      <c r="Z615" s="33">
        <f t="shared" si="503"/>
        <v>4278</v>
      </c>
      <c r="AA615" s="33">
        <f t="shared" si="504"/>
        <v>721261</v>
      </c>
      <c r="AB615" s="33"/>
      <c r="AC615" s="46">
        <f t="shared" si="505"/>
        <v>1.6015156001782747E-2</v>
      </c>
      <c r="AD615" s="33"/>
      <c r="AE615" s="33">
        <f t="shared" si="506"/>
        <v>1190.1996699669967</v>
      </c>
      <c r="AF615" s="50"/>
      <c r="AG615" s="33"/>
      <c r="AH615" s="33"/>
      <c r="AI615" s="213"/>
      <c r="AJ615" s="50"/>
      <c r="AL615" s="23">
        <f t="shared" si="507"/>
        <v>106831</v>
      </c>
      <c r="AM615" s="24"/>
      <c r="AN615" s="24"/>
      <c r="AO615" s="24">
        <v>178263</v>
      </c>
      <c r="AP615" s="24">
        <v>38050509</v>
      </c>
      <c r="AQ615" s="24">
        <v>20336656</v>
      </c>
      <c r="AR615" s="461">
        <f t="shared" si="508"/>
        <v>2.8155151432604926E-3</v>
      </c>
      <c r="AS615" s="25"/>
      <c r="AT615" s="25"/>
      <c r="AU615" s="24"/>
      <c r="AV615" s="298">
        <f t="shared" si="509"/>
        <v>0.84488810234053746</v>
      </c>
      <c r="AW615" s="298"/>
      <c r="AX615" s="24">
        <f t="shared" si="510"/>
        <v>62789.618811881192</v>
      </c>
      <c r="AY615" s="308"/>
      <c r="BA615" s="65">
        <f t="shared" si="511"/>
        <v>2805699</v>
      </c>
      <c r="BB615" s="66"/>
      <c r="BC615" s="66">
        <v>723992003</v>
      </c>
      <c r="BD615" s="66"/>
      <c r="BE615" s="66">
        <f t="shared" si="512"/>
        <v>70823</v>
      </c>
      <c r="BF615" s="66"/>
      <c r="BG615" s="144">
        <f t="shared" si="513"/>
        <v>2.5242550965017988E-2</v>
      </c>
      <c r="BH615" s="66"/>
      <c r="BI615" s="170"/>
      <c r="BJ615" s="66"/>
      <c r="BK615" s="66"/>
      <c r="BL615" s="66"/>
      <c r="BM615" s="144"/>
      <c r="BN615" s="65">
        <f t="shared" si="514"/>
        <v>1194706.2755775577</v>
      </c>
      <c r="BO615" s="66"/>
      <c r="BP615" s="66">
        <f t="shared" si="515"/>
        <v>44129174</v>
      </c>
      <c r="BQ615" s="66"/>
      <c r="BR615" s="435">
        <f t="shared" si="516"/>
        <v>6.0952571046561682E-2</v>
      </c>
      <c r="BS615" s="66"/>
      <c r="BT615" s="75"/>
      <c r="BU615" s="170"/>
      <c r="BV615" s="1"/>
      <c r="BW615" s="61">
        <f t="shared" si="399"/>
        <v>606</v>
      </c>
    </row>
    <row r="616" spans="2:75" x14ac:dyDescent="0.3">
      <c r="B616" s="158">
        <f t="shared" si="448"/>
        <v>44516</v>
      </c>
      <c r="C616" s="61"/>
      <c r="D616" s="17">
        <v>97632</v>
      </c>
      <c r="E616" s="16"/>
      <c r="F616" s="16"/>
      <c r="G616" s="16"/>
      <c r="H616" s="16">
        <f t="shared" ref="H616:H647" si="517">+H615+D616</f>
        <v>45133784</v>
      </c>
      <c r="I616" s="16"/>
      <c r="J616" s="436">
        <f t="shared" ref="J616:J647" si="518">+D616/H615</f>
        <v>2.1678583907435074E-3</v>
      </c>
      <c r="K616" s="16"/>
      <c r="L616" s="16"/>
      <c r="M616" s="16"/>
      <c r="N616" s="16">
        <f t="shared" ref="N616:N647" si="519">SUM(D610:D616)</f>
        <v>474411</v>
      </c>
      <c r="O616" s="16">
        <f t="shared" ref="O616:O647" si="520">+H616/BW616</f>
        <v>74355.492586490946</v>
      </c>
      <c r="P616" s="41"/>
      <c r="Q616" s="17">
        <f t="shared" ref="Q616:Q647" si="521">SUM(D610:D616)</f>
        <v>474411</v>
      </c>
      <c r="R616" s="16"/>
      <c r="S616" s="60">
        <f t="shared" ref="S616:S647" si="522">+(Q616-Q609)/Q609</f>
        <v>0.11792622894805675</v>
      </c>
      <c r="T616" s="16"/>
      <c r="U616" s="41"/>
      <c r="V616" s="10">
        <f t="shared" si="349"/>
        <v>508</v>
      </c>
      <c r="W616" s="34">
        <v>1432</v>
      </c>
      <c r="X616" s="33">
        <v>4256</v>
      </c>
      <c r="Y616" s="33"/>
      <c r="Z616" s="33">
        <f t="shared" ref="Z616:Z647" si="523">SUM(W611:W616)</f>
        <v>4217</v>
      </c>
      <c r="AA616" s="33">
        <f t="shared" ref="AA616:AA647" si="524">+AA615+W616</f>
        <v>722693</v>
      </c>
      <c r="AB616" s="33"/>
      <c r="AC616" s="46">
        <f t="shared" ref="AC616:AC647" si="525">+AA616/H616</f>
        <v>1.6012240409534462E-2</v>
      </c>
      <c r="AD616" s="33"/>
      <c r="AE616" s="33">
        <f t="shared" ref="AE616:AE647" si="526">+AA616/BW616</f>
        <v>1190.5980230642504</v>
      </c>
      <c r="AF616" s="50"/>
      <c r="AG616" s="33"/>
      <c r="AH616" s="33"/>
      <c r="AI616" s="213"/>
      <c r="AJ616" s="50"/>
      <c r="AL616" s="23">
        <f t="shared" ref="AL616:AL647" si="527">+AP616-AP615</f>
        <v>89419</v>
      </c>
      <c r="AM616" s="24"/>
      <c r="AN616" s="24"/>
      <c r="AO616" s="24">
        <v>178263</v>
      </c>
      <c r="AP616" s="24">
        <v>38139928</v>
      </c>
      <c r="AQ616" s="24">
        <v>20336656</v>
      </c>
      <c r="AR616" s="461">
        <f t="shared" ref="AR616:AR647" si="528">+AL616/AP615</f>
        <v>2.3500079854385128E-3</v>
      </c>
      <c r="AS616" s="25"/>
      <c r="AT616" s="25"/>
      <c r="AU616" s="24"/>
      <c r="AV616" s="298">
        <f t="shared" ref="AV616:AV647" si="529">+AP616/H616</f>
        <v>0.84504166546283821</v>
      </c>
      <c r="AW616" s="298"/>
      <c r="AX616" s="24">
        <f t="shared" ref="AX616:AX647" si="530">+AP616/BW616</f>
        <v>62833.489291598024</v>
      </c>
      <c r="AY616" s="308"/>
      <c r="BA616" s="65">
        <f t="shared" ref="BA616:BA647" si="531">+BC616-BC615</f>
        <v>1360984</v>
      </c>
      <c r="BB616" s="66"/>
      <c r="BC616" s="66">
        <v>725352987</v>
      </c>
      <c r="BD616" s="66"/>
      <c r="BE616" s="66">
        <f t="shared" ref="BE616:BE647" si="532">+D616</f>
        <v>97632</v>
      </c>
      <c r="BF616" s="66"/>
      <c r="BG616" s="144">
        <f t="shared" ref="BG616:BG647" si="533">+BE616/BA616</f>
        <v>7.1736331948061102E-2</v>
      </c>
      <c r="BH616" s="66"/>
      <c r="BI616" s="170"/>
      <c r="BJ616" s="66"/>
      <c r="BK616" s="66"/>
      <c r="BL616" s="66"/>
      <c r="BM616" s="144"/>
      <c r="BN616" s="65">
        <f t="shared" ref="BN616:BN647" si="534">+BC616/BW616</f>
        <v>1194980.2092257002</v>
      </c>
      <c r="BO616" s="66"/>
      <c r="BP616" s="66">
        <f t="shared" ref="BP616:BP647" si="535">+BP615+BE616</f>
        <v>44226806</v>
      </c>
      <c r="BQ616" s="66"/>
      <c r="BR616" s="435">
        <f t="shared" ref="BR616:BR647" si="536">+BP616/BC616</f>
        <v>6.0972804679440849E-2</v>
      </c>
      <c r="BS616" s="66"/>
      <c r="BT616" s="75"/>
      <c r="BU616" s="170"/>
      <c r="BV616" s="1"/>
      <c r="BW616" s="61">
        <f t="shared" si="399"/>
        <v>607</v>
      </c>
    </row>
    <row r="617" spans="2:75" x14ac:dyDescent="0.3">
      <c r="B617" s="158">
        <f t="shared" si="448"/>
        <v>44517</v>
      </c>
      <c r="C617" s="61"/>
      <c r="D617" s="17">
        <v>104702</v>
      </c>
      <c r="E617" s="16"/>
      <c r="F617" s="16"/>
      <c r="G617" s="16"/>
      <c r="H617" s="16">
        <f t="shared" si="517"/>
        <v>45238486</v>
      </c>
      <c r="I617" s="16"/>
      <c r="J617" s="436">
        <f t="shared" si="518"/>
        <v>2.3198143545863558E-3</v>
      </c>
      <c r="K617" s="16"/>
      <c r="L617" s="16"/>
      <c r="M617" s="16"/>
      <c r="N617" s="16">
        <f t="shared" si="519"/>
        <v>484737</v>
      </c>
      <c r="O617" s="16">
        <f t="shared" si="520"/>
        <v>74405.40460526316</v>
      </c>
      <c r="P617" s="41"/>
      <c r="Q617" s="17">
        <f t="shared" si="521"/>
        <v>484737</v>
      </c>
      <c r="R617" s="16"/>
      <c r="S617" s="60">
        <f t="shared" si="522"/>
        <v>9.3957626200621078E-2</v>
      </c>
      <c r="T617" s="16"/>
      <c r="U617" s="41"/>
      <c r="V617" s="10">
        <f t="shared" si="349"/>
        <v>509</v>
      </c>
      <c r="W617" s="34">
        <v>1416</v>
      </c>
      <c r="X617" s="33">
        <v>4256</v>
      </c>
      <c r="Y617" s="33"/>
      <c r="Z617" s="33">
        <f t="shared" si="523"/>
        <v>5094</v>
      </c>
      <c r="AA617" s="33">
        <f t="shared" si="524"/>
        <v>724109</v>
      </c>
      <c r="AB617" s="33"/>
      <c r="AC617" s="46">
        <f t="shared" si="525"/>
        <v>1.6006481737695644E-2</v>
      </c>
      <c r="AD617" s="33"/>
      <c r="AE617" s="33">
        <f t="shared" si="526"/>
        <v>1190.96875</v>
      </c>
      <c r="AF617" s="50"/>
      <c r="AG617" s="33"/>
      <c r="AH617" s="33"/>
      <c r="AI617" s="213"/>
      <c r="AJ617" s="50"/>
      <c r="AL617" s="23">
        <f t="shared" si="527"/>
        <v>120856</v>
      </c>
      <c r="AM617" s="24"/>
      <c r="AN617" s="24"/>
      <c r="AO617" s="24">
        <v>178263</v>
      </c>
      <c r="AP617" s="24">
        <v>38260784</v>
      </c>
      <c r="AQ617" s="24">
        <v>20336656</v>
      </c>
      <c r="AR617" s="461">
        <f t="shared" si="528"/>
        <v>3.1687527045148067E-3</v>
      </c>
      <c r="AS617" s="25"/>
      <c r="AT617" s="25"/>
      <c r="AU617" s="24"/>
      <c r="AV617" s="298">
        <f t="shared" si="529"/>
        <v>0.84575739338403144</v>
      </c>
      <c r="AW617" s="298"/>
      <c r="AX617" s="24">
        <f t="shared" si="530"/>
        <v>62928.92105263158</v>
      </c>
      <c r="AY617" s="308"/>
      <c r="BA617" s="65">
        <f t="shared" si="531"/>
        <v>1683829</v>
      </c>
      <c r="BB617" s="66"/>
      <c r="BC617" s="66">
        <v>727036816</v>
      </c>
      <c r="BD617" s="66"/>
      <c r="BE617" s="66">
        <f t="shared" si="532"/>
        <v>104702</v>
      </c>
      <c r="BF617" s="66"/>
      <c r="BG617" s="144">
        <f t="shared" si="533"/>
        <v>6.2180898416644446E-2</v>
      </c>
      <c r="BH617" s="66"/>
      <c r="BI617" s="170"/>
      <c r="BJ617" s="66"/>
      <c r="BK617" s="66"/>
      <c r="BL617" s="66"/>
      <c r="BM617" s="144"/>
      <c r="BN617" s="65">
        <f t="shared" si="534"/>
        <v>1195784.2368421052</v>
      </c>
      <c r="BO617" s="66"/>
      <c r="BP617" s="66">
        <f t="shared" si="535"/>
        <v>44331508</v>
      </c>
      <c r="BQ617" s="66"/>
      <c r="BR617" s="435">
        <f t="shared" si="536"/>
        <v>6.0975602644034468E-2</v>
      </c>
      <c r="BS617" s="66"/>
      <c r="BT617" s="75"/>
      <c r="BU617" s="170"/>
      <c r="BV617" s="1"/>
      <c r="BW617" s="61">
        <f t="shared" si="399"/>
        <v>608</v>
      </c>
    </row>
    <row r="618" spans="2:75" x14ac:dyDescent="0.3">
      <c r="B618" s="158">
        <f t="shared" si="448"/>
        <v>44518</v>
      </c>
      <c r="C618" s="61"/>
      <c r="D618" s="17">
        <v>99146</v>
      </c>
      <c r="E618" s="16"/>
      <c r="F618" s="16"/>
      <c r="G618" s="16"/>
      <c r="H618" s="16">
        <f t="shared" si="517"/>
        <v>45337632</v>
      </c>
      <c r="I618" s="16"/>
      <c r="J618" s="436">
        <f t="shared" si="518"/>
        <v>2.1916294899877948E-3</v>
      </c>
      <c r="K618" s="16"/>
      <c r="L618" s="16"/>
      <c r="M618" s="16"/>
      <c r="N618" s="16">
        <f t="shared" si="519"/>
        <v>540287</v>
      </c>
      <c r="O618" s="16">
        <f t="shared" si="520"/>
        <v>74446.029556650246</v>
      </c>
      <c r="P618" s="41"/>
      <c r="Q618" s="17">
        <f t="shared" si="521"/>
        <v>540287</v>
      </c>
      <c r="R618" s="16"/>
      <c r="S618" s="60">
        <f t="shared" si="522"/>
        <v>0.33184853586808888</v>
      </c>
      <c r="T618" s="16"/>
      <c r="U618" s="41"/>
      <c r="V618" s="10">
        <f t="shared" si="349"/>
        <v>510</v>
      </c>
      <c r="W618" s="34">
        <v>1147</v>
      </c>
      <c r="X618" s="33">
        <v>4256</v>
      </c>
      <c r="Y618" s="33"/>
      <c r="Z618" s="33">
        <f t="shared" si="523"/>
        <v>5254</v>
      </c>
      <c r="AA618" s="33">
        <f t="shared" si="524"/>
        <v>725256</v>
      </c>
      <c r="AB618" s="33"/>
      <c r="AC618" s="46">
        <f t="shared" si="525"/>
        <v>1.5996777246769307E-2</v>
      </c>
      <c r="AD618" s="33"/>
      <c r="AE618" s="33">
        <f t="shared" si="526"/>
        <v>1190.8965517241379</v>
      </c>
      <c r="AF618" s="50"/>
      <c r="AG618" s="33"/>
      <c r="AH618" s="33"/>
      <c r="AI618" s="213"/>
      <c r="AJ618" s="50"/>
      <c r="AL618" s="23">
        <f t="shared" si="527"/>
        <v>69289</v>
      </c>
      <c r="AM618" s="24"/>
      <c r="AN618" s="24"/>
      <c r="AO618" s="24">
        <v>178263</v>
      </c>
      <c r="AP618" s="24">
        <v>38330073</v>
      </c>
      <c r="AQ618" s="24">
        <v>20336656</v>
      </c>
      <c r="AR618" s="461">
        <f t="shared" si="528"/>
        <v>1.8109665499797391E-3</v>
      </c>
      <c r="AS618" s="25"/>
      <c r="AT618" s="25"/>
      <c r="AU618" s="24"/>
      <c r="AV618" s="298">
        <f t="shared" si="529"/>
        <v>0.84543614893693608</v>
      </c>
      <c r="AW618" s="298"/>
      <c r="AX618" s="24">
        <f t="shared" si="530"/>
        <v>62939.364532019703</v>
      </c>
      <c r="AY618" s="308"/>
      <c r="BA618" s="65">
        <f t="shared" si="531"/>
        <v>1787123</v>
      </c>
      <c r="BB618" s="66"/>
      <c r="BC618" s="66">
        <v>728823939</v>
      </c>
      <c r="BD618" s="66"/>
      <c r="BE618" s="66">
        <f t="shared" si="532"/>
        <v>99146</v>
      </c>
      <c r="BF618" s="66"/>
      <c r="BG618" s="144">
        <f t="shared" si="533"/>
        <v>5.5477994519683313E-2</v>
      </c>
      <c r="BH618" s="66"/>
      <c r="BI618" s="170"/>
      <c r="BJ618" s="66"/>
      <c r="BK618" s="66"/>
      <c r="BL618" s="66"/>
      <c r="BM618" s="144"/>
      <c r="BN618" s="65">
        <f t="shared" si="534"/>
        <v>1196755.2364532019</v>
      </c>
      <c r="BO618" s="66"/>
      <c r="BP618" s="66">
        <f t="shared" si="535"/>
        <v>44430654</v>
      </c>
      <c r="BQ618" s="66"/>
      <c r="BR618" s="435">
        <f t="shared" si="536"/>
        <v>6.0962122156637891E-2</v>
      </c>
      <c r="BS618" s="66"/>
      <c r="BT618" s="75"/>
      <c r="BU618" s="170"/>
      <c r="BV618" s="1"/>
      <c r="BW618" s="61">
        <f t="shared" si="399"/>
        <v>609</v>
      </c>
    </row>
    <row r="619" spans="2:75" x14ac:dyDescent="0.3">
      <c r="B619" s="158">
        <f t="shared" si="448"/>
        <v>44519</v>
      </c>
      <c r="C619" s="61"/>
      <c r="D619" s="17">
        <v>111829</v>
      </c>
      <c r="E619" s="16"/>
      <c r="F619" s="16"/>
      <c r="G619" s="16"/>
      <c r="H619" s="16">
        <f t="shared" si="517"/>
        <v>45449461</v>
      </c>
      <c r="I619" s="16"/>
      <c r="J619" s="436">
        <f t="shared" si="518"/>
        <v>2.4665822864326043E-3</v>
      </c>
      <c r="K619" s="16"/>
      <c r="L619" s="16"/>
      <c r="M619" s="16"/>
      <c r="N619" s="16">
        <f t="shared" si="519"/>
        <v>561908</v>
      </c>
      <c r="O619" s="16">
        <f t="shared" si="520"/>
        <v>74507.313114754099</v>
      </c>
      <c r="P619" s="41"/>
      <c r="Q619" s="17">
        <f t="shared" si="521"/>
        <v>561908</v>
      </c>
      <c r="R619" s="16"/>
      <c r="S619" s="60">
        <f t="shared" si="522"/>
        <v>0.36707628902096934</v>
      </c>
      <c r="T619" s="16"/>
      <c r="U619" s="41"/>
      <c r="V619" s="10">
        <f t="shared" si="349"/>
        <v>511</v>
      </c>
      <c r="W619" s="34">
        <v>1332</v>
      </c>
      <c r="X619" s="33">
        <v>4256</v>
      </c>
      <c r="Y619" s="33"/>
      <c r="Z619" s="33">
        <f t="shared" si="523"/>
        <v>6080</v>
      </c>
      <c r="AA619" s="33">
        <f t="shared" si="524"/>
        <v>726588</v>
      </c>
      <c r="AB619" s="33"/>
      <c r="AC619" s="46">
        <f t="shared" si="525"/>
        <v>1.5986724243000374E-2</v>
      </c>
      <c r="AD619" s="33"/>
      <c r="AE619" s="33">
        <f t="shared" si="526"/>
        <v>1191.127868852459</v>
      </c>
      <c r="AF619" s="50"/>
      <c r="AG619" s="33"/>
      <c r="AH619" s="33"/>
      <c r="AI619" s="213"/>
      <c r="AJ619" s="50"/>
      <c r="AL619" s="23">
        <f t="shared" si="527"/>
        <v>83736</v>
      </c>
      <c r="AM619" s="24"/>
      <c r="AN619" s="24"/>
      <c r="AO619" s="24">
        <v>178263</v>
      </c>
      <c r="AP619" s="24">
        <v>38413809</v>
      </c>
      <c r="AQ619" s="24">
        <v>20336656</v>
      </c>
      <c r="AR619" s="461">
        <f t="shared" si="528"/>
        <v>2.1846031965553521E-3</v>
      </c>
      <c r="AS619" s="25"/>
      <c r="AT619" s="25"/>
      <c r="AU619" s="24"/>
      <c r="AV619" s="298">
        <f t="shared" si="529"/>
        <v>0.84519834019593765</v>
      </c>
      <c r="AW619" s="298"/>
      <c r="AX619" s="24">
        <f t="shared" si="530"/>
        <v>62973.457377049177</v>
      </c>
      <c r="AY619" s="308"/>
      <c r="BA619" s="65">
        <f t="shared" si="531"/>
        <v>1974410</v>
      </c>
      <c r="BB619" s="66"/>
      <c r="BC619" s="66">
        <v>730798349</v>
      </c>
      <c r="BD619" s="66"/>
      <c r="BE619" s="66">
        <f t="shared" si="532"/>
        <v>111829</v>
      </c>
      <c r="BF619" s="66"/>
      <c r="BG619" s="144">
        <f t="shared" si="533"/>
        <v>5.6639198545388243E-2</v>
      </c>
      <c r="BH619" s="66"/>
      <c r="BI619" s="170"/>
      <c r="BJ619" s="66"/>
      <c r="BK619" s="66"/>
      <c r="BL619" s="66"/>
      <c r="BM619" s="144"/>
      <c r="BN619" s="65">
        <f t="shared" si="534"/>
        <v>1198030.0803278689</v>
      </c>
      <c r="BO619" s="66"/>
      <c r="BP619" s="66">
        <f t="shared" si="535"/>
        <v>44542483</v>
      </c>
      <c r="BQ619" s="66"/>
      <c r="BR619" s="435">
        <f t="shared" si="536"/>
        <v>6.0950442842338713E-2</v>
      </c>
      <c r="BS619" s="66"/>
      <c r="BT619" s="75"/>
      <c r="BU619" s="170"/>
      <c r="BV619" s="1"/>
      <c r="BW619" s="61">
        <f t="shared" si="399"/>
        <v>610</v>
      </c>
    </row>
    <row r="620" spans="2:75" x14ac:dyDescent="0.3">
      <c r="B620" s="158">
        <f t="shared" si="448"/>
        <v>44520</v>
      </c>
      <c r="C620" s="61"/>
      <c r="D620" s="17">
        <v>36633</v>
      </c>
      <c r="E620" s="16"/>
      <c r="F620" s="16"/>
      <c r="G620" s="16"/>
      <c r="H620" s="16">
        <f t="shared" si="517"/>
        <v>45486094</v>
      </c>
      <c r="I620" s="16"/>
      <c r="J620" s="436">
        <f t="shared" si="518"/>
        <v>8.0601615935555317E-4</v>
      </c>
      <c r="K620" s="16"/>
      <c r="L620" s="16"/>
      <c r="M620" s="16"/>
      <c r="N620" s="16">
        <f t="shared" si="519"/>
        <v>557434</v>
      </c>
      <c r="O620" s="16">
        <f t="shared" si="520"/>
        <v>74445.325695581021</v>
      </c>
      <c r="P620" s="41"/>
      <c r="Q620" s="17">
        <f t="shared" si="521"/>
        <v>557434</v>
      </c>
      <c r="R620" s="16"/>
      <c r="S620" s="60">
        <f t="shared" si="522"/>
        <v>0.32830859487629183</v>
      </c>
      <c r="T620" s="16"/>
      <c r="U620" s="41"/>
      <c r="V620" s="10">
        <f t="shared" si="349"/>
        <v>512</v>
      </c>
      <c r="W620" s="34">
        <v>404</v>
      </c>
      <c r="X620" s="33">
        <v>4256</v>
      </c>
      <c r="Y620" s="33"/>
      <c r="Z620" s="33">
        <f t="shared" si="523"/>
        <v>6241</v>
      </c>
      <c r="AA620" s="33">
        <f t="shared" si="524"/>
        <v>726992</v>
      </c>
      <c r="AB620" s="33"/>
      <c r="AC620" s="46">
        <f t="shared" si="525"/>
        <v>1.5982730897931136E-2</v>
      </c>
      <c r="AD620" s="33"/>
      <c r="AE620" s="33">
        <f t="shared" si="526"/>
        <v>1189.8396072013093</v>
      </c>
      <c r="AF620" s="50"/>
      <c r="AG620" s="33"/>
      <c r="AH620" s="33"/>
      <c r="AI620" s="213"/>
      <c r="AJ620" s="50"/>
      <c r="AL620" s="23">
        <f t="shared" si="527"/>
        <v>24049</v>
      </c>
      <c r="AM620" s="24"/>
      <c r="AN620" s="24"/>
      <c r="AO620" s="24">
        <v>178263</v>
      </c>
      <c r="AP620" s="24">
        <v>38437858</v>
      </c>
      <c r="AQ620" s="24">
        <v>20336656</v>
      </c>
      <c r="AR620" s="461">
        <f t="shared" si="528"/>
        <v>6.260509078909618E-4</v>
      </c>
      <c r="AS620" s="25"/>
      <c r="AT620" s="25"/>
      <c r="AU620" s="24"/>
      <c r="AV620" s="298">
        <f t="shared" si="529"/>
        <v>0.84504635636553005</v>
      </c>
      <c r="AW620" s="298"/>
      <c r="AX620" s="24">
        <f t="shared" si="530"/>
        <v>62909.751227495908</v>
      </c>
      <c r="AY620" s="308"/>
      <c r="BA620" s="65">
        <f t="shared" si="531"/>
        <v>8505093</v>
      </c>
      <c r="BB620" s="66"/>
      <c r="BC620" s="66">
        <v>739303442</v>
      </c>
      <c r="BD620" s="66"/>
      <c r="BE620" s="66">
        <f t="shared" si="532"/>
        <v>36633</v>
      </c>
      <c r="BF620" s="66"/>
      <c r="BG620" s="144">
        <f t="shared" si="533"/>
        <v>4.3071839426094462E-3</v>
      </c>
      <c r="BH620" s="66"/>
      <c r="BI620" s="170"/>
      <c r="BJ620" s="66"/>
      <c r="BK620" s="66"/>
      <c r="BL620" s="66"/>
      <c r="BM620" s="144"/>
      <c r="BN620" s="65">
        <f t="shared" si="534"/>
        <v>1209989.2667757773</v>
      </c>
      <c r="BO620" s="66"/>
      <c r="BP620" s="66">
        <f t="shared" si="535"/>
        <v>44579116</v>
      </c>
      <c r="BQ620" s="66"/>
      <c r="BR620" s="435">
        <f t="shared" si="536"/>
        <v>6.0298807590293893E-2</v>
      </c>
      <c r="BS620" s="66"/>
      <c r="BT620" s="75"/>
      <c r="BU620" s="170"/>
      <c r="BV620" s="1"/>
      <c r="BW620" s="61">
        <f t="shared" si="399"/>
        <v>611</v>
      </c>
    </row>
    <row r="621" spans="2:75" x14ac:dyDescent="0.3">
      <c r="B621" s="347">
        <f t="shared" si="448"/>
        <v>44521</v>
      </c>
      <c r="C621" s="61"/>
      <c r="D621" s="17">
        <v>37188</v>
      </c>
      <c r="E621" s="16"/>
      <c r="F621" s="16"/>
      <c r="G621" s="16"/>
      <c r="H621" s="16">
        <f t="shared" si="517"/>
        <v>45523282</v>
      </c>
      <c r="I621" s="16"/>
      <c r="J621" s="436">
        <f t="shared" si="518"/>
        <v>8.1756855183036815E-4</v>
      </c>
      <c r="K621" s="16"/>
      <c r="L621" s="16"/>
      <c r="M621" s="16"/>
      <c r="N621" s="16">
        <f t="shared" si="519"/>
        <v>557953</v>
      </c>
      <c r="O621" s="16">
        <f t="shared" si="520"/>
        <v>74384.447712418303</v>
      </c>
      <c r="P621" s="41"/>
      <c r="Q621" s="17">
        <f t="shared" si="521"/>
        <v>557953</v>
      </c>
      <c r="R621" s="16"/>
      <c r="S621" s="60">
        <f t="shared" si="522"/>
        <v>0.28809611206918445</v>
      </c>
      <c r="T621" s="16"/>
      <c r="U621" s="41"/>
      <c r="V621" s="10">
        <f t="shared" si="349"/>
        <v>513</v>
      </c>
      <c r="W621" s="34">
        <v>157</v>
      </c>
      <c r="X621" s="33">
        <v>4256</v>
      </c>
      <c r="Y621" s="33"/>
      <c r="Z621" s="33">
        <f t="shared" si="523"/>
        <v>5888</v>
      </c>
      <c r="AA621" s="33">
        <f t="shared" si="524"/>
        <v>727149</v>
      </c>
      <c r="AB621" s="33"/>
      <c r="AC621" s="46">
        <f t="shared" si="525"/>
        <v>1.5973123378933883E-2</v>
      </c>
      <c r="AD621" s="33"/>
      <c r="AE621" s="33">
        <f t="shared" si="526"/>
        <v>1188.1519607843138</v>
      </c>
      <c r="AF621" s="50"/>
      <c r="AG621" s="33"/>
      <c r="AH621" s="33"/>
      <c r="AI621" s="213"/>
      <c r="AJ621" s="50"/>
      <c r="AL621" s="23">
        <f t="shared" si="527"/>
        <v>37760</v>
      </c>
      <c r="AM621" s="24"/>
      <c r="AN621" s="24"/>
      <c r="AO621" s="24">
        <v>178263</v>
      </c>
      <c r="AP621" s="24">
        <v>38475618</v>
      </c>
      <c r="AQ621" s="24">
        <v>20336656</v>
      </c>
      <c r="AR621" s="461">
        <f t="shared" si="528"/>
        <v>9.8236483416947948E-4</v>
      </c>
      <c r="AS621" s="25"/>
      <c r="AT621" s="25"/>
      <c r="AU621" s="24"/>
      <c r="AV621" s="298">
        <f t="shared" si="529"/>
        <v>0.84518550310146789</v>
      </c>
      <c r="AW621" s="298"/>
      <c r="AX621" s="24">
        <f t="shared" si="530"/>
        <v>62868.656862745098</v>
      </c>
      <c r="AY621" s="308"/>
      <c r="BA621" s="65">
        <f t="shared" si="531"/>
        <v>917275</v>
      </c>
      <c r="BB621" s="66"/>
      <c r="BC621" s="66">
        <v>740220717</v>
      </c>
      <c r="BD621" s="66"/>
      <c r="BE621" s="66">
        <f t="shared" si="532"/>
        <v>37188</v>
      </c>
      <c r="BF621" s="66"/>
      <c r="BG621" s="144">
        <f t="shared" si="533"/>
        <v>4.0541822245237252E-2</v>
      </c>
      <c r="BH621" s="66"/>
      <c r="BI621" s="170"/>
      <c r="BJ621" s="66"/>
      <c r="BK621" s="66"/>
      <c r="BL621" s="66"/>
      <c r="BM621" s="144"/>
      <c r="BN621" s="65">
        <f t="shared" si="534"/>
        <v>1209510.9754901961</v>
      </c>
      <c r="BO621" s="66"/>
      <c r="BP621" s="66">
        <f t="shared" si="535"/>
        <v>44616304</v>
      </c>
      <c r="BQ621" s="66"/>
      <c r="BR621" s="435">
        <f t="shared" si="536"/>
        <v>6.0274324907877444E-2</v>
      </c>
      <c r="BS621" s="66"/>
      <c r="BT621" s="75"/>
      <c r="BU621" s="170"/>
      <c r="BV621" s="1"/>
      <c r="BW621" s="61">
        <f t="shared" si="399"/>
        <v>612</v>
      </c>
    </row>
    <row r="622" spans="2:75" x14ac:dyDescent="0.3">
      <c r="B622" s="158">
        <f>1+B621</f>
        <v>44522</v>
      </c>
      <c r="C622" s="61"/>
      <c r="D622" s="17">
        <v>74156</v>
      </c>
      <c r="E622" s="16"/>
      <c r="F622" s="16"/>
      <c r="G622" s="16"/>
      <c r="H622" s="16">
        <f t="shared" si="517"/>
        <v>45597438</v>
      </c>
      <c r="I622" s="16"/>
      <c r="J622" s="436">
        <f t="shared" si="518"/>
        <v>1.6289686670657884E-3</v>
      </c>
      <c r="K622" s="16"/>
      <c r="L622" s="16"/>
      <c r="M622" s="16"/>
      <c r="N622" s="16">
        <f t="shared" si="519"/>
        <v>561286</v>
      </c>
      <c r="O622" s="16">
        <f t="shared" si="520"/>
        <v>74384.075040783035</v>
      </c>
      <c r="P622" s="41"/>
      <c r="Q622" s="17">
        <f t="shared" si="521"/>
        <v>561286</v>
      </c>
      <c r="R622" s="16"/>
      <c r="S622" s="60">
        <f t="shared" si="522"/>
        <v>0.24969886693815027</v>
      </c>
      <c r="T622" s="16"/>
      <c r="U622" s="41"/>
      <c r="V622" s="10">
        <f t="shared" si="349"/>
        <v>514</v>
      </c>
      <c r="W622" s="34">
        <v>516</v>
      </c>
      <c r="X622" s="33">
        <v>4256</v>
      </c>
      <c r="Y622" s="33"/>
      <c r="Z622" s="33">
        <f t="shared" si="523"/>
        <v>4972</v>
      </c>
      <c r="AA622" s="33">
        <f t="shared" si="524"/>
        <v>727665</v>
      </c>
      <c r="AB622" s="33"/>
      <c r="AC622" s="46">
        <f t="shared" si="525"/>
        <v>1.5958462403085016E-2</v>
      </c>
      <c r="AD622" s="33"/>
      <c r="AE622" s="33">
        <f t="shared" si="526"/>
        <v>1187.0554649265905</v>
      </c>
      <c r="AF622" s="50"/>
      <c r="AG622" s="33"/>
      <c r="AH622" s="33"/>
      <c r="AI622" s="213"/>
      <c r="AJ622" s="50"/>
      <c r="AL622" s="23">
        <f t="shared" si="527"/>
        <v>158272</v>
      </c>
      <c r="AM622" s="24"/>
      <c r="AN622" s="24"/>
      <c r="AO622" s="24">
        <v>178263</v>
      </c>
      <c r="AP622" s="24">
        <v>38633890</v>
      </c>
      <c r="AQ622" s="24">
        <v>20336656</v>
      </c>
      <c r="AR622" s="461">
        <f t="shared" si="528"/>
        <v>4.1135661550647474E-3</v>
      </c>
      <c r="AS622" s="25"/>
      <c r="AT622" s="25"/>
      <c r="AU622" s="24"/>
      <c r="AV622" s="298">
        <f t="shared" si="529"/>
        <v>0.84728203369671784</v>
      </c>
      <c r="AW622" s="298"/>
      <c r="AX622" s="24">
        <f t="shared" si="530"/>
        <v>63024.290375203913</v>
      </c>
      <c r="AY622" s="308"/>
      <c r="BA622" s="65">
        <f t="shared" si="531"/>
        <v>3410833</v>
      </c>
      <c r="BB622" s="66"/>
      <c r="BC622" s="66">
        <v>743631550</v>
      </c>
      <c r="BD622" s="66"/>
      <c r="BE622" s="66">
        <f t="shared" si="532"/>
        <v>74156</v>
      </c>
      <c r="BF622" s="66"/>
      <c r="BG622" s="144">
        <f t="shared" si="533"/>
        <v>2.1741316564018232E-2</v>
      </c>
      <c r="BH622" s="66"/>
      <c r="BI622" s="170"/>
      <c r="BJ622" s="66"/>
      <c r="BK622" s="66"/>
      <c r="BL622" s="66"/>
      <c r="BM622" s="144"/>
      <c r="BN622" s="65">
        <f t="shared" si="534"/>
        <v>1213102.0391517128</v>
      </c>
      <c r="BO622" s="66"/>
      <c r="BP622" s="66">
        <f t="shared" si="535"/>
        <v>44690460</v>
      </c>
      <c r="BQ622" s="66"/>
      <c r="BR622" s="435">
        <f t="shared" si="536"/>
        <v>6.009758461700556E-2</v>
      </c>
      <c r="BS622" s="66"/>
      <c r="BT622" s="75"/>
      <c r="BU622" s="170"/>
      <c r="BV622" s="1"/>
      <c r="BW622" s="61">
        <f t="shared" si="399"/>
        <v>613</v>
      </c>
    </row>
    <row r="623" spans="2:75" x14ac:dyDescent="0.3">
      <c r="B623" s="158">
        <f t="shared" ref="B623:B699" si="537">1+B622</f>
        <v>44523</v>
      </c>
      <c r="C623" s="61"/>
      <c r="D623" s="17">
        <v>86016</v>
      </c>
      <c r="E623" s="16"/>
      <c r="F623" s="16"/>
      <c r="G623" s="16"/>
      <c r="H623" s="16">
        <f t="shared" si="517"/>
        <v>45683454</v>
      </c>
      <c r="I623" s="16"/>
      <c r="J623" s="436">
        <f t="shared" si="518"/>
        <v>1.8864217765919217E-3</v>
      </c>
      <c r="K623" s="16"/>
      <c r="L623" s="16"/>
      <c r="M623" s="16"/>
      <c r="N623" s="16">
        <f t="shared" si="519"/>
        <v>549670</v>
      </c>
      <c r="O623" s="16">
        <f t="shared" si="520"/>
        <v>74403.019543973947</v>
      </c>
      <c r="P623" s="41"/>
      <c r="Q623" s="17">
        <f t="shared" si="521"/>
        <v>549670</v>
      </c>
      <c r="R623" s="16"/>
      <c r="S623" s="60">
        <f t="shared" si="522"/>
        <v>0.15863670951980455</v>
      </c>
      <c r="T623" s="16"/>
      <c r="U623" s="41"/>
      <c r="V623" s="10">
        <f t="shared" si="349"/>
        <v>515</v>
      </c>
      <c r="W623" s="34">
        <v>1237</v>
      </c>
      <c r="X623" s="33">
        <v>4256</v>
      </c>
      <c r="Y623" s="33"/>
      <c r="Z623" s="33">
        <f t="shared" si="523"/>
        <v>4793</v>
      </c>
      <c r="AA623" s="33">
        <f t="shared" si="524"/>
        <v>728902</v>
      </c>
      <c r="AB623" s="33"/>
      <c r="AC623" s="46">
        <f t="shared" si="525"/>
        <v>1.5955492332081544E-2</v>
      </c>
      <c r="AD623" s="33"/>
      <c r="AE623" s="33">
        <f t="shared" si="526"/>
        <v>1187.1368078175897</v>
      </c>
      <c r="AF623" s="50"/>
      <c r="AG623" s="33"/>
      <c r="AH623" s="33"/>
      <c r="AI623" s="213"/>
      <c r="AJ623" s="50"/>
      <c r="AL623" s="23">
        <f t="shared" si="527"/>
        <v>75814</v>
      </c>
      <c r="AM623" s="24"/>
      <c r="AN623" s="24"/>
      <c r="AO623" s="24">
        <v>178263</v>
      </c>
      <c r="AP623" s="24">
        <v>38709704</v>
      </c>
      <c r="AQ623" s="24">
        <v>20336656</v>
      </c>
      <c r="AR623" s="461">
        <f t="shared" si="528"/>
        <v>1.9623703437577733E-3</v>
      </c>
      <c r="AS623" s="25"/>
      <c r="AT623" s="25"/>
      <c r="AU623" s="24"/>
      <c r="AV623" s="298">
        <f t="shared" si="529"/>
        <v>0.84734626239075528</v>
      </c>
      <c r="AW623" s="298"/>
      <c r="AX623" s="24">
        <f t="shared" si="530"/>
        <v>63045.120521172641</v>
      </c>
      <c r="AY623" s="308"/>
      <c r="BA623" s="65">
        <f t="shared" si="531"/>
        <v>1044201</v>
      </c>
      <c r="BB623" s="66"/>
      <c r="BC623" s="66">
        <v>744675751</v>
      </c>
      <c r="BD623" s="66"/>
      <c r="BE623" s="66">
        <f t="shared" si="532"/>
        <v>86016</v>
      </c>
      <c r="BF623" s="66"/>
      <c r="BG623" s="144">
        <f t="shared" si="533"/>
        <v>8.2374945053682189E-2</v>
      </c>
      <c r="BH623" s="66"/>
      <c r="BI623" s="170"/>
      <c r="BJ623" s="66"/>
      <c r="BK623" s="66"/>
      <c r="BL623" s="66"/>
      <c r="BM623" s="144"/>
      <c r="BN623" s="65">
        <f t="shared" si="534"/>
        <v>1212826.9560260586</v>
      </c>
      <c r="BO623" s="66"/>
      <c r="BP623" s="66">
        <f t="shared" si="535"/>
        <v>44776476</v>
      </c>
      <c r="BQ623" s="66"/>
      <c r="BR623" s="435">
        <f t="shared" si="536"/>
        <v>6.0128822430260659E-2</v>
      </c>
      <c r="BS623" s="66"/>
      <c r="BT623" s="75"/>
      <c r="BU623" s="170"/>
      <c r="BV623" s="1"/>
      <c r="BW623" s="61">
        <f t="shared" si="399"/>
        <v>614</v>
      </c>
    </row>
    <row r="624" spans="2:75" x14ac:dyDescent="0.3">
      <c r="B624" s="158">
        <f t="shared" si="537"/>
        <v>44524</v>
      </c>
      <c r="C624" s="61"/>
      <c r="D624" s="17">
        <v>104819</v>
      </c>
      <c r="E624" s="16"/>
      <c r="F624" s="16"/>
      <c r="G624" s="16"/>
      <c r="H624" s="16">
        <f t="shared" si="517"/>
        <v>45788273</v>
      </c>
      <c r="I624" s="16"/>
      <c r="J624" s="436">
        <f t="shared" si="518"/>
        <v>2.2944631113050252E-3</v>
      </c>
      <c r="K624" s="16"/>
      <c r="L624" s="16"/>
      <c r="M624" s="16"/>
      <c r="N624" s="16">
        <f t="shared" si="519"/>
        <v>549787</v>
      </c>
      <c r="O624" s="16">
        <f t="shared" si="520"/>
        <v>74452.47642276423</v>
      </c>
      <c r="P624" s="41"/>
      <c r="Q624" s="17">
        <f t="shared" si="521"/>
        <v>549787</v>
      </c>
      <c r="R624" s="16"/>
      <c r="S624" s="60">
        <f t="shared" si="522"/>
        <v>0.13419648180353469</v>
      </c>
      <c r="T624" s="16"/>
      <c r="U624" s="41"/>
      <c r="V624" s="10">
        <f t="shared" si="349"/>
        <v>516</v>
      </c>
      <c r="W624" s="34">
        <v>1594</v>
      </c>
      <c r="X624" s="33">
        <v>4256</v>
      </c>
      <c r="Y624" s="33"/>
      <c r="Z624" s="33">
        <f t="shared" si="523"/>
        <v>5240</v>
      </c>
      <c r="AA624" s="33">
        <f t="shared" si="524"/>
        <v>730496</v>
      </c>
      <c r="AB624" s="33"/>
      <c r="AC624" s="46">
        <f t="shared" si="525"/>
        <v>1.5953779256972632E-2</v>
      </c>
      <c r="AD624" s="33"/>
      <c r="AE624" s="33">
        <f t="shared" si="526"/>
        <v>1187.7983739837398</v>
      </c>
      <c r="AF624" s="50"/>
      <c r="AG624" s="33"/>
      <c r="AH624" s="33"/>
      <c r="AI624" s="213"/>
      <c r="AJ624" s="50"/>
      <c r="AL624" s="23">
        <f t="shared" si="527"/>
        <v>77990</v>
      </c>
      <c r="AM624" s="24"/>
      <c r="AN624" s="24"/>
      <c r="AO624" s="24">
        <v>178263</v>
      </c>
      <c r="AP624" s="24">
        <v>38787694</v>
      </c>
      <c r="AQ624" s="24">
        <v>20336656</v>
      </c>
      <c r="AR624" s="461">
        <f t="shared" si="528"/>
        <v>2.0147402832116721E-3</v>
      </c>
      <c r="AS624" s="25"/>
      <c r="AT624" s="25"/>
      <c r="AU624" s="24"/>
      <c r="AV624" s="298">
        <f t="shared" si="529"/>
        <v>0.84710978289135297</v>
      </c>
      <c r="AW624" s="298"/>
      <c r="AX624" s="24">
        <f t="shared" si="530"/>
        <v>63069.421138211379</v>
      </c>
      <c r="AY624" s="308"/>
      <c r="BA624" s="65">
        <f t="shared" si="531"/>
        <v>1781250</v>
      </c>
      <c r="BB624" s="66"/>
      <c r="BC624" s="66">
        <v>746457001</v>
      </c>
      <c r="BD624" s="66"/>
      <c r="BE624" s="66">
        <f t="shared" si="532"/>
        <v>104819</v>
      </c>
      <c r="BF624" s="66"/>
      <c r="BG624" s="144">
        <f t="shared" si="533"/>
        <v>5.8845754385964913E-2</v>
      </c>
      <c r="BH624" s="66"/>
      <c r="BI624" s="170"/>
      <c r="BJ624" s="66"/>
      <c r="BK624" s="66"/>
      <c r="BL624" s="66"/>
      <c r="BM624" s="144"/>
      <c r="BN624" s="65">
        <f t="shared" si="534"/>
        <v>1213751.2211382114</v>
      </c>
      <c r="BO624" s="66"/>
      <c r="BP624" s="66">
        <f t="shared" si="535"/>
        <v>44881295</v>
      </c>
      <c r="BQ624" s="66"/>
      <c r="BR624" s="435">
        <f t="shared" si="536"/>
        <v>6.0125760679951075E-2</v>
      </c>
      <c r="BS624" s="66"/>
      <c r="BT624" s="75"/>
      <c r="BU624" s="170"/>
      <c r="BV624" s="1"/>
      <c r="BW624" s="61">
        <f t="shared" si="399"/>
        <v>615</v>
      </c>
    </row>
    <row r="625" spans="2:75" x14ac:dyDescent="0.3">
      <c r="B625" s="158">
        <f t="shared" si="537"/>
        <v>44525</v>
      </c>
      <c r="C625" s="61"/>
      <c r="D625" s="17">
        <v>40309</v>
      </c>
      <c r="E625" s="16"/>
      <c r="F625" s="16"/>
      <c r="G625" s="16"/>
      <c r="H625" s="16">
        <f t="shared" si="517"/>
        <v>45828582</v>
      </c>
      <c r="I625" s="16"/>
      <c r="J625" s="436">
        <f t="shared" si="518"/>
        <v>8.8033457824452125E-4</v>
      </c>
      <c r="K625" s="16"/>
      <c r="L625" s="16"/>
      <c r="M625" s="16"/>
      <c r="N625" s="16">
        <f t="shared" si="519"/>
        <v>490950</v>
      </c>
      <c r="O625" s="16">
        <f t="shared" si="520"/>
        <v>74397.0487012987</v>
      </c>
      <c r="P625" s="41"/>
      <c r="Q625" s="17">
        <f t="shared" si="521"/>
        <v>490950</v>
      </c>
      <c r="R625" s="16"/>
      <c r="S625" s="60">
        <f t="shared" si="522"/>
        <v>-9.1316281902026147E-2</v>
      </c>
      <c r="T625" s="16"/>
      <c r="U625" s="41"/>
      <c r="V625" s="10">
        <f t="shared" si="349"/>
        <v>517</v>
      </c>
      <c r="W625" s="34">
        <v>449</v>
      </c>
      <c r="X625" s="33">
        <v>4256</v>
      </c>
      <c r="Y625" s="33"/>
      <c r="Z625" s="33">
        <f t="shared" si="523"/>
        <v>4357</v>
      </c>
      <c r="AA625" s="33">
        <f t="shared" si="524"/>
        <v>730945</v>
      </c>
      <c r="AB625" s="33"/>
      <c r="AC625" s="46">
        <f t="shared" si="525"/>
        <v>1.5949544325853243E-2</v>
      </c>
      <c r="AD625" s="33"/>
      <c r="AE625" s="33">
        <f t="shared" si="526"/>
        <v>1186.5990259740261</v>
      </c>
      <c r="AF625" s="50"/>
      <c r="AG625" s="33"/>
      <c r="AH625" s="33"/>
      <c r="AI625" s="213"/>
      <c r="AJ625" s="50"/>
      <c r="AL625" s="23">
        <f t="shared" si="527"/>
        <v>24505</v>
      </c>
      <c r="AM625" s="24"/>
      <c r="AN625" s="24"/>
      <c r="AO625" s="24">
        <v>178263</v>
      </c>
      <c r="AP625" s="24">
        <v>38812199</v>
      </c>
      <c r="AQ625" s="24">
        <v>20336656</v>
      </c>
      <c r="AR625" s="461">
        <f t="shared" si="528"/>
        <v>6.3177254105387136E-4</v>
      </c>
      <c r="AS625" s="25"/>
      <c r="AT625" s="25"/>
      <c r="AU625" s="24"/>
      <c r="AV625" s="298">
        <f t="shared" si="529"/>
        <v>0.84689940875761771</v>
      </c>
      <c r="AW625" s="298"/>
      <c r="AX625" s="24">
        <f t="shared" si="530"/>
        <v>63006.816558441562</v>
      </c>
      <c r="AY625" s="308"/>
      <c r="BA625" s="65">
        <f t="shared" si="531"/>
        <v>921797</v>
      </c>
      <c r="BB625" s="66"/>
      <c r="BC625" s="66">
        <v>747378798</v>
      </c>
      <c r="BD625" s="66"/>
      <c r="BE625" s="66">
        <f t="shared" si="532"/>
        <v>40309</v>
      </c>
      <c r="BF625" s="66"/>
      <c r="BG625" s="144">
        <f t="shared" si="533"/>
        <v>4.3728716843296302E-2</v>
      </c>
      <c r="BH625" s="66"/>
      <c r="BI625" s="170"/>
      <c r="BJ625" s="66"/>
      <c r="BK625" s="66"/>
      <c r="BL625" s="66"/>
      <c r="BM625" s="144"/>
      <c r="BN625" s="65">
        <f t="shared" si="534"/>
        <v>1213277.2694805195</v>
      </c>
      <c r="BO625" s="66"/>
      <c r="BP625" s="66">
        <f t="shared" si="535"/>
        <v>44921604</v>
      </c>
      <c r="BQ625" s="66"/>
      <c r="BR625" s="435">
        <f t="shared" si="536"/>
        <v>6.0105537005078383E-2</v>
      </c>
      <c r="BS625" s="66"/>
      <c r="BT625" s="75"/>
      <c r="BU625" s="170"/>
      <c r="BV625" s="1"/>
      <c r="BW625" s="61">
        <f t="shared" si="399"/>
        <v>616</v>
      </c>
    </row>
    <row r="626" spans="2:75" x14ac:dyDescent="0.3">
      <c r="B626" s="158">
        <f t="shared" si="537"/>
        <v>44526</v>
      </c>
      <c r="C626" s="61"/>
      <c r="D626" s="17">
        <v>37686</v>
      </c>
      <c r="E626" s="16"/>
      <c r="F626" s="16"/>
      <c r="G626" s="16"/>
      <c r="H626" s="16">
        <f t="shared" si="517"/>
        <v>45866268</v>
      </c>
      <c r="I626" s="16"/>
      <c r="J626" s="436">
        <f t="shared" si="518"/>
        <v>8.2232524672048546E-4</v>
      </c>
      <c r="K626" s="16"/>
      <c r="L626" s="16"/>
      <c r="M626" s="16"/>
      <c r="N626" s="16">
        <f t="shared" si="519"/>
        <v>416807</v>
      </c>
      <c r="O626" s="16">
        <f t="shared" si="520"/>
        <v>74337.549432739062</v>
      </c>
      <c r="P626" s="41"/>
      <c r="Q626" s="17">
        <f t="shared" si="521"/>
        <v>416807</v>
      </c>
      <c r="R626" s="16"/>
      <c r="S626" s="60">
        <f t="shared" si="522"/>
        <v>-0.2582291051204112</v>
      </c>
      <c r="T626" s="16"/>
      <c r="U626" s="41"/>
      <c r="V626" s="10">
        <f t="shared" si="349"/>
        <v>518</v>
      </c>
      <c r="W626" s="34">
        <v>337</v>
      </c>
      <c r="X626" s="33">
        <v>4256</v>
      </c>
      <c r="Y626" s="33"/>
      <c r="Z626" s="33">
        <f t="shared" si="523"/>
        <v>4290</v>
      </c>
      <c r="AA626" s="33">
        <f t="shared" si="524"/>
        <v>731282</v>
      </c>
      <c r="AB626" s="33"/>
      <c r="AC626" s="46">
        <f t="shared" si="525"/>
        <v>1.5943786836984428E-2</v>
      </c>
      <c r="AD626" s="33"/>
      <c r="AE626" s="33">
        <f t="shared" si="526"/>
        <v>1185.222042139384</v>
      </c>
      <c r="AF626" s="50"/>
      <c r="AG626" s="33"/>
      <c r="AH626" s="33"/>
      <c r="AI626" s="213"/>
      <c r="AJ626" s="50"/>
      <c r="AL626" s="23">
        <f t="shared" si="527"/>
        <v>28484</v>
      </c>
      <c r="AM626" s="24"/>
      <c r="AN626" s="24"/>
      <c r="AO626" s="24">
        <v>178263</v>
      </c>
      <c r="AP626" s="24">
        <v>38840683</v>
      </c>
      <c r="AQ626" s="24">
        <v>20336656</v>
      </c>
      <c r="AR626" s="461">
        <f t="shared" si="528"/>
        <v>7.3389297009427367E-4</v>
      </c>
      <c r="AS626" s="25"/>
      <c r="AT626" s="25"/>
      <c r="AU626" s="24"/>
      <c r="AV626" s="298">
        <f t="shared" si="529"/>
        <v>0.84682457705082959</v>
      </c>
      <c r="AW626" s="298"/>
      <c r="AX626" s="24">
        <f t="shared" si="530"/>
        <v>62950.863857374396</v>
      </c>
      <c r="AY626" s="308"/>
      <c r="BA626" s="65">
        <f t="shared" si="531"/>
        <v>687800</v>
      </c>
      <c r="BB626" s="66"/>
      <c r="BC626" s="66">
        <v>748066598</v>
      </c>
      <c r="BD626" s="66"/>
      <c r="BE626" s="66">
        <f t="shared" si="532"/>
        <v>37686</v>
      </c>
      <c r="BF626" s="66"/>
      <c r="BG626" s="144">
        <f t="shared" si="533"/>
        <v>5.4792090724047691E-2</v>
      </c>
      <c r="BH626" s="66"/>
      <c r="BI626" s="170"/>
      <c r="BJ626" s="66"/>
      <c r="BK626" s="66"/>
      <c r="BL626" s="66"/>
      <c r="BM626" s="144"/>
      <c r="BN626" s="65">
        <f t="shared" si="534"/>
        <v>1212425.6045380875</v>
      </c>
      <c r="BO626" s="66"/>
      <c r="BP626" s="66">
        <f t="shared" si="535"/>
        <v>44959290</v>
      </c>
      <c r="BQ626" s="66"/>
      <c r="BR626" s="435">
        <f t="shared" si="536"/>
        <v>6.0100651626741927E-2</v>
      </c>
      <c r="BS626" s="66"/>
      <c r="BT626" s="75"/>
      <c r="BU626" s="170"/>
      <c r="BV626" s="1"/>
      <c r="BW626" s="61">
        <f t="shared" si="399"/>
        <v>617</v>
      </c>
    </row>
    <row r="627" spans="2:75" x14ac:dyDescent="0.3">
      <c r="B627" s="158">
        <f t="shared" si="537"/>
        <v>44527</v>
      </c>
      <c r="C627" s="61"/>
      <c r="D627" s="17">
        <v>22612</v>
      </c>
      <c r="E627" s="16"/>
      <c r="F627" s="16"/>
      <c r="G627" s="16"/>
      <c r="H627" s="16">
        <f t="shared" si="517"/>
        <v>45888880</v>
      </c>
      <c r="I627" s="16"/>
      <c r="J627" s="436">
        <f t="shared" si="518"/>
        <v>4.9299847112043208E-4</v>
      </c>
      <c r="K627" s="16"/>
      <c r="L627" s="16"/>
      <c r="M627" s="16"/>
      <c r="N627" s="16">
        <f t="shared" si="519"/>
        <v>402786</v>
      </c>
      <c r="O627" s="16">
        <f t="shared" si="520"/>
        <v>74253.85113268609</v>
      </c>
      <c r="P627" s="41"/>
      <c r="Q627" s="17">
        <f t="shared" si="521"/>
        <v>402786</v>
      </c>
      <c r="R627" s="16"/>
      <c r="S627" s="60">
        <f t="shared" si="522"/>
        <v>-0.27742835923176556</v>
      </c>
      <c r="T627" s="16"/>
      <c r="U627" s="41"/>
      <c r="V627" s="10">
        <f t="shared" si="349"/>
        <v>519</v>
      </c>
      <c r="W627" s="34">
        <v>127</v>
      </c>
      <c r="X627" s="33">
        <v>4256</v>
      </c>
      <c r="Y627" s="33"/>
      <c r="Z627" s="33">
        <f t="shared" si="523"/>
        <v>4260</v>
      </c>
      <c r="AA627" s="33">
        <f t="shared" si="524"/>
        <v>731409</v>
      </c>
      <c r="AB627" s="33"/>
      <c r="AC627" s="46">
        <f t="shared" si="525"/>
        <v>1.5938698002653365E-2</v>
      </c>
      <c r="AD627" s="33"/>
      <c r="AE627" s="33">
        <f t="shared" si="526"/>
        <v>1183.509708737864</v>
      </c>
      <c r="AF627" s="50"/>
      <c r="AG627" s="33"/>
      <c r="AH627" s="33"/>
      <c r="AI627" s="213"/>
      <c r="AJ627" s="50"/>
      <c r="AL627" s="23">
        <f t="shared" si="527"/>
        <v>21031</v>
      </c>
      <c r="AM627" s="24"/>
      <c r="AN627" s="24"/>
      <c r="AO627" s="24">
        <v>178263</v>
      </c>
      <c r="AP627" s="24">
        <v>38861714</v>
      </c>
      <c r="AQ627" s="24">
        <v>20336656</v>
      </c>
      <c r="AR627" s="461">
        <f t="shared" si="528"/>
        <v>5.4146833617730152E-4</v>
      </c>
      <c r="AS627" s="25"/>
      <c r="AT627" s="25"/>
      <c r="AU627" s="24"/>
      <c r="AV627" s="298">
        <f t="shared" si="529"/>
        <v>0.84686560229842178</v>
      </c>
      <c r="AW627" s="298"/>
      <c r="AX627" s="24">
        <f t="shared" si="530"/>
        <v>62883.032362459548</v>
      </c>
      <c r="AY627" s="308"/>
      <c r="BA627" s="65">
        <f t="shared" si="531"/>
        <v>241281</v>
      </c>
      <c r="BB627" s="66"/>
      <c r="BC627" s="66">
        <v>748307879</v>
      </c>
      <c r="BD627" s="66"/>
      <c r="BE627" s="66">
        <f t="shared" si="532"/>
        <v>22612</v>
      </c>
      <c r="BF627" s="66"/>
      <c r="BG627" s="144">
        <f t="shared" si="533"/>
        <v>9.3716455087636402E-2</v>
      </c>
      <c r="BH627" s="66"/>
      <c r="BI627" s="170"/>
      <c r="BJ627" s="66"/>
      <c r="BK627" s="66"/>
      <c r="BL627" s="66"/>
      <c r="BM627" s="144"/>
      <c r="BN627" s="65">
        <f t="shared" si="534"/>
        <v>1210854.1731391586</v>
      </c>
      <c r="BO627" s="66"/>
      <c r="BP627" s="66">
        <f t="shared" si="535"/>
        <v>44981902</v>
      </c>
      <c r="BQ627" s="66"/>
      <c r="BR627" s="435">
        <f t="shared" si="536"/>
        <v>6.011149055401032E-2</v>
      </c>
      <c r="BS627" s="66"/>
      <c r="BT627" s="75"/>
      <c r="BU627" s="170"/>
      <c r="BV627" s="1"/>
      <c r="BW627" s="61">
        <f t="shared" si="399"/>
        <v>618</v>
      </c>
    </row>
    <row r="628" spans="2:75" x14ac:dyDescent="0.3">
      <c r="B628" s="347">
        <f t="shared" si="537"/>
        <v>44528</v>
      </c>
      <c r="C628" s="61"/>
      <c r="D628" s="17">
        <v>20835</v>
      </c>
      <c r="E628" s="16"/>
      <c r="F628" s="16"/>
      <c r="G628" s="16"/>
      <c r="H628" s="16">
        <f t="shared" si="517"/>
        <v>45909715</v>
      </c>
      <c r="I628" s="16"/>
      <c r="J628" s="436">
        <f t="shared" si="518"/>
        <v>4.5403156494558161E-4</v>
      </c>
      <c r="K628" s="16"/>
      <c r="L628" s="16"/>
      <c r="M628" s="16"/>
      <c r="N628" s="16">
        <f t="shared" si="519"/>
        <v>386433</v>
      </c>
      <c r="O628" s="16">
        <f t="shared" si="520"/>
        <v>74167.552504038773</v>
      </c>
      <c r="P628" s="41"/>
      <c r="Q628" s="17">
        <f t="shared" si="521"/>
        <v>386433</v>
      </c>
      <c r="R628" s="16"/>
      <c r="S628" s="60">
        <f t="shared" si="522"/>
        <v>-0.30740940545171369</v>
      </c>
      <c r="T628" s="16"/>
      <c r="U628" s="41"/>
      <c r="V628" s="10">
        <f t="shared" si="349"/>
        <v>520</v>
      </c>
      <c r="W628" s="34">
        <v>102</v>
      </c>
      <c r="X628" s="33">
        <v>4256</v>
      </c>
      <c r="Y628" s="33"/>
      <c r="Z628" s="33">
        <f t="shared" si="523"/>
        <v>3846</v>
      </c>
      <c r="AA628" s="33">
        <f t="shared" si="524"/>
        <v>731511</v>
      </c>
      <c r="AB628" s="33"/>
      <c r="AC628" s="46">
        <f t="shared" si="525"/>
        <v>1.5933686366818002E-2</v>
      </c>
      <c r="AD628" s="33"/>
      <c r="AE628" s="33">
        <f t="shared" si="526"/>
        <v>1181.7625201938611</v>
      </c>
      <c r="AF628" s="50"/>
      <c r="AG628" s="33"/>
      <c r="AH628" s="33"/>
      <c r="AI628" s="213"/>
      <c r="AJ628" s="50"/>
      <c r="AL628" s="23">
        <f t="shared" si="527"/>
        <v>18367</v>
      </c>
      <c r="AM628" s="24"/>
      <c r="AN628" s="24"/>
      <c r="AO628" s="24">
        <v>178263</v>
      </c>
      <c r="AP628" s="24">
        <v>38880081</v>
      </c>
      <c r="AQ628" s="24">
        <v>20336656</v>
      </c>
      <c r="AR628" s="461">
        <f t="shared" si="528"/>
        <v>4.7262454764604569E-4</v>
      </c>
      <c r="AS628" s="25"/>
      <c r="AT628" s="25"/>
      <c r="AU628" s="24"/>
      <c r="AV628" s="298">
        <f t="shared" si="529"/>
        <v>0.84688134091008838</v>
      </c>
      <c r="AW628" s="298"/>
      <c r="AX628" s="24">
        <f t="shared" si="530"/>
        <v>62811.116316639738</v>
      </c>
      <c r="AY628" s="308"/>
      <c r="BA628" s="65">
        <f t="shared" si="531"/>
        <v>216720</v>
      </c>
      <c r="BB628" s="66"/>
      <c r="BC628" s="66">
        <v>748524599</v>
      </c>
      <c r="BD628" s="66"/>
      <c r="BE628" s="66">
        <f t="shared" si="532"/>
        <v>20835</v>
      </c>
      <c r="BF628" s="66"/>
      <c r="BG628" s="144">
        <f t="shared" si="533"/>
        <v>9.6137873754152822E-2</v>
      </c>
      <c r="BH628" s="66"/>
      <c r="BI628" s="170"/>
      <c r="BJ628" s="66"/>
      <c r="BK628" s="66"/>
      <c r="BL628" s="66"/>
      <c r="BM628" s="144"/>
      <c r="BN628" s="65">
        <f t="shared" si="534"/>
        <v>1209248.140549273</v>
      </c>
      <c r="BO628" s="66"/>
      <c r="BP628" s="66">
        <f t="shared" si="535"/>
        <v>45002737</v>
      </c>
      <c r="BQ628" s="66"/>
      <c r="BR628" s="435">
        <f t="shared" si="536"/>
        <v>6.0121921256992651E-2</v>
      </c>
      <c r="BS628" s="66"/>
      <c r="BT628" s="75"/>
      <c r="BU628" s="170"/>
      <c r="BV628" s="1"/>
      <c r="BW628" s="61">
        <f t="shared" si="399"/>
        <v>619</v>
      </c>
    </row>
    <row r="629" spans="2:75" x14ac:dyDescent="0.3">
      <c r="B629" s="158">
        <f t="shared" si="537"/>
        <v>44529</v>
      </c>
      <c r="C629" s="61"/>
      <c r="D629" s="17">
        <v>106876</v>
      </c>
      <c r="E629" s="16"/>
      <c r="F629" s="16"/>
      <c r="G629" s="16"/>
      <c r="H629" s="16">
        <f t="shared" si="517"/>
        <v>46016591</v>
      </c>
      <c r="I629" s="16"/>
      <c r="J629" s="436">
        <f t="shared" si="518"/>
        <v>2.3279604327755029E-3</v>
      </c>
      <c r="K629" s="16"/>
      <c r="L629" s="16"/>
      <c r="M629" s="16"/>
      <c r="N629" s="16">
        <f t="shared" si="519"/>
        <v>419153</v>
      </c>
      <c r="O629" s="16">
        <f t="shared" si="520"/>
        <v>74220.308064516124</v>
      </c>
      <c r="P629" s="41"/>
      <c r="Q629" s="17">
        <f t="shared" si="521"/>
        <v>419153</v>
      </c>
      <c r="R629" s="16"/>
      <c r="S629" s="60">
        <f t="shared" si="522"/>
        <v>-0.25322740991223724</v>
      </c>
      <c r="T629" s="16"/>
      <c r="U629" s="41"/>
      <c r="V629" s="10">
        <f t="shared" si="349"/>
        <v>521</v>
      </c>
      <c r="W629" s="34">
        <v>1438</v>
      </c>
      <c r="X629" s="33">
        <v>4256</v>
      </c>
      <c r="Y629" s="33"/>
      <c r="Z629" s="33">
        <f t="shared" si="523"/>
        <v>4047</v>
      </c>
      <c r="AA629" s="33">
        <f t="shared" si="524"/>
        <v>732949</v>
      </c>
      <c r="AB629" s="33"/>
      <c r="AC629" s="46">
        <f t="shared" si="525"/>
        <v>1.5927929124519458E-2</v>
      </c>
      <c r="AD629" s="33"/>
      <c r="AE629" s="33">
        <f t="shared" si="526"/>
        <v>1182.175806451613</v>
      </c>
      <c r="AF629" s="50"/>
      <c r="AG629" s="33"/>
      <c r="AH629" s="33"/>
      <c r="AI629" s="213"/>
      <c r="AJ629" s="50"/>
      <c r="AL629" s="23">
        <f t="shared" si="527"/>
        <v>225821</v>
      </c>
      <c r="AM629" s="24"/>
      <c r="AN629" s="24"/>
      <c r="AO629" s="24">
        <v>178263</v>
      </c>
      <c r="AP629" s="24">
        <v>39105902</v>
      </c>
      <c r="AQ629" s="24">
        <v>20336656</v>
      </c>
      <c r="AR629" s="461">
        <f t="shared" si="528"/>
        <v>5.8081411918869206E-3</v>
      </c>
      <c r="AS629" s="25"/>
      <c r="AT629" s="25"/>
      <c r="AU629" s="24"/>
      <c r="AV629" s="298">
        <f t="shared" si="529"/>
        <v>0.84982179579534689</v>
      </c>
      <c r="AW629" s="298"/>
      <c r="AX629" s="24">
        <f t="shared" si="530"/>
        <v>63074.035483870968</v>
      </c>
      <c r="AY629" s="308"/>
      <c r="BA629" s="65">
        <f t="shared" si="531"/>
        <v>5468770</v>
      </c>
      <c r="BB629" s="66"/>
      <c r="BC629" s="66">
        <v>753993369</v>
      </c>
      <c r="BD629" s="66"/>
      <c r="BE629" s="66">
        <f t="shared" si="532"/>
        <v>106876</v>
      </c>
      <c r="BF629" s="66"/>
      <c r="BG629" s="144">
        <f t="shared" si="533"/>
        <v>1.9542968528572239E-2</v>
      </c>
      <c r="BH629" s="66"/>
      <c r="BI629" s="170"/>
      <c r="BJ629" s="66"/>
      <c r="BK629" s="66"/>
      <c r="BL629" s="66"/>
      <c r="BM629" s="144"/>
      <c r="BN629" s="65">
        <f t="shared" si="534"/>
        <v>1216118.3370967743</v>
      </c>
      <c r="BO629" s="66"/>
      <c r="BP629" s="66">
        <f t="shared" si="535"/>
        <v>45109613</v>
      </c>
      <c r="BQ629" s="66"/>
      <c r="BR629" s="435">
        <f t="shared" si="536"/>
        <v>5.9827599093911922E-2</v>
      </c>
      <c r="BS629" s="66"/>
      <c r="BT629" s="75"/>
      <c r="BU629" s="170"/>
      <c r="BV629" s="1"/>
      <c r="BW629" s="61">
        <f t="shared" si="399"/>
        <v>620</v>
      </c>
    </row>
    <row r="630" spans="2:75" x14ac:dyDescent="0.3">
      <c r="B630" s="158">
        <f t="shared" si="537"/>
        <v>44530</v>
      </c>
      <c r="C630" s="61"/>
      <c r="D630" s="17">
        <v>120458</v>
      </c>
      <c r="E630" s="16"/>
      <c r="F630" s="16"/>
      <c r="G630" s="16"/>
      <c r="H630" s="16">
        <f t="shared" si="517"/>
        <v>46137049</v>
      </c>
      <c r="I630" s="16"/>
      <c r="J630" s="436">
        <f t="shared" si="518"/>
        <v>2.6177080349128862E-3</v>
      </c>
      <c r="K630" s="16"/>
      <c r="L630" s="16"/>
      <c r="M630" s="16"/>
      <c r="N630" s="16">
        <f t="shared" si="519"/>
        <v>453595</v>
      </c>
      <c r="O630" s="16">
        <f t="shared" si="520"/>
        <v>74294.76489533011</v>
      </c>
      <c r="P630" s="41"/>
      <c r="Q630" s="17">
        <f t="shared" si="521"/>
        <v>453595</v>
      </c>
      <c r="R630" s="16"/>
      <c r="S630" s="60">
        <f t="shared" si="522"/>
        <v>-0.17478669019593573</v>
      </c>
      <c r="T630" s="16"/>
      <c r="U630" s="41"/>
      <c r="V630" s="10">
        <f t="shared" si="349"/>
        <v>522</v>
      </c>
      <c r="W630" s="34">
        <v>1650</v>
      </c>
      <c r="X630" s="33">
        <v>4256</v>
      </c>
      <c r="Y630" s="33"/>
      <c r="Z630" s="33">
        <f t="shared" si="523"/>
        <v>4103</v>
      </c>
      <c r="AA630" s="33">
        <f t="shared" si="524"/>
        <v>734599</v>
      </c>
      <c r="AB630" s="33"/>
      <c r="AC630" s="46">
        <f t="shared" si="525"/>
        <v>1.5922106331508111E-2</v>
      </c>
      <c r="AD630" s="33"/>
      <c r="AE630" s="33">
        <f t="shared" si="526"/>
        <v>1182.9291465378421</v>
      </c>
      <c r="AF630" s="50"/>
      <c r="AG630" s="33"/>
      <c r="AH630" s="33"/>
      <c r="AI630" s="213"/>
      <c r="AJ630" s="50"/>
      <c r="AL630" s="23">
        <f t="shared" si="527"/>
        <v>100018</v>
      </c>
      <c r="AM630" s="24"/>
      <c r="AN630" s="24"/>
      <c r="AO630" s="24">
        <v>178263</v>
      </c>
      <c r="AP630" s="24">
        <v>39205920</v>
      </c>
      <c r="AQ630" s="24">
        <v>20336656</v>
      </c>
      <c r="AR630" s="461">
        <f t="shared" si="528"/>
        <v>2.5576190519783944E-3</v>
      </c>
      <c r="AS630" s="25"/>
      <c r="AT630" s="25"/>
      <c r="AU630" s="24"/>
      <c r="AV630" s="298">
        <f t="shared" si="529"/>
        <v>0.8497708641920293</v>
      </c>
      <c r="AW630" s="298"/>
      <c r="AX630" s="24">
        <f t="shared" si="530"/>
        <v>63133.526570048307</v>
      </c>
      <c r="AY630" s="308"/>
      <c r="BA630" s="65">
        <f t="shared" si="531"/>
        <v>88000</v>
      </c>
      <c r="BB630" s="66"/>
      <c r="BC630" s="66">
        <v>754081369</v>
      </c>
      <c r="BD630" s="66"/>
      <c r="BE630" s="66">
        <f t="shared" si="532"/>
        <v>120458</v>
      </c>
      <c r="BF630" s="66"/>
      <c r="BG630" s="144">
        <f t="shared" si="533"/>
        <v>1.3688409090909091</v>
      </c>
      <c r="BH630" s="66"/>
      <c r="BI630" s="170"/>
      <c r="BJ630" s="66"/>
      <c r="BK630" s="66"/>
      <c r="BL630" s="66"/>
      <c r="BM630" s="144"/>
      <c r="BN630" s="65">
        <f t="shared" si="534"/>
        <v>1214301.7214170692</v>
      </c>
      <c r="BO630" s="66"/>
      <c r="BP630" s="66">
        <f t="shared" si="535"/>
        <v>45230071</v>
      </c>
      <c r="BQ630" s="66"/>
      <c r="BR630" s="435">
        <f t="shared" si="536"/>
        <v>5.998035869786885E-2</v>
      </c>
      <c r="BS630" s="66"/>
      <c r="BT630" s="75"/>
      <c r="BU630" s="170"/>
      <c r="BV630" s="1"/>
      <c r="BW630" s="61">
        <f t="shared" si="399"/>
        <v>621</v>
      </c>
    </row>
    <row r="631" spans="2:75" x14ac:dyDescent="0.3">
      <c r="B631" s="158">
        <f t="shared" si="537"/>
        <v>44531</v>
      </c>
      <c r="C631" s="61"/>
      <c r="D631" s="17">
        <v>131460</v>
      </c>
      <c r="E631" s="16"/>
      <c r="F631" s="16"/>
      <c r="G631" s="16"/>
      <c r="H631" s="16">
        <f t="shared" si="517"/>
        <v>46268509</v>
      </c>
      <c r="I631" s="16"/>
      <c r="J631" s="436">
        <f t="shared" si="518"/>
        <v>2.8493369829526807E-3</v>
      </c>
      <c r="K631" s="16"/>
      <c r="L631" s="16"/>
      <c r="M631" s="16"/>
      <c r="N631" s="16">
        <f t="shared" si="519"/>
        <v>480236</v>
      </c>
      <c r="O631" s="16">
        <f t="shared" si="520"/>
        <v>74386.670418006426</v>
      </c>
      <c r="P631" s="41"/>
      <c r="Q631" s="17">
        <f t="shared" si="521"/>
        <v>480236</v>
      </c>
      <c r="R631" s="16"/>
      <c r="S631" s="60">
        <f t="shared" si="522"/>
        <v>-0.12650535571048424</v>
      </c>
      <c r="T631" s="16"/>
      <c r="U631" s="41"/>
      <c r="V631" s="10">
        <f t="shared" si="349"/>
        <v>523</v>
      </c>
      <c r="W631" s="34">
        <v>1745</v>
      </c>
      <c r="X631" s="33">
        <v>4256</v>
      </c>
      <c r="Y631" s="33"/>
      <c r="Z631" s="33">
        <f t="shared" si="523"/>
        <v>5399</v>
      </c>
      <c r="AA631" s="33">
        <f t="shared" si="524"/>
        <v>736344</v>
      </c>
      <c r="AB631" s="33"/>
      <c r="AC631" s="46">
        <f t="shared" si="525"/>
        <v>1.591458242149104E-2</v>
      </c>
      <c r="AD631" s="33"/>
      <c r="AE631" s="33">
        <f t="shared" si="526"/>
        <v>1183.8327974276526</v>
      </c>
      <c r="AF631" s="50"/>
      <c r="AG631" s="33"/>
      <c r="AH631" s="33"/>
      <c r="AI631" s="213"/>
      <c r="AJ631" s="50"/>
      <c r="AL631" s="23">
        <f t="shared" si="527"/>
        <v>112643</v>
      </c>
      <c r="AM631" s="24"/>
      <c r="AN631" s="24"/>
      <c r="AO631" s="24">
        <v>178263</v>
      </c>
      <c r="AP631" s="24">
        <v>39318563</v>
      </c>
      <c r="AQ631" s="24">
        <v>20336656</v>
      </c>
      <c r="AR631" s="461">
        <f t="shared" si="528"/>
        <v>2.8731120198174152E-3</v>
      </c>
      <c r="AS631" s="25"/>
      <c r="AT631" s="25"/>
      <c r="AU631" s="24"/>
      <c r="AV631" s="298">
        <f t="shared" si="529"/>
        <v>0.84979101012310554</v>
      </c>
      <c r="AW631" s="298"/>
      <c r="AX631" s="24">
        <f t="shared" si="530"/>
        <v>63213.123794212217</v>
      </c>
      <c r="AY631" s="308"/>
      <c r="BA631" s="65">
        <f t="shared" si="531"/>
        <v>1604533</v>
      </c>
      <c r="BB631" s="66"/>
      <c r="BC631" s="66">
        <v>755685902</v>
      </c>
      <c r="BD631" s="66"/>
      <c r="BE631" s="66">
        <f t="shared" si="532"/>
        <v>131460</v>
      </c>
      <c r="BF631" s="66"/>
      <c r="BG631" s="144">
        <f t="shared" si="533"/>
        <v>8.1930380989359522E-2</v>
      </c>
      <c r="BH631" s="66"/>
      <c r="BI631" s="170"/>
      <c r="BJ631" s="66"/>
      <c r="BK631" s="66"/>
      <c r="BL631" s="66"/>
      <c r="BM631" s="144"/>
      <c r="BN631" s="65">
        <f t="shared" si="534"/>
        <v>1214929.1028938906</v>
      </c>
      <c r="BO631" s="66"/>
      <c r="BP631" s="66">
        <f t="shared" si="535"/>
        <v>45361531</v>
      </c>
      <c r="BQ631" s="66"/>
      <c r="BR631" s="435">
        <f t="shared" si="536"/>
        <v>6.0026964748113032E-2</v>
      </c>
      <c r="BS631" s="66"/>
      <c r="BT631" s="75"/>
      <c r="BU631" s="170"/>
      <c r="BV631" s="1"/>
      <c r="BW631" s="61">
        <f t="shared" si="399"/>
        <v>622</v>
      </c>
    </row>
    <row r="632" spans="2:75" x14ac:dyDescent="0.3">
      <c r="B632" s="158">
        <f t="shared" si="537"/>
        <v>44532</v>
      </c>
      <c r="C632" s="61"/>
      <c r="D632" s="17">
        <v>146612</v>
      </c>
      <c r="E632" s="16"/>
      <c r="F632" s="16"/>
      <c r="G632" s="16"/>
      <c r="H632" s="16">
        <f t="shared" si="517"/>
        <v>46415121</v>
      </c>
      <c r="I632" s="16"/>
      <c r="J632" s="436">
        <f t="shared" si="518"/>
        <v>3.1687210841395384E-3</v>
      </c>
      <c r="K632" s="16"/>
      <c r="L632" s="16"/>
      <c r="M632" s="16"/>
      <c r="N632" s="16">
        <f t="shared" si="519"/>
        <v>586539</v>
      </c>
      <c r="O632" s="16">
        <f t="shared" si="520"/>
        <v>74502.601926163727</v>
      </c>
      <c r="P632" s="41"/>
      <c r="Q632" s="17">
        <f t="shared" si="521"/>
        <v>586539</v>
      </c>
      <c r="R632" s="16"/>
      <c r="S632" s="60">
        <f t="shared" si="522"/>
        <v>0.19470210815765354</v>
      </c>
      <c r="T632" s="16"/>
      <c r="U632" s="41"/>
      <c r="V632" s="10">
        <f t="shared" si="349"/>
        <v>524</v>
      </c>
      <c r="W632" s="34">
        <v>1528</v>
      </c>
      <c r="X632" s="33">
        <v>4256</v>
      </c>
      <c r="Y632" s="33"/>
      <c r="Z632" s="33">
        <f t="shared" si="523"/>
        <v>6590</v>
      </c>
      <c r="AA632" s="33">
        <f t="shared" si="524"/>
        <v>737872</v>
      </c>
      <c r="AB632" s="33"/>
      <c r="AC632" s="46">
        <f t="shared" si="525"/>
        <v>1.5897233145207142E-2</v>
      </c>
      <c r="AD632" s="33"/>
      <c r="AE632" s="33">
        <f t="shared" si="526"/>
        <v>1184.3852327447833</v>
      </c>
      <c r="AF632" s="50"/>
      <c r="AG632" s="33"/>
      <c r="AH632" s="33"/>
      <c r="AI632" s="213"/>
      <c r="AJ632" s="50"/>
      <c r="AL632" s="23">
        <f t="shared" si="527"/>
        <v>71083</v>
      </c>
      <c r="AM632" s="24"/>
      <c r="AN632" s="24"/>
      <c r="AO632" s="24">
        <v>178263</v>
      </c>
      <c r="AP632" s="24">
        <v>39389646</v>
      </c>
      <c r="AQ632" s="24">
        <v>20336656</v>
      </c>
      <c r="AR632" s="461">
        <f t="shared" si="528"/>
        <v>1.8078738025090082E-3</v>
      </c>
      <c r="AS632" s="25"/>
      <c r="AT632" s="25"/>
      <c r="AU632" s="24"/>
      <c r="AV632" s="298">
        <f t="shared" si="529"/>
        <v>0.848638227184628</v>
      </c>
      <c r="AW632" s="298"/>
      <c r="AX632" s="24">
        <f t="shared" si="530"/>
        <v>63225.756019261637</v>
      </c>
      <c r="AY632" s="308"/>
      <c r="BA632" s="65">
        <f t="shared" si="531"/>
        <v>1879157</v>
      </c>
      <c r="BB632" s="66"/>
      <c r="BC632" s="66">
        <v>757565059</v>
      </c>
      <c r="BD632" s="66"/>
      <c r="BE632" s="66">
        <f t="shared" si="532"/>
        <v>146612</v>
      </c>
      <c r="BF632" s="66"/>
      <c r="BG632" s="144">
        <f t="shared" si="533"/>
        <v>7.8020090923749313E-2</v>
      </c>
      <c r="BH632" s="66"/>
      <c r="BI632" s="170"/>
      <c r="BJ632" s="66"/>
      <c r="BK632" s="66"/>
      <c r="BL632" s="66"/>
      <c r="BM632" s="144"/>
      <c r="BN632" s="65">
        <f t="shared" si="534"/>
        <v>1215995.2792937399</v>
      </c>
      <c r="BO632" s="66"/>
      <c r="BP632" s="66">
        <f t="shared" si="535"/>
        <v>45508143</v>
      </c>
      <c r="BQ632" s="66"/>
      <c r="BR632" s="435">
        <f t="shared" si="536"/>
        <v>6.0071597098302815E-2</v>
      </c>
      <c r="BS632" s="66"/>
      <c r="BT632" s="75"/>
      <c r="BU632" s="170"/>
      <c r="BV632" s="1"/>
      <c r="BW632" s="61">
        <f t="shared" si="399"/>
        <v>623</v>
      </c>
    </row>
    <row r="633" spans="2:75" x14ac:dyDescent="0.3">
      <c r="B633" s="158">
        <f t="shared" si="537"/>
        <v>44533</v>
      </c>
      <c r="C633" s="61"/>
      <c r="D633" s="17">
        <v>147434</v>
      </c>
      <c r="E633" s="16"/>
      <c r="F633" s="16"/>
      <c r="G633" s="16"/>
      <c r="H633" s="16">
        <f t="shared" si="517"/>
        <v>46562555</v>
      </c>
      <c r="I633" s="16"/>
      <c r="J633" s="436">
        <f t="shared" si="518"/>
        <v>3.176421752730107E-3</v>
      </c>
      <c r="K633" s="16"/>
      <c r="L633" s="16"/>
      <c r="M633" s="16"/>
      <c r="N633" s="16">
        <f t="shared" si="519"/>
        <v>696287</v>
      </c>
      <c r="O633" s="16">
        <f t="shared" si="520"/>
        <v>74619.479166666672</v>
      </c>
      <c r="P633" s="41"/>
      <c r="Q633" s="17">
        <f t="shared" si="521"/>
        <v>696287</v>
      </c>
      <c r="R633" s="16"/>
      <c r="S633" s="60">
        <f t="shared" si="522"/>
        <v>0.67052616678702615</v>
      </c>
      <c r="T633" s="16"/>
      <c r="U633" s="41"/>
      <c r="V633" s="10">
        <f t="shared" si="349"/>
        <v>525</v>
      </c>
      <c r="W633" s="34">
        <v>1352</v>
      </c>
      <c r="X633" s="33">
        <v>4256</v>
      </c>
      <c r="Y633" s="33"/>
      <c r="Z633" s="33">
        <f t="shared" si="523"/>
        <v>7815</v>
      </c>
      <c r="AA633" s="33">
        <f t="shared" si="524"/>
        <v>739224</v>
      </c>
      <c r="AB633" s="33"/>
      <c r="AC633" s="46">
        <f t="shared" si="525"/>
        <v>1.5875932925072517E-2</v>
      </c>
      <c r="AD633" s="33"/>
      <c r="AE633" s="33">
        <f t="shared" si="526"/>
        <v>1184.6538461538462</v>
      </c>
      <c r="AF633" s="50"/>
      <c r="AG633" s="33"/>
      <c r="AH633" s="33"/>
      <c r="AI633" s="213"/>
      <c r="AJ633" s="50"/>
      <c r="AL633" s="23">
        <f t="shared" si="527"/>
        <v>73599</v>
      </c>
      <c r="AM633" s="24"/>
      <c r="AN633" s="24"/>
      <c r="AO633" s="24">
        <v>178263</v>
      </c>
      <c r="AP633" s="24">
        <v>39463245</v>
      </c>
      <c r="AQ633" s="24">
        <v>20336656</v>
      </c>
      <c r="AR633" s="461">
        <f t="shared" si="528"/>
        <v>1.8684859467891638E-3</v>
      </c>
      <c r="AS633" s="25"/>
      <c r="AT633" s="25"/>
      <c r="AU633" s="24"/>
      <c r="AV633" s="298">
        <f t="shared" si="529"/>
        <v>0.84753177741212871</v>
      </c>
      <c r="AW633" s="298"/>
      <c r="AX633" s="24">
        <f t="shared" si="530"/>
        <v>63242.379807692305</v>
      </c>
      <c r="AY633" s="308"/>
      <c r="BA633" s="65">
        <f t="shared" si="531"/>
        <v>2036316</v>
      </c>
      <c r="BB633" s="66"/>
      <c r="BC633" s="66">
        <v>759601375</v>
      </c>
      <c r="BD633" s="66"/>
      <c r="BE633" s="66">
        <f t="shared" si="532"/>
        <v>147434</v>
      </c>
      <c r="BF633" s="66"/>
      <c r="BG633" s="144">
        <f t="shared" si="533"/>
        <v>7.2402318697098095E-2</v>
      </c>
      <c r="BH633" s="66"/>
      <c r="BI633" s="170"/>
      <c r="BJ633" s="66"/>
      <c r="BK633" s="66"/>
      <c r="BL633" s="66"/>
      <c r="BM633" s="144"/>
      <c r="BN633" s="65">
        <f t="shared" si="534"/>
        <v>1217309.8958333333</v>
      </c>
      <c r="BO633" s="66"/>
      <c r="BP633" s="66">
        <f t="shared" si="535"/>
        <v>45655577</v>
      </c>
      <c r="BQ633" s="66"/>
      <c r="BR633" s="435">
        <f t="shared" si="536"/>
        <v>6.0104652917459506E-2</v>
      </c>
      <c r="BS633" s="66"/>
      <c r="BT633" s="75"/>
      <c r="BU633" s="170"/>
      <c r="BV633" s="1"/>
      <c r="BW633" s="61">
        <f t="shared" si="399"/>
        <v>624</v>
      </c>
    </row>
    <row r="634" spans="2:75" x14ac:dyDescent="0.3">
      <c r="B634" s="158">
        <f t="shared" si="537"/>
        <v>44534</v>
      </c>
      <c r="C634" s="61"/>
      <c r="D634" s="17">
        <v>56742</v>
      </c>
      <c r="E634" s="16"/>
      <c r="F634" s="16"/>
      <c r="G634" s="16"/>
      <c r="H634" s="16">
        <f t="shared" si="517"/>
        <v>46619297</v>
      </c>
      <c r="I634" s="16"/>
      <c r="J634" s="436">
        <f t="shared" si="518"/>
        <v>1.2186186947859712E-3</v>
      </c>
      <c r="K634" s="16"/>
      <c r="L634" s="16"/>
      <c r="M634" s="16"/>
      <c r="N634" s="16">
        <f t="shared" si="519"/>
        <v>730417</v>
      </c>
      <c r="O634" s="16">
        <f t="shared" si="520"/>
        <v>74590.875199999995</v>
      </c>
      <c r="P634" s="41"/>
      <c r="Q634" s="17">
        <f t="shared" si="521"/>
        <v>730417</v>
      </c>
      <c r="R634" s="16"/>
      <c r="S634" s="60">
        <f t="shared" si="522"/>
        <v>0.81341208482916483</v>
      </c>
      <c r="T634" s="16"/>
      <c r="U634" s="41"/>
      <c r="V634" s="10">
        <f t="shared" si="349"/>
        <v>526</v>
      </c>
      <c r="W634" s="34">
        <v>492</v>
      </c>
      <c r="X634" s="33">
        <v>4256</v>
      </c>
      <c r="Y634" s="33"/>
      <c r="Z634" s="33">
        <f t="shared" si="523"/>
        <v>8205</v>
      </c>
      <c r="AA634" s="33">
        <f t="shared" si="524"/>
        <v>739716</v>
      </c>
      <c r="AB634" s="33"/>
      <c r="AC634" s="46">
        <f t="shared" si="525"/>
        <v>1.5867163333672749E-2</v>
      </c>
      <c r="AD634" s="33"/>
      <c r="AE634" s="33">
        <f t="shared" si="526"/>
        <v>1183.5455999999999</v>
      </c>
      <c r="AF634" s="50"/>
      <c r="AG634" s="33"/>
      <c r="AH634" s="33"/>
      <c r="AI634" s="213"/>
      <c r="AJ634" s="50"/>
      <c r="AL634" s="23">
        <f t="shared" si="527"/>
        <v>34866</v>
      </c>
      <c r="AM634" s="24"/>
      <c r="AN634" s="24"/>
      <c r="AO634" s="24">
        <v>178263</v>
      </c>
      <c r="AP634" s="24">
        <v>39498111</v>
      </c>
      <c r="AQ634" s="24">
        <v>20336656</v>
      </c>
      <c r="AR634" s="461">
        <f t="shared" si="528"/>
        <v>8.8350565190470267E-4</v>
      </c>
      <c r="AS634" s="25"/>
      <c r="AT634" s="25"/>
      <c r="AU634" s="24"/>
      <c r="AV634" s="298">
        <f t="shared" si="529"/>
        <v>0.84724810414880347</v>
      </c>
      <c r="AW634" s="298"/>
      <c r="AX634" s="24">
        <f t="shared" si="530"/>
        <v>63196.977599999998</v>
      </c>
      <c r="AY634" s="308"/>
      <c r="BA634" s="65">
        <f t="shared" si="531"/>
        <v>570108</v>
      </c>
      <c r="BB634" s="66"/>
      <c r="BC634" s="66">
        <v>760171483</v>
      </c>
      <c r="BD634" s="66"/>
      <c r="BE634" s="66">
        <f t="shared" si="532"/>
        <v>56742</v>
      </c>
      <c r="BF634" s="66"/>
      <c r="BG634" s="144">
        <f t="shared" si="533"/>
        <v>9.9528510387505528E-2</v>
      </c>
      <c r="BH634" s="66"/>
      <c r="BI634" s="170"/>
      <c r="BJ634" s="66"/>
      <c r="BK634" s="66"/>
      <c r="BL634" s="66"/>
      <c r="BM634" s="144"/>
      <c r="BN634" s="65">
        <f t="shared" si="534"/>
        <v>1216274.3728</v>
      </c>
      <c r="BO634" s="66"/>
      <c r="BP634" s="66">
        <f t="shared" si="535"/>
        <v>45712319</v>
      </c>
      <c r="BQ634" s="66"/>
      <c r="BR634" s="435">
        <f t="shared" si="536"/>
        <v>6.0134219741573756E-2</v>
      </c>
      <c r="BS634" s="66"/>
      <c r="BT634" s="75"/>
      <c r="BU634" s="170"/>
      <c r="BV634" s="1"/>
      <c r="BW634" s="61">
        <f t="shared" si="399"/>
        <v>625</v>
      </c>
    </row>
    <row r="635" spans="2:75" x14ac:dyDescent="0.3">
      <c r="B635" s="347">
        <f t="shared" si="537"/>
        <v>44535</v>
      </c>
      <c r="C635" s="61"/>
      <c r="D635" s="17">
        <v>35065</v>
      </c>
      <c r="E635" s="16"/>
      <c r="F635" s="16"/>
      <c r="G635" s="16"/>
      <c r="H635" s="16">
        <f t="shared" si="517"/>
        <v>46654362</v>
      </c>
      <c r="I635" s="16"/>
      <c r="J635" s="436">
        <f t="shared" si="518"/>
        <v>7.5215634418511284E-4</v>
      </c>
      <c r="K635" s="16"/>
      <c r="L635" s="16"/>
      <c r="M635" s="16"/>
      <c r="N635" s="16">
        <f t="shared" si="519"/>
        <v>744647</v>
      </c>
      <c r="O635" s="16">
        <f t="shared" si="520"/>
        <v>74527.734824281157</v>
      </c>
      <c r="P635" s="41"/>
      <c r="Q635" s="17">
        <f t="shared" si="521"/>
        <v>744647</v>
      </c>
      <c r="R635" s="16"/>
      <c r="S635" s="60">
        <f t="shared" si="522"/>
        <v>0.92697569824523263</v>
      </c>
      <c r="T635" s="16"/>
      <c r="U635" s="41"/>
      <c r="V635" s="10">
        <f t="shared" si="349"/>
        <v>527</v>
      </c>
      <c r="W635" s="34">
        <v>155</v>
      </c>
      <c r="X635" s="33">
        <v>4256</v>
      </c>
      <c r="Y635" s="33"/>
      <c r="Z635" s="33">
        <f t="shared" si="523"/>
        <v>6922</v>
      </c>
      <c r="AA635" s="33">
        <f t="shared" si="524"/>
        <v>739871</v>
      </c>
      <c r="AB635" s="33"/>
      <c r="AC635" s="46">
        <f t="shared" si="525"/>
        <v>1.585856002060429E-2</v>
      </c>
      <c r="AD635" s="33"/>
      <c r="AE635" s="33">
        <f t="shared" si="526"/>
        <v>1181.9025559105432</v>
      </c>
      <c r="AF635" s="50"/>
      <c r="AG635" s="33"/>
      <c r="AH635" s="33"/>
      <c r="AI635" s="213"/>
      <c r="AJ635" s="50"/>
      <c r="AL635" s="23">
        <f t="shared" si="527"/>
        <v>25462</v>
      </c>
      <c r="AM635" s="24"/>
      <c r="AN635" s="24"/>
      <c r="AO635" s="24">
        <v>178263</v>
      </c>
      <c r="AP635" s="24">
        <v>39523573</v>
      </c>
      <c r="AQ635" s="24">
        <v>20336656</v>
      </c>
      <c r="AR635" s="461">
        <f t="shared" si="528"/>
        <v>6.4463842334130863E-4</v>
      </c>
      <c r="AS635" s="25"/>
      <c r="AT635" s="25"/>
      <c r="AU635" s="24"/>
      <c r="AV635" s="298">
        <f t="shared" si="529"/>
        <v>0.84715707825990638</v>
      </c>
      <c r="AW635" s="298"/>
      <c r="AX635" s="24">
        <f t="shared" si="530"/>
        <v>63136.698083067095</v>
      </c>
      <c r="AY635" s="308"/>
      <c r="BA635" s="65">
        <f t="shared" si="531"/>
        <v>465359</v>
      </c>
      <c r="BB635" s="66"/>
      <c r="BC635" s="66">
        <v>760636842</v>
      </c>
      <c r="BD635" s="66"/>
      <c r="BE635" s="66">
        <f t="shared" si="532"/>
        <v>35065</v>
      </c>
      <c r="BF635" s="66"/>
      <c r="BG635" s="144">
        <f t="shared" si="533"/>
        <v>7.5350428378950451E-2</v>
      </c>
      <c r="BH635" s="66"/>
      <c r="BI635" s="170"/>
      <c r="BJ635" s="66"/>
      <c r="BK635" s="66"/>
      <c r="BL635" s="66"/>
      <c r="BM635" s="144"/>
      <c r="BN635" s="65">
        <f t="shared" si="534"/>
        <v>1215074.8274760384</v>
      </c>
      <c r="BO635" s="66"/>
      <c r="BP635" s="66">
        <f t="shared" si="535"/>
        <v>45747384</v>
      </c>
      <c r="BQ635" s="66"/>
      <c r="BR635" s="435">
        <f t="shared" si="536"/>
        <v>6.0143529045625692E-2</v>
      </c>
      <c r="BS635" s="66"/>
      <c r="BT635" s="75"/>
      <c r="BU635" s="170"/>
      <c r="BV635" s="1"/>
      <c r="BW635" s="61">
        <f t="shared" si="399"/>
        <v>626</v>
      </c>
    </row>
    <row r="636" spans="2:75" x14ac:dyDescent="0.3">
      <c r="B636" s="158">
        <f t="shared" si="537"/>
        <v>44536</v>
      </c>
      <c r="C636" s="61"/>
      <c r="D636" s="17">
        <v>91965</v>
      </c>
      <c r="E636" s="16"/>
      <c r="F636" s="16"/>
      <c r="G636" s="16"/>
      <c r="H636" s="16">
        <f t="shared" si="517"/>
        <v>46746327</v>
      </c>
      <c r="I636" s="16"/>
      <c r="J636" s="436">
        <f t="shared" si="518"/>
        <v>1.9711983201056312E-3</v>
      </c>
      <c r="K636" s="16"/>
      <c r="L636" s="16"/>
      <c r="M636" s="16"/>
      <c r="N636" s="16">
        <f t="shared" si="519"/>
        <v>729736</v>
      </c>
      <c r="O636" s="16">
        <f t="shared" si="520"/>
        <v>74555.545454545456</v>
      </c>
      <c r="P636" s="41"/>
      <c r="Q636" s="17">
        <f t="shared" si="521"/>
        <v>729736</v>
      </c>
      <c r="R636" s="16"/>
      <c r="S636" s="60">
        <f t="shared" si="522"/>
        <v>0.74097763823711149</v>
      </c>
      <c r="T636" s="16"/>
      <c r="U636" s="41"/>
      <c r="V636" s="10">
        <f t="shared" si="349"/>
        <v>528</v>
      </c>
      <c r="W636" s="34">
        <v>725</v>
      </c>
      <c r="X636" s="33">
        <v>4256</v>
      </c>
      <c r="Y636" s="33"/>
      <c r="Z636" s="33">
        <f t="shared" si="523"/>
        <v>5997</v>
      </c>
      <c r="AA636" s="33">
        <f t="shared" si="524"/>
        <v>740596</v>
      </c>
      <c r="AB636" s="33"/>
      <c r="AC636" s="46">
        <f t="shared" si="525"/>
        <v>1.5842870392790434E-2</v>
      </c>
      <c r="AD636" s="33"/>
      <c r="AE636" s="33">
        <f t="shared" si="526"/>
        <v>1181.1738437001595</v>
      </c>
      <c r="AF636" s="50"/>
      <c r="AG636" s="33"/>
      <c r="AH636" s="33"/>
      <c r="AI636" s="213"/>
      <c r="AJ636" s="50"/>
      <c r="AL636" s="23">
        <f t="shared" si="527"/>
        <v>151627</v>
      </c>
      <c r="AM636" s="24"/>
      <c r="AN636" s="24"/>
      <c r="AO636" s="24">
        <v>178263</v>
      </c>
      <c r="AP636" s="24">
        <v>39675200</v>
      </c>
      <c r="AQ636" s="24">
        <v>20336656</v>
      </c>
      <c r="AR636" s="461">
        <f t="shared" si="528"/>
        <v>3.8363687412572745E-3</v>
      </c>
      <c r="AS636" s="25"/>
      <c r="AT636" s="25"/>
      <c r="AU636" s="24"/>
      <c r="AV636" s="298">
        <f t="shared" si="529"/>
        <v>0.84873406203657453</v>
      </c>
      <c r="AW636" s="298"/>
      <c r="AX636" s="24">
        <f t="shared" si="530"/>
        <v>63277.830940988839</v>
      </c>
      <c r="AY636" s="308"/>
      <c r="BA636" s="65">
        <f t="shared" si="531"/>
        <v>4161741</v>
      </c>
      <c r="BB636" s="66"/>
      <c r="BC636" s="66">
        <v>764798583</v>
      </c>
      <c r="BD636" s="66"/>
      <c r="BE636" s="66">
        <f t="shared" si="532"/>
        <v>91965</v>
      </c>
      <c r="BF636" s="66"/>
      <c r="BG636" s="144">
        <f t="shared" si="533"/>
        <v>2.2097723044274018E-2</v>
      </c>
      <c r="BH636" s="66"/>
      <c r="BI636" s="170"/>
      <c r="BJ636" s="66"/>
      <c r="BK636" s="66"/>
      <c r="BL636" s="66"/>
      <c r="BM636" s="144"/>
      <c r="BN636" s="65">
        <f t="shared" si="534"/>
        <v>1219774.4545454546</v>
      </c>
      <c r="BO636" s="66"/>
      <c r="BP636" s="66">
        <f t="shared" si="535"/>
        <v>45839349</v>
      </c>
      <c r="BQ636" s="66"/>
      <c r="BR636" s="435">
        <f t="shared" si="536"/>
        <v>5.9936498339458875E-2</v>
      </c>
      <c r="BS636" s="66"/>
      <c r="BT636" s="75"/>
      <c r="BU636" s="170"/>
      <c r="BV636" s="1"/>
      <c r="BW636" s="61">
        <f t="shared" si="399"/>
        <v>627</v>
      </c>
    </row>
    <row r="637" spans="2:75" x14ac:dyDescent="0.3">
      <c r="B637" s="158">
        <f t="shared" si="537"/>
        <v>44537</v>
      </c>
      <c r="C637" s="61"/>
      <c r="D637" s="17">
        <v>107642</v>
      </c>
      <c r="E637" s="16"/>
      <c r="F637" s="16"/>
      <c r="G637" s="16"/>
      <c r="H637" s="16">
        <f t="shared" si="517"/>
        <v>46853969</v>
      </c>
      <c r="I637" s="16"/>
      <c r="J637" s="436">
        <f t="shared" si="518"/>
        <v>2.3026835883811791E-3</v>
      </c>
      <c r="K637" s="16"/>
      <c r="L637" s="16"/>
      <c r="M637" s="16"/>
      <c r="N637" s="16">
        <f t="shared" si="519"/>
        <v>716920</v>
      </c>
      <c r="O637" s="16">
        <f t="shared" si="520"/>
        <v>74608.230891719752</v>
      </c>
      <c r="P637" s="41"/>
      <c r="Q637" s="17">
        <f t="shared" si="521"/>
        <v>716920</v>
      </c>
      <c r="R637" s="16"/>
      <c r="S637" s="60">
        <f t="shared" si="522"/>
        <v>0.58052888590041773</v>
      </c>
      <c r="T637" s="16"/>
      <c r="U637" s="41"/>
      <c r="V637" s="10">
        <f t="shared" si="349"/>
        <v>529</v>
      </c>
      <c r="W637" s="34">
        <v>1722</v>
      </c>
      <c r="X637" s="33">
        <v>4256</v>
      </c>
      <c r="Y637" s="33"/>
      <c r="Z637" s="33">
        <f t="shared" si="523"/>
        <v>5974</v>
      </c>
      <c r="AA637" s="33">
        <f t="shared" si="524"/>
        <v>742318</v>
      </c>
      <c r="AB637" s="33"/>
      <c r="AC637" s="46">
        <f t="shared" si="525"/>
        <v>1.5843225576044583E-2</v>
      </c>
      <c r="AD637" s="33"/>
      <c r="AE637" s="33">
        <f t="shared" si="526"/>
        <v>1182.0350318471337</v>
      </c>
      <c r="AF637" s="50"/>
      <c r="AG637" s="33"/>
      <c r="AH637" s="33"/>
      <c r="AI637" s="213"/>
      <c r="AJ637" s="50"/>
      <c r="AL637" s="23">
        <f t="shared" si="527"/>
        <v>67667</v>
      </c>
      <c r="AM637" s="24"/>
      <c r="AN637" s="24"/>
      <c r="AO637" s="24">
        <v>178263</v>
      </c>
      <c r="AP637" s="24">
        <v>39742867</v>
      </c>
      <c r="AQ637" s="24">
        <v>20336656</v>
      </c>
      <c r="AR637" s="461">
        <f t="shared" si="528"/>
        <v>1.7055238536919789E-3</v>
      </c>
      <c r="AS637" s="25"/>
      <c r="AT637" s="25"/>
      <c r="AU637" s="24"/>
      <c r="AV637" s="298">
        <f t="shared" si="529"/>
        <v>0.84822839661673055</v>
      </c>
      <c r="AW637" s="298"/>
      <c r="AX637" s="24">
        <f t="shared" si="530"/>
        <v>63284.820063694271</v>
      </c>
      <c r="AY637" s="308"/>
      <c r="BA637" s="65">
        <f t="shared" si="531"/>
        <v>1594691</v>
      </c>
      <c r="BB637" s="66"/>
      <c r="BC637" s="66">
        <v>766393274</v>
      </c>
      <c r="BD637" s="66"/>
      <c r="BE637" s="66">
        <f t="shared" si="532"/>
        <v>107642</v>
      </c>
      <c r="BF637" s="66"/>
      <c r="BG637" s="144">
        <f t="shared" si="533"/>
        <v>6.7500224181361784E-2</v>
      </c>
      <c r="BH637" s="66"/>
      <c r="BI637" s="170"/>
      <c r="BJ637" s="66"/>
      <c r="BK637" s="66"/>
      <c r="BL637" s="66"/>
      <c r="BM637" s="144"/>
      <c r="BN637" s="65">
        <f t="shared" si="534"/>
        <v>1220371.4554140128</v>
      </c>
      <c r="BO637" s="66"/>
      <c r="BP637" s="66">
        <f t="shared" si="535"/>
        <v>45946991</v>
      </c>
      <c r="BQ637" s="66"/>
      <c r="BR637" s="435">
        <f t="shared" si="536"/>
        <v>5.9952236741576626E-2</v>
      </c>
      <c r="BS637" s="66"/>
      <c r="BT637" s="75"/>
      <c r="BU637" s="170"/>
      <c r="BV637" s="1"/>
      <c r="BW637" s="61">
        <f t="shared" si="399"/>
        <v>628</v>
      </c>
    </row>
    <row r="638" spans="2:75" x14ac:dyDescent="0.3">
      <c r="B638" s="158">
        <f t="shared" si="537"/>
        <v>44538</v>
      </c>
      <c r="C638" s="61"/>
      <c r="D638" s="17">
        <v>127411</v>
      </c>
      <c r="E638" s="16"/>
      <c r="F638" s="16"/>
      <c r="G638" s="16"/>
      <c r="H638" s="16">
        <f t="shared" si="517"/>
        <v>46981380</v>
      </c>
      <c r="I638" s="16"/>
      <c r="J638" s="436">
        <f t="shared" si="518"/>
        <v>2.7193213876928976E-3</v>
      </c>
      <c r="K638" s="16"/>
      <c r="L638" s="16"/>
      <c r="M638" s="16"/>
      <c r="N638" s="16">
        <f t="shared" si="519"/>
        <v>712871</v>
      </c>
      <c r="O638" s="16">
        <f t="shared" si="520"/>
        <v>74692.178060413353</v>
      </c>
      <c r="P638" s="41"/>
      <c r="Q638" s="17">
        <f t="shared" si="521"/>
        <v>712871</v>
      </c>
      <c r="R638" s="16"/>
      <c r="S638" s="60">
        <f t="shared" si="522"/>
        <v>0.4844180777784256</v>
      </c>
      <c r="T638" s="16"/>
      <c r="U638" s="41"/>
      <c r="V638" s="10">
        <f t="shared" si="349"/>
        <v>530</v>
      </c>
      <c r="W638" s="34">
        <v>1324</v>
      </c>
      <c r="X638" s="33">
        <v>4256</v>
      </c>
      <c r="Y638" s="33"/>
      <c r="Z638" s="33">
        <f t="shared" si="523"/>
        <v>5770</v>
      </c>
      <c r="AA638" s="33">
        <f t="shared" si="524"/>
        <v>743642</v>
      </c>
      <c r="AB638" s="33"/>
      <c r="AC638" s="46">
        <f t="shared" si="525"/>
        <v>1.5828440969592635E-2</v>
      </c>
      <c r="AD638" s="33"/>
      <c r="AE638" s="33">
        <f t="shared" si="526"/>
        <v>1182.2607313195549</v>
      </c>
      <c r="AF638" s="50"/>
      <c r="AG638" s="33"/>
      <c r="AH638" s="33"/>
      <c r="AI638" s="213"/>
      <c r="AJ638" s="50"/>
      <c r="AL638" s="23">
        <f t="shared" si="527"/>
        <v>72999</v>
      </c>
      <c r="AM638" s="24"/>
      <c r="AN638" s="24"/>
      <c r="AO638" s="24">
        <v>178263</v>
      </c>
      <c r="AP638" s="24">
        <v>39815866</v>
      </c>
      <c r="AQ638" s="24">
        <v>20336656</v>
      </c>
      <c r="AR638" s="461">
        <f t="shared" si="528"/>
        <v>1.83678243444289E-3</v>
      </c>
      <c r="AS638" s="25"/>
      <c r="AT638" s="25"/>
      <c r="AU638" s="24"/>
      <c r="AV638" s="298">
        <f t="shared" si="529"/>
        <v>0.84748183216414674</v>
      </c>
      <c r="AW638" s="298"/>
      <c r="AX638" s="24">
        <f t="shared" si="530"/>
        <v>63300.263910969792</v>
      </c>
      <c r="AY638" s="308"/>
      <c r="BA638" s="65">
        <f t="shared" si="531"/>
        <v>1951172</v>
      </c>
      <c r="BB638" s="66"/>
      <c r="BC638" s="66">
        <v>768344446</v>
      </c>
      <c r="BD638" s="66"/>
      <c r="BE638" s="66">
        <f t="shared" si="532"/>
        <v>127411</v>
      </c>
      <c r="BF638" s="66"/>
      <c r="BG638" s="144">
        <f t="shared" si="533"/>
        <v>6.5299727548365799E-2</v>
      </c>
      <c r="BH638" s="66"/>
      <c r="BI638" s="170"/>
      <c r="BJ638" s="66"/>
      <c r="BK638" s="66"/>
      <c r="BL638" s="66"/>
      <c r="BM638" s="144"/>
      <c r="BN638" s="65">
        <f t="shared" si="534"/>
        <v>1221533.3004769476</v>
      </c>
      <c r="BO638" s="66"/>
      <c r="BP638" s="66">
        <f t="shared" si="535"/>
        <v>46074402</v>
      </c>
      <c r="BQ638" s="66"/>
      <c r="BR638" s="435">
        <f t="shared" si="536"/>
        <v>5.9965816424994371E-2</v>
      </c>
      <c r="BS638" s="66"/>
      <c r="BT638" s="75"/>
      <c r="BU638" s="170"/>
      <c r="BV638" s="1"/>
      <c r="BW638" s="61">
        <f t="shared" si="399"/>
        <v>629</v>
      </c>
    </row>
    <row r="639" spans="2:75" x14ac:dyDescent="0.3">
      <c r="B639" s="158">
        <f t="shared" si="537"/>
        <v>44539</v>
      </c>
      <c r="C639" s="61"/>
      <c r="D639" s="17">
        <v>110894</v>
      </c>
      <c r="E639" s="16"/>
      <c r="F639" s="16"/>
      <c r="G639" s="16"/>
      <c r="H639" s="16">
        <f t="shared" si="517"/>
        <v>47092274</v>
      </c>
      <c r="I639" s="16"/>
      <c r="J639" s="436">
        <f t="shared" si="518"/>
        <v>2.3603819215186955E-3</v>
      </c>
      <c r="K639" s="16"/>
      <c r="L639" s="16"/>
      <c r="M639" s="16"/>
      <c r="N639" s="16">
        <f t="shared" si="519"/>
        <v>677153</v>
      </c>
      <c r="O639" s="16">
        <f t="shared" si="520"/>
        <v>74749.641269841275</v>
      </c>
      <c r="P639" s="41"/>
      <c r="Q639" s="17">
        <f t="shared" si="521"/>
        <v>677153</v>
      </c>
      <c r="R639" s="16"/>
      <c r="S639" s="60">
        <f t="shared" si="522"/>
        <v>0.15448930079670747</v>
      </c>
      <c r="T639" s="16"/>
      <c r="U639" s="41"/>
      <c r="V639" s="10">
        <f t="shared" si="349"/>
        <v>531</v>
      </c>
      <c r="W639" s="34">
        <v>1088</v>
      </c>
      <c r="X639" s="33">
        <v>4256</v>
      </c>
      <c r="Y639" s="33"/>
      <c r="Z639" s="33">
        <f t="shared" si="523"/>
        <v>5506</v>
      </c>
      <c r="AA639" s="33">
        <f t="shared" si="524"/>
        <v>744730</v>
      </c>
      <c r="AB639" s="33"/>
      <c r="AC639" s="46">
        <f t="shared" si="525"/>
        <v>1.5814271360096138E-2</v>
      </c>
      <c r="AD639" s="33"/>
      <c r="AE639" s="33">
        <f t="shared" si="526"/>
        <v>1182.1111111111111</v>
      </c>
      <c r="AF639" s="50"/>
      <c r="AG639" s="33"/>
      <c r="AH639" s="33"/>
      <c r="AI639" s="213"/>
      <c r="AJ639" s="50"/>
      <c r="AL639" s="23">
        <f t="shared" si="527"/>
        <v>63582</v>
      </c>
      <c r="AM639" s="24"/>
      <c r="AN639" s="24"/>
      <c r="AO639" s="24">
        <v>178263</v>
      </c>
      <c r="AP639" s="24">
        <v>39879448</v>
      </c>
      <c r="AQ639" s="24">
        <v>20336656</v>
      </c>
      <c r="AR639" s="461">
        <f t="shared" si="528"/>
        <v>1.5969010946540758E-3</v>
      </c>
      <c r="AS639" s="25"/>
      <c r="AT639" s="25"/>
      <c r="AU639" s="24"/>
      <c r="AV639" s="298">
        <f t="shared" si="529"/>
        <v>0.84683631969014705</v>
      </c>
      <c r="AW639" s="298"/>
      <c r="AX639" s="24">
        <f t="shared" si="530"/>
        <v>63300.711111111108</v>
      </c>
      <c r="AY639" s="308"/>
      <c r="BA639" s="65">
        <f t="shared" si="531"/>
        <v>1622015</v>
      </c>
      <c r="BB639" s="66"/>
      <c r="BC639" s="66">
        <v>769966461</v>
      </c>
      <c r="BD639" s="66"/>
      <c r="BE639" s="66">
        <f t="shared" si="532"/>
        <v>110894</v>
      </c>
      <c r="BF639" s="66"/>
      <c r="BG639" s="144">
        <f t="shared" si="533"/>
        <v>6.8368048384262789E-2</v>
      </c>
      <c r="BH639" s="66"/>
      <c r="BI639" s="170"/>
      <c r="BJ639" s="66"/>
      <c r="BK639" s="66"/>
      <c r="BL639" s="66"/>
      <c r="BM639" s="144"/>
      <c r="BN639" s="65">
        <f t="shared" si="534"/>
        <v>1222168.9857142856</v>
      </c>
      <c r="BO639" s="66"/>
      <c r="BP639" s="66">
        <f t="shared" si="535"/>
        <v>46185296</v>
      </c>
      <c r="BQ639" s="66"/>
      <c r="BR639" s="435">
        <f t="shared" si="536"/>
        <v>5.9983516606705811E-2</v>
      </c>
      <c r="BS639" s="66"/>
      <c r="BT639" s="75"/>
      <c r="BU639" s="170"/>
      <c r="BV639" s="1"/>
      <c r="BW639" s="61">
        <f t="shared" si="399"/>
        <v>630</v>
      </c>
    </row>
    <row r="640" spans="2:75" x14ac:dyDescent="0.3">
      <c r="B640" s="158">
        <f t="shared" si="537"/>
        <v>44540</v>
      </c>
      <c r="C640" s="61"/>
      <c r="D640" s="17">
        <v>136839</v>
      </c>
      <c r="E640" s="16"/>
      <c r="F640" s="16"/>
      <c r="G640" s="16"/>
      <c r="H640" s="16">
        <f t="shared" si="517"/>
        <v>47229113</v>
      </c>
      <c r="I640" s="16"/>
      <c r="J640" s="436">
        <f t="shared" si="518"/>
        <v>2.9057632680893684E-3</v>
      </c>
      <c r="K640" s="16"/>
      <c r="L640" s="16"/>
      <c r="M640" s="16"/>
      <c r="N640" s="16">
        <f t="shared" si="519"/>
        <v>666558</v>
      </c>
      <c r="O640" s="16">
        <f t="shared" si="520"/>
        <v>74848.039619651347</v>
      </c>
      <c r="P640" s="41"/>
      <c r="Q640" s="17">
        <f t="shared" si="521"/>
        <v>666558</v>
      </c>
      <c r="R640" s="16"/>
      <c r="S640" s="60">
        <f t="shared" si="522"/>
        <v>-4.2696474298672821E-2</v>
      </c>
      <c r="T640" s="16"/>
      <c r="U640" s="41"/>
      <c r="V640" s="10">
        <f t="shared" si="349"/>
        <v>532</v>
      </c>
      <c r="W640" s="34">
        <v>1574</v>
      </c>
      <c r="X640" s="33">
        <v>4256</v>
      </c>
      <c r="Y640" s="33"/>
      <c r="Z640" s="33">
        <f t="shared" si="523"/>
        <v>6588</v>
      </c>
      <c r="AA640" s="33">
        <f t="shared" si="524"/>
        <v>746304</v>
      </c>
      <c r="AB640" s="33"/>
      <c r="AC640" s="46">
        <f t="shared" si="525"/>
        <v>1.580177887312853E-2</v>
      </c>
      <c r="AD640" s="33"/>
      <c r="AE640" s="33">
        <f t="shared" si="526"/>
        <v>1182.7321711568939</v>
      </c>
      <c r="AF640" s="50"/>
      <c r="AG640" s="33"/>
      <c r="AH640" s="33"/>
      <c r="AI640" s="213"/>
      <c r="AJ640" s="50"/>
      <c r="AL640" s="23">
        <f t="shared" si="527"/>
        <v>72245</v>
      </c>
      <c r="AM640" s="24"/>
      <c r="AN640" s="24"/>
      <c r="AO640" s="24">
        <v>178263</v>
      </c>
      <c r="AP640" s="24">
        <v>39951693</v>
      </c>
      <c r="AQ640" s="24">
        <v>20336656</v>
      </c>
      <c r="AR640" s="461">
        <f t="shared" si="528"/>
        <v>1.8115847541320031E-3</v>
      </c>
      <c r="AS640" s="25"/>
      <c r="AT640" s="25"/>
      <c r="AU640" s="24"/>
      <c r="AV640" s="298">
        <f t="shared" si="529"/>
        <v>0.84591241423483854</v>
      </c>
      <c r="AW640" s="298"/>
      <c r="AX640" s="24">
        <f t="shared" si="530"/>
        <v>63314.885895404121</v>
      </c>
      <c r="AY640" s="308"/>
      <c r="BA640" s="65">
        <f t="shared" si="531"/>
        <v>2508466</v>
      </c>
      <c r="BB640" s="66"/>
      <c r="BC640" s="66">
        <v>772474927</v>
      </c>
      <c r="BD640" s="66"/>
      <c r="BE640" s="66">
        <f t="shared" si="532"/>
        <v>136839</v>
      </c>
      <c r="BF640" s="66"/>
      <c r="BG640" s="144">
        <f t="shared" si="533"/>
        <v>5.4550868937430289E-2</v>
      </c>
      <c r="BH640" s="66"/>
      <c r="BI640" s="170"/>
      <c r="BJ640" s="66"/>
      <c r="BK640" s="66"/>
      <c r="BL640" s="66"/>
      <c r="BM640" s="144"/>
      <c r="BN640" s="65">
        <f t="shared" si="534"/>
        <v>1224207.4912836768</v>
      </c>
      <c r="BO640" s="66"/>
      <c r="BP640" s="66">
        <f t="shared" si="535"/>
        <v>46322135</v>
      </c>
      <c r="BQ640" s="66"/>
      <c r="BR640" s="435">
        <f t="shared" si="536"/>
        <v>5.9965875112474684E-2</v>
      </c>
      <c r="BS640" s="66"/>
      <c r="BT640" s="75"/>
      <c r="BU640" s="170"/>
      <c r="BV640" s="1"/>
      <c r="BW640" s="61">
        <f t="shared" si="399"/>
        <v>631</v>
      </c>
    </row>
    <row r="641" spans="2:75" x14ac:dyDescent="0.3">
      <c r="B641" s="158">
        <f t="shared" si="537"/>
        <v>44541</v>
      </c>
      <c r="C641" s="61"/>
      <c r="D641" s="17">
        <v>57414</v>
      </c>
      <c r="E641" s="16"/>
      <c r="F641" s="16"/>
      <c r="G641" s="16"/>
      <c r="H641" s="16">
        <f t="shared" si="517"/>
        <v>47286527</v>
      </c>
      <c r="I641" s="16"/>
      <c r="J641" s="436">
        <f t="shared" si="518"/>
        <v>1.2156484920646297E-3</v>
      </c>
      <c r="K641" s="16"/>
      <c r="L641" s="16"/>
      <c r="M641" s="16"/>
      <c r="N641" s="16">
        <f t="shared" si="519"/>
        <v>667230</v>
      </c>
      <c r="O641" s="16">
        <f t="shared" si="520"/>
        <v>74820.454113924046</v>
      </c>
      <c r="P641" s="41"/>
      <c r="Q641" s="17">
        <f t="shared" si="521"/>
        <v>667230</v>
      </c>
      <c r="R641" s="16"/>
      <c r="S641" s="60">
        <f t="shared" si="522"/>
        <v>-8.6508117965490947E-2</v>
      </c>
      <c r="T641" s="16"/>
      <c r="U641" s="41"/>
      <c r="V641" s="10">
        <f t="shared" si="349"/>
        <v>533</v>
      </c>
      <c r="W641" s="34">
        <v>446</v>
      </c>
      <c r="X641" s="33">
        <v>4256</v>
      </c>
      <c r="Y641" s="33"/>
      <c r="Z641" s="33">
        <f t="shared" si="523"/>
        <v>6879</v>
      </c>
      <c r="AA641" s="33">
        <f t="shared" si="524"/>
        <v>746750</v>
      </c>
      <c r="AB641" s="33"/>
      <c r="AC641" s="46">
        <f t="shared" si="525"/>
        <v>1.5792024650065756E-2</v>
      </c>
      <c r="AD641" s="33"/>
      <c r="AE641" s="33">
        <f t="shared" si="526"/>
        <v>1181.5664556962026</v>
      </c>
      <c r="AF641" s="50"/>
      <c r="AG641" s="33"/>
      <c r="AH641" s="33"/>
      <c r="AI641" s="213"/>
      <c r="AJ641" s="50"/>
      <c r="AL641" s="23">
        <f t="shared" si="527"/>
        <v>34790</v>
      </c>
      <c r="AM641" s="24"/>
      <c r="AN641" s="24"/>
      <c r="AO641" s="24">
        <v>178263</v>
      </c>
      <c r="AP641" s="24">
        <v>39986483</v>
      </c>
      <c r="AQ641" s="24">
        <v>20336656</v>
      </c>
      <c r="AR641" s="461">
        <f t="shared" si="528"/>
        <v>8.7080164537708081E-4</v>
      </c>
      <c r="AS641" s="25"/>
      <c r="AT641" s="25"/>
      <c r="AU641" s="24"/>
      <c r="AV641" s="298">
        <f t="shared" si="529"/>
        <v>0.84562105819274902</v>
      </c>
      <c r="AW641" s="298"/>
      <c r="AX641" s="24">
        <f t="shared" si="530"/>
        <v>63269.751582278484</v>
      </c>
      <c r="AY641" s="308"/>
      <c r="BA641" s="65">
        <f t="shared" si="531"/>
        <v>825924</v>
      </c>
      <c r="BB641" s="66"/>
      <c r="BC641" s="66">
        <v>773300851</v>
      </c>
      <c r="BD641" s="66"/>
      <c r="BE641" s="66">
        <f t="shared" si="532"/>
        <v>57414</v>
      </c>
      <c r="BF641" s="66"/>
      <c r="BG641" s="144">
        <f t="shared" si="533"/>
        <v>6.9514870617635519E-2</v>
      </c>
      <c r="BH641" s="66"/>
      <c r="BI641" s="170"/>
      <c r="BJ641" s="66"/>
      <c r="BK641" s="66"/>
      <c r="BL641" s="66"/>
      <c r="BM641" s="144"/>
      <c r="BN641" s="65">
        <f t="shared" si="534"/>
        <v>1223577.2958860761</v>
      </c>
      <c r="BO641" s="66"/>
      <c r="BP641" s="66">
        <f t="shared" si="535"/>
        <v>46379549</v>
      </c>
      <c r="BQ641" s="66"/>
      <c r="BR641" s="435">
        <f t="shared" si="536"/>
        <v>5.9976073917446138E-2</v>
      </c>
      <c r="BS641" s="66"/>
      <c r="BT641" s="75"/>
      <c r="BU641" s="170"/>
      <c r="BV641" s="1"/>
      <c r="BW641" s="61">
        <f t="shared" si="399"/>
        <v>632</v>
      </c>
    </row>
    <row r="642" spans="2:75" x14ac:dyDescent="0.3">
      <c r="B642" s="347">
        <f t="shared" si="537"/>
        <v>44542</v>
      </c>
      <c r="C642" s="61"/>
      <c r="D642" s="17">
        <v>38784</v>
      </c>
      <c r="E642" s="16"/>
      <c r="F642" s="16"/>
      <c r="G642" s="16"/>
      <c r="H642" s="16">
        <f t="shared" si="517"/>
        <v>47325311</v>
      </c>
      <c r="I642" s="16"/>
      <c r="J642" s="436">
        <f t="shared" si="518"/>
        <v>8.2019134118265869E-4</v>
      </c>
      <c r="K642" s="16"/>
      <c r="L642" s="16"/>
      <c r="M642" s="16"/>
      <c r="N642" s="16">
        <f t="shared" si="519"/>
        <v>670949</v>
      </c>
      <c r="O642" s="16">
        <f t="shared" si="520"/>
        <v>74763.524486571885</v>
      </c>
      <c r="P642" s="41"/>
      <c r="Q642" s="17">
        <f t="shared" si="521"/>
        <v>670949</v>
      </c>
      <c r="R642" s="16"/>
      <c r="S642" s="60">
        <f t="shared" si="522"/>
        <v>-9.8970384625198249E-2</v>
      </c>
      <c r="T642" s="16"/>
      <c r="U642" s="41"/>
      <c r="V642" s="10">
        <f t="shared" si="349"/>
        <v>534</v>
      </c>
      <c r="W642" s="34">
        <v>167</v>
      </c>
      <c r="X642" s="33">
        <v>4256</v>
      </c>
      <c r="Y642" s="33"/>
      <c r="Z642" s="33">
        <f t="shared" si="523"/>
        <v>6321</v>
      </c>
      <c r="AA642" s="33">
        <f t="shared" si="524"/>
        <v>746917</v>
      </c>
      <c r="AB642" s="33"/>
      <c r="AC642" s="46">
        <f t="shared" si="525"/>
        <v>1.5782611550085746E-2</v>
      </c>
      <c r="AD642" s="33"/>
      <c r="AE642" s="33">
        <f t="shared" si="526"/>
        <v>1179.9636650868879</v>
      </c>
      <c r="AF642" s="50"/>
      <c r="AG642" s="33"/>
      <c r="AH642" s="33"/>
      <c r="AI642" s="213"/>
      <c r="AJ642" s="50"/>
      <c r="AL642" s="23">
        <f t="shared" si="527"/>
        <v>17191</v>
      </c>
      <c r="AM642" s="24"/>
      <c r="AN642" s="24"/>
      <c r="AO642" s="24">
        <v>178263</v>
      </c>
      <c r="AP642" s="24">
        <v>40003674</v>
      </c>
      <c r="AQ642" s="24">
        <v>20336656</v>
      </c>
      <c r="AR642" s="461">
        <f t="shared" si="528"/>
        <v>4.2992028081089302E-4</v>
      </c>
      <c r="AS642" s="25"/>
      <c r="AT642" s="25"/>
      <c r="AU642" s="24"/>
      <c r="AV642" s="298">
        <f t="shared" si="529"/>
        <v>0.84529130722458434</v>
      </c>
      <c r="AW642" s="298"/>
      <c r="AX642" s="24">
        <f t="shared" si="530"/>
        <v>63196.957345971561</v>
      </c>
      <c r="AY642" s="308"/>
      <c r="BA642" s="65">
        <f t="shared" si="531"/>
        <v>432813</v>
      </c>
      <c r="BB642" s="66"/>
      <c r="BC642" s="66">
        <v>773733664</v>
      </c>
      <c r="BD642" s="66"/>
      <c r="BE642" s="66">
        <f t="shared" si="532"/>
        <v>38784</v>
      </c>
      <c r="BF642" s="66"/>
      <c r="BG642" s="144">
        <f t="shared" si="533"/>
        <v>8.9609138357674104E-2</v>
      </c>
      <c r="BH642" s="66"/>
      <c r="BI642" s="170"/>
      <c r="BJ642" s="66"/>
      <c r="BK642" s="66"/>
      <c r="BL642" s="66"/>
      <c r="BM642" s="144"/>
      <c r="BN642" s="65">
        <f t="shared" si="534"/>
        <v>1222328.0631911533</v>
      </c>
      <c r="BO642" s="66"/>
      <c r="BP642" s="66">
        <f t="shared" si="535"/>
        <v>46418333</v>
      </c>
      <c r="BQ642" s="66"/>
      <c r="BR642" s="435">
        <f t="shared" si="536"/>
        <v>5.999265013238457E-2</v>
      </c>
      <c r="BS642" s="66"/>
      <c r="BT642" s="75"/>
      <c r="BU642" s="170"/>
      <c r="BV642" s="1"/>
      <c r="BW642" s="61">
        <f t="shared" si="399"/>
        <v>633</v>
      </c>
    </row>
    <row r="643" spans="2:75" x14ac:dyDescent="0.3">
      <c r="B643" s="158">
        <f t="shared" si="537"/>
        <v>44543</v>
      </c>
      <c r="C643" s="61"/>
      <c r="D643" s="17">
        <v>95343</v>
      </c>
      <c r="E643" s="16"/>
      <c r="F643" s="16"/>
      <c r="G643" s="16"/>
      <c r="H643" s="16">
        <f t="shared" si="517"/>
        <v>47420654</v>
      </c>
      <c r="I643" s="16"/>
      <c r="J643" s="436">
        <f t="shared" si="518"/>
        <v>2.0146301838354533E-3</v>
      </c>
      <c r="K643" s="16"/>
      <c r="L643" s="16"/>
      <c r="M643" s="16"/>
      <c r="N643" s="16">
        <f t="shared" si="519"/>
        <v>674327</v>
      </c>
      <c r="O643" s="16">
        <f t="shared" si="520"/>
        <v>74795.984227129331</v>
      </c>
      <c r="P643" s="41"/>
      <c r="Q643" s="17">
        <f t="shared" si="521"/>
        <v>674327</v>
      </c>
      <c r="R643" s="16"/>
      <c r="S643" s="60">
        <f t="shared" si="522"/>
        <v>-7.5930199414582802E-2</v>
      </c>
      <c r="T643" s="16"/>
      <c r="U643" s="41"/>
      <c r="V643" s="10">
        <f t="shared" si="349"/>
        <v>535</v>
      </c>
      <c r="W643" s="34">
        <v>549</v>
      </c>
      <c r="X643" s="33">
        <v>4256</v>
      </c>
      <c r="Y643" s="33"/>
      <c r="Z643" s="33">
        <f t="shared" si="523"/>
        <v>5148</v>
      </c>
      <c r="AA643" s="33">
        <f t="shared" si="524"/>
        <v>747466</v>
      </c>
      <c r="AB643" s="33"/>
      <c r="AC643" s="46">
        <f t="shared" si="525"/>
        <v>1.5762456586954705E-2</v>
      </c>
      <c r="AD643" s="33"/>
      <c r="AE643" s="33">
        <f t="shared" si="526"/>
        <v>1178.9684542586751</v>
      </c>
      <c r="AF643" s="50"/>
      <c r="AG643" s="33"/>
      <c r="AH643" s="33"/>
      <c r="AI643" s="213"/>
      <c r="AJ643" s="50"/>
      <c r="AL643" s="23">
        <f t="shared" si="527"/>
        <v>151026</v>
      </c>
      <c r="AM643" s="24"/>
      <c r="AN643" s="24"/>
      <c r="AO643" s="24">
        <v>178263</v>
      </c>
      <c r="AP643" s="24">
        <v>40154700</v>
      </c>
      <c r="AQ643" s="24">
        <v>20336656</v>
      </c>
      <c r="AR643" s="461">
        <f t="shared" si="528"/>
        <v>3.7753032383975533E-3</v>
      </c>
      <c r="AS643" s="25"/>
      <c r="AT643" s="25"/>
      <c r="AU643" s="24"/>
      <c r="AV643" s="298">
        <f t="shared" si="529"/>
        <v>0.84677659654377602</v>
      </c>
      <c r="AW643" s="298"/>
      <c r="AX643" s="24">
        <f t="shared" si="530"/>
        <v>63335.488958990536</v>
      </c>
      <c r="AY643" s="308"/>
      <c r="BA643" s="65">
        <f t="shared" si="531"/>
        <v>4327383</v>
      </c>
      <c r="BB643" s="66"/>
      <c r="BC643" s="66">
        <v>778061047</v>
      </c>
      <c r="BD643" s="66"/>
      <c r="BE643" s="66">
        <f t="shared" si="532"/>
        <v>95343</v>
      </c>
      <c r="BF643" s="66"/>
      <c r="BG643" s="144">
        <f t="shared" si="533"/>
        <v>2.2032484760419867E-2</v>
      </c>
      <c r="BH643" s="66"/>
      <c r="BI643" s="170"/>
      <c r="BJ643" s="66"/>
      <c r="BK643" s="66"/>
      <c r="BL643" s="66"/>
      <c r="BM643" s="144"/>
      <c r="BN643" s="65">
        <f t="shared" si="534"/>
        <v>1227225.6261829652</v>
      </c>
      <c r="BO643" s="66"/>
      <c r="BP643" s="66">
        <f t="shared" si="535"/>
        <v>46513676</v>
      </c>
      <c r="BQ643" s="66"/>
      <c r="BR643" s="435">
        <f t="shared" si="536"/>
        <v>5.9781525086424231E-2</v>
      </c>
      <c r="BS643" s="66"/>
      <c r="BT643" s="75"/>
      <c r="BU643" s="170"/>
      <c r="BV643" s="1"/>
      <c r="BW643" s="61">
        <f t="shared" si="399"/>
        <v>634</v>
      </c>
    </row>
    <row r="644" spans="2:75" x14ac:dyDescent="0.3">
      <c r="B644" s="158">
        <f t="shared" si="537"/>
        <v>44544</v>
      </c>
      <c r="C644" s="61"/>
      <c r="D644" s="17">
        <v>108566</v>
      </c>
      <c r="E644" s="16"/>
      <c r="F644" s="16"/>
      <c r="G644" s="16"/>
      <c r="H644" s="16">
        <f t="shared" si="517"/>
        <v>47529220</v>
      </c>
      <c r="I644" s="16"/>
      <c r="J644" s="436">
        <f t="shared" si="518"/>
        <v>2.2894243508324451E-3</v>
      </c>
      <c r="K644" s="16"/>
      <c r="L644" s="16"/>
      <c r="M644" s="16"/>
      <c r="N644" s="16">
        <f t="shared" si="519"/>
        <v>675251</v>
      </c>
      <c r="O644" s="16">
        <f t="shared" si="520"/>
        <v>74849.165354330704</v>
      </c>
      <c r="P644" s="41"/>
      <c r="Q644" s="17">
        <f t="shared" si="521"/>
        <v>675251</v>
      </c>
      <c r="R644" s="16"/>
      <c r="S644" s="60">
        <f t="shared" si="522"/>
        <v>-5.8122245159850469E-2</v>
      </c>
      <c r="T644" s="16"/>
      <c r="U644" s="41"/>
      <c r="V644" s="10">
        <f t="shared" si="349"/>
        <v>536</v>
      </c>
      <c r="W644" s="34">
        <v>1598</v>
      </c>
      <c r="X644" s="33">
        <v>4256</v>
      </c>
      <c r="Y644" s="33"/>
      <c r="Z644" s="33">
        <f t="shared" si="523"/>
        <v>5422</v>
      </c>
      <c r="AA644" s="33">
        <f t="shared" si="524"/>
        <v>749064</v>
      </c>
      <c r="AB644" s="33"/>
      <c r="AC644" s="46">
        <f t="shared" si="525"/>
        <v>1.5760073487425211E-2</v>
      </c>
      <c r="AD644" s="33"/>
      <c r="AE644" s="33">
        <f t="shared" si="526"/>
        <v>1179.628346456693</v>
      </c>
      <c r="AF644" s="50"/>
      <c r="AG644" s="33"/>
      <c r="AH644" s="33"/>
      <c r="AI644" s="213"/>
      <c r="AJ644" s="50"/>
      <c r="AL644" s="23">
        <f t="shared" si="527"/>
        <v>84813</v>
      </c>
      <c r="AM644" s="24"/>
      <c r="AN644" s="24"/>
      <c r="AO644" s="24">
        <v>178263</v>
      </c>
      <c r="AP644" s="24">
        <v>40239513</v>
      </c>
      <c r="AQ644" s="24">
        <v>20336656</v>
      </c>
      <c r="AR644" s="461">
        <f t="shared" si="528"/>
        <v>2.1121562357582051E-3</v>
      </c>
      <c r="AS644" s="25"/>
      <c r="AT644" s="25"/>
      <c r="AU644" s="24"/>
      <c r="AV644" s="298">
        <f t="shared" si="529"/>
        <v>0.84662683292509322</v>
      </c>
      <c r="AW644" s="298"/>
      <c r="AX644" s="24">
        <f t="shared" si="530"/>
        <v>63369.311811023625</v>
      </c>
      <c r="AY644" s="308"/>
      <c r="BA644" s="65">
        <f t="shared" si="531"/>
        <v>1525244</v>
      </c>
      <c r="BB644" s="66"/>
      <c r="BC644" s="66">
        <v>779586291</v>
      </c>
      <c r="BD644" s="66"/>
      <c r="BE644" s="66">
        <f t="shared" si="532"/>
        <v>108566</v>
      </c>
      <c r="BF644" s="66"/>
      <c r="BG644" s="144">
        <f t="shared" si="533"/>
        <v>7.117943096317704E-2</v>
      </c>
      <c r="BH644" s="66"/>
      <c r="BI644" s="170"/>
      <c r="BJ644" s="66"/>
      <c r="BK644" s="66"/>
      <c r="BL644" s="66"/>
      <c r="BM644" s="144"/>
      <c r="BN644" s="65">
        <f t="shared" si="534"/>
        <v>1227694.9464566929</v>
      </c>
      <c r="BO644" s="66"/>
      <c r="BP644" s="66">
        <f t="shared" si="535"/>
        <v>46622242</v>
      </c>
      <c r="BQ644" s="66"/>
      <c r="BR644" s="435">
        <f t="shared" si="536"/>
        <v>5.980382484688921E-2</v>
      </c>
      <c r="BS644" s="66"/>
      <c r="BT644" s="75"/>
      <c r="BU644" s="170"/>
      <c r="BV644" s="1"/>
      <c r="BW644" s="61">
        <f t="shared" si="399"/>
        <v>635</v>
      </c>
    </row>
    <row r="645" spans="2:75" x14ac:dyDescent="0.3">
      <c r="B645" s="158">
        <f t="shared" si="537"/>
        <v>44545</v>
      </c>
      <c r="C645" s="61"/>
      <c r="D645" s="17">
        <v>136590</v>
      </c>
      <c r="E645" s="16"/>
      <c r="F645" s="16"/>
      <c r="G645" s="16"/>
      <c r="H645" s="16">
        <f t="shared" si="517"/>
        <v>47665810</v>
      </c>
      <c r="I645" s="16"/>
      <c r="J645" s="436">
        <f t="shared" si="518"/>
        <v>2.8738110997824076E-3</v>
      </c>
      <c r="K645" s="16"/>
      <c r="L645" s="16"/>
      <c r="M645" s="16"/>
      <c r="N645" s="16">
        <f t="shared" si="519"/>
        <v>684430</v>
      </c>
      <c r="O645" s="16">
        <f t="shared" si="520"/>
        <v>74946.242138364774</v>
      </c>
      <c r="P645" s="41"/>
      <c r="Q645" s="17">
        <f t="shared" si="521"/>
        <v>684430</v>
      </c>
      <c r="R645" s="16"/>
      <c r="S645" s="60">
        <f t="shared" si="522"/>
        <v>-3.9896418847168699E-2</v>
      </c>
      <c r="T645" s="16"/>
      <c r="U645" s="41"/>
      <c r="V645" s="10">
        <f t="shared" si="349"/>
        <v>537</v>
      </c>
      <c r="W645" s="34">
        <v>1690</v>
      </c>
      <c r="X645" s="33">
        <v>4256</v>
      </c>
      <c r="Y645" s="33"/>
      <c r="Z645" s="33">
        <f t="shared" si="523"/>
        <v>6024</v>
      </c>
      <c r="AA645" s="33">
        <f t="shared" si="524"/>
        <v>750754</v>
      </c>
      <c r="AB645" s="33"/>
      <c r="AC645" s="46">
        <f t="shared" si="525"/>
        <v>1.5750366982119887E-2</v>
      </c>
      <c r="AD645" s="33"/>
      <c r="AE645" s="33">
        <f t="shared" si="526"/>
        <v>1180.4308176100628</v>
      </c>
      <c r="AF645" s="50"/>
      <c r="AG645" s="33"/>
      <c r="AH645" s="33"/>
      <c r="AI645" s="213"/>
      <c r="AJ645" s="50"/>
      <c r="AL645" s="23">
        <f t="shared" si="527"/>
        <v>104048</v>
      </c>
      <c r="AM645" s="24"/>
      <c r="AN645" s="24"/>
      <c r="AO645" s="24">
        <v>178263</v>
      </c>
      <c r="AP645" s="24">
        <v>40343561</v>
      </c>
      <c r="AQ645" s="24">
        <v>20336656</v>
      </c>
      <c r="AR645" s="461">
        <f t="shared" si="528"/>
        <v>2.5857171780384121E-3</v>
      </c>
      <c r="AS645" s="25"/>
      <c r="AT645" s="25"/>
      <c r="AU645" s="24"/>
      <c r="AV645" s="298">
        <f t="shared" si="529"/>
        <v>0.84638362381757493</v>
      </c>
      <c r="AW645" s="298"/>
      <c r="AX645" s="24">
        <f t="shared" si="530"/>
        <v>63433.272012578615</v>
      </c>
      <c r="AY645" s="308"/>
      <c r="BA645" s="65">
        <f t="shared" si="531"/>
        <v>1779795</v>
      </c>
      <c r="BB645" s="66"/>
      <c r="BC645" s="66">
        <v>781366086</v>
      </c>
      <c r="BD645" s="66"/>
      <c r="BE645" s="66">
        <f t="shared" si="532"/>
        <v>136590</v>
      </c>
      <c r="BF645" s="66"/>
      <c r="BG645" s="144">
        <f t="shared" si="533"/>
        <v>7.674479364196439E-2</v>
      </c>
      <c r="BH645" s="66"/>
      <c r="BI645" s="170"/>
      <c r="BJ645" s="66"/>
      <c r="BK645" s="66"/>
      <c r="BL645" s="66"/>
      <c r="BM645" s="144"/>
      <c r="BN645" s="65">
        <f t="shared" si="534"/>
        <v>1228563.0283018867</v>
      </c>
      <c r="BO645" s="66"/>
      <c r="BP645" s="66">
        <f t="shared" si="535"/>
        <v>46758832</v>
      </c>
      <c r="BQ645" s="66"/>
      <c r="BR645" s="435">
        <f t="shared" si="536"/>
        <v>5.9842412971069237E-2</v>
      </c>
      <c r="BS645" s="66"/>
      <c r="BT645" s="75"/>
      <c r="BU645" s="170"/>
      <c r="BV645" s="1"/>
      <c r="BW645" s="61">
        <f t="shared" si="399"/>
        <v>636</v>
      </c>
    </row>
    <row r="646" spans="2:75" x14ac:dyDescent="0.3">
      <c r="B646" s="158">
        <f t="shared" si="537"/>
        <v>44546</v>
      </c>
      <c r="C646" s="61"/>
      <c r="D646" s="17">
        <v>155795</v>
      </c>
      <c r="E646" s="16"/>
      <c r="F646" s="16"/>
      <c r="G646" s="16"/>
      <c r="H646" s="16">
        <f t="shared" si="517"/>
        <v>47821605</v>
      </c>
      <c r="I646" s="16"/>
      <c r="J646" s="436">
        <f t="shared" si="518"/>
        <v>3.268485314736076E-3</v>
      </c>
      <c r="K646" s="16"/>
      <c r="L646" s="16"/>
      <c r="M646" s="16"/>
      <c r="N646" s="16">
        <f t="shared" si="519"/>
        <v>729331</v>
      </c>
      <c r="O646" s="16">
        <f t="shared" si="520"/>
        <v>75073.163265306124</v>
      </c>
      <c r="P646" s="41"/>
      <c r="Q646" s="17">
        <f t="shared" si="521"/>
        <v>729331</v>
      </c>
      <c r="R646" s="16"/>
      <c r="S646" s="60">
        <f t="shared" si="522"/>
        <v>7.7054963944632904E-2</v>
      </c>
      <c r="T646" s="16"/>
      <c r="U646" s="41"/>
      <c r="V646" s="10">
        <f t="shared" si="349"/>
        <v>538</v>
      </c>
      <c r="W646" s="34">
        <v>1324</v>
      </c>
      <c r="X646" s="33">
        <v>4256</v>
      </c>
      <c r="Y646" s="33"/>
      <c r="Z646" s="33">
        <f t="shared" si="523"/>
        <v>5774</v>
      </c>
      <c r="AA646" s="33">
        <f t="shared" si="524"/>
        <v>752078</v>
      </c>
      <c r="AB646" s="33"/>
      <c r="AC646" s="46">
        <f t="shared" si="525"/>
        <v>1.5726741082822293E-2</v>
      </c>
      <c r="AD646" s="33"/>
      <c r="AE646" s="33">
        <f t="shared" si="526"/>
        <v>1180.6562009419151</v>
      </c>
      <c r="AF646" s="50"/>
      <c r="AG646" s="33"/>
      <c r="AH646" s="33"/>
      <c r="AI646" s="213"/>
      <c r="AJ646" s="50"/>
      <c r="AL646" s="23">
        <f t="shared" si="527"/>
        <v>64241</v>
      </c>
      <c r="AM646" s="24"/>
      <c r="AN646" s="24"/>
      <c r="AO646" s="24">
        <v>178263</v>
      </c>
      <c r="AP646" s="24">
        <v>40407802</v>
      </c>
      <c r="AQ646" s="24">
        <v>20336656</v>
      </c>
      <c r="AR646" s="461">
        <f t="shared" si="528"/>
        <v>1.5923482808074378E-3</v>
      </c>
      <c r="AS646" s="25"/>
      <c r="AT646" s="25"/>
      <c r="AU646" s="24"/>
      <c r="AV646" s="298">
        <f t="shared" si="529"/>
        <v>0.84496959062749988</v>
      </c>
      <c r="AW646" s="298"/>
      <c r="AX646" s="24">
        <f t="shared" si="530"/>
        <v>63434.540031397177</v>
      </c>
      <c r="AY646" s="308"/>
      <c r="BA646" s="65">
        <f t="shared" si="531"/>
        <v>1886361</v>
      </c>
      <c r="BB646" s="66"/>
      <c r="BC646" s="66">
        <v>783252447</v>
      </c>
      <c r="BD646" s="66"/>
      <c r="BE646" s="66">
        <f t="shared" si="532"/>
        <v>155795</v>
      </c>
      <c r="BF646" s="66"/>
      <c r="BG646" s="144">
        <f t="shared" si="533"/>
        <v>8.2590235909245371E-2</v>
      </c>
      <c r="BH646" s="66"/>
      <c r="BI646" s="170"/>
      <c r="BJ646" s="66"/>
      <c r="BK646" s="66"/>
      <c r="BL646" s="66"/>
      <c r="BM646" s="144"/>
      <c r="BN646" s="65">
        <f t="shared" si="534"/>
        <v>1229595.6781789639</v>
      </c>
      <c r="BO646" s="66"/>
      <c r="BP646" s="66">
        <f t="shared" si="535"/>
        <v>46914627</v>
      </c>
      <c r="BQ646" s="66"/>
      <c r="BR646" s="435">
        <f t="shared" si="536"/>
        <v>5.9897198125191432E-2</v>
      </c>
      <c r="BS646" s="66"/>
      <c r="BT646" s="75"/>
      <c r="BU646" s="170"/>
      <c r="BV646" s="1"/>
      <c r="BW646" s="61">
        <f t="shared" si="399"/>
        <v>637</v>
      </c>
    </row>
    <row r="647" spans="2:75" x14ac:dyDescent="0.3">
      <c r="B647" s="158">
        <f t="shared" si="537"/>
        <v>44547</v>
      </c>
      <c r="C647" s="61"/>
      <c r="D647" s="17">
        <v>163707</v>
      </c>
      <c r="E647" s="16"/>
      <c r="F647" s="16"/>
      <c r="G647" s="16"/>
      <c r="H647" s="16">
        <f t="shared" si="517"/>
        <v>47985312</v>
      </c>
      <c r="I647" s="16"/>
      <c r="J647" s="436">
        <f t="shared" si="518"/>
        <v>3.4232853539733765E-3</v>
      </c>
      <c r="K647" s="16"/>
      <c r="L647" s="16"/>
      <c r="M647" s="16"/>
      <c r="N647" s="16">
        <f t="shared" si="519"/>
        <v>756199</v>
      </c>
      <c r="O647" s="16">
        <f t="shared" si="520"/>
        <v>75212.087774294676</v>
      </c>
      <c r="P647" s="41"/>
      <c r="Q647" s="17">
        <f t="shared" si="521"/>
        <v>756199</v>
      </c>
      <c r="R647" s="16"/>
      <c r="S647" s="60">
        <f t="shared" si="522"/>
        <v>0.13448342079759001</v>
      </c>
      <c r="T647" s="16"/>
      <c r="U647" s="41"/>
      <c r="V647" s="10">
        <f t="shared" si="349"/>
        <v>539</v>
      </c>
      <c r="W647" s="34">
        <v>1653</v>
      </c>
      <c r="X647" s="33">
        <v>4256</v>
      </c>
      <c r="Y647" s="33"/>
      <c r="Z647" s="33">
        <f t="shared" si="523"/>
        <v>6981</v>
      </c>
      <c r="AA647" s="33">
        <f t="shared" si="524"/>
        <v>753731</v>
      </c>
      <c r="AB647" s="33"/>
      <c r="AC647" s="46">
        <f t="shared" si="525"/>
        <v>1.5707535672582477E-2</v>
      </c>
      <c r="AD647" s="33"/>
      <c r="AE647" s="33">
        <f t="shared" si="526"/>
        <v>1181.3965517241379</v>
      </c>
      <c r="AF647" s="50"/>
      <c r="AG647" s="33"/>
      <c r="AH647" s="33"/>
      <c r="AI647" s="213"/>
      <c r="AJ647" s="50"/>
      <c r="AL647" s="23">
        <f t="shared" si="527"/>
        <v>66544</v>
      </c>
      <c r="AM647" s="24"/>
      <c r="AN647" s="24"/>
      <c r="AO647" s="24">
        <v>178263</v>
      </c>
      <c r="AP647" s="24">
        <v>40474346</v>
      </c>
      <c r="AQ647" s="24">
        <v>20336656</v>
      </c>
      <c r="AR647" s="461">
        <f t="shared" si="528"/>
        <v>1.6468106827488415E-3</v>
      </c>
      <c r="AS647" s="25"/>
      <c r="AT647" s="25"/>
      <c r="AU647" s="24"/>
      <c r="AV647" s="298">
        <f t="shared" si="529"/>
        <v>0.84347364460191487</v>
      </c>
      <c r="AW647" s="298"/>
      <c r="AX647" s="24">
        <f t="shared" si="530"/>
        <v>63439.413793103449</v>
      </c>
      <c r="AY647" s="308"/>
      <c r="BA647" s="65">
        <f t="shared" si="531"/>
        <v>2048448</v>
      </c>
      <c r="BB647" s="66"/>
      <c r="BC647" s="66">
        <v>785300895</v>
      </c>
      <c r="BD647" s="66"/>
      <c r="BE647" s="66">
        <f t="shared" si="532"/>
        <v>163707</v>
      </c>
      <c r="BF647" s="66"/>
      <c r="BG647" s="144">
        <f t="shared" si="533"/>
        <v>7.9917576623863534E-2</v>
      </c>
      <c r="BH647" s="66"/>
      <c r="BI647" s="170"/>
      <c r="BJ647" s="66"/>
      <c r="BK647" s="66"/>
      <c r="BL647" s="66"/>
      <c r="BM647" s="144"/>
      <c r="BN647" s="65">
        <f t="shared" si="534"/>
        <v>1230879.1457680252</v>
      </c>
      <c r="BO647" s="66"/>
      <c r="BP647" s="66">
        <f t="shared" si="535"/>
        <v>47078334</v>
      </c>
      <c r="BQ647" s="66"/>
      <c r="BR647" s="435">
        <f t="shared" si="536"/>
        <v>5.994942104325502E-2</v>
      </c>
      <c r="BS647" s="66"/>
      <c r="BT647" s="75"/>
      <c r="BU647" s="170"/>
      <c r="BV647" s="1"/>
      <c r="BW647" s="61">
        <f t="shared" si="399"/>
        <v>638</v>
      </c>
    </row>
    <row r="648" spans="2:75" x14ac:dyDescent="0.3">
      <c r="B648" s="158">
        <f t="shared" si="537"/>
        <v>44548</v>
      </c>
      <c r="C648" s="61"/>
      <c r="D648" s="17">
        <v>85924</v>
      </c>
      <c r="E648" s="16"/>
      <c r="F648" s="16"/>
      <c r="G648" s="16"/>
      <c r="H648" s="16">
        <f t="shared" ref="H648:H677" si="538">+H647+D648</f>
        <v>48071236</v>
      </c>
      <c r="I648" s="16"/>
      <c r="J648" s="436">
        <f t="shared" ref="J648:J677" si="539">+D648/H647</f>
        <v>1.7906312665008826E-3</v>
      </c>
      <c r="K648" s="16"/>
      <c r="L648" s="16"/>
      <c r="M648" s="16"/>
      <c r="N648" s="16">
        <f t="shared" ref="N648:N677" si="540">SUM(D642:D648)</f>
        <v>784709</v>
      </c>
      <c r="O648" s="16">
        <f t="shared" ref="O648:O677" si="541">+H648/BW648</f>
        <v>75228.851330203441</v>
      </c>
      <c r="P648" s="41"/>
      <c r="Q648" s="17">
        <f t="shared" ref="Q648:Q677" si="542">SUM(D642:D648)</f>
        <v>784709</v>
      </c>
      <c r="R648" s="16"/>
      <c r="S648" s="60">
        <f t="shared" ref="S648:S677" si="543">+(Q648-Q641)/Q641</f>
        <v>0.17606972108568258</v>
      </c>
      <c r="T648" s="16"/>
      <c r="U648" s="41"/>
      <c r="V648" s="10">
        <f t="shared" si="349"/>
        <v>540</v>
      </c>
      <c r="W648" s="34">
        <v>487</v>
      </c>
      <c r="X648" s="33">
        <v>4256</v>
      </c>
      <c r="Y648" s="33"/>
      <c r="Z648" s="33">
        <f t="shared" ref="Z648:Z677" si="544">SUM(W643:W648)</f>
        <v>7301</v>
      </c>
      <c r="AA648" s="33">
        <f t="shared" ref="AA648:AA677" si="545">+AA647+W648</f>
        <v>754218</v>
      </c>
      <c r="AB648" s="33"/>
      <c r="AC648" s="46">
        <f t="shared" ref="AC648:AC677" si="546">+AA648/H648</f>
        <v>1.5689590340468882E-2</v>
      </c>
      <c r="AD648" s="33"/>
      <c r="AE648" s="33">
        <f t="shared" ref="AE648:AE677" si="547">+AA648/BW648</f>
        <v>1180.3098591549297</v>
      </c>
      <c r="AF648" s="50"/>
      <c r="AG648" s="33"/>
      <c r="AH648" s="33"/>
      <c r="AI648" s="213"/>
      <c r="AJ648" s="50"/>
      <c r="AL648" s="23">
        <f t="shared" ref="AL648:AL677" si="548">+AP648-AP647</f>
        <v>40799</v>
      </c>
      <c r="AM648" s="24"/>
      <c r="AN648" s="24"/>
      <c r="AO648" s="24">
        <v>178263</v>
      </c>
      <c r="AP648" s="24">
        <v>40515145</v>
      </c>
      <c r="AQ648" s="24">
        <v>20336656</v>
      </c>
      <c r="AR648" s="461">
        <f t="shared" ref="AR648:AR677" si="549">+AL648/AP647</f>
        <v>1.0080212290521013E-3</v>
      </c>
      <c r="AS648" s="25"/>
      <c r="AT648" s="25"/>
      <c r="AU648" s="24"/>
      <c r="AV648" s="298">
        <f t="shared" ref="AV648:AV677" si="550">+AP648/H648</f>
        <v>0.84281471356384507</v>
      </c>
      <c r="AW648" s="298"/>
      <c r="AX648" s="24">
        <f t="shared" ref="AX648:AX677" si="551">+AP648/BW648</f>
        <v>63403.9827856025</v>
      </c>
      <c r="AY648" s="308"/>
      <c r="BA648" s="65">
        <f t="shared" ref="BA648:BA677" si="552">+BC648-BC647</f>
        <v>651477</v>
      </c>
      <c r="BB648" s="66"/>
      <c r="BC648" s="66">
        <v>785952372</v>
      </c>
      <c r="BD648" s="66"/>
      <c r="BE648" s="66">
        <f t="shared" ref="BE648:BE677" si="553">+D648</f>
        <v>85924</v>
      </c>
      <c r="BF648" s="66"/>
      <c r="BG648" s="144">
        <f t="shared" ref="BG648:BG677" si="554">+BE648/BA648</f>
        <v>0.13189107213301468</v>
      </c>
      <c r="BH648" s="66"/>
      <c r="BI648" s="170"/>
      <c r="BJ648" s="66"/>
      <c r="BK648" s="66"/>
      <c r="BL648" s="66"/>
      <c r="BM648" s="144"/>
      <c r="BN648" s="65">
        <f t="shared" ref="BN648:BN677" si="555">+BC648/BW648</f>
        <v>1229972.4131455398</v>
      </c>
      <c r="BO648" s="66"/>
      <c r="BP648" s="66">
        <f t="shared" ref="BP648:BP677" si="556">+BP647+BE648</f>
        <v>47164258</v>
      </c>
      <c r="BQ648" s="66"/>
      <c r="BR648" s="435">
        <f t="shared" ref="BR648:BR677" si="557">+BP648/BC648</f>
        <v>6.0009053576595098E-2</v>
      </c>
      <c r="BS648" s="66"/>
      <c r="BT648" s="75"/>
      <c r="BU648" s="170"/>
      <c r="BV648" s="1"/>
      <c r="BW648" s="61">
        <f t="shared" si="399"/>
        <v>639</v>
      </c>
    </row>
    <row r="649" spans="2:75" x14ac:dyDescent="0.3">
      <c r="B649" s="347">
        <f t="shared" si="537"/>
        <v>44549</v>
      </c>
      <c r="C649" s="61"/>
      <c r="D649" s="17">
        <v>66751</v>
      </c>
      <c r="E649" s="16"/>
      <c r="F649" s="16"/>
      <c r="G649" s="16"/>
      <c r="H649" s="16">
        <f t="shared" si="538"/>
        <v>48137987</v>
      </c>
      <c r="I649" s="16"/>
      <c r="J649" s="436">
        <f t="shared" si="539"/>
        <v>1.3885850573927411E-3</v>
      </c>
      <c r="K649" s="16"/>
      <c r="L649" s="16"/>
      <c r="M649" s="16"/>
      <c r="N649" s="16">
        <f t="shared" si="540"/>
        <v>812676</v>
      </c>
      <c r="O649" s="16">
        <f t="shared" si="541"/>
        <v>75215.604687500003</v>
      </c>
      <c r="P649" s="41"/>
      <c r="Q649" s="17">
        <f t="shared" si="542"/>
        <v>812676</v>
      </c>
      <c r="R649" s="16"/>
      <c r="S649" s="60">
        <f t="shared" si="543"/>
        <v>0.21123364070890635</v>
      </c>
      <c r="T649" s="16"/>
      <c r="U649" s="41"/>
      <c r="V649" s="10">
        <f t="shared" si="349"/>
        <v>541</v>
      </c>
      <c r="W649" s="34">
        <v>109</v>
      </c>
      <c r="X649" s="33">
        <v>4256</v>
      </c>
      <c r="Y649" s="33"/>
      <c r="Z649" s="33">
        <f t="shared" si="544"/>
        <v>6861</v>
      </c>
      <c r="AA649" s="33">
        <f t="shared" si="545"/>
        <v>754327</v>
      </c>
      <c r="AB649" s="33"/>
      <c r="AC649" s="46">
        <f t="shared" si="546"/>
        <v>1.5670098544004342E-2</v>
      </c>
      <c r="AD649" s="33"/>
      <c r="AE649" s="33">
        <f t="shared" si="547"/>
        <v>1178.6359375</v>
      </c>
      <c r="AF649" s="50"/>
      <c r="AG649" s="33"/>
      <c r="AH649" s="33"/>
      <c r="AI649" s="213"/>
      <c r="AJ649" s="50"/>
      <c r="AL649" s="23">
        <f t="shared" si="548"/>
        <v>24730</v>
      </c>
      <c r="AM649" s="24"/>
      <c r="AN649" s="24"/>
      <c r="AO649" s="24">
        <v>178263</v>
      </c>
      <c r="AP649" s="24">
        <v>40539875</v>
      </c>
      <c r="AQ649" s="24">
        <v>20336656</v>
      </c>
      <c r="AR649" s="461">
        <f t="shared" si="549"/>
        <v>6.1038902859659029E-4</v>
      </c>
      <c r="AS649" s="25"/>
      <c r="AT649" s="25"/>
      <c r="AU649" s="24"/>
      <c r="AV649" s="298">
        <f t="shared" si="550"/>
        <v>0.84215974797616688</v>
      </c>
      <c r="AW649" s="298"/>
      <c r="AX649" s="24">
        <f t="shared" si="551"/>
        <v>63343.5546875</v>
      </c>
      <c r="AY649" s="308"/>
      <c r="BA649" s="65">
        <f t="shared" si="552"/>
        <v>525957</v>
      </c>
      <c r="BB649" s="66"/>
      <c r="BC649" s="66">
        <v>786478329</v>
      </c>
      <c r="BD649" s="66"/>
      <c r="BE649" s="66">
        <f t="shared" si="553"/>
        <v>66751</v>
      </c>
      <c r="BF649" s="66"/>
      <c r="BG649" s="144">
        <f t="shared" si="554"/>
        <v>0.12691341687628457</v>
      </c>
      <c r="BH649" s="66"/>
      <c r="BI649" s="170"/>
      <c r="BJ649" s="66"/>
      <c r="BK649" s="66"/>
      <c r="BL649" s="66"/>
      <c r="BM649" s="144"/>
      <c r="BN649" s="65">
        <f t="shared" si="555"/>
        <v>1228872.3890625001</v>
      </c>
      <c r="BO649" s="66"/>
      <c r="BP649" s="66">
        <f t="shared" si="556"/>
        <v>47231009</v>
      </c>
      <c r="BQ649" s="66"/>
      <c r="BR649" s="435">
        <f t="shared" si="557"/>
        <v>6.005379583701155E-2</v>
      </c>
      <c r="BS649" s="66"/>
      <c r="BT649" s="75"/>
      <c r="BU649" s="170"/>
      <c r="BV649" s="1"/>
      <c r="BW649" s="61">
        <f t="shared" si="399"/>
        <v>640</v>
      </c>
    </row>
    <row r="650" spans="2:75" x14ac:dyDescent="0.3">
      <c r="B650" s="158">
        <f t="shared" si="537"/>
        <v>44550</v>
      </c>
      <c r="C650" s="61"/>
      <c r="D650" s="17">
        <v>143530</v>
      </c>
      <c r="E650" s="16"/>
      <c r="F650" s="16"/>
      <c r="G650" s="16"/>
      <c r="H650" s="16">
        <f t="shared" si="538"/>
        <v>48281517</v>
      </c>
      <c r="I650" s="16"/>
      <c r="J650" s="436">
        <f t="shared" si="539"/>
        <v>2.9816369346728189E-3</v>
      </c>
      <c r="K650" s="16"/>
      <c r="L650" s="16"/>
      <c r="M650" s="16"/>
      <c r="N650" s="16">
        <f t="shared" si="540"/>
        <v>860863</v>
      </c>
      <c r="O650" s="16">
        <f t="shared" si="541"/>
        <v>75322.179407176285</v>
      </c>
      <c r="P650" s="41"/>
      <c r="Q650" s="17">
        <f t="shared" si="542"/>
        <v>860863</v>
      </c>
      <c r="R650" s="16"/>
      <c r="S650" s="60">
        <f t="shared" si="543"/>
        <v>0.27662543543414397</v>
      </c>
      <c r="T650" s="16"/>
      <c r="U650" s="41"/>
      <c r="V650" s="10">
        <f t="shared" ref="V650:V761" si="558">+V649+1</f>
        <v>542</v>
      </c>
      <c r="W650" s="34">
        <v>623</v>
      </c>
      <c r="X650" s="33">
        <v>4256</v>
      </c>
      <c r="Y650" s="33"/>
      <c r="Z650" s="33">
        <f t="shared" si="544"/>
        <v>5886</v>
      </c>
      <c r="AA650" s="33">
        <f t="shared" si="545"/>
        <v>754950</v>
      </c>
      <c r="AB650" s="33"/>
      <c r="AC650" s="46">
        <f t="shared" si="546"/>
        <v>1.5636418383457171E-2</v>
      </c>
      <c r="AD650" s="33"/>
      <c r="AE650" s="33">
        <f t="shared" si="547"/>
        <v>1177.7691107644305</v>
      </c>
      <c r="AF650" s="50"/>
      <c r="AG650" s="33"/>
      <c r="AH650" s="33"/>
      <c r="AI650" s="213"/>
      <c r="AJ650" s="50"/>
      <c r="AL650" s="23">
        <f t="shared" si="548"/>
        <v>179172</v>
      </c>
      <c r="AM650" s="24"/>
      <c r="AN650" s="24"/>
      <c r="AO650" s="24">
        <v>178263</v>
      </c>
      <c r="AP650" s="24">
        <v>40719047</v>
      </c>
      <c r="AQ650" s="24">
        <v>20336656</v>
      </c>
      <c r="AR650" s="461">
        <f t="shared" si="549"/>
        <v>4.4196485558971261E-3</v>
      </c>
      <c r="AS650" s="25"/>
      <c r="AT650" s="25"/>
      <c r="AU650" s="24"/>
      <c r="AV650" s="298">
        <f t="shared" si="550"/>
        <v>0.84336718334678673</v>
      </c>
      <c r="AW650" s="298"/>
      <c r="AX650" s="24">
        <f t="shared" si="551"/>
        <v>63524.254290171608</v>
      </c>
      <c r="AY650" s="308"/>
      <c r="BA650" s="65">
        <f t="shared" si="552"/>
        <v>4894217</v>
      </c>
      <c r="BB650" s="66"/>
      <c r="BC650" s="66">
        <v>791372546</v>
      </c>
      <c r="BD650" s="66"/>
      <c r="BE650" s="66">
        <f t="shared" si="553"/>
        <v>143530</v>
      </c>
      <c r="BF650" s="66"/>
      <c r="BG650" s="144">
        <f t="shared" si="554"/>
        <v>2.9326447928238571E-2</v>
      </c>
      <c r="BH650" s="66"/>
      <c r="BI650" s="170"/>
      <c r="BJ650" s="66"/>
      <c r="BK650" s="66"/>
      <c r="BL650" s="66"/>
      <c r="BM650" s="144"/>
      <c r="BN650" s="65">
        <f t="shared" si="555"/>
        <v>1234590.5553822152</v>
      </c>
      <c r="BO650" s="66"/>
      <c r="BP650" s="66">
        <f t="shared" si="556"/>
        <v>47374539</v>
      </c>
      <c r="BQ650" s="66"/>
      <c r="BR650" s="435">
        <f t="shared" si="557"/>
        <v>5.9863763583226454E-2</v>
      </c>
      <c r="BS650" s="66"/>
      <c r="BT650" s="75"/>
      <c r="BU650" s="170"/>
      <c r="BV650" s="1"/>
      <c r="BW650" s="61">
        <f t="shared" si="399"/>
        <v>641</v>
      </c>
    </row>
    <row r="651" spans="2:75" x14ac:dyDescent="0.3">
      <c r="B651" s="158">
        <f t="shared" si="537"/>
        <v>44551</v>
      </c>
      <c r="C651" s="61"/>
      <c r="D651" s="17">
        <v>193227</v>
      </c>
      <c r="E651" s="16"/>
      <c r="F651" s="16"/>
      <c r="G651" s="16"/>
      <c r="H651" s="16">
        <f t="shared" si="538"/>
        <v>48474744</v>
      </c>
      <c r="I651" s="16"/>
      <c r="J651" s="436">
        <f t="shared" si="539"/>
        <v>4.0020904894102647E-3</v>
      </c>
      <c r="K651" s="16"/>
      <c r="L651" s="16"/>
      <c r="M651" s="16"/>
      <c r="N651" s="16">
        <f t="shared" si="540"/>
        <v>945524</v>
      </c>
      <c r="O651" s="16">
        <f t="shared" si="541"/>
        <v>75505.831775700935</v>
      </c>
      <c r="P651" s="41"/>
      <c r="Q651" s="17">
        <f t="shared" si="542"/>
        <v>945524</v>
      </c>
      <c r="R651" s="16"/>
      <c r="S651" s="60">
        <f t="shared" si="543"/>
        <v>0.40025560865515192</v>
      </c>
      <c r="T651" s="16"/>
      <c r="U651" s="41"/>
      <c r="V651" s="10">
        <f t="shared" si="558"/>
        <v>543</v>
      </c>
      <c r="W651" s="34">
        <v>2051</v>
      </c>
      <c r="X651" s="33">
        <v>4256</v>
      </c>
      <c r="Y651" s="33"/>
      <c r="Z651" s="33">
        <f t="shared" si="544"/>
        <v>6247</v>
      </c>
      <c r="AA651" s="33">
        <f t="shared" si="545"/>
        <v>757001</v>
      </c>
      <c r="AB651" s="33"/>
      <c r="AC651" s="46">
        <f t="shared" si="546"/>
        <v>1.5616400160875527E-2</v>
      </c>
      <c r="AD651" s="33"/>
      <c r="AE651" s="33">
        <f t="shared" si="547"/>
        <v>1179.1292834890967</v>
      </c>
      <c r="AF651" s="50"/>
      <c r="AG651" s="33"/>
      <c r="AH651" s="33"/>
      <c r="AI651" s="213"/>
      <c r="AJ651" s="50"/>
      <c r="AL651" s="23">
        <f t="shared" si="548"/>
        <v>84493</v>
      </c>
      <c r="AM651" s="24"/>
      <c r="AN651" s="24"/>
      <c r="AO651" s="24">
        <v>178263</v>
      </c>
      <c r="AP651" s="24">
        <v>40803540</v>
      </c>
      <c r="AQ651" s="24">
        <v>20336656</v>
      </c>
      <c r="AR651" s="461">
        <f t="shared" si="549"/>
        <v>2.0750240053506162E-3</v>
      </c>
      <c r="AS651" s="25"/>
      <c r="AT651" s="25"/>
      <c r="AU651" s="24"/>
      <c r="AV651" s="298">
        <f t="shared" si="550"/>
        <v>0.84174843708303027</v>
      </c>
      <c r="AW651" s="298"/>
      <c r="AX651" s="24">
        <f t="shared" si="551"/>
        <v>63556.915887850468</v>
      </c>
      <c r="AY651" s="308"/>
      <c r="BA651" s="65">
        <f t="shared" si="552"/>
        <v>1884941</v>
      </c>
      <c r="BB651" s="66"/>
      <c r="BC651" s="66">
        <v>793257487</v>
      </c>
      <c r="BD651" s="66"/>
      <c r="BE651" s="66">
        <f t="shared" si="553"/>
        <v>193227</v>
      </c>
      <c r="BF651" s="66"/>
      <c r="BG651" s="144">
        <f t="shared" si="554"/>
        <v>0.10251090087169837</v>
      </c>
      <c r="BH651" s="66"/>
      <c r="BI651" s="170"/>
      <c r="BJ651" s="66"/>
      <c r="BK651" s="66"/>
      <c r="BL651" s="66"/>
      <c r="BM651" s="144"/>
      <c r="BN651" s="65">
        <f t="shared" si="555"/>
        <v>1235603.5623052958</v>
      </c>
      <c r="BO651" s="66"/>
      <c r="BP651" s="66">
        <f t="shared" si="556"/>
        <v>47567766</v>
      </c>
      <c r="BQ651" s="66"/>
      <c r="BR651" s="435">
        <f t="shared" si="557"/>
        <v>5.9965101848449366E-2</v>
      </c>
      <c r="BS651" s="66"/>
      <c r="BT651" s="75"/>
      <c r="BU651" s="170"/>
      <c r="BV651" s="1"/>
      <c r="BW651" s="61">
        <f t="shared" si="399"/>
        <v>642</v>
      </c>
    </row>
    <row r="652" spans="2:75" x14ac:dyDescent="0.3">
      <c r="B652" s="158">
        <f t="shared" si="537"/>
        <v>44552</v>
      </c>
      <c r="C652" s="61"/>
      <c r="D652" s="17">
        <v>232383</v>
      </c>
      <c r="E652" s="16"/>
      <c r="F652" s="16"/>
      <c r="G652" s="16"/>
      <c r="H652" s="16">
        <f t="shared" si="538"/>
        <v>48707127</v>
      </c>
      <c r="I652" s="16"/>
      <c r="J652" s="436">
        <f t="shared" si="539"/>
        <v>4.7938984474059313E-3</v>
      </c>
      <c r="K652" s="16"/>
      <c r="L652" s="16"/>
      <c r="M652" s="16"/>
      <c r="N652" s="16">
        <f t="shared" si="540"/>
        <v>1041317</v>
      </c>
      <c r="O652" s="16">
        <f t="shared" si="541"/>
        <v>75749.808709175733</v>
      </c>
      <c r="P652" s="41"/>
      <c r="Q652" s="17">
        <f t="shared" si="542"/>
        <v>1041317</v>
      </c>
      <c r="R652" s="16"/>
      <c r="S652" s="60">
        <f t="shared" si="543"/>
        <v>0.52143681603670211</v>
      </c>
      <c r="T652" s="16"/>
      <c r="U652" s="41"/>
      <c r="V652" s="10">
        <f t="shared" si="558"/>
        <v>544</v>
      </c>
      <c r="W652" s="34">
        <v>1634</v>
      </c>
      <c r="X652" s="33">
        <v>4256</v>
      </c>
      <c r="Y652" s="33"/>
      <c r="Z652" s="33">
        <f t="shared" si="544"/>
        <v>6557</v>
      </c>
      <c r="AA652" s="33">
        <f t="shared" si="545"/>
        <v>758635</v>
      </c>
      <c r="AB652" s="33"/>
      <c r="AC652" s="46">
        <f t="shared" si="546"/>
        <v>1.5575441351734829E-2</v>
      </c>
      <c r="AD652" s="33"/>
      <c r="AE652" s="33">
        <f t="shared" si="547"/>
        <v>1179.836702954899</v>
      </c>
      <c r="AF652" s="50"/>
      <c r="AG652" s="33"/>
      <c r="AH652" s="33"/>
      <c r="AI652" s="213"/>
      <c r="AJ652" s="50"/>
      <c r="AL652" s="23">
        <f t="shared" si="548"/>
        <v>104606</v>
      </c>
      <c r="AM652" s="24"/>
      <c r="AN652" s="24"/>
      <c r="AO652" s="24">
        <v>178263</v>
      </c>
      <c r="AP652" s="24">
        <v>40908146</v>
      </c>
      <c r="AQ652" s="24">
        <v>20336656</v>
      </c>
      <c r="AR652" s="461">
        <f t="shared" si="549"/>
        <v>2.5636501146714232E-3</v>
      </c>
      <c r="AS652" s="25"/>
      <c r="AT652" s="25"/>
      <c r="AU652" s="24"/>
      <c r="AV652" s="298">
        <f t="shared" si="550"/>
        <v>0.83988008572133599</v>
      </c>
      <c r="AW652" s="298"/>
      <c r="AX652" s="24">
        <f t="shared" si="551"/>
        <v>63620.755832037328</v>
      </c>
      <c r="AY652" s="308"/>
      <c r="BA652" s="65">
        <f t="shared" si="552"/>
        <v>1909047</v>
      </c>
      <c r="BB652" s="66"/>
      <c r="BC652" s="66">
        <v>795166534</v>
      </c>
      <c r="BD652" s="66"/>
      <c r="BE652" s="66">
        <f t="shared" si="553"/>
        <v>232383</v>
      </c>
      <c r="BF652" s="66"/>
      <c r="BG652" s="144">
        <f t="shared" si="554"/>
        <v>0.12172722829767942</v>
      </c>
      <c r="BH652" s="66"/>
      <c r="BI652" s="170"/>
      <c r="BJ652" s="66"/>
      <c r="BK652" s="66"/>
      <c r="BL652" s="66"/>
      <c r="BM652" s="144"/>
      <c r="BN652" s="65">
        <f t="shared" si="555"/>
        <v>1236650.9082426128</v>
      </c>
      <c r="BO652" s="66"/>
      <c r="BP652" s="66">
        <f t="shared" si="556"/>
        <v>47800149</v>
      </c>
      <c r="BQ652" s="66"/>
      <c r="BR652" s="435">
        <f t="shared" si="557"/>
        <v>6.0113381230402739E-2</v>
      </c>
      <c r="BS652" s="66"/>
      <c r="BT652" s="75"/>
      <c r="BU652" s="170"/>
      <c r="BV652" s="1"/>
      <c r="BW652" s="61">
        <f t="shared" si="399"/>
        <v>643</v>
      </c>
    </row>
    <row r="653" spans="2:75" x14ac:dyDescent="0.3">
      <c r="B653" s="158">
        <f t="shared" si="537"/>
        <v>44553</v>
      </c>
      <c r="C653" s="61"/>
      <c r="D653" s="17">
        <v>267269</v>
      </c>
      <c r="E653" s="16"/>
      <c r="F653" s="16"/>
      <c r="G653" s="16"/>
      <c r="H653" s="16">
        <f t="shared" si="538"/>
        <v>48974396</v>
      </c>
      <c r="I653" s="16"/>
      <c r="J653" s="436">
        <f t="shared" si="539"/>
        <v>5.4872667813069742E-3</v>
      </c>
      <c r="K653" s="16"/>
      <c r="L653" s="16"/>
      <c r="M653" s="16"/>
      <c r="N653" s="16">
        <f t="shared" si="540"/>
        <v>1152791</v>
      </c>
      <c r="O653" s="16">
        <f t="shared" si="541"/>
        <v>76047.198757763981</v>
      </c>
      <c r="P653" s="41"/>
      <c r="Q653" s="17">
        <f t="shared" si="542"/>
        <v>1152791</v>
      </c>
      <c r="R653" s="16"/>
      <c r="S653" s="60">
        <f t="shared" si="543"/>
        <v>0.58061428898538525</v>
      </c>
      <c r="T653" s="16"/>
      <c r="U653" s="41"/>
      <c r="V653" s="10">
        <f t="shared" si="558"/>
        <v>545</v>
      </c>
      <c r="W653" s="34">
        <v>1297</v>
      </c>
      <c r="X653" s="33">
        <v>4256</v>
      </c>
      <c r="Y653" s="33"/>
      <c r="Z653" s="33">
        <f t="shared" si="544"/>
        <v>6201</v>
      </c>
      <c r="AA653" s="33">
        <f t="shared" si="545"/>
        <v>759932</v>
      </c>
      <c r="AB653" s="33"/>
      <c r="AC653" s="46">
        <f t="shared" si="546"/>
        <v>1.5516924394534646E-2</v>
      </c>
      <c r="AD653" s="33"/>
      <c r="AE653" s="33">
        <f t="shared" si="547"/>
        <v>1180.0186335403728</v>
      </c>
      <c r="AF653" s="50"/>
      <c r="AG653" s="33"/>
      <c r="AH653" s="33"/>
      <c r="AI653" s="213"/>
      <c r="AJ653" s="50"/>
      <c r="AL653" s="23">
        <f t="shared" si="548"/>
        <v>56847</v>
      </c>
      <c r="AM653" s="24"/>
      <c r="AN653" s="24"/>
      <c r="AO653" s="24">
        <v>178263</v>
      </c>
      <c r="AP653" s="24">
        <v>40964993</v>
      </c>
      <c r="AQ653" s="24">
        <v>20336656</v>
      </c>
      <c r="AR653" s="461">
        <f t="shared" si="549"/>
        <v>1.3896254305927236E-3</v>
      </c>
      <c r="AS653" s="25"/>
      <c r="AT653" s="25"/>
      <c r="AU653" s="24"/>
      <c r="AV653" s="298">
        <f t="shared" si="550"/>
        <v>0.83645733987204252</v>
      </c>
      <c r="AW653" s="298"/>
      <c r="AX653" s="24">
        <f t="shared" si="551"/>
        <v>63610.237577639753</v>
      </c>
      <c r="AY653" s="308"/>
      <c r="BA653" s="65">
        <f t="shared" si="552"/>
        <v>2191415</v>
      </c>
      <c r="BB653" s="66"/>
      <c r="BC653" s="66">
        <v>797357949</v>
      </c>
      <c r="BD653" s="66"/>
      <c r="BE653" s="66">
        <f t="shared" si="553"/>
        <v>267269</v>
      </c>
      <c r="BF653" s="66"/>
      <c r="BG653" s="144">
        <f t="shared" si="554"/>
        <v>0.12196183744293071</v>
      </c>
      <c r="BH653" s="66"/>
      <c r="BI653" s="170"/>
      <c r="BJ653" s="66"/>
      <c r="BK653" s="66"/>
      <c r="BL653" s="66"/>
      <c r="BM653" s="144"/>
      <c r="BN653" s="65">
        <f t="shared" si="555"/>
        <v>1238133.4611801242</v>
      </c>
      <c r="BO653" s="66"/>
      <c r="BP653" s="66">
        <f t="shared" si="556"/>
        <v>48067418</v>
      </c>
      <c r="BQ653" s="66"/>
      <c r="BR653" s="435">
        <f t="shared" si="557"/>
        <v>6.0283362146553332E-2</v>
      </c>
      <c r="BS653" s="66"/>
      <c r="BT653" s="75"/>
      <c r="BU653" s="170"/>
      <c r="BV653" s="1"/>
      <c r="BW653" s="61">
        <f t="shared" si="399"/>
        <v>644</v>
      </c>
    </row>
    <row r="654" spans="2:75" x14ac:dyDescent="0.3">
      <c r="B654" s="158">
        <f t="shared" si="537"/>
        <v>44554</v>
      </c>
      <c r="C654" s="61"/>
      <c r="D654" s="17">
        <v>216342</v>
      </c>
      <c r="E654" s="16"/>
      <c r="F654" s="16"/>
      <c r="G654" s="16"/>
      <c r="H654" s="16">
        <f t="shared" si="538"/>
        <v>49190738</v>
      </c>
      <c r="I654" s="16"/>
      <c r="J654" s="436">
        <f t="shared" si="539"/>
        <v>4.4174511105762281E-3</v>
      </c>
      <c r="K654" s="16"/>
      <c r="L654" s="16"/>
      <c r="M654" s="16"/>
      <c r="N654" s="16">
        <f t="shared" si="540"/>
        <v>1205426</v>
      </c>
      <c r="O654" s="16">
        <f t="shared" si="541"/>
        <v>76264.710077519383</v>
      </c>
      <c r="P654" s="41"/>
      <c r="Q654" s="17">
        <f t="shared" si="542"/>
        <v>1205426</v>
      </c>
      <c r="R654" s="16"/>
      <c r="S654" s="60">
        <f t="shared" si="543"/>
        <v>0.5940592357302773</v>
      </c>
      <c r="T654" s="16"/>
      <c r="U654" s="41"/>
      <c r="V654" s="10">
        <f t="shared" si="558"/>
        <v>546</v>
      </c>
      <c r="W654" s="34">
        <v>747</v>
      </c>
      <c r="X654" s="33">
        <v>4256</v>
      </c>
      <c r="Y654" s="33"/>
      <c r="Z654" s="33">
        <f t="shared" si="544"/>
        <v>6461</v>
      </c>
      <c r="AA654" s="33">
        <f t="shared" si="545"/>
        <v>760679</v>
      </c>
      <c r="AB654" s="33"/>
      <c r="AC654" s="46">
        <f t="shared" si="546"/>
        <v>1.5463866388831165E-2</v>
      </c>
      <c r="AD654" s="33"/>
      <c r="AE654" s="33">
        <f t="shared" si="547"/>
        <v>1179.3472868217054</v>
      </c>
      <c r="AF654" s="50"/>
      <c r="AG654" s="33"/>
      <c r="AH654" s="33"/>
      <c r="AI654" s="213"/>
      <c r="AJ654" s="50"/>
      <c r="AL654" s="23">
        <f t="shared" si="548"/>
        <v>29257</v>
      </c>
      <c r="AM654" s="24"/>
      <c r="AN654" s="24"/>
      <c r="AO654" s="24">
        <v>178263</v>
      </c>
      <c r="AP654" s="24">
        <v>40994250</v>
      </c>
      <c r="AQ654" s="24">
        <v>20336656</v>
      </c>
      <c r="AR654" s="461">
        <f t="shared" si="549"/>
        <v>7.141951665901664E-4</v>
      </c>
      <c r="AS654" s="25"/>
      <c r="AT654" s="25"/>
      <c r="AU654" s="24"/>
      <c r="AV654" s="298">
        <f t="shared" si="550"/>
        <v>0.83337334764117588</v>
      </c>
      <c r="AW654" s="298"/>
      <c r="AX654" s="24">
        <f t="shared" si="551"/>
        <v>63556.976744186046</v>
      </c>
      <c r="AY654" s="308"/>
      <c r="BA654" s="65">
        <f t="shared" si="552"/>
        <v>1103948</v>
      </c>
      <c r="BB654" s="66"/>
      <c r="BC654" s="66">
        <v>798461897</v>
      </c>
      <c r="BD654" s="66"/>
      <c r="BE654" s="66">
        <f t="shared" si="553"/>
        <v>216342</v>
      </c>
      <c r="BF654" s="66"/>
      <c r="BG654" s="144">
        <f t="shared" si="554"/>
        <v>0.19597118704866534</v>
      </c>
      <c r="BH654" s="66"/>
      <c r="BI654" s="170"/>
      <c r="BJ654" s="66"/>
      <c r="BK654" s="66"/>
      <c r="BL654" s="66"/>
      <c r="BM654" s="144"/>
      <c r="BN654" s="65">
        <f t="shared" si="555"/>
        <v>1237925.4217054264</v>
      </c>
      <c r="BO654" s="66"/>
      <c r="BP654" s="66">
        <f t="shared" si="556"/>
        <v>48283760</v>
      </c>
      <c r="BQ654" s="66"/>
      <c r="BR654" s="435">
        <f t="shared" si="557"/>
        <v>6.0470963212412375E-2</v>
      </c>
      <c r="BS654" s="66"/>
      <c r="BT654" s="75"/>
      <c r="BU654" s="170"/>
      <c r="BV654" s="1"/>
      <c r="BW654" s="61">
        <f t="shared" si="399"/>
        <v>645</v>
      </c>
    </row>
    <row r="655" spans="2:75" x14ac:dyDescent="0.3">
      <c r="B655" s="158">
        <f t="shared" si="537"/>
        <v>44555</v>
      </c>
      <c r="C655" s="61"/>
      <c r="D655" s="17">
        <v>121247</v>
      </c>
      <c r="E655" s="16"/>
      <c r="F655" s="16"/>
      <c r="G655" s="16"/>
      <c r="H655" s="16">
        <f t="shared" si="538"/>
        <v>49311985</v>
      </c>
      <c r="I655" s="16"/>
      <c r="J655" s="436">
        <f t="shared" si="539"/>
        <v>2.4648339286960893E-3</v>
      </c>
      <c r="K655" s="16"/>
      <c r="L655" s="16"/>
      <c r="M655" s="16"/>
      <c r="N655" s="16">
        <f t="shared" si="540"/>
        <v>1240749</v>
      </c>
      <c r="O655" s="16">
        <f t="shared" si="541"/>
        <v>76334.34210526316</v>
      </c>
      <c r="P655" s="41"/>
      <c r="Q655" s="17">
        <f t="shared" si="542"/>
        <v>1240749</v>
      </c>
      <c r="R655" s="16"/>
      <c r="S655" s="60">
        <f t="shared" si="543"/>
        <v>0.58115811084108882</v>
      </c>
      <c r="T655" s="16"/>
      <c r="U655" s="41"/>
      <c r="V655" s="10">
        <f t="shared" si="558"/>
        <v>547</v>
      </c>
      <c r="W655" s="34">
        <v>131</v>
      </c>
      <c r="X655" s="33">
        <v>4256</v>
      </c>
      <c r="Y655" s="33"/>
      <c r="Z655" s="33">
        <f t="shared" si="544"/>
        <v>6483</v>
      </c>
      <c r="AA655" s="33">
        <f t="shared" si="545"/>
        <v>760810</v>
      </c>
      <c r="AB655" s="33"/>
      <c r="AC655" s="46">
        <f t="shared" si="546"/>
        <v>1.5428500799552077E-2</v>
      </c>
      <c r="AD655" s="33"/>
      <c r="AE655" s="33">
        <f t="shared" si="547"/>
        <v>1177.7244582043343</v>
      </c>
      <c r="AF655" s="50"/>
      <c r="AG655" s="33"/>
      <c r="AH655" s="33"/>
      <c r="AI655" s="213"/>
      <c r="AJ655" s="50"/>
      <c r="AL655" s="23">
        <f t="shared" si="548"/>
        <v>6934</v>
      </c>
      <c r="AM655" s="24"/>
      <c r="AN655" s="24"/>
      <c r="AO655" s="24">
        <v>178263</v>
      </c>
      <c r="AP655" s="24">
        <v>41001184</v>
      </c>
      <c r="AQ655" s="24">
        <v>20336656</v>
      </c>
      <c r="AR655" s="461">
        <f t="shared" si="549"/>
        <v>1.6914567286875599E-4</v>
      </c>
      <c r="AS655" s="25"/>
      <c r="AT655" s="25"/>
      <c r="AU655" s="24"/>
      <c r="AV655" s="298">
        <f t="shared" si="550"/>
        <v>0.83146488627460446</v>
      </c>
      <c r="AW655" s="298"/>
      <c r="AX655" s="24">
        <f t="shared" si="551"/>
        <v>63469.325077399379</v>
      </c>
      <c r="AY655" s="308"/>
      <c r="BA655" s="65">
        <f t="shared" si="552"/>
        <v>455597</v>
      </c>
      <c r="BB655" s="66"/>
      <c r="BC655" s="66">
        <v>798917494</v>
      </c>
      <c r="BD655" s="66"/>
      <c r="BE655" s="66">
        <f t="shared" si="553"/>
        <v>121247</v>
      </c>
      <c r="BF655" s="66"/>
      <c r="BG655" s="144">
        <f t="shared" si="554"/>
        <v>0.26612774008608486</v>
      </c>
      <c r="BH655" s="66"/>
      <c r="BI655" s="170"/>
      <c r="BJ655" s="66"/>
      <c r="BK655" s="66"/>
      <c r="BL655" s="66"/>
      <c r="BM655" s="144"/>
      <c r="BN655" s="65">
        <f t="shared" si="555"/>
        <v>1236714.3869969039</v>
      </c>
      <c r="BO655" s="66"/>
      <c r="BP655" s="66">
        <f t="shared" si="556"/>
        <v>48405007</v>
      </c>
      <c r="BQ655" s="66"/>
      <c r="BR655" s="435">
        <f t="shared" si="557"/>
        <v>6.0588242670275037E-2</v>
      </c>
      <c r="BS655" s="66"/>
      <c r="BT655" s="75"/>
      <c r="BU655" s="170"/>
      <c r="BV655" s="1"/>
      <c r="BW655" s="61">
        <f t="shared" si="399"/>
        <v>646</v>
      </c>
    </row>
    <row r="656" spans="2:75" x14ac:dyDescent="0.3">
      <c r="B656" s="347">
        <f t="shared" si="537"/>
        <v>44556</v>
      </c>
      <c r="C656" s="61"/>
      <c r="D656" s="17">
        <v>96384</v>
      </c>
      <c r="E656" s="16"/>
      <c r="F656" s="16"/>
      <c r="G656" s="16"/>
      <c r="H656" s="16">
        <f t="shared" si="538"/>
        <v>49408369</v>
      </c>
      <c r="I656" s="16"/>
      <c r="J656" s="436">
        <f t="shared" si="539"/>
        <v>1.9545755458840281E-3</v>
      </c>
      <c r="K656" s="16"/>
      <c r="L656" s="16"/>
      <c r="M656" s="16"/>
      <c r="N656" s="16">
        <f t="shared" si="540"/>
        <v>1270382</v>
      </c>
      <c r="O656" s="16">
        <f t="shared" si="541"/>
        <v>76365.33075734158</v>
      </c>
      <c r="P656" s="41"/>
      <c r="Q656" s="17">
        <f t="shared" si="542"/>
        <v>1270382</v>
      </c>
      <c r="R656" s="16"/>
      <c r="S656" s="60">
        <f t="shared" si="543"/>
        <v>0.56320846192086393</v>
      </c>
      <c r="T656" s="16"/>
      <c r="U656" s="41"/>
      <c r="V656" s="10">
        <f t="shared" si="558"/>
        <v>548</v>
      </c>
      <c r="W656" s="34">
        <v>52</v>
      </c>
      <c r="X656" s="33">
        <v>4256</v>
      </c>
      <c r="Y656" s="33"/>
      <c r="Z656" s="33">
        <f t="shared" si="544"/>
        <v>5912</v>
      </c>
      <c r="AA656" s="33">
        <f t="shared" si="545"/>
        <v>760862</v>
      </c>
      <c r="AB656" s="33"/>
      <c r="AC656" s="46">
        <f t="shared" si="546"/>
        <v>1.5399455909989661E-2</v>
      </c>
      <c r="AD656" s="33"/>
      <c r="AE656" s="33">
        <f t="shared" si="547"/>
        <v>1175.9845440494591</v>
      </c>
      <c r="AF656" s="50"/>
      <c r="AG656" s="33"/>
      <c r="AH656" s="33"/>
      <c r="AI656" s="213"/>
      <c r="AJ656" s="50"/>
      <c r="AL656" s="23">
        <f t="shared" si="548"/>
        <v>29834</v>
      </c>
      <c r="AM656" s="24"/>
      <c r="AN656" s="24"/>
      <c r="AO656" s="24">
        <v>178263</v>
      </c>
      <c r="AP656" s="24">
        <v>41031018</v>
      </c>
      <c r="AQ656" s="24">
        <v>20336656</v>
      </c>
      <c r="AR656" s="461">
        <f t="shared" si="549"/>
        <v>7.2763752383345811E-4</v>
      </c>
      <c r="AS656" s="25"/>
      <c r="AT656" s="25"/>
      <c r="AU656" s="24"/>
      <c r="AV656" s="298">
        <f t="shared" si="550"/>
        <v>0.83044672047361046</v>
      </c>
      <c r="AW656" s="298"/>
      <c r="AX656" s="24">
        <f t="shared" si="551"/>
        <v>63417.338485316846</v>
      </c>
      <c r="AY656" s="308"/>
      <c r="BA656" s="65">
        <f t="shared" si="552"/>
        <v>631315</v>
      </c>
      <c r="BB656" s="66"/>
      <c r="BC656" s="66">
        <v>799548809</v>
      </c>
      <c r="BD656" s="66"/>
      <c r="BE656" s="66">
        <f t="shared" si="553"/>
        <v>96384</v>
      </c>
      <c r="BF656" s="66"/>
      <c r="BG656" s="144">
        <f t="shared" si="554"/>
        <v>0.15267180409145989</v>
      </c>
      <c r="BH656" s="66"/>
      <c r="BI656" s="170"/>
      <c r="BJ656" s="66"/>
      <c r="BK656" s="66"/>
      <c r="BL656" s="66"/>
      <c r="BM656" s="144"/>
      <c r="BN656" s="65">
        <f t="shared" si="555"/>
        <v>1235778.6846986089</v>
      </c>
      <c r="BO656" s="66"/>
      <c r="BP656" s="66">
        <f t="shared" si="556"/>
        <v>48501391</v>
      </c>
      <c r="BQ656" s="66"/>
      <c r="BR656" s="435">
        <f t="shared" si="557"/>
        <v>6.0660950843840232E-2</v>
      </c>
      <c r="BS656" s="66"/>
      <c r="BT656" s="75"/>
      <c r="BU656" s="170"/>
      <c r="BV656" s="1"/>
      <c r="BW656" s="61">
        <f t="shared" si="399"/>
        <v>647</v>
      </c>
    </row>
    <row r="657" spans="2:85" x14ac:dyDescent="0.3">
      <c r="B657" s="158">
        <f t="shared" si="537"/>
        <v>44557</v>
      </c>
      <c r="C657" s="61"/>
      <c r="D657" s="17">
        <v>229016</v>
      </c>
      <c r="E657" s="16"/>
      <c r="F657" s="16"/>
      <c r="G657" s="16"/>
      <c r="H657" s="16">
        <f t="shared" si="538"/>
        <v>49637385</v>
      </c>
      <c r="I657" s="16"/>
      <c r="J657" s="436">
        <f t="shared" si="539"/>
        <v>4.6351661598058418E-3</v>
      </c>
      <c r="K657" s="16"/>
      <c r="L657" s="16"/>
      <c r="M657" s="16"/>
      <c r="N657" s="16">
        <f t="shared" si="540"/>
        <v>1355868</v>
      </c>
      <c r="O657" s="16">
        <f t="shared" si="541"/>
        <v>76600.902777777781</v>
      </c>
      <c r="P657" s="41"/>
      <c r="Q657" s="17">
        <f t="shared" si="542"/>
        <v>1355868</v>
      </c>
      <c r="R657" s="16"/>
      <c r="S657" s="60">
        <f t="shared" si="543"/>
        <v>0.5750101932595546</v>
      </c>
      <c r="T657" s="16"/>
      <c r="U657" s="41"/>
      <c r="V657" s="10">
        <f t="shared" si="558"/>
        <v>549</v>
      </c>
      <c r="W657" s="34">
        <v>823</v>
      </c>
      <c r="X657" s="33">
        <v>4256</v>
      </c>
      <c r="Y657" s="33"/>
      <c r="Z657" s="33">
        <f t="shared" si="544"/>
        <v>4684</v>
      </c>
      <c r="AA657" s="33">
        <f t="shared" si="545"/>
        <v>761685</v>
      </c>
      <c r="AB657" s="33"/>
      <c r="AC657" s="46">
        <f t="shared" si="546"/>
        <v>1.5344986445196499E-2</v>
      </c>
      <c r="AD657" s="33"/>
      <c r="AE657" s="33">
        <f t="shared" si="547"/>
        <v>1175.4398148148148</v>
      </c>
      <c r="AF657" s="50"/>
      <c r="AG657" s="33"/>
      <c r="AH657" s="33"/>
      <c r="AI657" s="213"/>
      <c r="AJ657" s="50"/>
      <c r="AL657" s="23">
        <f t="shared" si="548"/>
        <v>172680</v>
      </c>
      <c r="AM657" s="24"/>
      <c r="AN657" s="24"/>
      <c r="AO657" s="24">
        <v>178263</v>
      </c>
      <c r="AP657" s="24">
        <v>41203698</v>
      </c>
      <c r="AQ657" s="24">
        <v>20336656</v>
      </c>
      <c r="AR657" s="461">
        <f t="shared" si="549"/>
        <v>4.208523415139249E-3</v>
      </c>
      <c r="AS657" s="25"/>
      <c r="AT657" s="25"/>
      <c r="AU657" s="24"/>
      <c r="AV657" s="298">
        <f t="shared" si="550"/>
        <v>0.83009405108669609</v>
      </c>
      <c r="AW657" s="298"/>
      <c r="AX657" s="24">
        <f t="shared" si="551"/>
        <v>63585.953703703701</v>
      </c>
      <c r="AY657" s="308"/>
      <c r="BA657" s="65">
        <f t="shared" si="552"/>
        <v>3999941</v>
      </c>
      <c r="BB657" s="66"/>
      <c r="BC657" s="66">
        <v>803548750</v>
      </c>
      <c r="BD657" s="66"/>
      <c r="BE657" s="66">
        <f t="shared" si="553"/>
        <v>229016</v>
      </c>
      <c r="BF657" s="66"/>
      <c r="BG657" s="144">
        <f t="shared" si="554"/>
        <v>5.7254844508956508E-2</v>
      </c>
      <c r="BH657" s="66"/>
      <c r="BI657" s="170"/>
      <c r="BJ657" s="66"/>
      <c r="BK657" s="66"/>
      <c r="BL657" s="66"/>
      <c r="BM657" s="144"/>
      <c r="BN657" s="65">
        <f t="shared" si="555"/>
        <v>1240044.3672839506</v>
      </c>
      <c r="BO657" s="66"/>
      <c r="BP657" s="66">
        <f t="shared" si="556"/>
        <v>48730407</v>
      </c>
      <c r="BQ657" s="66"/>
      <c r="BR657" s="435">
        <f t="shared" si="557"/>
        <v>6.0643995774991875E-2</v>
      </c>
      <c r="BS657" s="66"/>
      <c r="BT657" s="75"/>
      <c r="BU657" s="170"/>
      <c r="BV657" s="1"/>
      <c r="BW657" s="61">
        <f t="shared" si="399"/>
        <v>648</v>
      </c>
    </row>
    <row r="658" spans="2:85" x14ac:dyDescent="0.3">
      <c r="B658" s="158">
        <f t="shared" si="537"/>
        <v>44558</v>
      </c>
      <c r="C658" s="61"/>
      <c r="D658" s="17">
        <v>314433</v>
      </c>
      <c r="E658" s="16"/>
      <c r="F658" s="16"/>
      <c r="G658" s="16"/>
      <c r="H658" s="16">
        <f t="shared" si="538"/>
        <v>49951818</v>
      </c>
      <c r="I658" s="16"/>
      <c r="J658" s="436">
        <f t="shared" si="539"/>
        <v>6.334600422645149E-3</v>
      </c>
      <c r="K658" s="16"/>
      <c r="L658" s="16"/>
      <c r="M658" s="16"/>
      <c r="N658" s="16">
        <f t="shared" si="540"/>
        <v>1477074</v>
      </c>
      <c r="O658" s="16">
        <f t="shared" si="541"/>
        <v>76967.362095531586</v>
      </c>
      <c r="P658" s="41"/>
      <c r="Q658" s="17">
        <f t="shared" si="542"/>
        <v>1477074</v>
      </c>
      <c r="R658" s="16"/>
      <c r="S658" s="60">
        <f t="shared" si="543"/>
        <v>0.56217504790994199</v>
      </c>
      <c r="T658" s="16"/>
      <c r="U658" s="41"/>
      <c r="V658" s="10">
        <f t="shared" si="558"/>
        <v>550</v>
      </c>
      <c r="W658" s="34">
        <v>1812</v>
      </c>
      <c r="X658" s="33">
        <v>4256</v>
      </c>
      <c r="Y658" s="33"/>
      <c r="Z658" s="33">
        <f t="shared" si="544"/>
        <v>4862</v>
      </c>
      <c r="AA658" s="33">
        <f t="shared" si="545"/>
        <v>763497</v>
      </c>
      <c r="AB658" s="33"/>
      <c r="AC658" s="46">
        <f t="shared" si="546"/>
        <v>1.5284668918356486E-2</v>
      </c>
      <c r="AD658" s="33"/>
      <c r="AE658" s="33">
        <f t="shared" si="547"/>
        <v>1176.4206471494608</v>
      </c>
      <c r="AF658" s="50"/>
      <c r="AG658" s="33"/>
      <c r="AH658" s="33"/>
      <c r="AI658" s="213"/>
      <c r="AJ658" s="50"/>
      <c r="AL658" s="23">
        <f t="shared" si="548"/>
        <v>121412</v>
      </c>
      <c r="AM658" s="24"/>
      <c r="AN658" s="24"/>
      <c r="AO658" s="24">
        <v>178263</v>
      </c>
      <c r="AP658" s="24">
        <v>41325110</v>
      </c>
      <c r="AQ658" s="24">
        <v>20336656</v>
      </c>
      <c r="AR658" s="461">
        <f t="shared" si="549"/>
        <v>2.9466287224996163E-3</v>
      </c>
      <c r="AS658" s="25"/>
      <c r="AT658" s="25"/>
      <c r="AU658" s="24"/>
      <c r="AV658" s="298">
        <f t="shared" si="550"/>
        <v>0.82729941881194391</v>
      </c>
      <c r="AW658" s="298"/>
      <c r="AX658" s="24">
        <f t="shared" si="551"/>
        <v>63675.053929121728</v>
      </c>
      <c r="AY658" s="308"/>
      <c r="BA658" s="65">
        <f t="shared" si="552"/>
        <v>3069846</v>
      </c>
      <c r="BB658" s="66"/>
      <c r="BC658" s="66">
        <v>806618596</v>
      </c>
      <c r="BD658" s="66"/>
      <c r="BE658" s="66">
        <f t="shared" si="553"/>
        <v>314433</v>
      </c>
      <c r="BF658" s="66"/>
      <c r="BG658" s="144">
        <f t="shared" si="554"/>
        <v>0.10242631063577783</v>
      </c>
      <c r="BH658" s="66"/>
      <c r="BI658" s="170"/>
      <c r="BJ658" s="66"/>
      <c r="BK658" s="66"/>
      <c r="BL658" s="66"/>
      <c r="BM658" s="144"/>
      <c r="BN658" s="65">
        <f t="shared" si="555"/>
        <v>1242863.7842835132</v>
      </c>
      <c r="BO658" s="66"/>
      <c r="BP658" s="66">
        <f t="shared" si="556"/>
        <v>49044840</v>
      </c>
      <c r="BQ658" s="66"/>
      <c r="BR658" s="435">
        <f t="shared" si="557"/>
        <v>6.0803011786750329E-2</v>
      </c>
      <c r="BS658" s="66"/>
      <c r="BT658" s="75"/>
      <c r="BU658" s="170"/>
      <c r="BV658" s="1"/>
      <c r="BW658" s="61">
        <f t="shared" si="399"/>
        <v>649</v>
      </c>
    </row>
    <row r="659" spans="2:85" x14ac:dyDescent="0.3">
      <c r="B659" s="158">
        <f t="shared" si="537"/>
        <v>44559</v>
      </c>
      <c r="C659" s="61"/>
      <c r="D659" s="17">
        <v>475831</v>
      </c>
      <c r="E659" s="16"/>
      <c r="F659" s="16"/>
      <c r="G659" s="16"/>
      <c r="H659" s="16">
        <f t="shared" si="538"/>
        <v>50427649</v>
      </c>
      <c r="I659" s="16"/>
      <c r="J659" s="436">
        <f t="shared" si="539"/>
        <v>9.5257994413736856E-3</v>
      </c>
      <c r="K659" s="16"/>
      <c r="L659" s="16"/>
      <c r="M659" s="16"/>
      <c r="N659" s="16">
        <f t="shared" si="540"/>
        <v>1720522</v>
      </c>
      <c r="O659" s="16">
        <f t="shared" si="541"/>
        <v>77580.99846153846</v>
      </c>
      <c r="P659" s="41"/>
      <c r="Q659" s="17">
        <f t="shared" si="542"/>
        <v>1720522</v>
      </c>
      <c r="R659" s="16"/>
      <c r="S659" s="60">
        <f t="shared" si="543"/>
        <v>0.65225574920989482</v>
      </c>
      <c r="T659" s="16"/>
      <c r="U659" s="41"/>
      <c r="V659" s="10">
        <f t="shared" si="558"/>
        <v>551</v>
      </c>
      <c r="W659" s="34">
        <v>1791</v>
      </c>
      <c r="X659" s="33">
        <v>4256</v>
      </c>
      <c r="Y659" s="33"/>
      <c r="Z659" s="33">
        <f t="shared" si="544"/>
        <v>5356</v>
      </c>
      <c r="AA659" s="33">
        <f t="shared" si="545"/>
        <v>765288</v>
      </c>
      <c r="AB659" s="33"/>
      <c r="AC659" s="46">
        <f t="shared" si="546"/>
        <v>1.5175960314945478E-2</v>
      </c>
      <c r="AD659" s="33"/>
      <c r="AE659" s="33">
        <f t="shared" si="547"/>
        <v>1177.3661538461538</v>
      </c>
      <c r="AF659" s="50"/>
      <c r="AG659" s="33"/>
      <c r="AH659" s="33"/>
      <c r="AI659" s="213"/>
      <c r="AJ659" s="50"/>
      <c r="AL659" s="23">
        <f t="shared" si="548"/>
        <v>83181</v>
      </c>
      <c r="AM659" s="24"/>
      <c r="AN659" s="24"/>
      <c r="AO659" s="24">
        <v>178263</v>
      </c>
      <c r="AP659" s="24">
        <v>41408291</v>
      </c>
      <c r="AQ659" s="24">
        <v>20336656</v>
      </c>
      <c r="AR659" s="461">
        <f t="shared" si="549"/>
        <v>2.012844006948802E-3</v>
      </c>
      <c r="AS659" s="25"/>
      <c r="AT659" s="25"/>
      <c r="AU659" s="24"/>
      <c r="AV659" s="298">
        <f t="shared" si="550"/>
        <v>0.82114260373312264</v>
      </c>
      <c r="AW659" s="298"/>
      <c r="AX659" s="24">
        <f t="shared" si="551"/>
        <v>63705.063076923077</v>
      </c>
      <c r="AY659" s="308"/>
      <c r="BA659" s="65">
        <f t="shared" si="552"/>
        <v>2389885</v>
      </c>
      <c r="BB659" s="66"/>
      <c r="BC659" s="66">
        <v>809008481</v>
      </c>
      <c r="BD659" s="66"/>
      <c r="BE659" s="66">
        <f t="shared" si="553"/>
        <v>475831</v>
      </c>
      <c r="BF659" s="66"/>
      <c r="BG659" s="144">
        <f t="shared" si="554"/>
        <v>0.19910204884335439</v>
      </c>
      <c r="BH659" s="66"/>
      <c r="BI659" s="170"/>
      <c r="BJ659" s="66"/>
      <c r="BK659" s="66"/>
      <c r="BL659" s="66"/>
      <c r="BM659" s="144"/>
      <c r="BN659" s="65">
        <f t="shared" si="555"/>
        <v>1244628.4323076922</v>
      </c>
      <c r="BO659" s="66"/>
      <c r="BP659" s="66">
        <f t="shared" si="556"/>
        <v>49520671</v>
      </c>
      <c r="BQ659" s="66"/>
      <c r="BR659" s="435">
        <f t="shared" si="557"/>
        <v>6.1211559783388721E-2</v>
      </c>
      <c r="BS659" s="66"/>
      <c r="BT659" s="75"/>
      <c r="BU659" s="170"/>
      <c r="BV659" s="1"/>
      <c r="BW659" s="61">
        <f t="shared" si="399"/>
        <v>650</v>
      </c>
    </row>
    <row r="660" spans="2:85" x14ac:dyDescent="0.3">
      <c r="B660" s="158">
        <f t="shared" si="537"/>
        <v>44560</v>
      </c>
      <c r="C660" s="61"/>
      <c r="D660" s="17">
        <v>572029</v>
      </c>
      <c r="E660" s="16"/>
      <c r="F660" s="16"/>
      <c r="G660" s="16"/>
      <c r="H660" s="16">
        <f t="shared" si="538"/>
        <v>50999678</v>
      </c>
      <c r="I660" s="16"/>
      <c r="J660" s="436">
        <f t="shared" si="539"/>
        <v>1.1343558768722294E-2</v>
      </c>
      <c r="K660" s="16"/>
      <c r="L660" s="16"/>
      <c r="M660" s="16"/>
      <c r="N660" s="16">
        <f t="shared" si="540"/>
        <v>2025282</v>
      </c>
      <c r="O660" s="16">
        <f t="shared" si="541"/>
        <v>78340.519201228875</v>
      </c>
      <c r="P660" s="41"/>
      <c r="Q660" s="17">
        <f t="shared" si="542"/>
        <v>2025282</v>
      </c>
      <c r="R660" s="16"/>
      <c r="S660" s="60">
        <f t="shared" si="543"/>
        <v>0.7568509816610296</v>
      </c>
      <c r="T660" s="16"/>
      <c r="U660" s="41"/>
      <c r="V660" s="10">
        <f t="shared" si="558"/>
        <v>552</v>
      </c>
      <c r="W660" s="34">
        <v>1362</v>
      </c>
      <c r="X660" s="33">
        <v>4256</v>
      </c>
      <c r="Y660" s="33"/>
      <c r="Z660" s="33">
        <f t="shared" si="544"/>
        <v>5971</v>
      </c>
      <c r="AA660" s="33">
        <f t="shared" si="545"/>
        <v>766650</v>
      </c>
      <c r="AB660" s="33"/>
      <c r="AC660" s="46">
        <f t="shared" si="546"/>
        <v>1.5032447851925654E-2</v>
      </c>
      <c r="AD660" s="33"/>
      <c r="AE660" s="33">
        <f t="shared" si="547"/>
        <v>1177.6497695852534</v>
      </c>
      <c r="AF660" s="50"/>
      <c r="AG660" s="33"/>
      <c r="AH660" s="33"/>
      <c r="AI660" s="213"/>
      <c r="AJ660" s="50"/>
      <c r="AL660" s="23">
        <f t="shared" si="548"/>
        <v>59369</v>
      </c>
      <c r="AM660" s="24"/>
      <c r="AN660" s="24"/>
      <c r="AO660" s="24">
        <v>178263</v>
      </c>
      <c r="AP660" s="24">
        <v>41467660</v>
      </c>
      <c r="AQ660" s="24">
        <v>20336656</v>
      </c>
      <c r="AR660" s="461">
        <f t="shared" si="549"/>
        <v>1.4337466861407055E-3</v>
      </c>
      <c r="AS660" s="25"/>
      <c r="AT660" s="25"/>
      <c r="AU660" s="24"/>
      <c r="AV660" s="298">
        <f t="shared" si="550"/>
        <v>0.8130965062171569</v>
      </c>
      <c r="AW660" s="298"/>
      <c r="AX660" s="24">
        <f t="shared" si="551"/>
        <v>63698.4024577573</v>
      </c>
      <c r="AY660" s="308"/>
      <c r="BA660" s="65">
        <f t="shared" si="552"/>
        <v>2314597</v>
      </c>
      <c r="BB660" s="66"/>
      <c r="BC660" s="66">
        <v>811323078</v>
      </c>
      <c r="BD660" s="66"/>
      <c r="BE660" s="66">
        <f t="shared" si="553"/>
        <v>572029</v>
      </c>
      <c r="BF660" s="66"/>
      <c r="BG660" s="144">
        <f t="shared" si="554"/>
        <v>0.24713978286500846</v>
      </c>
      <c r="BH660" s="66"/>
      <c r="BI660" s="170"/>
      <c r="BJ660" s="66"/>
      <c r="BK660" s="66"/>
      <c r="BL660" s="66"/>
      <c r="BM660" s="144"/>
      <c r="BN660" s="65">
        <f t="shared" si="555"/>
        <v>1246272.0092165899</v>
      </c>
      <c r="BO660" s="66"/>
      <c r="BP660" s="66">
        <f t="shared" si="556"/>
        <v>50092700</v>
      </c>
      <c r="BQ660" s="66"/>
      <c r="BR660" s="435">
        <f t="shared" si="557"/>
        <v>6.1741988313070026E-2</v>
      </c>
      <c r="BS660" s="66"/>
      <c r="BT660" s="75"/>
      <c r="BU660" s="170"/>
      <c r="BV660" s="1"/>
      <c r="BW660" s="61">
        <f t="shared" si="399"/>
        <v>651</v>
      </c>
    </row>
    <row r="661" spans="2:85" x14ac:dyDescent="0.3">
      <c r="B661" s="158">
        <f t="shared" si="537"/>
        <v>44561</v>
      </c>
      <c r="C661" s="61"/>
      <c r="D661" s="17">
        <v>443677</v>
      </c>
      <c r="E661" s="16"/>
      <c r="F661" s="16"/>
      <c r="G661" s="16"/>
      <c r="H661" s="16">
        <f t="shared" si="538"/>
        <v>51443355</v>
      </c>
      <c r="I661" s="16"/>
      <c r="J661" s="436">
        <f t="shared" si="539"/>
        <v>8.6996039465190352E-3</v>
      </c>
      <c r="K661" s="16"/>
      <c r="L661" s="16"/>
      <c r="M661" s="16"/>
      <c r="N661" s="16">
        <f t="shared" si="540"/>
        <v>2252617</v>
      </c>
      <c r="O661" s="16">
        <f t="shared" si="541"/>
        <v>78900.851226993866</v>
      </c>
      <c r="P661" s="41"/>
      <c r="Q661" s="17">
        <f t="shared" si="542"/>
        <v>2252617</v>
      </c>
      <c r="R661" s="16"/>
      <c r="S661" s="60">
        <f t="shared" si="543"/>
        <v>0.86873105441561738</v>
      </c>
      <c r="T661" s="16"/>
      <c r="U661" s="41"/>
      <c r="V661" s="10">
        <f t="shared" si="558"/>
        <v>553</v>
      </c>
      <c r="W661" s="34">
        <v>716</v>
      </c>
      <c r="X661" s="33">
        <v>4256</v>
      </c>
      <c r="Y661" s="33"/>
      <c r="Z661" s="33">
        <f t="shared" si="544"/>
        <v>6556</v>
      </c>
      <c r="AA661" s="33">
        <f t="shared" si="545"/>
        <v>767366</v>
      </c>
      <c r="AB661" s="33"/>
      <c r="AC661" s="46">
        <f t="shared" si="546"/>
        <v>1.4916717620769486E-2</v>
      </c>
      <c r="AD661" s="33"/>
      <c r="AE661" s="33">
        <f t="shared" si="547"/>
        <v>1176.9417177914111</v>
      </c>
      <c r="AF661" s="50"/>
      <c r="AG661" s="33"/>
      <c r="AH661" s="33"/>
      <c r="AI661" s="213"/>
      <c r="AJ661" s="50"/>
      <c r="AL661" s="23">
        <f t="shared" si="548"/>
        <v>35079</v>
      </c>
      <c r="AM661" s="24"/>
      <c r="AN661" s="24"/>
      <c r="AO661" s="24">
        <v>178263</v>
      </c>
      <c r="AP661" s="24">
        <v>41502739</v>
      </c>
      <c r="AQ661" s="24">
        <v>20336656</v>
      </c>
      <c r="AR661" s="461">
        <f t="shared" si="549"/>
        <v>8.4593632724875244E-4</v>
      </c>
      <c r="AS661" s="25"/>
      <c r="AT661" s="25"/>
      <c r="AU661" s="24"/>
      <c r="AV661" s="298">
        <f t="shared" si="550"/>
        <v>0.80676579122804104</v>
      </c>
      <c r="AW661" s="298"/>
      <c r="AX661" s="24">
        <f t="shared" si="551"/>
        <v>63654.50766871166</v>
      </c>
      <c r="AY661" s="308"/>
      <c r="BA661" s="65">
        <f t="shared" si="552"/>
        <v>1421158</v>
      </c>
      <c r="BB661" s="66"/>
      <c r="BC661" s="66">
        <v>812744236</v>
      </c>
      <c r="BD661" s="66"/>
      <c r="BE661" s="66">
        <f t="shared" si="553"/>
        <v>443677</v>
      </c>
      <c r="BF661" s="66"/>
      <c r="BG661" s="144">
        <f t="shared" si="554"/>
        <v>0.31219399954121918</v>
      </c>
      <c r="BH661" s="66"/>
      <c r="BI661" s="170"/>
      <c r="BJ661" s="66"/>
      <c r="BK661" s="66"/>
      <c r="BL661" s="66"/>
      <c r="BM661" s="144"/>
      <c r="BN661" s="65">
        <f t="shared" si="555"/>
        <v>1246540.2392638037</v>
      </c>
      <c r="BO661" s="66"/>
      <c r="BP661" s="66">
        <f t="shared" si="556"/>
        <v>50536377</v>
      </c>
      <c r="BQ661" s="66"/>
      <c r="BR661" s="435">
        <f t="shared" si="557"/>
        <v>6.2179926674989054E-2</v>
      </c>
      <c r="BS661" s="66"/>
      <c r="BT661" s="75"/>
      <c r="BU661" s="170"/>
      <c r="BV661" s="1"/>
      <c r="BW661" s="61">
        <f t="shared" si="399"/>
        <v>652</v>
      </c>
    </row>
    <row r="662" spans="2:85" x14ac:dyDescent="0.3">
      <c r="B662" s="158">
        <f t="shared" si="537"/>
        <v>44562</v>
      </c>
      <c r="C662" s="61"/>
      <c r="D662" s="17">
        <v>161398</v>
      </c>
      <c r="E662" s="16"/>
      <c r="F662" s="16"/>
      <c r="G662" s="16"/>
      <c r="H662" s="16">
        <f t="shared" si="538"/>
        <v>51604753</v>
      </c>
      <c r="I662" s="16"/>
      <c r="J662" s="436">
        <f t="shared" si="539"/>
        <v>3.1373925748038791E-3</v>
      </c>
      <c r="K662" s="16"/>
      <c r="L662" s="16"/>
      <c r="M662" s="16"/>
      <c r="N662" s="16">
        <f t="shared" si="540"/>
        <v>2292768</v>
      </c>
      <c r="O662" s="16">
        <f t="shared" si="541"/>
        <v>79027.186830015315</v>
      </c>
      <c r="P662" s="41"/>
      <c r="Q662" s="17">
        <f t="shared" si="542"/>
        <v>2292768</v>
      </c>
      <c r="R662" s="16"/>
      <c r="S662" s="60">
        <f t="shared" si="543"/>
        <v>0.84789026628270503</v>
      </c>
      <c r="T662" s="16"/>
      <c r="U662" s="41"/>
      <c r="V662" s="10">
        <f t="shared" si="558"/>
        <v>554</v>
      </c>
      <c r="W662" s="34">
        <v>257</v>
      </c>
      <c r="X662" s="33">
        <v>4256</v>
      </c>
      <c r="Y662" s="33"/>
      <c r="Z662" s="33">
        <f t="shared" si="544"/>
        <v>6761</v>
      </c>
      <c r="AA662" s="33">
        <f t="shared" si="545"/>
        <v>767623</v>
      </c>
      <c r="AB662" s="33"/>
      <c r="AC662" s="46">
        <f t="shared" si="546"/>
        <v>1.4875044552582201E-2</v>
      </c>
      <c r="AD662" s="33"/>
      <c r="AE662" s="33">
        <f t="shared" si="547"/>
        <v>1175.5329249617153</v>
      </c>
      <c r="AF662" s="50"/>
      <c r="AG662" s="33"/>
      <c r="AH662" s="33"/>
      <c r="AI662" s="213"/>
      <c r="AJ662" s="50"/>
      <c r="AL662" s="23">
        <f t="shared" si="548"/>
        <v>15733</v>
      </c>
      <c r="AM662" s="24"/>
      <c r="AN662" s="24"/>
      <c r="AO662" s="24">
        <v>178263</v>
      </c>
      <c r="AP662" s="24">
        <v>41518472</v>
      </c>
      <c r="AQ662" s="24">
        <v>20336656</v>
      </c>
      <c r="AR662" s="461">
        <f t="shared" si="549"/>
        <v>3.790834142296006E-4</v>
      </c>
      <c r="AS662" s="25"/>
      <c r="AT662" s="25"/>
      <c r="AU662" s="24"/>
      <c r="AV662" s="298">
        <f t="shared" si="550"/>
        <v>0.80454744158934355</v>
      </c>
      <c r="AW662" s="298"/>
      <c r="AX662" s="24">
        <f t="shared" si="551"/>
        <v>63581.12098009188</v>
      </c>
      <c r="AY662" s="308"/>
      <c r="BA662" s="65">
        <f t="shared" si="552"/>
        <v>475983</v>
      </c>
      <c r="BB662" s="66"/>
      <c r="BC662" s="66">
        <v>813220219</v>
      </c>
      <c r="BD662" s="66"/>
      <c r="BE662" s="66">
        <f t="shared" si="553"/>
        <v>161398</v>
      </c>
      <c r="BF662" s="66"/>
      <c r="BG662" s="144">
        <f t="shared" si="554"/>
        <v>0.33908353869781066</v>
      </c>
      <c r="BH662" s="66"/>
      <c r="BI662" s="170"/>
      <c r="BJ662" s="66"/>
      <c r="BK662" s="66"/>
      <c r="BL662" s="66"/>
      <c r="BM662" s="144"/>
      <c r="BN662" s="65">
        <f t="shared" si="555"/>
        <v>1245360.2128637061</v>
      </c>
      <c r="BO662" s="66"/>
      <c r="BP662" s="66">
        <f t="shared" si="556"/>
        <v>50697775</v>
      </c>
      <c r="BQ662" s="66"/>
      <c r="BR662" s="435">
        <f t="shared" si="557"/>
        <v>6.2342000131701103E-2</v>
      </c>
      <c r="BS662" s="66"/>
      <c r="BT662" s="75"/>
      <c r="BU662" s="170"/>
      <c r="BV662" s="1"/>
      <c r="BW662" s="61">
        <f t="shared" si="399"/>
        <v>653</v>
      </c>
      <c r="CA662" s="56">
        <f>+BA662</f>
        <v>475983</v>
      </c>
      <c r="CC662" s="56">
        <f>+BE662</f>
        <v>161398</v>
      </c>
      <c r="CG662" s="59">
        <f>+CC662/CA662</f>
        <v>0.33908353869781066</v>
      </c>
    </row>
    <row r="663" spans="2:85" x14ac:dyDescent="0.3">
      <c r="B663" s="347">
        <f t="shared" si="537"/>
        <v>44563</v>
      </c>
      <c r="C663" s="61"/>
      <c r="D663" s="17">
        <v>185122</v>
      </c>
      <c r="E663" s="16"/>
      <c r="F663" s="16"/>
      <c r="G663" s="16"/>
      <c r="H663" s="16">
        <f t="shared" si="538"/>
        <v>51789875</v>
      </c>
      <c r="I663" s="16"/>
      <c r="J663" s="436">
        <f t="shared" si="539"/>
        <v>3.587305223609926E-3</v>
      </c>
      <c r="K663" s="16"/>
      <c r="L663" s="16"/>
      <c r="M663" s="16"/>
      <c r="N663" s="16">
        <f t="shared" si="540"/>
        <v>2381506</v>
      </c>
      <c r="O663" s="16">
        <f t="shared" si="541"/>
        <v>79189.411314984711</v>
      </c>
      <c r="P663" s="41"/>
      <c r="Q663" s="17">
        <f t="shared" si="542"/>
        <v>2381506</v>
      </c>
      <c r="R663" s="16"/>
      <c r="S663" s="60">
        <f t="shared" si="543"/>
        <v>0.87463770739824709</v>
      </c>
      <c r="T663" s="16"/>
      <c r="U663" s="41"/>
      <c r="V663" s="10">
        <f t="shared" si="558"/>
        <v>555</v>
      </c>
      <c r="W663" s="34">
        <v>161</v>
      </c>
      <c r="X663" s="33">
        <v>4256</v>
      </c>
      <c r="Y663" s="33"/>
      <c r="Z663" s="33">
        <f t="shared" si="544"/>
        <v>6099</v>
      </c>
      <c r="AA663" s="33">
        <f t="shared" si="545"/>
        <v>767784</v>
      </c>
      <c r="AB663" s="33"/>
      <c r="AC663" s="46">
        <f t="shared" si="546"/>
        <v>1.4824982682425861E-2</v>
      </c>
      <c r="AD663" s="33"/>
      <c r="AE663" s="33">
        <f t="shared" si="547"/>
        <v>1173.9816513761468</v>
      </c>
      <c r="AF663" s="50"/>
      <c r="AG663" s="33"/>
      <c r="AH663" s="33"/>
      <c r="AI663" s="213"/>
      <c r="AJ663" s="50"/>
      <c r="AL663" s="23">
        <f t="shared" si="548"/>
        <v>24588</v>
      </c>
      <c r="AM663" s="24"/>
      <c r="AN663" s="24"/>
      <c r="AO663" s="24">
        <v>178263</v>
      </c>
      <c r="AP663" s="24">
        <v>41543060</v>
      </c>
      <c r="AQ663" s="24">
        <v>20336656</v>
      </c>
      <c r="AR663" s="461">
        <f t="shared" si="549"/>
        <v>5.922183263391774E-4</v>
      </c>
      <c r="AS663" s="25"/>
      <c r="AT663" s="25"/>
      <c r="AU663" s="24"/>
      <c r="AV663" s="298">
        <f t="shared" si="550"/>
        <v>0.80214636548166995</v>
      </c>
      <c r="AW663" s="298"/>
      <c r="AX663" s="24">
        <f t="shared" si="551"/>
        <v>63521.498470948012</v>
      </c>
      <c r="AY663" s="308"/>
      <c r="BA663" s="65">
        <f t="shared" si="552"/>
        <v>605355</v>
      </c>
      <c r="BB663" s="66"/>
      <c r="BC663" s="66">
        <v>813825574</v>
      </c>
      <c r="BD663" s="66"/>
      <c r="BE663" s="66">
        <f t="shared" si="553"/>
        <v>185122</v>
      </c>
      <c r="BF663" s="66"/>
      <c r="BG663" s="144">
        <f t="shared" si="554"/>
        <v>0.30580733619116057</v>
      </c>
      <c r="BH663" s="66"/>
      <c r="BI663" s="170"/>
      <c r="BJ663" s="66"/>
      <c r="BK663" s="66"/>
      <c r="BL663" s="66"/>
      <c r="BM663" s="144"/>
      <c r="BN663" s="65">
        <f t="shared" si="555"/>
        <v>1244381.6116207952</v>
      </c>
      <c r="BO663" s="66"/>
      <c r="BP663" s="66">
        <f t="shared" si="556"/>
        <v>50882897</v>
      </c>
      <c r="BQ663" s="66"/>
      <c r="BR663" s="435">
        <f t="shared" si="557"/>
        <v>6.2523099083637304E-2</v>
      </c>
      <c r="BS663" s="66"/>
      <c r="BT663" s="75"/>
      <c r="BU663" s="170"/>
      <c r="BV663" s="1"/>
      <c r="BW663" s="61">
        <f t="shared" si="399"/>
        <v>654</v>
      </c>
      <c r="CA663" s="56">
        <f t="shared" ref="CA663:CA691" si="559">+BA663</f>
        <v>605355</v>
      </c>
      <c r="CC663" s="56">
        <f t="shared" ref="CC663:CC691" si="560">+BE663</f>
        <v>185122</v>
      </c>
      <c r="CG663" s="59">
        <f t="shared" ref="CG663:CG693" si="561">+CC663/CA663</f>
        <v>0.30580733619116057</v>
      </c>
    </row>
    <row r="664" spans="2:85" x14ac:dyDescent="0.3">
      <c r="B664" s="158">
        <f t="shared" si="537"/>
        <v>44564</v>
      </c>
      <c r="C664" s="61"/>
      <c r="D664" s="17">
        <v>515250</v>
      </c>
      <c r="E664" s="16"/>
      <c r="F664" s="16"/>
      <c r="G664" s="16"/>
      <c r="H664" s="16">
        <f t="shared" si="538"/>
        <v>52305125</v>
      </c>
      <c r="I664" s="16"/>
      <c r="J664" s="436">
        <f t="shared" si="539"/>
        <v>9.9488558333071866E-3</v>
      </c>
      <c r="K664" s="16"/>
      <c r="L664" s="16"/>
      <c r="M664" s="16"/>
      <c r="N664" s="16">
        <f t="shared" si="540"/>
        <v>2667740</v>
      </c>
      <c r="O664" s="16">
        <f t="shared" si="541"/>
        <v>79855.152671755728</v>
      </c>
      <c r="P664" s="41"/>
      <c r="Q664" s="17">
        <f t="shared" si="542"/>
        <v>2667740</v>
      </c>
      <c r="R664" s="16"/>
      <c r="S664" s="60">
        <f t="shared" si="543"/>
        <v>0.96755141355943208</v>
      </c>
      <c r="T664" s="16"/>
      <c r="U664" s="41"/>
      <c r="V664" s="10">
        <f t="shared" si="558"/>
        <v>556</v>
      </c>
      <c r="W664" s="34">
        <v>884</v>
      </c>
      <c r="X664" s="33">
        <v>4256</v>
      </c>
      <c r="Y664" s="33"/>
      <c r="Z664" s="33">
        <f t="shared" si="544"/>
        <v>5171</v>
      </c>
      <c r="AA664" s="33">
        <f t="shared" si="545"/>
        <v>768668</v>
      </c>
      <c r="AB664" s="33"/>
      <c r="AC664" s="46">
        <f t="shared" si="546"/>
        <v>1.469584481444218E-2</v>
      </c>
      <c r="AD664" s="33"/>
      <c r="AE664" s="33">
        <f t="shared" si="547"/>
        <v>1173.53893129771</v>
      </c>
      <c r="AF664" s="50"/>
      <c r="AG664" s="33"/>
      <c r="AH664" s="33"/>
      <c r="AI664" s="213"/>
      <c r="AJ664" s="50"/>
      <c r="AL664" s="23">
        <f t="shared" si="548"/>
        <v>193671</v>
      </c>
      <c r="AM664" s="24"/>
      <c r="AN664" s="24"/>
      <c r="AO664" s="24">
        <v>178263</v>
      </c>
      <c r="AP664" s="24">
        <v>41736731</v>
      </c>
      <c r="AQ664" s="24">
        <v>20336656</v>
      </c>
      <c r="AR664" s="461">
        <f t="shared" si="549"/>
        <v>4.6619339066501118E-3</v>
      </c>
      <c r="AS664" s="25"/>
      <c r="AT664" s="25"/>
      <c r="AU664" s="24"/>
      <c r="AV664" s="298">
        <f t="shared" si="550"/>
        <v>0.797947256602484</v>
      </c>
      <c r="AW664" s="298"/>
      <c r="AX664" s="24">
        <f t="shared" si="551"/>
        <v>63720.2</v>
      </c>
      <c r="AY664" s="308"/>
      <c r="BA664" s="65">
        <f t="shared" si="552"/>
        <v>5604866</v>
      </c>
      <c r="BB664" s="66"/>
      <c r="BC664" s="66">
        <v>819430440</v>
      </c>
      <c r="BD664" s="66"/>
      <c r="BE664" s="66">
        <f t="shared" si="553"/>
        <v>515250</v>
      </c>
      <c r="BF664" s="66"/>
      <c r="BG664" s="144">
        <f t="shared" si="554"/>
        <v>9.1929048794386875E-2</v>
      </c>
      <c r="BH664" s="66"/>
      <c r="BI664" s="170"/>
      <c r="BJ664" s="66"/>
      <c r="BK664" s="66"/>
      <c r="BL664" s="66"/>
      <c r="BM664" s="144"/>
      <c r="BN664" s="65">
        <f t="shared" si="555"/>
        <v>1251038.8396946564</v>
      </c>
      <c r="BO664" s="66"/>
      <c r="BP664" s="66">
        <f t="shared" si="556"/>
        <v>51398147</v>
      </c>
      <c r="BQ664" s="66"/>
      <c r="BR664" s="435">
        <f t="shared" si="557"/>
        <v>6.272423440847523E-2</v>
      </c>
      <c r="BS664" s="66"/>
      <c r="BT664" s="75"/>
      <c r="BU664" s="170"/>
      <c r="BV664" s="1"/>
      <c r="BW664" s="61">
        <f t="shared" si="399"/>
        <v>655</v>
      </c>
      <c r="CA664" s="56">
        <f t="shared" si="559"/>
        <v>5604866</v>
      </c>
      <c r="CC664" s="56">
        <f t="shared" si="560"/>
        <v>515250</v>
      </c>
      <c r="CG664" s="59">
        <f t="shared" si="561"/>
        <v>9.1929048794386875E-2</v>
      </c>
    </row>
    <row r="665" spans="2:85" x14ac:dyDescent="0.3">
      <c r="B665" s="158">
        <f t="shared" si="537"/>
        <v>44565</v>
      </c>
      <c r="C665" s="61"/>
      <c r="D665" s="17">
        <v>595810</v>
      </c>
      <c r="E665" s="16"/>
      <c r="F665" s="16"/>
      <c r="G665" s="16"/>
      <c r="H665" s="16">
        <f t="shared" si="538"/>
        <v>52900935</v>
      </c>
      <c r="I665" s="16"/>
      <c r="J665" s="436">
        <f t="shared" si="539"/>
        <v>1.1391044376626573E-2</v>
      </c>
      <c r="K665" s="16"/>
      <c r="L665" s="16"/>
      <c r="M665" s="16"/>
      <c r="N665" s="16">
        <f t="shared" si="540"/>
        <v>2949117</v>
      </c>
      <c r="O665" s="16">
        <f t="shared" si="541"/>
        <v>80641.669207317071</v>
      </c>
      <c r="P665" s="41"/>
      <c r="Q665" s="17">
        <f t="shared" si="542"/>
        <v>2949117</v>
      </c>
      <c r="R665" s="16"/>
      <c r="S665" s="60">
        <f t="shared" si="543"/>
        <v>0.99659394180657168</v>
      </c>
      <c r="T665" s="16"/>
      <c r="U665" s="41"/>
      <c r="V665" s="10">
        <f t="shared" si="558"/>
        <v>557</v>
      </c>
      <c r="W665" s="34">
        <v>2016</v>
      </c>
      <c r="X665" s="33">
        <v>4256</v>
      </c>
      <c r="Y665" s="33"/>
      <c r="Z665" s="33">
        <f t="shared" si="544"/>
        <v>5396</v>
      </c>
      <c r="AA665" s="33">
        <f t="shared" si="545"/>
        <v>770684</v>
      </c>
      <c r="AB665" s="33"/>
      <c r="AC665" s="46">
        <f t="shared" si="546"/>
        <v>1.4568438157094955E-2</v>
      </c>
      <c r="AD665" s="33"/>
      <c r="AE665" s="33">
        <f t="shared" si="547"/>
        <v>1174.8231707317073</v>
      </c>
      <c r="AF665" s="50"/>
      <c r="AG665" s="33"/>
      <c r="AH665" s="33"/>
      <c r="AI665" s="213"/>
      <c r="AJ665" s="50"/>
      <c r="AL665" s="23">
        <f t="shared" si="548"/>
        <v>169057</v>
      </c>
      <c r="AM665" s="24"/>
      <c r="AN665" s="24"/>
      <c r="AO665" s="24">
        <v>178263</v>
      </c>
      <c r="AP665" s="24">
        <v>41905788</v>
      </c>
      <c r="AQ665" s="24">
        <v>20336656</v>
      </c>
      <c r="AR665" s="461">
        <f t="shared" si="549"/>
        <v>4.0505568104986468E-3</v>
      </c>
      <c r="AS665" s="25"/>
      <c r="AT665" s="25"/>
      <c r="AU665" s="24"/>
      <c r="AV665" s="298">
        <f t="shared" si="550"/>
        <v>0.7921559042387436</v>
      </c>
      <c r="AW665" s="298"/>
      <c r="AX665" s="24">
        <f t="shared" si="551"/>
        <v>63880.774390243903</v>
      </c>
      <c r="AY665" s="308"/>
      <c r="BA665" s="65">
        <f t="shared" si="552"/>
        <v>4175370</v>
      </c>
      <c r="BB665" s="66"/>
      <c r="BC665" s="66">
        <v>823605810</v>
      </c>
      <c r="BD665" s="66"/>
      <c r="BE665" s="66">
        <f t="shared" si="553"/>
        <v>595810</v>
      </c>
      <c r="BF665" s="66"/>
      <c r="BG665" s="144">
        <f t="shared" si="554"/>
        <v>0.14269633589358549</v>
      </c>
      <c r="BH665" s="66"/>
      <c r="BI665" s="170"/>
      <c r="BJ665" s="66"/>
      <c r="BK665" s="66"/>
      <c r="BL665" s="66"/>
      <c r="BM665" s="144"/>
      <c r="BN665" s="65">
        <f t="shared" si="555"/>
        <v>1255496.6615853659</v>
      </c>
      <c r="BO665" s="66"/>
      <c r="BP665" s="66">
        <f t="shared" si="556"/>
        <v>51993957</v>
      </c>
      <c r="BQ665" s="66"/>
      <c r="BR665" s="435">
        <f t="shared" si="557"/>
        <v>6.3129662720567747E-2</v>
      </c>
      <c r="BS665" s="66"/>
      <c r="BT665" s="75"/>
      <c r="BU665" s="170"/>
      <c r="BV665" s="1"/>
      <c r="BW665" s="61">
        <f t="shared" si="399"/>
        <v>656</v>
      </c>
      <c r="CA665" s="56">
        <f t="shared" si="559"/>
        <v>4175370</v>
      </c>
      <c r="CC665" s="56">
        <f t="shared" si="560"/>
        <v>595810</v>
      </c>
      <c r="CG665" s="59">
        <f t="shared" si="561"/>
        <v>0.14269633589358549</v>
      </c>
    </row>
    <row r="666" spans="2:85" x14ac:dyDescent="0.3">
      <c r="B666" s="158">
        <f t="shared" si="537"/>
        <v>44566</v>
      </c>
      <c r="C666" s="61"/>
      <c r="D666" s="17">
        <v>704661</v>
      </c>
      <c r="E666" s="16"/>
      <c r="F666" s="16"/>
      <c r="G666" s="16"/>
      <c r="H666" s="16">
        <f t="shared" si="538"/>
        <v>53605596</v>
      </c>
      <c r="I666" s="16"/>
      <c r="J666" s="436">
        <f t="shared" si="539"/>
        <v>1.3320388382549382E-2</v>
      </c>
      <c r="K666" s="16"/>
      <c r="L666" s="16"/>
      <c r="M666" s="16"/>
      <c r="N666" s="16">
        <f t="shared" si="540"/>
        <v>3177947</v>
      </c>
      <c r="O666" s="16">
        <f t="shared" si="541"/>
        <v>81591.470319634696</v>
      </c>
      <c r="P666" s="41"/>
      <c r="Q666" s="17">
        <f t="shared" si="542"/>
        <v>3177947</v>
      </c>
      <c r="R666" s="16"/>
      <c r="S666" s="60">
        <f t="shared" si="543"/>
        <v>0.84708303642731686</v>
      </c>
      <c r="T666" s="16"/>
      <c r="U666" s="41"/>
      <c r="V666" s="10">
        <f t="shared" si="558"/>
        <v>558</v>
      </c>
      <c r="W666" s="34">
        <v>1802</v>
      </c>
      <c r="X666" s="33">
        <v>4256</v>
      </c>
      <c r="Y666" s="33"/>
      <c r="Z666" s="33">
        <f t="shared" si="544"/>
        <v>5836</v>
      </c>
      <c r="AA666" s="33">
        <f t="shared" si="545"/>
        <v>772486</v>
      </c>
      <c r="AB666" s="33"/>
      <c r="AC666" s="46">
        <f t="shared" si="546"/>
        <v>1.4410547734605917E-2</v>
      </c>
      <c r="AD666" s="33"/>
      <c r="AE666" s="33">
        <f t="shared" si="547"/>
        <v>1175.7777777777778</v>
      </c>
      <c r="AF666" s="50"/>
      <c r="AG666" s="33"/>
      <c r="AH666" s="33"/>
      <c r="AI666" s="213"/>
      <c r="AJ666" s="50"/>
      <c r="AL666" s="23">
        <f t="shared" si="548"/>
        <v>94108</v>
      </c>
      <c r="AM666" s="24"/>
      <c r="AN666" s="24"/>
      <c r="AO666" s="24">
        <v>178263</v>
      </c>
      <c r="AP666" s="24">
        <v>41999896</v>
      </c>
      <c r="AQ666" s="24">
        <v>20336656</v>
      </c>
      <c r="AR666" s="461">
        <f t="shared" si="549"/>
        <v>2.245704101781835E-3</v>
      </c>
      <c r="AS666" s="25"/>
      <c r="AT666" s="25"/>
      <c r="AU666" s="24"/>
      <c r="AV666" s="298">
        <f t="shared" si="550"/>
        <v>0.78349834968722298</v>
      </c>
      <c r="AW666" s="298"/>
      <c r="AX666" s="24">
        <f t="shared" si="551"/>
        <v>63926.782343987827</v>
      </c>
      <c r="AY666" s="308"/>
      <c r="BA666" s="65">
        <f t="shared" si="552"/>
        <v>2980208</v>
      </c>
      <c r="BB666" s="66"/>
      <c r="BC666" s="66">
        <v>826586018</v>
      </c>
      <c r="BD666" s="66"/>
      <c r="BE666" s="66">
        <f t="shared" si="553"/>
        <v>704661</v>
      </c>
      <c r="BF666" s="66"/>
      <c r="BG666" s="144">
        <f t="shared" si="554"/>
        <v>0.2364469191412143</v>
      </c>
      <c r="BH666" s="66"/>
      <c r="BI666" s="170"/>
      <c r="BJ666" s="66"/>
      <c r="BK666" s="66"/>
      <c r="BL666" s="66"/>
      <c r="BM666" s="144"/>
      <c r="BN666" s="65">
        <f t="shared" si="555"/>
        <v>1258121.7929984778</v>
      </c>
      <c r="BO666" s="66"/>
      <c r="BP666" s="66">
        <f t="shared" si="556"/>
        <v>52698618</v>
      </c>
      <c r="BQ666" s="66"/>
      <c r="BR666" s="435">
        <f t="shared" si="557"/>
        <v>6.3754548047533027E-2</v>
      </c>
      <c r="BS666" s="66"/>
      <c r="BT666" s="75"/>
      <c r="BU666" s="170"/>
      <c r="BV666" s="1"/>
      <c r="BW666" s="61">
        <f t="shared" si="399"/>
        <v>657</v>
      </c>
      <c r="CA666" s="56">
        <f t="shared" si="559"/>
        <v>2980208</v>
      </c>
      <c r="CC666" s="56">
        <f t="shared" si="560"/>
        <v>704661</v>
      </c>
      <c r="CG666" s="59">
        <f t="shared" si="561"/>
        <v>0.2364469191412143</v>
      </c>
    </row>
    <row r="667" spans="2:85" x14ac:dyDescent="0.3">
      <c r="B667" s="158">
        <f t="shared" si="537"/>
        <v>44567</v>
      </c>
      <c r="C667" s="61"/>
      <c r="D667" s="17">
        <v>751512</v>
      </c>
      <c r="E667" s="16"/>
      <c r="F667" s="16"/>
      <c r="G667" s="16"/>
      <c r="H667" s="16">
        <f t="shared" si="538"/>
        <v>54357108</v>
      </c>
      <c r="I667" s="16"/>
      <c r="J667" s="436">
        <f t="shared" si="539"/>
        <v>1.401928261370324E-2</v>
      </c>
      <c r="K667" s="16"/>
      <c r="L667" s="16"/>
      <c r="M667" s="16"/>
      <c r="N667" s="16">
        <f t="shared" si="540"/>
        <v>3357430</v>
      </c>
      <c r="O667" s="16">
        <f t="shared" si="541"/>
        <v>82609.586626139819</v>
      </c>
      <c r="P667" s="41"/>
      <c r="Q667" s="17">
        <f t="shared" si="542"/>
        <v>3357430</v>
      </c>
      <c r="R667" s="16"/>
      <c r="S667" s="60">
        <f t="shared" si="543"/>
        <v>0.65775926512949801</v>
      </c>
      <c r="T667" s="16"/>
      <c r="U667" s="41"/>
      <c r="V667" s="10">
        <f t="shared" si="558"/>
        <v>559</v>
      </c>
      <c r="W667" s="34">
        <v>2143</v>
      </c>
      <c r="X667" s="33">
        <v>4256</v>
      </c>
      <c r="Y667" s="33"/>
      <c r="Z667" s="33">
        <f t="shared" si="544"/>
        <v>7263</v>
      </c>
      <c r="AA667" s="33">
        <f t="shared" si="545"/>
        <v>774629</v>
      </c>
      <c r="AB667" s="33"/>
      <c r="AC667" s="46">
        <f t="shared" si="546"/>
        <v>1.4250739756059134E-2</v>
      </c>
      <c r="AD667" s="33"/>
      <c r="AE667" s="33">
        <f t="shared" si="547"/>
        <v>1177.2477203647416</v>
      </c>
      <c r="AF667" s="50"/>
      <c r="AG667" s="33"/>
      <c r="AH667" s="33"/>
      <c r="AI667" s="213"/>
      <c r="AJ667" s="50"/>
      <c r="AL667" s="23">
        <f t="shared" si="548"/>
        <v>89302</v>
      </c>
      <c r="AM667" s="24"/>
      <c r="AN667" s="24"/>
      <c r="AO667" s="24">
        <v>178263</v>
      </c>
      <c r="AP667" s="24">
        <v>42089198</v>
      </c>
      <c r="AQ667" s="24">
        <v>20336656</v>
      </c>
      <c r="AR667" s="461">
        <f t="shared" si="549"/>
        <v>2.126243360221654E-3</v>
      </c>
      <c r="AS667" s="25"/>
      <c r="AT667" s="25"/>
      <c r="AU667" s="24"/>
      <c r="AV667" s="298">
        <f t="shared" si="550"/>
        <v>0.77430900113376155</v>
      </c>
      <c r="AW667" s="298"/>
      <c r="AX667" s="24">
        <f t="shared" si="551"/>
        <v>63965.346504559267</v>
      </c>
      <c r="AY667" s="308"/>
      <c r="BA667" s="65">
        <f t="shared" si="552"/>
        <v>2851377</v>
      </c>
      <c r="BB667" s="66"/>
      <c r="BC667" s="66">
        <v>829437395</v>
      </c>
      <c r="BD667" s="66"/>
      <c r="BE667" s="66">
        <f t="shared" si="553"/>
        <v>751512</v>
      </c>
      <c r="BF667" s="66"/>
      <c r="BG667" s="144">
        <f t="shared" si="554"/>
        <v>0.26356107943635654</v>
      </c>
      <c r="BH667" s="66"/>
      <c r="BI667" s="170"/>
      <c r="BJ667" s="66"/>
      <c r="BK667" s="66"/>
      <c r="BL667" s="66"/>
      <c r="BM667" s="144"/>
      <c r="BN667" s="65">
        <f t="shared" si="555"/>
        <v>1260543.1534954407</v>
      </c>
      <c r="BO667" s="66"/>
      <c r="BP667" s="66">
        <f t="shared" si="556"/>
        <v>53450130</v>
      </c>
      <c r="BQ667" s="66"/>
      <c r="BR667" s="435">
        <f t="shared" si="557"/>
        <v>6.4441427794559469E-2</v>
      </c>
      <c r="BS667" s="66"/>
      <c r="BT667" s="75"/>
      <c r="BU667" s="170"/>
      <c r="BV667" s="1"/>
      <c r="BW667" s="61">
        <f t="shared" si="399"/>
        <v>658</v>
      </c>
      <c r="CA667" s="56">
        <f t="shared" si="559"/>
        <v>2851377</v>
      </c>
      <c r="CC667" s="56">
        <f t="shared" si="560"/>
        <v>751512</v>
      </c>
      <c r="CG667" s="59">
        <f t="shared" si="561"/>
        <v>0.26356107943635654</v>
      </c>
    </row>
    <row r="668" spans="2:85" x14ac:dyDescent="0.3">
      <c r="B668" s="158">
        <f t="shared" si="537"/>
        <v>44568</v>
      </c>
      <c r="C668" s="61"/>
      <c r="D668" s="17">
        <v>849181</v>
      </c>
      <c r="E668" s="16"/>
      <c r="F668" s="16"/>
      <c r="G668" s="16"/>
      <c r="H668" s="16">
        <f t="shared" si="538"/>
        <v>55206289</v>
      </c>
      <c r="I668" s="16"/>
      <c r="J668" s="436">
        <f t="shared" si="539"/>
        <v>1.5622262317561118E-2</v>
      </c>
      <c r="K668" s="16"/>
      <c r="L668" s="16"/>
      <c r="M668" s="16"/>
      <c r="N668" s="16">
        <f t="shared" si="540"/>
        <v>3762934</v>
      </c>
      <c r="O668" s="16">
        <f t="shared" si="541"/>
        <v>83772.820940819423</v>
      </c>
      <c r="P668" s="41"/>
      <c r="Q668" s="17">
        <f t="shared" si="542"/>
        <v>3762934</v>
      </c>
      <c r="R668" s="16"/>
      <c r="S668" s="60">
        <f t="shared" si="543"/>
        <v>0.67047216637360008</v>
      </c>
      <c r="T668" s="16"/>
      <c r="U668" s="41"/>
      <c r="V668" s="10">
        <f t="shared" si="558"/>
        <v>560</v>
      </c>
      <c r="W668" s="34">
        <v>2025</v>
      </c>
      <c r="X668" s="33">
        <v>4256</v>
      </c>
      <c r="Y668" s="33"/>
      <c r="Z668" s="33">
        <f t="shared" si="544"/>
        <v>9031</v>
      </c>
      <c r="AA668" s="33">
        <f t="shared" si="545"/>
        <v>776654</v>
      </c>
      <c r="AB668" s="33"/>
      <c r="AC668" s="46">
        <f t="shared" si="546"/>
        <v>1.4068216032416161E-2</v>
      </c>
      <c r="AD668" s="33"/>
      <c r="AE668" s="33">
        <f t="shared" si="547"/>
        <v>1178.5341426403643</v>
      </c>
      <c r="AF668" s="50"/>
      <c r="AG668" s="33"/>
      <c r="AH668" s="33"/>
      <c r="AI668" s="213"/>
      <c r="AJ668" s="50"/>
      <c r="AL668" s="23">
        <f t="shared" si="548"/>
        <v>83053</v>
      </c>
      <c r="AM668" s="24"/>
      <c r="AN668" s="24"/>
      <c r="AO668" s="24">
        <v>178263</v>
      </c>
      <c r="AP668" s="24">
        <v>42172251</v>
      </c>
      <c r="AQ668" s="24">
        <v>20336656</v>
      </c>
      <c r="AR668" s="461">
        <f t="shared" si="549"/>
        <v>1.9732616430467504E-3</v>
      </c>
      <c r="AS668" s="25"/>
      <c r="AT668" s="25"/>
      <c r="AU668" s="24"/>
      <c r="AV668" s="298">
        <f t="shared" si="550"/>
        <v>0.76390302199084603</v>
      </c>
      <c r="AW668" s="298"/>
      <c r="AX668" s="24">
        <f t="shared" si="551"/>
        <v>63994.311077389983</v>
      </c>
      <c r="AY668" s="308"/>
      <c r="BA668" s="65">
        <f t="shared" si="552"/>
        <v>3142131</v>
      </c>
      <c r="BB668" s="66"/>
      <c r="BC668" s="66">
        <v>832579526</v>
      </c>
      <c r="BD668" s="66"/>
      <c r="BE668" s="66">
        <f t="shared" si="553"/>
        <v>849181</v>
      </c>
      <c r="BF668" s="66"/>
      <c r="BG668" s="144">
        <f t="shared" si="554"/>
        <v>0.27025639605732543</v>
      </c>
      <c r="BH668" s="66"/>
      <c r="BI668" s="170"/>
      <c r="BJ668" s="66"/>
      <c r="BK668" s="66"/>
      <c r="BL668" s="66"/>
      <c r="BM668" s="144"/>
      <c r="BN668" s="65">
        <f t="shared" si="555"/>
        <v>1263398.3702579667</v>
      </c>
      <c r="BO668" s="66"/>
      <c r="BP668" s="66">
        <f t="shared" si="556"/>
        <v>54299311</v>
      </c>
      <c r="BQ668" s="66"/>
      <c r="BR668" s="435">
        <f t="shared" si="557"/>
        <v>6.5218167519531342E-2</v>
      </c>
      <c r="BS668" s="66"/>
      <c r="BT668" s="75"/>
      <c r="BU668" s="170"/>
      <c r="BV668" s="1"/>
      <c r="BW668" s="61">
        <f t="shared" si="399"/>
        <v>659</v>
      </c>
      <c r="CA668" s="56">
        <f t="shared" si="559"/>
        <v>3142131</v>
      </c>
      <c r="CC668" s="56">
        <f t="shared" si="560"/>
        <v>849181</v>
      </c>
      <c r="CG668" s="59">
        <f t="shared" si="561"/>
        <v>0.27025639605732543</v>
      </c>
    </row>
    <row r="669" spans="2:85" x14ac:dyDescent="0.3">
      <c r="B669" s="158">
        <f t="shared" si="537"/>
        <v>44569</v>
      </c>
      <c r="C669" s="61"/>
      <c r="D669" s="17">
        <v>468081</v>
      </c>
      <c r="E669" s="16"/>
      <c r="F669" s="16"/>
      <c r="G669" s="16"/>
      <c r="H669" s="16">
        <f t="shared" si="538"/>
        <v>55674370</v>
      </c>
      <c r="I669" s="16"/>
      <c r="J669" s="436">
        <f t="shared" si="539"/>
        <v>8.4787622656541904E-3</v>
      </c>
      <c r="K669" s="16"/>
      <c r="L669" s="16"/>
      <c r="M669" s="16"/>
      <c r="N669" s="16">
        <f t="shared" si="540"/>
        <v>4069617</v>
      </c>
      <c r="O669" s="16">
        <f t="shared" si="541"/>
        <v>84355.106060606064</v>
      </c>
      <c r="P669" s="41"/>
      <c r="Q669" s="17">
        <f t="shared" si="542"/>
        <v>4069617</v>
      </c>
      <c r="R669" s="16"/>
      <c r="S669" s="60">
        <f t="shared" si="543"/>
        <v>0.77497984968387557</v>
      </c>
      <c r="T669" s="16"/>
      <c r="U669" s="41"/>
      <c r="V669" s="10">
        <f t="shared" si="558"/>
        <v>561</v>
      </c>
      <c r="W669" s="34">
        <v>669</v>
      </c>
      <c r="X669" s="33">
        <v>4256</v>
      </c>
      <c r="Y669" s="33"/>
      <c r="Z669" s="33">
        <f t="shared" si="544"/>
        <v>9539</v>
      </c>
      <c r="AA669" s="33">
        <f t="shared" si="545"/>
        <v>777323</v>
      </c>
      <c r="AB669" s="33"/>
      <c r="AC669" s="46">
        <f t="shared" si="546"/>
        <v>1.3961954127186352E-2</v>
      </c>
      <c r="AD669" s="33"/>
      <c r="AE669" s="33">
        <f t="shared" si="547"/>
        <v>1177.7621212121212</v>
      </c>
      <c r="AF669" s="50"/>
      <c r="AG669" s="33"/>
      <c r="AH669" s="33"/>
      <c r="AI669" s="213"/>
      <c r="AJ669" s="50"/>
      <c r="AL669" s="23">
        <f t="shared" si="548"/>
        <v>48922</v>
      </c>
      <c r="AM669" s="24"/>
      <c r="AN669" s="24"/>
      <c r="AO669" s="24">
        <v>178263</v>
      </c>
      <c r="AP669" s="24">
        <v>42221173</v>
      </c>
      <c r="AQ669" s="24">
        <v>20336656</v>
      </c>
      <c r="AR669" s="461">
        <f t="shared" si="549"/>
        <v>1.1600519023753321E-3</v>
      </c>
      <c r="AS669" s="25"/>
      <c r="AT669" s="25"/>
      <c r="AU669" s="24"/>
      <c r="AV669" s="298">
        <f t="shared" si="550"/>
        <v>0.75835924142473454</v>
      </c>
      <c r="AW669" s="298"/>
      <c r="AX669" s="24">
        <f t="shared" si="551"/>
        <v>63971.474242424243</v>
      </c>
      <c r="AY669" s="308"/>
      <c r="BA669" s="65">
        <f t="shared" si="552"/>
        <v>1033652</v>
      </c>
      <c r="BB669" s="66"/>
      <c r="BC669" s="66">
        <v>833613178</v>
      </c>
      <c r="BD669" s="66"/>
      <c r="BE669" s="66">
        <f t="shared" si="553"/>
        <v>468081</v>
      </c>
      <c r="BF669" s="66"/>
      <c r="BG669" s="144">
        <f t="shared" si="554"/>
        <v>0.45284196228517914</v>
      </c>
      <c r="BH669" s="66"/>
      <c r="BI669" s="170"/>
      <c r="BJ669" s="66"/>
      <c r="BK669" s="66"/>
      <c r="BL669" s="66"/>
      <c r="BM669" s="144"/>
      <c r="BN669" s="65">
        <f t="shared" si="555"/>
        <v>1263050.2696969698</v>
      </c>
      <c r="BO669" s="66"/>
      <c r="BP669" s="66">
        <f t="shared" si="556"/>
        <v>54767392</v>
      </c>
      <c r="BQ669" s="66"/>
      <c r="BR669" s="435">
        <f t="shared" si="557"/>
        <v>6.569880784682125E-2</v>
      </c>
      <c r="BS669" s="66"/>
      <c r="BT669" s="75"/>
      <c r="BU669" s="170"/>
      <c r="BV669" s="1"/>
      <c r="BW669" s="61">
        <f t="shared" si="399"/>
        <v>660</v>
      </c>
      <c r="CA669" s="56">
        <f t="shared" si="559"/>
        <v>1033652</v>
      </c>
      <c r="CC669" s="56">
        <f t="shared" si="560"/>
        <v>468081</v>
      </c>
      <c r="CG669" s="59">
        <f t="shared" si="561"/>
        <v>0.45284196228517914</v>
      </c>
    </row>
    <row r="670" spans="2:85" x14ac:dyDescent="0.3">
      <c r="B670" s="347">
        <f t="shared" si="537"/>
        <v>44570</v>
      </c>
      <c r="C670" s="61"/>
      <c r="D670" s="17">
        <v>552547</v>
      </c>
      <c r="E670" s="16"/>
      <c r="F670" s="16"/>
      <c r="G670" s="16"/>
      <c r="H670" s="16">
        <f t="shared" si="538"/>
        <v>56226917</v>
      </c>
      <c r="I670" s="16"/>
      <c r="J670" s="436">
        <f t="shared" si="539"/>
        <v>9.9246206108843261E-3</v>
      </c>
      <c r="K670" s="16"/>
      <c r="L670" s="16"/>
      <c r="M670" s="16"/>
      <c r="N670" s="16">
        <f t="shared" si="540"/>
        <v>4437042</v>
      </c>
      <c r="O670" s="16">
        <f t="shared" si="541"/>
        <v>85063.414523449319</v>
      </c>
      <c r="P670" s="41"/>
      <c r="Q670" s="17">
        <f t="shared" si="542"/>
        <v>4437042</v>
      </c>
      <c r="R670" s="16"/>
      <c r="S670" s="60">
        <f t="shared" si="543"/>
        <v>0.86312442630839481</v>
      </c>
      <c r="T670" s="16"/>
      <c r="U670" s="41"/>
      <c r="V670" s="10">
        <f t="shared" si="558"/>
        <v>562</v>
      </c>
      <c r="W670" s="34">
        <v>464</v>
      </c>
      <c r="X670" s="33">
        <v>4256</v>
      </c>
      <c r="Y670" s="33"/>
      <c r="Z670" s="33">
        <f t="shared" si="544"/>
        <v>9119</v>
      </c>
      <c r="AA670" s="33">
        <f t="shared" si="545"/>
        <v>777787</v>
      </c>
      <c r="AB670" s="33"/>
      <c r="AC670" s="46">
        <f t="shared" si="546"/>
        <v>1.3833001016221466E-2</v>
      </c>
      <c r="AD670" s="33"/>
      <c r="AE670" s="33">
        <f t="shared" si="547"/>
        <v>1176.6822995461423</v>
      </c>
      <c r="AF670" s="50"/>
      <c r="AG670" s="33"/>
      <c r="AH670" s="33"/>
      <c r="AI670" s="213"/>
      <c r="AJ670" s="50"/>
      <c r="AL670" s="23">
        <f t="shared" si="548"/>
        <v>38132</v>
      </c>
      <c r="AM670" s="24"/>
      <c r="AN670" s="24"/>
      <c r="AO670" s="24">
        <v>178263</v>
      </c>
      <c r="AP670" s="24">
        <v>42259305</v>
      </c>
      <c r="AQ670" s="24">
        <v>20336656</v>
      </c>
      <c r="AR670" s="461">
        <f t="shared" si="549"/>
        <v>9.031487590361357E-4</v>
      </c>
      <c r="AS670" s="25"/>
      <c r="AT670" s="25"/>
      <c r="AU670" s="24"/>
      <c r="AV670" s="298">
        <f t="shared" si="550"/>
        <v>0.75158495707669692</v>
      </c>
      <c r="AW670" s="298"/>
      <c r="AX670" s="24">
        <f t="shared" si="551"/>
        <v>63932.38275340393</v>
      </c>
      <c r="AY670" s="308"/>
      <c r="BA670" s="65">
        <f t="shared" si="552"/>
        <v>1980996</v>
      </c>
      <c r="BB670" s="66"/>
      <c r="BC670" s="66">
        <v>835594174</v>
      </c>
      <c r="BD670" s="66"/>
      <c r="BE670" s="66">
        <f t="shared" si="553"/>
        <v>552547</v>
      </c>
      <c r="BF670" s="66"/>
      <c r="BG670" s="144">
        <f t="shared" si="554"/>
        <v>0.27892383427326456</v>
      </c>
      <c r="BH670" s="66"/>
      <c r="BI670" s="170"/>
      <c r="BJ670" s="66"/>
      <c r="BK670" s="66"/>
      <c r="BL670" s="66"/>
      <c r="BM670" s="144"/>
      <c r="BN670" s="65">
        <f t="shared" si="555"/>
        <v>1264136.4205748865</v>
      </c>
      <c r="BO670" s="66"/>
      <c r="BP670" s="66">
        <f t="shared" si="556"/>
        <v>55319939</v>
      </c>
      <c r="BQ670" s="66"/>
      <c r="BR670" s="435">
        <f t="shared" si="557"/>
        <v>6.6204313913754018E-2</v>
      </c>
      <c r="BS670" s="66"/>
      <c r="BT670" s="75"/>
      <c r="BU670" s="170"/>
      <c r="BV670" s="1"/>
      <c r="BW670" s="61">
        <f t="shared" si="399"/>
        <v>661</v>
      </c>
      <c r="CA670" s="56">
        <f t="shared" si="559"/>
        <v>1980996</v>
      </c>
      <c r="CC670" s="56">
        <f t="shared" si="560"/>
        <v>552547</v>
      </c>
      <c r="CG670" s="59">
        <f t="shared" si="561"/>
        <v>0.27892383427326456</v>
      </c>
    </row>
    <row r="671" spans="2:85" x14ac:dyDescent="0.3">
      <c r="B671" s="158">
        <f t="shared" si="537"/>
        <v>44571</v>
      </c>
      <c r="C671" s="61"/>
      <c r="D671" s="17">
        <v>692000</v>
      </c>
      <c r="E671" s="16"/>
      <c r="F671" s="16"/>
      <c r="G671" s="16"/>
      <c r="H671" s="16">
        <f t="shared" si="538"/>
        <v>56918917</v>
      </c>
      <c r="I671" s="16"/>
      <c r="J671" s="436">
        <f t="shared" si="539"/>
        <v>1.230727268934201E-2</v>
      </c>
      <c r="K671" s="16"/>
      <c r="L671" s="16"/>
      <c r="M671" s="16"/>
      <c r="N671" s="16">
        <f t="shared" si="540"/>
        <v>4613792</v>
      </c>
      <c r="O671" s="16">
        <f t="shared" si="541"/>
        <v>85980.237160120843</v>
      </c>
      <c r="P671" s="41"/>
      <c r="Q671" s="17">
        <f t="shared" si="542"/>
        <v>4613792</v>
      </c>
      <c r="R671" s="16"/>
      <c r="S671" s="60">
        <f t="shared" si="543"/>
        <v>0.72947588595590274</v>
      </c>
      <c r="T671" s="16"/>
      <c r="U671" s="41"/>
      <c r="V671" s="10">
        <f t="shared" si="558"/>
        <v>563</v>
      </c>
      <c r="W671" s="34">
        <v>1145</v>
      </c>
      <c r="X671" s="33">
        <v>4256</v>
      </c>
      <c r="Y671" s="33"/>
      <c r="Z671" s="33">
        <f t="shared" si="544"/>
        <v>8248</v>
      </c>
      <c r="AA671" s="33">
        <f t="shared" si="545"/>
        <v>778932</v>
      </c>
      <c r="AB671" s="33"/>
      <c r="AC671" s="46">
        <f t="shared" si="546"/>
        <v>1.3684940632303317E-2</v>
      </c>
      <c r="AD671" s="33"/>
      <c r="AE671" s="33">
        <f t="shared" si="547"/>
        <v>1176.6344410876134</v>
      </c>
      <c r="AF671" s="50"/>
      <c r="AG671" s="33"/>
      <c r="AH671" s="33"/>
      <c r="AI671" s="213"/>
      <c r="AJ671" s="50"/>
      <c r="AL671" s="23">
        <f t="shared" si="548"/>
        <v>246069</v>
      </c>
      <c r="AM671" s="24"/>
      <c r="AN671" s="24"/>
      <c r="AO671" s="24">
        <v>178263</v>
      </c>
      <c r="AP671" s="24">
        <v>42505374</v>
      </c>
      <c r="AQ671" s="24">
        <v>20336656</v>
      </c>
      <c r="AR671" s="461">
        <f t="shared" si="549"/>
        <v>5.8228359411022024E-3</v>
      </c>
      <c r="AS671" s="25"/>
      <c r="AT671" s="25"/>
      <c r="AU671" s="24"/>
      <c r="AV671" s="298">
        <f t="shared" si="550"/>
        <v>0.74677060352360536</v>
      </c>
      <c r="AW671" s="298"/>
      <c r="AX671" s="24">
        <f t="shared" si="551"/>
        <v>64207.513595166165</v>
      </c>
      <c r="AY671" s="308"/>
      <c r="BA671" s="65">
        <f t="shared" si="552"/>
        <v>6064001</v>
      </c>
      <c r="BB671" s="66"/>
      <c r="BC671" s="66">
        <v>841658175</v>
      </c>
      <c r="BD671" s="66"/>
      <c r="BE671" s="66">
        <f t="shared" si="553"/>
        <v>692000</v>
      </c>
      <c r="BF671" s="66"/>
      <c r="BG671" s="144">
        <f t="shared" si="554"/>
        <v>0.11411607616819325</v>
      </c>
      <c r="BH671" s="66"/>
      <c r="BI671" s="170"/>
      <c r="BJ671" s="66"/>
      <c r="BK671" s="66"/>
      <c r="BL671" s="66"/>
      <c r="BM671" s="144"/>
      <c r="BN671" s="65">
        <f t="shared" si="555"/>
        <v>1271386.9712990937</v>
      </c>
      <c r="BO671" s="66"/>
      <c r="BP671" s="66">
        <f t="shared" si="556"/>
        <v>56011939</v>
      </c>
      <c r="BQ671" s="66"/>
      <c r="BR671" s="435">
        <f t="shared" si="557"/>
        <v>6.654950984109434E-2</v>
      </c>
      <c r="BS671" s="66"/>
      <c r="BT671" s="75"/>
      <c r="BU671" s="170"/>
      <c r="BV671" s="1"/>
      <c r="BW671" s="61">
        <f t="shared" si="399"/>
        <v>662</v>
      </c>
      <c r="CA671" s="56">
        <f t="shared" si="559"/>
        <v>6064001</v>
      </c>
      <c r="CC671" s="56">
        <f t="shared" si="560"/>
        <v>692000</v>
      </c>
      <c r="CG671" s="59">
        <f t="shared" si="561"/>
        <v>0.11411607616819325</v>
      </c>
    </row>
    <row r="672" spans="2:85" x14ac:dyDescent="0.3">
      <c r="B672" s="158">
        <f t="shared" si="537"/>
        <v>44572</v>
      </c>
      <c r="C672" s="61"/>
      <c r="D672" s="17">
        <v>672872</v>
      </c>
      <c r="E672" s="16"/>
      <c r="F672" s="16"/>
      <c r="G672" s="16"/>
      <c r="H672" s="16">
        <f t="shared" si="538"/>
        <v>57591789</v>
      </c>
      <c r="I672" s="16"/>
      <c r="J672" s="436">
        <f t="shared" si="539"/>
        <v>1.1821588242798085E-2</v>
      </c>
      <c r="K672" s="16"/>
      <c r="L672" s="16"/>
      <c r="M672" s="16"/>
      <c r="N672" s="16">
        <f t="shared" si="540"/>
        <v>4690854</v>
      </c>
      <c r="O672" s="16">
        <f t="shared" si="541"/>
        <v>86865.443438914022</v>
      </c>
      <c r="P672" s="41"/>
      <c r="Q672" s="17">
        <f t="shared" si="542"/>
        <v>4690854</v>
      </c>
      <c r="R672" s="16"/>
      <c r="S672" s="60">
        <f t="shared" si="543"/>
        <v>0.59059610045990041</v>
      </c>
      <c r="T672" s="16"/>
      <c r="U672" s="41"/>
      <c r="V672" s="10">
        <f t="shared" si="558"/>
        <v>564</v>
      </c>
      <c r="W672" s="34">
        <v>2173</v>
      </c>
      <c r="X672" s="33">
        <v>4256</v>
      </c>
      <c r="Y672" s="33"/>
      <c r="Z672" s="33">
        <f t="shared" si="544"/>
        <v>8619</v>
      </c>
      <c r="AA672" s="33">
        <f t="shared" si="545"/>
        <v>781105</v>
      </c>
      <c r="AB672" s="33"/>
      <c r="AC672" s="46">
        <f t="shared" si="546"/>
        <v>1.3562784097573354E-2</v>
      </c>
      <c r="AD672" s="33"/>
      <c r="AE672" s="33">
        <f t="shared" si="547"/>
        <v>1178.1372549019609</v>
      </c>
      <c r="AF672" s="50"/>
      <c r="AG672" s="33"/>
      <c r="AH672" s="33"/>
      <c r="AI672" s="213"/>
      <c r="AJ672" s="50"/>
      <c r="AL672" s="23">
        <f t="shared" si="548"/>
        <v>136478</v>
      </c>
      <c r="AM672" s="24"/>
      <c r="AN672" s="24"/>
      <c r="AO672" s="24">
        <v>178263</v>
      </c>
      <c r="AP672" s="24">
        <v>42641852</v>
      </c>
      <c r="AQ672" s="24">
        <v>20336656</v>
      </c>
      <c r="AR672" s="461">
        <f t="shared" si="549"/>
        <v>3.2108410574154694E-3</v>
      </c>
      <c r="AS672" s="25"/>
      <c r="AT672" s="25"/>
      <c r="AU672" s="24"/>
      <c r="AV672" s="298">
        <f t="shared" si="550"/>
        <v>0.74041547832452292</v>
      </c>
      <c r="AW672" s="298"/>
      <c r="AX672" s="24">
        <f t="shared" si="551"/>
        <v>64316.518853695321</v>
      </c>
      <c r="AY672" s="308"/>
      <c r="BA672" s="65">
        <f t="shared" si="552"/>
        <v>3056100</v>
      </c>
      <c r="BB672" s="66"/>
      <c r="BC672" s="66">
        <v>844714275</v>
      </c>
      <c r="BD672" s="66"/>
      <c r="BE672" s="66">
        <f t="shared" si="553"/>
        <v>672872</v>
      </c>
      <c r="BF672" s="66"/>
      <c r="BG672" s="144">
        <f t="shared" si="554"/>
        <v>0.22017342364451425</v>
      </c>
      <c r="BH672" s="66"/>
      <c r="BI672" s="170"/>
      <c r="BJ672" s="66"/>
      <c r="BK672" s="66"/>
      <c r="BL672" s="66"/>
      <c r="BM672" s="144"/>
      <c r="BN672" s="65">
        <f t="shared" si="555"/>
        <v>1274078.8461538462</v>
      </c>
      <c r="BO672" s="66"/>
      <c r="BP672" s="66">
        <f t="shared" si="556"/>
        <v>56684811</v>
      </c>
      <c r="BQ672" s="66"/>
      <c r="BR672" s="435">
        <f t="shared" si="557"/>
        <v>6.7105307294587871E-2</v>
      </c>
      <c r="BS672" s="66"/>
      <c r="BT672" s="75"/>
      <c r="BU672" s="170"/>
      <c r="BV672" s="1"/>
      <c r="BW672" s="61">
        <f t="shared" si="399"/>
        <v>663</v>
      </c>
      <c r="CA672" s="56">
        <f t="shared" si="559"/>
        <v>3056100</v>
      </c>
      <c r="CC672" s="56">
        <f t="shared" si="560"/>
        <v>672872</v>
      </c>
      <c r="CG672" s="59">
        <f t="shared" si="561"/>
        <v>0.22017342364451425</v>
      </c>
    </row>
    <row r="673" spans="2:85" x14ac:dyDescent="0.3">
      <c r="B673" s="158">
        <f t="shared" si="537"/>
        <v>44573</v>
      </c>
      <c r="C673" s="61"/>
      <c r="D673" s="17">
        <v>872475</v>
      </c>
      <c r="E673" s="16"/>
      <c r="F673" s="16"/>
      <c r="G673" s="16"/>
      <c r="H673" s="16">
        <f t="shared" si="538"/>
        <v>58464264</v>
      </c>
      <c r="I673" s="16"/>
      <c r="J673" s="436">
        <f t="shared" si="539"/>
        <v>1.5149294980227129E-2</v>
      </c>
      <c r="K673" s="16"/>
      <c r="L673" s="16"/>
      <c r="M673" s="16"/>
      <c r="N673" s="16">
        <f t="shared" si="540"/>
        <v>4858668</v>
      </c>
      <c r="O673" s="16">
        <f t="shared" si="541"/>
        <v>88048.590361445778</v>
      </c>
      <c r="P673" s="41"/>
      <c r="Q673" s="17">
        <f t="shared" si="542"/>
        <v>4858668</v>
      </c>
      <c r="R673" s="16"/>
      <c r="S673" s="60">
        <f t="shared" si="543"/>
        <v>0.52887005352826844</v>
      </c>
      <c r="T673" s="16"/>
      <c r="U673" s="41"/>
      <c r="V673" s="10">
        <f t="shared" si="558"/>
        <v>565</v>
      </c>
      <c r="W673" s="34">
        <v>2372</v>
      </c>
      <c r="X673" s="33">
        <v>4256</v>
      </c>
      <c r="Y673" s="33"/>
      <c r="Z673" s="33">
        <f t="shared" si="544"/>
        <v>8848</v>
      </c>
      <c r="AA673" s="33">
        <f t="shared" si="545"/>
        <v>783477</v>
      </c>
      <c r="AB673" s="33"/>
      <c r="AC673" s="46">
        <f t="shared" si="546"/>
        <v>1.3400955496506379E-2</v>
      </c>
      <c r="AD673" s="33"/>
      <c r="AE673" s="33">
        <f t="shared" si="547"/>
        <v>1179.9352409638554</v>
      </c>
      <c r="AF673" s="50"/>
      <c r="AG673" s="33"/>
      <c r="AH673" s="33"/>
      <c r="AI673" s="213"/>
      <c r="AJ673" s="50"/>
      <c r="AL673" s="23">
        <f t="shared" si="548"/>
        <v>163238</v>
      </c>
      <c r="AM673" s="24"/>
      <c r="AN673" s="24"/>
      <c r="AO673" s="24">
        <v>178263</v>
      </c>
      <c r="AP673" s="24">
        <v>42805090</v>
      </c>
      <c r="AQ673" s="24">
        <v>20336656</v>
      </c>
      <c r="AR673" s="461">
        <f t="shared" si="549"/>
        <v>3.8281170339412086E-3</v>
      </c>
      <c r="AS673" s="25"/>
      <c r="AT673" s="25"/>
      <c r="AU673" s="24"/>
      <c r="AV673" s="298">
        <f t="shared" si="550"/>
        <v>0.73215819496162649</v>
      </c>
      <c r="AW673" s="298"/>
      <c r="AX673" s="24">
        <f t="shared" si="551"/>
        <v>64465.49698795181</v>
      </c>
      <c r="AY673" s="308"/>
      <c r="BA673" s="65">
        <f t="shared" si="552"/>
        <v>4380467</v>
      </c>
      <c r="BB673" s="66"/>
      <c r="BC673" s="66">
        <v>849094742</v>
      </c>
      <c r="BD673" s="66"/>
      <c r="BE673" s="66">
        <f t="shared" si="553"/>
        <v>872475</v>
      </c>
      <c r="BF673" s="66"/>
      <c r="BG673" s="144">
        <f t="shared" si="554"/>
        <v>0.19917396935075643</v>
      </c>
      <c r="BH673" s="66"/>
      <c r="BI673" s="170"/>
      <c r="BJ673" s="66"/>
      <c r="BK673" s="66"/>
      <c r="BL673" s="66"/>
      <c r="BM673" s="144"/>
      <c r="BN673" s="65">
        <f t="shared" si="555"/>
        <v>1278757.1415662651</v>
      </c>
      <c r="BO673" s="66"/>
      <c r="BP673" s="66">
        <f t="shared" si="556"/>
        <v>57557286</v>
      </c>
      <c r="BQ673" s="66"/>
      <c r="BR673" s="435">
        <f t="shared" si="557"/>
        <v>6.7786647535264088E-2</v>
      </c>
      <c r="BS673" s="66"/>
      <c r="BT673" s="75"/>
      <c r="BU673" s="170"/>
      <c r="BV673" s="1"/>
      <c r="BW673" s="61">
        <f t="shared" si="399"/>
        <v>664</v>
      </c>
      <c r="CA673" s="56">
        <f t="shared" si="559"/>
        <v>4380467</v>
      </c>
      <c r="CC673" s="56">
        <f t="shared" si="560"/>
        <v>872475</v>
      </c>
      <c r="CG673" s="59">
        <f t="shared" si="561"/>
        <v>0.19917396935075643</v>
      </c>
    </row>
    <row r="674" spans="2:85" x14ac:dyDescent="0.3">
      <c r="B674" s="158">
        <f t="shared" si="537"/>
        <v>44574</v>
      </c>
      <c r="C674" s="61"/>
      <c r="D674" s="17">
        <v>806493</v>
      </c>
      <c r="E674" s="16"/>
      <c r="F674" s="16"/>
      <c r="G674" s="16"/>
      <c r="H674" s="16">
        <f t="shared" si="538"/>
        <v>59270757</v>
      </c>
      <c r="I674" s="16"/>
      <c r="J674" s="436">
        <f t="shared" si="539"/>
        <v>1.3794631879741101E-2</v>
      </c>
      <c r="K674" s="16"/>
      <c r="L674" s="16"/>
      <c r="M674" s="16"/>
      <c r="N674" s="16">
        <f t="shared" si="540"/>
        <v>4913649</v>
      </c>
      <c r="O674" s="16">
        <f t="shared" si="541"/>
        <v>89128.957894736843</v>
      </c>
      <c r="P674" s="41"/>
      <c r="Q674" s="17">
        <f t="shared" si="542"/>
        <v>4913649</v>
      </c>
      <c r="R674" s="16"/>
      <c r="S674" s="60">
        <f t="shared" si="543"/>
        <v>0.4635149504233893</v>
      </c>
      <c r="T674" s="16"/>
      <c r="U674" s="41"/>
      <c r="V674" s="10">
        <f t="shared" si="558"/>
        <v>566</v>
      </c>
      <c r="W674" s="34">
        <v>1969</v>
      </c>
      <c r="X674" s="33">
        <v>4256</v>
      </c>
      <c r="Y674" s="33"/>
      <c r="Z674" s="33">
        <f t="shared" si="544"/>
        <v>8792</v>
      </c>
      <c r="AA674" s="33">
        <f t="shared" si="545"/>
        <v>785446</v>
      </c>
      <c r="AB674" s="33"/>
      <c r="AC674" s="46">
        <f t="shared" si="546"/>
        <v>1.3251830071952683E-2</v>
      </c>
      <c r="AD674" s="33"/>
      <c r="AE674" s="33">
        <f t="shared" si="547"/>
        <v>1181.1218045112782</v>
      </c>
      <c r="AF674" s="50"/>
      <c r="AG674" s="33"/>
      <c r="AH674" s="33"/>
      <c r="AI674" s="213"/>
      <c r="AJ674" s="50"/>
      <c r="AL674" s="23">
        <f t="shared" si="548"/>
        <v>106400</v>
      </c>
      <c r="AM674" s="24"/>
      <c r="AN674" s="24"/>
      <c r="AO674" s="24">
        <v>178263</v>
      </c>
      <c r="AP674" s="24">
        <v>42911490</v>
      </c>
      <c r="AQ674" s="24">
        <v>20336656</v>
      </c>
      <c r="AR674" s="461">
        <f t="shared" si="549"/>
        <v>2.4856856976588531E-3</v>
      </c>
      <c r="AS674" s="25"/>
      <c r="AT674" s="25"/>
      <c r="AU674" s="24"/>
      <c r="AV674" s="298">
        <f t="shared" si="550"/>
        <v>0.7239909218638797</v>
      </c>
      <c r="AW674" s="298"/>
      <c r="AX674" s="24">
        <f t="shared" si="551"/>
        <v>64528.556390977443</v>
      </c>
      <c r="AY674" s="308"/>
      <c r="BA674" s="65">
        <f t="shared" si="552"/>
        <v>3807857</v>
      </c>
      <c r="BB674" s="66"/>
      <c r="BC674" s="66">
        <v>852902599</v>
      </c>
      <c r="BD674" s="66"/>
      <c r="BE674" s="66">
        <f t="shared" si="553"/>
        <v>806493</v>
      </c>
      <c r="BF674" s="66"/>
      <c r="BG674" s="144">
        <f t="shared" si="554"/>
        <v>0.21179708166561928</v>
      </c>
      <c r="BH674" s="66"/>
      <c r="BI674" s="170"/>
      <c r="BJ674" s="66"/>
      <c r="BK674" s="66"/>
      <c r="BL674" s="66"/>
      <c r="BM674" s="144"/>
      <c r="BN674" s="65">
        <f t="shared" si="555"/>
        <v>1282560.2992481203</v>
      </c>
      <c r="BO674" s="66"/>
      <c r="BP674" s="66">
        <f t="shared" si="556"/>
        <v>58363779</v>
      </c>
      <c r="BQ674" s="66"/>
      <c r="BR674" s="435">
        <f t="shared" si="557"/>
        <v>6.8429594502853658E-2</v>
      </c>
      <c r="BS674" s="66"/>
      <c r="BT674" s="75"/>
      <c r="BU674" s="170"/>
      <c r="BV674" s="1"/>
      <c r="BW674" s="61">
        <f t="shared" si="399"/>
        <v>665</v>
      </c>
      <c r="CA674" s="56">
        <f t="shared" si="559"/>
        <v>3807857</v>
      </c>
      <c r="CC674" s="56">
        <f t="shared" si="560"/>
        <v>806493</v>
      </c>
      <c r="CG674" s="59">
        <f t="shared" si="561"/>
        <v>0.21179708166561928</v>
      </c>
    </row>
    <row r="675" spans="2:85" x14ac:dyDescent="0.3">
      <c r="B675" s="158">
        <f t="shared" si="537"/>
        <v>44575</v>
      </c>
      <c r="C675" s="61"/>
      <c r="D675" s="17">
        <v>827132</v>
      </c>
      <c r="E675" s="16"/>
      <c r="F675" s="16"/>
      <c r="G675" s="16"/>
      <c r="H675" s="16">
        <f t="shared" si="538"/>
        <v>60097889</v>
      </c>
      <c r="I675" s="16"/>
      <c r="J675" s="436">
        <f t="shared" si="539"/>
        <v>1.3955144861740166E-2</v>
      </c>
      <c r="K675" s="16"/>
      <c r="L675" s="16"/>
      <c r="M675" s="16"/>
      <c r="N675" s="16">
        <f t="shared" si="540"/>
        <v>4891600</v>
      </c>
      <c r="O675" s="16">
        <f t="shared" si="541"/>
        <v>90237.070570570577</v>
      </c>
      <c r="P675" s="41"/>
      <c r="Q675" s="17">
        <f t="shared" si="542"/>
        <v>4891600</v>
      </c>
      <c r="R675" s="16"/>
      <c r="S675" s="60">
        <f t="shared" si="543"/>
        <v>0.29994307633352058</v>
      </c>
      <c r="T675" s="16"/>
      <c r="U675" s="41"/>
      <c r="V675" s="10">
        <f t="shared" si="558"/>
        <v>567</v>
      </c>
      <c r="W675" s="34">
        <v>2303</v>
      </c>
      <c r="X675" s="33">
        <v>4256</v>
      </c>
      <c r="Y675" s="33"/>
      <c r="Z675" s="33">
        <f t="shared" si="544"/>
        <v>10426</v>
      </c>
      <c r="AA675" s="33">
        <f t="shared" si="545"/>
        <v>787749</v>
      </c>
      <c r="AB675" s="33"/>
      <c r="AC675" s="46">
        <f t="shared" si="546"/>
        <v>1.3107764900028351E-2</v>
      </c>
      <c r="AD675" s="33"/>
      <c r="AE675" s="33">
        <f t="shared" si="547"/>
        <v>1182.8063063063064</v>
      </c>
      <c r="AF675" s="50"/>
      <c r="AG675" s="33"/>
      <c r="AH675" s="33"/>
      <c r="AI675" s="213"/>
      <c r="AJ675" s="50"/>
      <c r="AL675" s="23">
        <f t="shared" si="548"/>
        <v>108434</v>
      </c>
      <c r="AM675" s="24"/>
      <c r="AN675" s="24"/>
      <c r="AO675" s="24">
        <v>178263</v>
      </c>
      <c r="AP675" s="24">
        <v>43019924</v>
      </c>
      <c r="AQ675" s="24">
        <v>20336656</v>
      </c>
      <c r="AR675" s="461">
        <f t="shared" si="549"/>
        <v>2.5269222765278015E-3</v>
      </c>
      <c r="AS675" s="25"/>
      <c r="AT675" s="25"/>
      <c r="AU675" s="24"/>
      <c r="AV675" s="298">
        <f t="shared" si="550"/>
        <v>0.71583086720400446</v>
      </c>
      <c r="AW675" s="298"/>
      <c r="AX675" s="24">
        <f t="shared" si="551"/>
        <v>64594.480480480481</v>
      </c>
      <c r="AY675" s="308"/>
      <c r="BA675" s="65">
        <f t="shared" si="552"/>
        <v>3520847</v>
      </c>
      <c r="BB675" s="66"/>
      <c r="BC675" s="66">
        <v>856423446</v>
      </c>
      <c r="BD675" s="66"/>
      <c r="BE675" s="66">
        <f t="shared" si="553"/>
        <v>827132</v>
      </c>
      <c r="BF675" s="66"/>
      <c r="BG675" s="144">
        <f t="shared" si="554"/>
        <v>0.23492415319381957</v>
      </c>
      <c r="BH675" s="66"/>
      <c r="BI675" s="170"/>
      <c r="BJ675" s="66"/>
      <c r="BK675" s="66"/>
      <c r="BL675" s="66"/>
      <c r="BM675" s="144"/>
      <c r="BN675" s="65">
        <f t="shared" si="555"/>
        <v>1285921.0900900902</v>
      </c>
      <c r="BO675" s="66"/>
      <c r="BP675" s="66">
        <f t="shared" si="556"/>
        <v>59190911</v>
      </c>
      <c r="BQ675" s="66"/>
      <c r="BR675" s="435">
        <f t="shared" si="557"/>
        <v>6.911407117175071E-2</v>
      </c>
      <c r="BS675" s="66"/>
      <c r="BT675" s="75"/>
      <c r="BU675" s="170"/>
      <c r="BV675" s="1"/>
      <c r="BW675" s="61">
        <f t="shared" si="399"/>
        <v>666</v>
      </c>
      <c r="CA675" s="56">
        <f t="shared" si="559"/>
        <v>3520847</v>
      </c>
      <c r="CC675" s="56">
        <f t="shared" si="560"/>
        <v>827132</v>
      </c>
      <c r="CG675" s="59">
        <f t="shared" si="561"/>
        <v>0.23492415319381957</v>
      </c>
    </row>
    <row r="676" spans="2:85" x14ac:dyDescent="0.3">
      <c r="B676" s="158">
        <f t="shared" si="537"/>
        <v>44576</v>
      </c>
      <c r="C676" s="61"/>
      <c r="D676" s="17">
        <v>404141</v>
      </c>
      <c r="E676" s="16"/>
      <c r="F676" s="16"/>
      <c r="G676" s="16"/>
      <c r="H676" s="16">
        <f t="shared" si="538"/>
        <v>60502030</v>
      </c>
      <c r="I676" s="16"/>
      <c r="J676" s="436">
        <f t="shared" si="539"/>
        <v>6.7247120776571705E-3</v>
      </c>
      <c r="K676" s="16"/>
      <c r="L676" s="16"/>
      <c r="M676" s="16"/>
      <c r="N676" s="16">
        <f t="shared" si="540"/>
        <v>4827660</v>
      </c>
      <c r="O676" s="16">
        <f t="shared" si="541"/>
        <v>90707.691154422791</v>
      </c>
      <c r="P676" s="41"/>
      <c r="Q676" s="17">
        <f t="shared" si="542"/>
        <v>4827660</v>
      </c>
      <c r="R676" s="16"/>
      <c r="S676" s="60">
        <f t="shared" si="543"/>
        <v>0.18626887984790708</v>
      </c>
      <c r="T676" s="16"/>
      <c r="U676" s="41"/>
      <c r="V676" s="10">
        <f t="shared" si="558"/>
        <v>568</v>
      </c>
      <c r="W676" s="34">
        <v>886</v>
      </c>
      <c r="X676" s="33">
        <v>4256</v>
      </c>
      <c r="Y676" s="33"/>
      <c r="Z676" s="33">
        <f t="shared" si="544"/>
        <v>10848</v>
      </c>
      <c r="AA676" s="33">
        <f t="shared" si="545"/>
        <v>788635</v>
      </c>
      <c r="AB676" s="33"/>
      <c r="AC676" s="46">
        <f t="shared" si="546"/>
        <v>1.3034851888440767E-2</v>
      </c>
      <c r="AD676" s="33"/>
      <c r="AE676" s="33">
        <f t="shared" si="547"/>
        <v>1182.3613193403298</v>
      </c>
      <c r="AF676" s="50"/>
      <c r="AG676" s="33"/>
      <c r="AH676" s="33"/>
      <c r="AI676" s="213"/>
      <c r="AJ676" s="50"/>
      <c r="AL676" s="23">
        <f t="shared" si="548"/>
        <v>39165</v>
      </c>
      <c r="AM676" s="24"/>
      <c r="AN676" s="24"/>
      <c r="AO676" s="24">
        <v>178263</v>
      </c>
      <c r="AP676" s="24">
        <v>43059089</v>
      </c>
      <c r="AQ676" s="24">
        <v>20336656</v>
      </c>
      <c r="AR676" s="461">
        <f t="shared" si="549"/>
        <v>9.1039212435614712E-4</v>
      </c>
      <c r="AS676" s="25"/>
      <c r="AT676" s="25"/>
      <c r="AU676" s="24"/>
      <c r="AV676" s="298">
        <f t="shared" si="550"/>
        <v>0.71169659927113194</v>
      </c>
      <c r="AW676" s="298"/>
      <c r="AX676" s="24">
        <f t="shared" si="551"/>
        <v>64556.35532233883</v>
      </c>
      <c r="AY676" s="308"/>
      <c r="BA676" s="65">
        <f t="shared" si="552"/>
        <v>1302722</v>
      </c>
      <c r="BB676" s="66"/>
      <c r="BC676" s="66">
        <v>857726168</v>
      </c>
      <c r="BD676" s="66"/>
      <c r="BE676" s="66">
        <f t="shared" si="553"/>
        <v>404141</v>
      </c>
      <c r="BF676" s="66"/>
      <c r="BG676" s="144">
        <f t="shared" si="554"/>
        <v>0.31022812234690134</v>
      </c>
      <c r="BH676" s="66"/>
      <c r="BI676" s="170"/>
      <c r="BJ676" s="66"/>
      <c r="BK676" s="66"/>
      <c r="BL676" s="66"/>
      <c r="BM676" s="144"/>
      <c r="BN676" s="65">
        <f t="shared" si="555"/>
        <v>1285946.2788605697</v>
      </c>
      <c r="BO676" s="66"/>
      <c r="BP676" s="66">
        <f t="shared" si="556"/>
        <v>59595052</v>
      </c>
      <c r="BQ676" s="66"/>
      <c r="BR676" s="435">
        <f t="shared" si="557"/>
        <v>6.9480277299875964E-2</v>
      </c>
      <c r="BS676" s="66"/>
      <c r="BT676" s="75"/>
      <c r="BU676" s="170"/>
      <c r="BV676" s="1"/>
      <c r="BW676" s="61">
        <f t="shared" si="399"/>
        <v>667</v>
      </c>
      <c r="CA676" s="56">
        <f t="shared" si="559"/>
        <v>1302722</v>
      </c>
      <c r="CC676" s="56">
        <f t="shared" si="560"/>
        <v>404141</v>
      </c>
      <c r="CG676" s="59">
        <f t="shared" si="561"/>
        <v>0.31022812234690134</v>
      </c>
    </row>
    <row r="677" spans="2:85" x14ac:dyDescent="0.3">
      <c r="B677" s="347">
        <f t="shared" si="537"/>
        <v>44577</v>
      </c>
      <c r="C677" s="61"/>
      <c r="D677" s="17">
        <v>287973</v>
      </c>
      <c r="E677" s="16"/>
      <c r="F677" s="16"/>
      <c r="G677" s="16"/>
      <c r="H677" s="16">
        <f t="shared" si="538"/>
        <v>60790003</v>
      </c>
      <c r="I677" s="16"/>
      <c r="J677" s="436">
        <f t="shared" si="539"/>
        <v>4.7597245910591763E-3</v>
      </c>
      <c r="K677" s="16"/>
      <c r="L677" s="16"/>
      <c r="M677" s="16"/>
      <c r="N677" s="16">
        <f t="shared" si="540"/>
        <v>4563086</v>
      </c>
      <c r="O677" s="16">
        <f t="shared" si="541"/>
        <v>91002.998502994014</v>
      </c>
      <c r="P677" s="41"/>
      <c r="Q677" s="17">
        <f t="shared" si="542"/>
        <v>4563086</v>
      </c>
      <c r="R677" s="16"/>
      <c r="S677" s="60">
        <f t="shared" si="543"/>
        <v>2.8407213634669224E-2</v>
      </c>
      <c r="T677" s="16"/>
      <c r="U677" s="41"/>
      <c r="V677" s="10">
        <f t="shared" si="558"/>
        <v>569</v>
      </c>
      <c r="W677" s="34">
        <v>346</v>
      </c>
      <c r="X677" s="33">
        <v>4256</v>
      </c>
      <c r="Y677" s="33"/>
      <c r="Z677" s="33">
        <f t="shared" si="544"/>
        <v>10049</v>
      </c>
      <c r="AA677" s="33">
        <f t="shared" si="545"/>
        <v>788981</v>
      </c>
      <c r="AB677" s="33"/>
      <c r="AC677" s="46">
        <f t="shared" si="546"/>
        <v>1.2978795214074919E-2</v>
      </c>
      <c r="AD677" s="33"/>
      <c r="AE677" s="33">
        <f t="shared" si="547"/>
        <v>1181.1092814371257</v>
      </c>
      <c r="AF677" s="50"/>
      <c r="AG677" s="33"/>
      <c r="AH677" s="33"/>
      <c r="AI677" s="213"/>
      <c r="AJ677" s="50"/>
      <c r="AL677" s="23">
        <f t="shared" si="548"/>
        <v>31555</v>
      </c>
      <c r="AM677" s="24"/>
      <c r="AN677" s="24"/>
      <c r="AO677" s="24">
        <v>178263</v>
      </c>
      <c r="AP677" s="24">
        <v>43090644</v>
      </c>
      <c r="AQ677" s="24">
        <v>20336656</v>
      </c>
      <c r="AR677" s="461">
        <f t="shared" si="549"/>
        <v>7.3283018133523444E-4</v>
      </c>
      <c r="AS677" s="25"/>
      <c r="AT677" s="25"/>
      <c r="AU677" s="24"/>
      <c r="AV677" s="298">
        <f t="shared" si="550"/>
        <v>0.70884424861765516</v>
      </c>
      <c r="AW677" s="298"/>
      <c r="AX677" s="24">
        <f t="shared" si="551"/>
        <v>64506.952095808381</v>
      </c>
      <c r="AY677" s="308"/>
      <c r="BA677" s="65">
        <f t="shared" si="552"/>
        <v>980751</v>
      </c>
      <c r="BB677" s="66"/>
      <c r="BC677" s="66">
        <v>858706919</v>
      </c>
      <c r="BD677" s="66"/>
      <c r="BE677" s="66">
        <f t="shared" si="553"/>
        <v>287973</v>
      </c>
      <c r="BF677" s="66"/>
      <c r="BG677" s="144">
        <f t="shared" si="554"/>
        <v>0.2936249873821184</v>
      </c>
      <c r="BH677" s="66"/>
      <c r="BI677" s="170"/>
      <c r="BJ677" s="66"/>
      <c r="BK677" s="66"/>
      <c r="BL677" s="66"/>
      <c r="BM677" s="144"/>
      <c r="BN677" s="65">
        <f t="shared" si="555"/>
        <v>1285489.3997005988</v>
      </c>
      <c r="BO677" s="66"/>
      <c r="BP677" s="66">
        <f t="shared" si="556"/>
        <v>59883025</v>
      </c>
      <c r="BQ677" s="66"/>
      <c r="BR677" s="435">
        <f t="shared" si="557"/>
        <v>6.973627867088375E-2</v>
      </c>
      <c r="BS677" s="66"/>
      <c r="BT677" s="75"/>
      <c r="BU677" s="170"/>
      <c r="BV677" s="1"/>
      <c r="BW677" s="61">
        <f t="shared" si="399"/>
        <v>668</v>
      </c>
      <c r="CA677" s="56">
        <f t="shared" si="559"/>
        <v>980751</v>
      </c>
      <c r="CC677" s="56">
        <f t="shared" si="560"/>
        <v>287973</v>
      </c>
      <c r="CG677" s="59">
        <f t="shared" si="561"/>
        <v>0.2936249873821184</v>
      </c>
    </row>
    <row r="678" spans="2:85" x14ac:dyDescent="0.3">
      <c r="B678" s="158">
        <f t="shared" si="537"/>
        <v>44578</v>
      </c>
      <c r="C678" s="61"/>
      <c r="D678" s="17">
        <v>573918</v>
      </c>
      <c r="E678" s="16"/>
      <c r="F678" s="16"/>
      <c r="G678" s="16"/>
      <c r="H678" s="16">
        <f t="shared" ref="H678" si="562">+H677+D678</f>
        <v>61363921</v>
      </c>
      <c r="I678" s="16"/>
      <c r="J678" s="436">
        <f t="shared" ref="J678" si="563">+D678/H677</f>
        <v>9.4409931185560226E-3</v>
      </c>
      <c r="K678" s="16"/>
      <c r="L678" s="16"/>
      <c r="M678" s="16"/>
      <c r="N678" s="16">
        <f t="shared" ref="N678" si="564">SUM(D672:D678)</f>
        <v>4445004</v>
      </c>
      <c r="O678" s="16">
        <f t="shared" ref="O678" si="565">+H678/BW678</f>
        <v>91724.844544095671</v>
      </c>
      <c r="P678" s="41"/>
      <c r="Q678" s="17">
        <f t="shared" ref="Q678" si="566">SUM(D672:D678)</f>
        <v>4445004</v>
      </c>
      <c r="R678" s="16"/>
      <c r="S678" s="60">
        <f t="shared" ref="S678" si="567">+(Q678-Q671)/Q671</f>
        <v>-3.6583357030399291E-2</v>
      </c>
      <c r="T678" s="16"/>
      <c r="U678" s="41"/>
      <c r="V678" s="10">
        <f t="shared" si="558"/>
        <v>570</v>
      </c>
      <c r="W678" s="34">
        <v>730</v>
      </c>
      <c r="X678" s="33">
        <v>4256</v>
      </c>
      <c r="Y678" s="33"/>
      <c r="Z678" s="33">
        <f t="shared" ref="Z678" si="568">SUM(W673:W678)</f>
        <v>8606</v>
      </c>
      <c r="AA678" s="33">
        <f t="shared" ref="AA678" si="569">+AA677+W678</f>
        <v>789711</v>
      </c>
      <c r="AB678" s="33"/>
      <c r="AC678" s="46">
        <f t="shared" ref="AC678" si="570">+AA678/H678</f>
        <v>1.2869304749936042E-2</v>
      </c>
      <c r="AD678" s="33"/>
      <c r="AE678" s="33">
        <f t="shared" ref="AE678" si="571">+AA678/BW678</f>
        <v>1180.4349775784754</v>
      </c>
      <c r="AF678" s="50"/>
      <c r="AG678" s="33"/>
      <c r="AH678" s="33"/>
      <c r="AI678" s="213"/>
      <c r="AJ678" s="50"/>
      <c r="AL678" s="23">
        <f t="shared" ref="AL678" si="572">+AP678-AP677</f>
        <v>138971</v>
      </c>
      <c r="AM678" s="24"/>
      <c r="AN678" s="24"/>
      <c r="AO678" s="24">
        <v>178263</v>
      </c>
      <c r="AP678" s="24">
        <v>43229615</v>
      </c>
      <c r="AQ678" s="24">
        <v>20336656</v>
      </c>
      <c r="AR678" s="461">
        <f t="shared" ref="AR678" si="573">+AL678/AP677</f>
        <v>3.225085241241695E-3</v>
      </c>
      <c r="AS678" s="25"/>
      <c r="AT678" s="25"/>
      <c r="AU678" s="24"/>
      <c r="AV678" s="298">
        <f t="shared" ref="AV678" si="574">+AP678/H678</f>
        <v>0.70447934707431747</v>
      </c>
      <c r="AW678" s="298"/>
      <c r="AX678" s="24">
        <f t="shared" ref="AX678" si="575">+AP678/BW678</f>
        <v>64618.258594917788</v>
      </c>
      <c r="AY678" s="308"/>
      <c r="BA678" s="65">
        <f t="shared" ref="BA678" si="576">+BC678-BC677</f>
        <v>4780319</v>
      </c>
      <c r="BB678" s="66"/>
      <c r="BC678" s="66">
        <v>863487238</v>
      </c>
      <c r="BD678" s="66"/>
      <c r="BE678" s="66">
        <f t="shared" ref="BE678" si="577">+D678</f>
        <v>573918</v>
      </c>
      <c r="BF678" s="66"/>
      <c r="BG678" s="144">
        <f t="shared" ref="BG678" si="578">+BE678/BA678</f>
        <v>0.12005851492337645</v>
      </c>
      <c r="BH678" s="66"/>
      <c r="BI678" s="170"/>
      <c r="BJ678" s="66"/>
      <c r="BK678" s="66"/>
      <c r="BL678" s="66"/>
      <c r="BM678" s="144"/>
      <c r="BN678" s="65">
        <f t="shared" ref="BN678" si="579">+BC678/BW678</f>
        <v>1290713.360239163</v>
      </c>
      <c r="BO678" s="66"/>
      <c r="BP678" s="66">
        <f t="shared" ref="BP678" si="580">+BP677+BE678</f>
        <v>60456943</v>
      </c>
      <c r="BQ678" s="66"/>
      <c r="BR678" s="435">
        <f t="shared" ref="BR678" si="581">+BP678/BC678</f>
        <v>7.0014865697412887E-2</v>
      </c>
      <c r="BS678" s="66"/>
      <c r="BT678" s="75"/>
      <c r="BU678" s="170"/>
      <c r="BV678" s="1"/>
      <c r="BW678" s="61">
        <f t="shared" si="399"/>
        <v>669</v>
      </c>
      <c r="CA678" s="56">
        <f t="shared" si="559"/>
        <v>4780319</v>
      </c>
      <c r="CC678" s="56">
        <f t="shared" si="560"/>
        <v>573918</v>
      </c>
      <c r="CG678" s="59">
        <f t="shared" si="561"/>
        <v>0.12005851492337645</v>
      </c>
    </row>
    <row r="679" spans="2:85" x14ac:dyDescent="0.3">
      <c r="B679" s="158">
        <f t="shared" si="537"/>
        <v>44579</v>
      </c>
      <c r="C679" s="61"/>
      <c r="D679" s="17">
        <v>546904</v>
      </c>
      <c r="E679" s="16"/>
      <c r="F679" s="16"/>
      <c r="G679" s="16"/>
      <c r="H679" s="16">
        <f t="shared" ref="H679" si="582">+H678+D679</f>
        <v>61910825</v>
      </c>
      <c r="I679" s="16"/>
      <c r="J679" s="436">
        <f t="shared" ref="J679" si="583">+D679/H678</f>
        <v>8.9124682889804262E-3</v>
      </c>
      <c r="K679" s="16"/>
      <c r="L679" s="16"/>
      <c r="M679" s="16"/>
      <c r="N679" s="16">
        <f t="shared" ref="N679" si="584">SUM(D673:D679)</f>
        <v>4319036</v>
      </c>
      <c r="O679" s="16">
        <f t="shared" ref="O679" si="585">+H679/BW679</f>
        <v>92404.216417910444</v>
      </c>
      <c r="P679" s="41"/>
      <c r="Q679" s="17">
        <f t="shared" ref="Q679" si="586">SUM(D673:D679)</f>
        <v>4319036</v>
      </c>
      <c r="R679" s="16"/>
      <c r="S679" s="60">
        <f t="shared" ref="S679" si="587">+(Q679-Q672)/Q672</f>
        <v>-7.9264458028324908E-2</v>
      </c>
      <c r="T679" s="16"/>
      <c r="U679" s="41"/>
      <c r="V679" s="10">
        <f t="shared" si="558"/>
        <v>571</v>
      </c>
      <c r="W679" s="34">
        <v>1720</v>
      </c>
      <c r="X679" s="33">
        <v>4256</v>
      </c>
      <c r="Y679" s="33"/>
      <c r="Z679" s="33">
        <f t="shared" ref="Z679" si="588">SUM(W674:W679)</f>
        <v>7954</v>
      </c>
      <c r="AA679" s="33">
        <f t="shared" ref="AA679" si="589">+AA678+W679</f>
        <v>791431</v>
      </c>
      <c r="AB679" s="33"/>
      <c r="AC679" s="46">
        <f t="shared" ref="AC679" si="590">+AA679/H679</f>
        <v>1.2783402579435825E-2</v>
      </c>
      <c r="AD679" s="33"/>
      <c r="AE679" s="33">
        <f t="shared" ref="AE679" si="591">+AA679/BW679</f>
        <v>1181.2402985074627</v>
      </c>
      <c r="AF679" s="50"/>
      <c r="AG679" s="33"/>
      <c r="AH679" s="33"/>
      <c r="AI679" s="213"/>
      <c r="AJ679" s="50"/>
      <c r="AL679" s="23">
        <f t="shared" ref="AL679" si="592">+AP679-AP678</f>
        <v>298495</v>
      </c>
      <c r="AM679" s="24"/>
      <c r="AN679" s="24"/>
      <c r="AO679" s="24">
        <v>178263</v>
      </c>
      <c r="AP679" s="24">
        <v>43528110</v>
      </c>
      <c r="AQ679" s="24">
        <v>20336656</v>
      </c>
      <c r="AR679" s="461">
        <f t="shared" ref="AR679" si="593">+AL679/AP678</f>
        <v>6.9048729672933707E-3</v>
      </c>
      <c r="AS679" s="25"/>
      <c r="AT679" s="25"/>
      <c r="AU679" s="24"/>
      <c r="AV679" s="298">
        <f t="shared" ref="AV679" si="594">+AP679/H679</f>
        <v>0.70307753127179295</v>
      </c>
      <c r="AW679" s="298"/>
      <c r="AX679" s="24">
        <f t="shared" ref="AX679" si="595">+AP679/BW679</f>
        <v>64967.328358208957</v>
      </c>
      <c r="AY679" s="308"/>
      <c r="BA679" s="65">
        <f t="shared" ref="BA679" si="596">+BC679-BC678</f>
        <v>4370237</v>
      </c>
      <c r="BB679" s="66"/>
      <c r="BC679" s="66">
        <v>867857475</v>
      </c>
      <c r="BD679" s="66"/>
      <c r="BE679" s="66">
        <f t="shared" ref="BE679" si="597">+D679</f>
        <v>546904</v>
      </c>
      <c r="BF679" s="66"/>
      <c r="BG679" s="144">
        <f t="shared" ref="BG679" si="598">+BE679/BA679</f>
        <v>0.12514286982605291</v>
      </c>
      <c r="BH679" s="66"/>
      <c r="BI679" s="170"/>
      <c r="BJ679" s="66"/>
      <c r="BK679" s="66"/>
      <c r="BL679" s="66"/>
      <c r="BM679" s="144"/>
      <c r="BN679" s="65">
        <f t="shared" ref="BN679" si="599">+BC679/BW679</f>
        <v>1295309.6641791044</v>
      </c>
      <c r="BO679" s="66"/>
      <c r="BP679" s="66">
        <f t="shared" ref="BP679" si="600">+BP678+BE679</f>
        <v>61003847</v>
      </c>
      <c r="BQ679" s="66"/>
      <c r="BR679" s="435">
        <f t="shared" ref="BR679" si="601">+BP679/BC679</f>
        <v>7.0292471698765971E-2</v>
      </c>
      <c r="BS679" s="66"/>
      <c r="BT679" s="75"/>
      <c r="BU679" s="170"/>
      <c r="BV679" s="1"/>
      <c r="BW679" s="61">
        <f t="shared" si="399"/>
        <v>670</v>
      </c>
      <c r="CA679" s="56">
        <f t="shared" si="559"/>
        <v>4370237</v>
      </c>
      <c r="CC679" s="56">
        <f t="shared" si="560"/>
        <v>546904</v>
      </c>
      <c r="CG679" s="59">
        <f t="shared" si="561"/>
        <v>0.12514286982605291</v>
      </c>
    </row>
    <row r="680" spans="2:85" x14ac:dyDescent="0.3">
      <c r="B680" s="158">
        <f t="shared" si="537"/>
        <v>44580</v>
      </c>
      <c r="C680" s="61"/>
      <c r="D680" s="17">
        <v>710928</v>
      </c>
      <c r="E680" s="16"/>
      <c r="F680" s="16"/>
      <c r="G680" s="16"/>
      <c r="H680" s="16">
        <f t="shared" ref="H680" si="602">+H679+D680</f>
        <v>62621753</v>
      </c>
      <c r="I680" s="16"/>
      <c r="J680" s="436">
        <f t="shared" ref="J680" si="603">+D680/H679</f>
        <v>1.1483096857455865E-2</v>
      </c>
      <c r="K680" s="16"/>
      <c r="L680" s="16"/>
      <c r="M680" s="16"/>
      <c r="N680" s="16">
        <f t="shared" ref="N680" si="604">SUM(D674:D680)</f>
        <v>4157489</v>
      </c>
      <c r="O680" s="16">
        <f t="shared" ref="O680" si="605">+H680/BW680</f>
        <v>93326.010432190757</v>
      </c>
      <c r="P680" s="41"/>
      <c r="Q680" s="17">
        <f t="shared" ref="Q680" si="606">SUM(D674:D680)</f>
        <v>4157489</v>
      </c>
      <c r="R680" s="16"/>
      <c r="S680" s="60">
        <f t="shared" ref="S680" si="607">+(Q680-Q673)/Q673</f>
        <v>-0.14431506742177075</v>
      </c>
      <c r="T680" s="16"/>
      <c r="U680" s="41"/>
      <c r="V680" s="10">
        <f t="shared" si="558"/>
        <v>572</v>
      </c>
      <c r="W680" s="34">
        <v>2374</v>
      </c>
      <c r="X680" s="33">
        <v>4256</v>
      </c>
      <c r="Y680" s="33"/>
      <c r="Z680" s="33">
        <f t="shared" ref="Z680" si="608">SUM(W675:W680)</f>
        <v>8359</v>
      </c>
      <c r="AA680" s="33">
        <f t="shared" ref="AA680" si="609">+AA679+W680</f>
        <v>793805</v>
      </c>
      <c r="AB680" s="33"/>
      <c r="AC680" s="46">
        <f t="shared" ref="AC680" si="610">+AA680/H680</f>
        <v>1.2676186180862742E-2</v>
      </c>
      <c r="AD680" s="33"/>
      <c r="AE680" s="33">
        <f t="shared" ref="AE680" si="611">+AA680/BW680</f>
        <v>1183.0178837555886</v>
      </c>
      <c r="AF680" s="50"/>
      <c r="AG680" s="33"/>
      <c r="AH680" s="33"/>
      <c r="AI680" s="213"/>
      <c r="AJ680" s="50"/>
      <c r="AL680" s="23">
        <f t="shared" ref="AL680" si="612">+AP680-AP679</f>
        <v>364167</v>
      </c>
      <c r="AM680" s="24"/>
      <c r="AN680" s="24"/>
      <c r="AO680" s="24">
        <v>178263</v>
      </c>
      <c r="AP680" s="24">
        <v>43892277</v>
      </c>
      <c r="AQ680" s="24">
        <v>20336656</v>
      </c>
      <c r="AR680" s="461">
        <f t="shared" ref="AR680" si="613">+AL680/AP679</f>
        <v>8.3662488447120726E-3</v>
      </c>
      <c r="AS680" s="25"/>
      <c r="AT680" s="25"/>
      <c r="AU680" s="24"/>
      <c r="AV680" s="298">
        <f t="shared" ref="AV680" si="614">+AP680/H680</f>
        <v>0.70091102368213809</v>
      </c>
      <c r="AW680" s="298"/>
      <c r="AX680" s="24">
        <f t="shared" ref="AX680" si="615">+AP680/BW680</f>
        <v>65413.229508196724</v>
      </c>
      <c r="AY680" s="308"/>
      <c r="BA680" s="65">
        <f t="shared" ref="BA680" si="616">+BC680-BC679</f>
        <v>3795478</v>
      </c>
      <c r="BB680" s="66"/>
      <c r="BC680" s="66">
        <v>871652953</v>
      </c>
      <c r="BD680" s="66"/>
      <c r="BE680" s="66">
        <f t="shared" ref="BE680" si="617">+D680</f>
        <v>710928</v>
      </c>
      <c r="BF680" s="66"/>
      <c r="BG680" s="144">
        <f t="shared" ref="BG680" si="618">+BE680/BA680</f>
        <v>0.18730921375384074</v>
      </c>
      <c r="BH680" s="66"/>
      <c r="BI680" s="170"/>
      <c r="BJ680" s="66"/>
      <c r="BK680" s="66"/>
      <c r="BL680" s="66"/>
      <c r="BM680" s="144"/>
      <c r="BN680" s="65">
        <f t="shared" ref="BN680" si="619">+BC680/BW680</f>
        <v>1299035.697466468</v>
      </c>
      <c r="BO680" s="66"/>
      <c r="BP680" s="66">
        <f t="shared" ref="BP680" si="620">+BP679+BE680</f>
        <v>61714775</v>
      </c>
      <c r="BQ680" s="66"/>
      <c r="BR680" s="435">
        <f t="shared" ref="BR680" si="621">+BP680/BC680</f>
        <v>7.0802003007726863E-2</v>
      </c>
      <c r="BS680" s="66"/>
      <c r="BT680" s="75"/>
      <c r="BU680" s="170"/>
      <c r="BV680" s="1"/>
      <c r="BW680" s="61">
        <f t="shared" si="399"/>
        <v>671</v>
      </c>
      <c r="CA680" s="56">
        <f t="shared" si="559"/>
        <v>3795478</v>
      </c>
      <c r="CC680" s="56">
        <f t="shared" si="560"/>
        <v>710928</v>
      </c>
      <c r="CG680" s="59">
        <f t="shared" si="561"/>
        <v>0.18730921375384074</v>
      </c>
    </row>
    <row r="681" spans="2:85" x14ac:dyDescent="0.3">
      <c r="B681" s="158">
        <f t="shared" si="537"/>
        <v>44581</v>
      </c>
      <c r="C681" s="61"/>
      <c r="D681" s="17">
        <v>692320</v>
      </c>
      <c r="E681" s="16"/>
      <c r="F681" s="16"/>
      <c r="G681" s="16"/>
      <c r="H681" s="16">
        <f t="shared" ref="H681" si="622">+H680+D681</f>
        <v>63314073</v>
      </c>
      <c r="I681" s="16"/>
      <c r="J681" s="436">
        <f t="shared" ref="J681" si="623">+D681/H680</f>
        <v>1.1055583193271514E-2</v>
      </c>
      <c r="K681" s="16"/>
      <c r="L681" s="16"/>
      <c r="M681" s="16"/>
      <c r="N681" s="16">
        <f t="shared" ref="N681" si="624">SUM(D675:D681)</f>
        <v>4043316</v>
      </c>
      <c r="O681" s="16">
        <f t="shared" ref="O681" si="625">+H681/BW681</f>
        <v>94217.37053571429</v>
      </c>
      <c r="P681" s="41"/>
      <c r="Q681" s="17">
        <f t="shared" ref="Q681" si="626">SUM(D675:D681)</f>
        <v>4043316</v>
      </c>
      <c r="R681" s="16"/>
      <c r="S681" s="60">
        <f t="shared" ref="S681" si="627">+(Q681-Q674)/Q674</f>
        <v>-0.17712559444111697</v>
      </c>
      <c r="T681" s="16"/>
      <c r="U681" s="41"/>
      <c r="V681" s="10">
        <f t="shared" si="558"/>
        <v>573</v>
      </c>
      <c r="W681" s="34">
        <v>2700</v>
      </c>
      <c r="X681" s="33">
        <v>4256</v>
      </c>
      <c r="Y681" s="33"/>
      <c r="Z681" s="33">
        <f t="shared" ref="Z681" si="628">SUM(W676:W681)</f>
        <v>8756</v>
      </c>
      <c r="AA681" s="33">
        <f t="shared" ref="AA681" si="629">+AA680+W681</f>
        <v>796505</v>
      </c>
      <c r="AB681" s="33"/>
      <c r="AC681" s="46">
        <f t="shared" ref="AC681" si="630">+AA681/H681</f>
        <v>1.2580220514323885E-2</v>
      </c>
      <c r="AD681" s="33"/>
      <c r="AE681" s="33">
        <f t="shared" ref="AE681" si="631">+AA681/BW681</f>
        <v>1185.2752976190477</v>
      </c>
      <c r="AF681" s="50"/>
      <c r="AG681" s="33"/>
      <c r="AH681" s="33"/>
      <c r="AI681" s="213"/>
      <c r="AJ681" s="50"/>
      <c r="AL681" s="23">
        <f t="shared" ref="AL681" si="632">+AP681-AP680</f>
        <v>155522</v>
      </c>
      <c r="AM681" s="24"/>
      <c r="AN681" s="24"/>
      <c r="AO681" s="24">
        <v>178263</v>
      </c>
      <c r="AP681" s="24">
        <v>44047799</v>
      </c>
      <c r="AQ681" s="24">
        <v>20336656</v>
      </c>
      <c r="AR681" s="461">
        <f t="shared" ref="AR681" si="633">+AL681/AP680</f>
        <v>3.5432657093638592E-3</v>
      </c>
      <c r="AS681" s="25"/>
      <c r="AT681" s="25"/>
      <c r="AU681" s="24"/>
      <c r="AV681" s="298">
        <f t="shared" ref="AV681" si="634">+AP681/H681</f>
        <v>0.69570313380407545</v>
      </c>
      <c r="AW681" s="298"/>
      <c r="AX681" s="24">
        <f t="shared" ref="AX681" si="635">+AP681/BW681</f>
        <v>65547.319940476184</v>
      </c>
      <c r="AY681" s="308"/>
      <c r="BA681" s="65">
        <f t="shared" ref="BA681" si="636">+BC681-BC680</f>
        <v>3347047</v>
      </c>
      <c r="BB681" s="66"/>
      <c r="BC681" s="66">
        <v>875000000</v>
      </c>
      <c r="BD681" s="66"/>
      <c r="BE681" s="66">
        <f t="shared" ref="BE681" si="637">+D681</f>
        <v>692320</v>
      </c>
      <c r="BF681" s="66"/>
      <c r="BG681" s="144">
        <f t="shared" ref="BG681" si="638">+BE681/BA681</f>
        <v>0.20684501890771179</v>
      </c>
      <c r="BH681" s="66"/>
      <c r="BI681" s="170"/>
      <c r="BJ681" s="66"/>
      <c r="BK681" s="66"/>
      <c r="BL681" s="66"/>
      <c r="BM681" s="144"/>
      <c r="BN681" s="65">
        <f t="shared" ref="BN681" si="639">+BC681/BW681</f>
        <v>1302083.3333333333</v>
      </c>
      <c r="BO681" s="66"/>
      <c r="BP681" s="66">
        <f t="shared" ref="BP681" si="640">+BP680+BE681</f>
        <v>62407095</v>
      </c>
      <c r="BQ681" s="66"/>
      <c r="BR681" s="435">
        <f t="shared" ref="BR681" si="641">+BP681/BC681</f>
        <v>7.1322394285714283E-2</v>
      </c>
      <c r="BS681" s="66"/>
      <c r="BT681" s="75"/>
      <c r="BU681" s="170"/>
      <c r="BV681" s="1"/>
      <c r="BW681" s="61">
        <f t="shared" si="399"/>
        <v>672</v>
      </c>
      <c r="CA681" s="56">
        <f t="shared" si="559"/>
        <v>3347047</v>
      </c>
      <c r="CC681" s="56">
        <f t="shared" si="560"/>
        <v>692320</v>
      </c>
      <c r="CG681" s="59">
        <f t="shared" si="561"/>
        <v>0.20684501890771179</v>
      </c>
    </row>
    <row r="682" spans="2:85" x14ac:dyDescent="0.3">
      <c r="B682" s="158">
        <f t="shared" si="537"/>
        <v>44582</v>
      </c>
      <c r="C682" s="61"/>
      <c r="D682" s="17">
        <v>800700</v>
      </c>
      <c r="E682" s="16"/>
      <c r="F682" s="16"/>
      <c r="G682" s="16"/>
      <c r="H682" s="16">
        <f t="shared" ref="H682" si="642">+H681+D682</f>
        <v>64114773</v>
      </c>
      <c r="I682" s="16"/>
      <c r="J682" s="436">
        <f t="shared" ref="J682" si="643">+D682/H681</f>
        <v>1.2646477505877721E-2</v>
      </c>
      <c r="K682" s="16"/>
      <c r="L682" s="16"/>
      <c r="M682" s="16"/>
      <c r="N682" s="16">
        <f t="shared" ref="N682" si="644">SUM(D676:D682)</f>
        <v>4016884</v>
      </c>
      <c r="O682" s="16">
        <f t="shared" ref="O682" si="645">+H682/BW682</f>
        <v>95267.121842496286</v>
      </c>
      <c r="P682" s="41"/>
      <c r="Q682" s="17">
        <f t="shared" ref="Q682" si="646">SUM(D676:D682)</f>
        <v>4016884</v>
      </c>
      <c r="R682" s="16"/>
      <c r="S682" s="60">
        <f t="shared" ref="S682" si="647">+(Q682-Q675)/Q675</f>
        <v>-0.17882001799002373</v>
      </c>
      <c r="T682" s="16"/>
      <c r="U682" s="41"/>
      <c r="V682" s="10">
        <f t="shared" si="558"/>
        <v>574</v>
      </c>
      <c r="W682" s="34">
        <v>2917</v>
      </c>
      <c r="X682" s="33">
        <v>4256</v>
      </c>
      <c r="Y682" s="33"/>
      <c r="Z682" s="33">
        <f t="shared" ref="Z682" si="648">SUM(W677:W682)</f>
        <v>10787</v>
      </c>
      <c r="AA682" s="33">
        <f t="shared" ref="AA682" si="649">+AA681+W682</f>
        <v>799422</v>
      </c>
      <c r="AB682" s="33"/>
      <c r="AC682" s="46">
        <f t="shared" ref="AC682" si="650">+AA682/H682</f>
        <v>1.2468608443798124E-2</v>
      </c>
      <c r="AD682" s="33"/>
      <c r="AE682" s="33">
        <f t="shared" ref="AE682" si="651">+AA682/BW682</f>
        <v>1187.848439821694</v>
      </c>
      <c r="AF682" s="50"/>
      <c r="AG682" s="33"/>
      <c r="AH682" s="33"/>
      <c r="AI682" s="213"/>
      <c r="AJ682" s="50"/>
      <c r="AL682" s="23">
        <f t="shared" ref="AL682" si="652">+AP682-AP681</f>
        <v>174635</v>
      </c>
      <c r="AM682" s="24"/>
      <c r="AN682" s="24"/>
      <c r="AO682" s="24">
        <v>178263</v>
      </c>
      <c r="AP682" s="24">
        <v>44222434</v>
      </c>
      <c r="AQ682" s="24">
        <v>20336656</v>
      </c>
      <c r="AR682" s="461">
        <f t="shared" ref="AR682" si="653">+AL682/AP681</f>
        <v>3.9646702892010563E-3</v>
      </c>
      <c r="AS682" s="25"/>
      <c r="AT682" s="25"/>
      <c r="AU682" s="24"/>
      <c r="AV682" s="298">
        <f t="shared" ref="AV682" si="654">+AP682/H682</f>
        <v>0.68973860361324213</v>
      </c>
      <c r="AW682" s="298"/>
      <c r="AX682" s="24">
        <f t="shared" ref="AX682" si="655">+AP682/BW682</f>
        <v>65709.411589895986</v>
      </c>
      <c r="AY682" s="308"/>
      <c r="BA682" s="65">
        <f t="shared" ref="BA682" si="656">+BC682-BC681</f>
        <v>3582375</v>
      </c>
      <c r="BB682" s="66"/>
      <c r="BC682" s="66">
        <v>878582375</v>
      </c>
      <c r="BD682" s="66"/>
      <c r="BE682" s="66">
        <f t="shared" ref="BE682" si="657">+D682</f>
        <v>800700</v>
      </c>
      <c r="BF682" s="66"/>
      <c r="BG682" s="144">
        <f t="shared" ref="BG682" si="658">+BE682/BA682</f>
        <v>0.22351093897205065</v>
      </c>
      <c r="BH682" s="66"/>
      <c r="BI682" s="170"/>
      <c r="BJ682" s="66"/>
      <c r="BK682" s="66"/>
      <c r="BL682" s="66"/>
      <c r="BM682" s="144"/>
      <c r="BN682" s="65">
        <f t="shared" ref="BN682" si="659">+BC682/BW682</f>
        <v>1305471.5824665676</v>
      </c>
      <c r="BO682" s="66"/>
      <c r="BP682" s="66">
        <f t="shared" ref="BP682" si="660">+BP681+BE682</f>
        <v>63207795</v>
      </c>
      <c r="BQ682" s="66"/>
      <c r="BR682" s="435">
        <f t="shared" ref="BR682" si="661">+BP682/BC682</f>
        <v>7.1942935345134823E-2</v>
      </c>
      <c r="BS682" s="66"/>
      <c r="BT682" s="75"/>
      <c r="BU682" s="170"/>
      <c r="BV682" s="1"/>
      <c r="BW682" s="61">
        <f t="shared" si="399"/>
        <v>673</v>
      </c>
      <c r="CA682" s="56">
        <f t="shared" si="559"/>
        <v>3582375</v>
      </c>
      <c r="CC682" s="56">
        <f t="shared" si="560"/>
        <v>800700</v>
      </c>
      <c r="CG682" s="59">
        <f t="shared" si="561"/>
        <v>0.22351093897205065</v>
      </c>
    </row>
    <row r="683" spans="2:85" x14ac:dyDescent="0.3">
      <c r="B683" s="158">
        <f t="shared" si="537"/>
        <v>44583</v>
      </c>
      <c r="C683" s="61"/>
      <c r="D683" s="17">
        <v>312314</v>
      </c>
      <c r="E683" s="16"/>
      <c r="F683" s="16"/>
      <c r="G683" s="16"/>
      <c r="H683" s="16">
        <f t="shared" ref="H683" si="662">+H682+D683</f>
        <v>64427087</v>
      </c>
      <c r="I683" s="16"/>
      <c r="J683" s="436">
        <f t="shared" ref="J683" si="663">+D683/H682</f>
        <v>4.8711706426847988E-3</v>
      </c>
      <c r="K683" s="16"/>
      <c r="L683" s="16"/>
      <c r="M683" s="16"/>
      <c r="N683" s="16">
        <f t="shared" ref="N683" si="664">SUM(D677:D683)</f>
        <v>3925057</v>
      </c>
      <c r="O683" s="16">
        <f t="shared" ref="O683" si="665">+H683/BW683</f>
        <v>95589.149851632043</v>
      </c>
      <c r="P683" s="41"/>
      <c r="Q683" s="17">
        <f t="shared" ref="Q683" si="666">SUM(D677:D683)</f>
        <v>3925057</v>
      </c>
      <c r="R683" s="16"/>
      <c r="S683" s="60">
        <f t="shared" ref="S683" si="667">+(Q683-Q676)/Q676</f>
        <v>-0.18696490639357369</v>
      </c>
      <c r="T683" s="16"/>
      <c r="U683" s="41"/>
      <c r="V683" s="10">
        <f t="shared" si="558"/>
        <v>575</v>
      </c>
      <c r="W683" s="34">
        <v>841</v>
      </c>
      <c r="X683" s="33">
        <v>4256</v>
      </c>
      <c r="Y683" s="33"/>
      <c r="Z683" s="33">
        <f t="shared" ref="Z683" si="668">SUM(W678:W683)</f>
        <v>11282</v>
      </c>
      <c r="AA683" s="33">
        <f t="shared" ref="AA683" si="669">+AA682+W683</f>
        <v>800263</v>
      </c>
      <c r="AB683" s="33"/>
      <c r="AC683" s="46">
        <f t="shared" ref="AC683" si="670">+AA683/H683</f>
        <v>1.2421219664952413E-2</v>
      </c>
      <c r="AD683" s="33"/>
      <c r="AE683" s="33">
        <f t="shared" ref="AE683" si="671">+AA683/BW683</f>
        <v>1187.3338278931751</v>
      </c>
      <c r="AF683" s="50"/>
      <c r="AG683" s="33"/>
      <c r="AH683" s="33"/>
      <c r="AI683" s="213"/>
      <c r="AJ683" s="50"/>
      <c r="AL683" s="23">
        <f t="shared" ref="AL683" si="672">+AP683-AP682</f>
        <v>106766</v>
      </c>
      <c r="AM683" s="24"/>
      <c r="AN683" s="24"/>
      <c r="AO683" s="24">
        <v>178263</v>
      </c>
      <c r="AP683" s="24">
        <v>44329200</v>
      </c>
      <c r="AQ683" s="24">
        <v>20336656</v>
      </c>
      <c r="AR683" s="461">
        <f t="shared" ref="AR683" si="673">+AL683/AP682</f>
        <v>2.4142949707381552E-3</v>
      </c>
      <c r="AS683" s="25"/>
      <c r="AT683" s="25"/>
      <c r="AU683" s="24"/>
      <c r="AV683" s="298">
        <f t="shared" ref="AV683" si="674">+AP683/H683</f>
        <v>0.68805221629840252</v>
      </c>
      <c r="AW683" s="298"/>
      <c r="AX683" s="24">
        <f t="shared" ref="AX683" si="675">+AP683/BW683</f>
        <v>65770.326409495552</v>
      </c>
      <c r="AY683" s="308"/>
      <c r="BA683" s="65">
        <f t="shared" ref="BA683" si="676">+BC683-BC682</f>
        <v>1015640</v>
      </c>
      <c r="BB683" s="66"/>
      <c r="BC683" s="66">
        <v>879598015</v>
      </c>
      <c r="BD683" s="66"/>
      <c r="BE683" s="66">
        <f t="shared" ref="BE683" si="677">+D683</f>
        <v>312314</v>
      </c>
      <c r="BF683" s="66"/>
      <c r="BG683" s="144">
        <f t="shared" ref="BG683" si="678">+BE683/BA683</f>
        <v>0.30750462762396125</v>
      </c>
      <c r="BH683" s="66"/>
      <c r="BI683" s="170"/>
      <c r="BJ683" s="66"/>
      <c r="BK683" s="66"/>
      <c r="BL683" s="66"/>
      <c r="BM683" s="144"/>
      <c r="BN683" s="65">
        <f t="shared" ref="BN683" si="679">+BC683/BW683</f>
        <v>1305041.5652818992</v>
      </c>
      <c r="BO683" s="66"/>
      <c r="BP683" s="66">
        <f t="shared" ref="BP683" si="680">+BP682+BE683</f>
        <v>63520109</v>
      </c>
      <c r="BQ683" s="66"/>
      <c r="BR683" s="435">
        <f t="shared" ref="BR683" si="681">+BP683/BC683</f>
        <v>7.2214929907498712E-2</v>
      </c>
      <c r="BS683" s="66"/>
      <c r="BT683" s="75"/>
      <c r="BU683" s="170"/>
      <c r="BV683" s="1"/>
      <c r="BW683" s="61">
        <f t="shared" si="399"/>
        <v>674</v>
      </c>
      <c r="CA683" s="56">
        <f t="shared" si="559"/>
        <v>1015640</v>
      </c>
      <c r="CC683" s="56">
        <f t="shared" si="560"/>
        <v>312314</v>
      </c>
      <c r="CG683" s="59">
        <f t="shared" si="561"/>
        <v>0.30750462762396125</v>
      </c>
    </row>
    <row r="684" spans="2:85" x14ac:dyDescent="0.3">
      <c r="B684" s="347">
        <f t="shared" si="537"/>
        <v>44584</v>
      </c>
      <c r="C684" s="61"/>
      <c r="D684" s="17">
        <v>197374</v>
      </c>
      <c r="E684" s="16"/>
      <c r="F684" s="16"/>
      <c r="G684" s="16"/>
      <c r="H684" s="16">
        <f t="shared" ref="H684" si="682">+H683+D684</f>
        <v>64624461</v>
      </c>
      <c r="I684" s="16"/>
      <c r="J684" s="436">
        <f t="shared" ref="J684" si="683">+D684/H683</f>
        <v>3.0635251288018035E-3</v>
      </c>
      <c r="K684" s="16"/>
      <c r="L684" s="16"/>
      <c r="M684" s="16"/>
      <c r="N684" s="16">
        <f t="shared" ref="N684" si="684">SUM(D678:D684)</f>
        <v>3834458</v>
      </c>
      <c r="O684" s="16">
        <f t="shared" ref="O684" si="685">+H684/BW684</f>
        <v>95739.94222222222</v>
      </c>
      <c r="P684" s="41"/>
      <c r="Q684" s="17">
        <f t="shared" ref="Q684" si="686">SUM(D678:D684)</f>
        <v>3834458</v>
      </c>
      <c r="R684" s="16"/>
      <c r="S684" s="60">
        <f t="shared" ref="S684" si="687">+(Q684-Q677)/Q677</f>
        <v>-0.15967877879137057</v>
      </c>
      <c r="T684" s="16"/>
      <c r="U684" s="41"/>
      <c r="V684" s="10">
        <f t="shared" si="558"/>
        <v>576</v>
      </c>
      <c r="W684" s="34">
        <v>574</v>
      </c>
      <c r="X684" s="33">
        <v>4256</v>
      </c>
      <c r="Y684" s="33"/>
      <c r="Z684" s="33">
        <f t="shared" ref="Z684" si="688">SUM(W679:W684)</f>
        <v>11126</v>
      </c>
      <c r="AA684" s="33">
        <f t="shared" ref="AA684" si="689">+AA683+W684</f>
        <v>800837</v>
      </c>
      <c r="AB684" s="33"/>
      <c r="AC684" s="46">
        <f t="shared" ref="AC684" si="690">+AA684/H684</f>
        <v>1.2392165251482717E-2</v>
      </c>
      <c r="AD684" s="33"/>
      <c r="AE684" s="33">
        <f t="shared" ref="AE684" si="691">+AA684/BW684</f>
        <v>1186.4251851851852</v>
      </c>
      <c r="AF684" s="50"/>
      <c r="AG684" s="33"/>
      <c r="AH684" s="33"/>
      <c r="AI684" s="213"/>
      <c r="AJ684" s="50"/>
      <c r="AL684" s="23">
        <f t="shared" ref="AL684" si="692">+AP684-AP683</f>
        <v>36469</v>
      </c>
      <c r="AM684" s="24"/>
      <c r="AN684" s="24"/>
      <c r="AO684" s="24">
        <v>178263</v>
      </c>
      <c r="AP684" s="24">
        <v>44365669</v>
      </c>
      <c r="AQ684" s="24">
        <v>20336656</v>
      </c>
      <c r="AR684" s="461">
        <f t="shared" ref="AR684" si="693">+AL684/AP683</f>
        <v>8.2268572408254607E-4</v>
      </c>
      <c r="AS684" s="25"/>
      <c r="AT684" s="25"/>
      <c r="AU684" s="24"/>
      <c r="AV684" s="298">
        <f t="shared" ref="AV684" si="694">+AP684/H684</f>
        <v>0.68651511074111704</v>
      </c>
      <c r="AW684" s="298"/>
      <c r="AX684" s="24">
        <f t="shared" ref="AX684" si="695">+AP684/BW684</f>
        <v>65726.917037037041</v>
      </c>
      <c r="AY684" s="308"/>
      <c r="BA684" s="65">
        <f t="shared" ref="BA684" si="696">+BC684-BC683</f>
        <v>870358</v>
      </c>
      <c r="BB684" s="66"/>
      <c r="BC684" s="66">
        <v>880468373</v>
      </c>
      <c r="BD684" s="66"/>
      <c r="BE684" s="66">
        <f t="shared" ref="BE684" si="697">+D684</f>
        <v>197374</v>
      </c>
      <c r="BF684" s="66"/>
      <c r="BG684" s="144">
        <f t="shared" ref="BG684" si="698">+BE684/BA684</f>
        <v>0.22677335073613386</v>
      </c>
      <c r="BH684" s="66"/>
      <c r="BI684" s="170"/>
      <c r="BJ684" s="66"/>
      <c r="BK684" s="66"/>
      <c r="BL684" s="66"/>
      <c r="BM684" s="144"/>
      <c r="BN684" s="65">
        <f t="shared" ref="BN684" si="699">+BC684/BW684</f>
        <v>1304397.5896296296</v>
      </c>
      <c r="BO684" s="66"/>
      <c r="BP684" s="66">
        <f t="shared" ref="BP684" si="700">+BP683+BE684</f>
        <v>63717483</v>
      </c>
      <c r="BQ684" s="66"/>
      <c r="BR684" s="435">
        <f t="shared" ref="BR684" si="701">+BP684/BC684</f>
        <v>7.2367713541937759E-2</v>
      </c>
      <c r="BS684" s="66"/>
      <c r="BT684" s="75"/>
      <c r="BU684" s="170"/>
      <c r="BV684" s="1"/>
      <c r="BW684" s="61">
        <f t="shared" si="399"/>
        <v>675</v>
      </c>
      <c r="CA684" s="56">
        <f t="shared" si="559"/>
        <v>870358</v>
      </c>
      <c r="CC684" s="56">
        <f t="shared" si="560"/>
        <v>197374</v>
      </c>
      <c r="CG684" s="59">
        <f t="shared" si="561"/>
        <v>0.22677335073613386</v>
      </c>
    </row>
    <row r="685" spans="2:85" x14ac:dyDescent="0.3">
      <c r="B685" s="158">
        <f t="shared" si="537"/>
        <v>44585</v>
      </c>
      <c r="C685" s="61"/>
      <c r="D685" s="17">
        <v>465154</v>
      </c>
      <c r="E685" s="16"/>
      <c r="F685" s="16"/>
      <c r="G685" s="16"/>
      <c r="H685" s="16">
        <f t="shared" ref="H685" si="702">+H684+D685</f>
        <v>65089615</v>
      </c>
      <c r="I685" s="16"/>
      <c r="J685" s="436">
        <f t="shared" ref="J685" si="703">+D685/H684</f>
        <v>7.1978008451010524E-3</v>
      </c>
      <c r="K685" s="16"/>
      <c r="L685" s="16"/>
      <c r="M685" s="16"/>
      <c r="N685" s="16">
        <f t="shared" ref="N685" si="704">SUM(D679:D685)</f>
        <v>3725694</v>
      </c>
      <c r="O685" s="16">
        <f t="shared" ref="O685" si="705">+H685/BW685</f>
        <v>96286.412721893488</v>
      </c>
      <c r="P685" s="41"/>
      <c r="Q685" s="17">
        <f t="shared" ref="Q685" si="706">SUM(D679:D685)</f>
        <v>3725694</v>
      </c>
      <c r="R685" s="16"/>
      <c r="S685" s="60">
        <f t="shared" ref="S685" si="707">+(Q685-Q678)/Q678</f>
        <v>-0.16182437631102245</v>
      </c>
      <c r="T685" s="16"/>
      <c r="U685" s="41"/>
      <c r="V685" s="10">
        <f t="shared" si="558"/>
        <v>577</v>
      </c>
      <c r="W685" s="34">
        <v>1193</v>
      </c>
      <c r="X685" s="33">
        <v>4256</v>
      </c>
      <c r="Y685" s="33"/>
      <c r="Z685" s="33">
        <f t="shared" ref="Z685" si="708">SUM(W680:W685)</f>
        <v>10599</v>
      </c>
      <c r="AA685" s="33">
        <f t="shared" ref="AA685" si="709">+AA684+W685</f>
        <v>802030</v>
      </c>
      <c r="AB685" s="33"/>
      <c r="AC685" s="46">
        <f t="shared" ref="AC685" si="710">+AA685/H685</f>
        <v>1.2321934920032942E-2</v>
      </c>
      <c r="AD685" s="33"/>
      <c r="AE685" s="33">
        <f t="shared" ref="AE685" si="711">+AA685/BW685</f>
        <v>1186.4349112426034</v>
      </c>
      <c r="AF685" s="50"/>
      <c r="AG685" s="33"/>
      <c r="AH685" s="33"/>
      <c r="AI685" s="213"/>
      <c r="AJ685" s="50"/>
      <c r="AL685" s="23">
        <f t="shared" ref="AL685" si="712">+AP685-AP684</f>
        <v>463288</v>
      </c>
      <c r="AM685" s="24"/>
      <c r="AN685" s="24"/>
      <c r="AO685" s="24">
        <v>178263</v>
      </c>
      <c r="AP685" s="24">
        <v>44828957</v>
      </c>
      <c r="AQ685" s="24">
        <v>20336656</v>
      </c>
      <c r="AR685" s="461">
        <f t="shared" ref="AR685" si="713">+AL685/AP684</f>
        <v>1.0442488763101937E-2</v>
      </c>
      <c r="AS685" s="25"/>
      <c r="AT685" s="25"/>
      <c r="AU685" s="24"/>
      <c r="AV685" s="298">
        <f t="shared" ref="AV685" si="714">+AP685/H685</f>
        <v>0.68872671930844886</v>
      </c>
      <c r="AW685" s="298"/>
      <c r="AX685" s="24">
        <f t="shared" ref="AX685" si="715">+AP685/BW685</f>
        <v>66315.025147928987</v>
      </c>
      <c r="AY685" s="308"/>
      <c r="BA685" s="65">
        <f t="shared" ref="BA685" si="716">+BC685-BC684</f>
        <v>6136836</v>
      </c>
      <c r="BB685" s="66"/>
      <c r="BC685" s="66">
        <v>886605209</v>
      </c>
      <c r="BD685" s="66"/>
      <c r="BE685" s="66">
        <f t="shared" ref="BE685" si="717">+D685</f>
        <v>465154</v>
      </c>
      <c r="BF685" s="66"/>
      <c r="BG685" s="144">
        <f t="shared" ref="BG685" si="718">+BE685/BA685</f>
        <v>7.5797039386419976E-2</v>
      </c>
      <c r="BH685" s="66"/>
      <c r="BI685" s="170"/>
      <c r="BJ685" s="66"/>
      <c r="BK685" s="66"/>
      <c r="BL685" s="66"/>
      <c r="BM685" s="144"/>
      <c r="BN685" s="65">
        <f t="shared" ref="BN685" si="719">+BC685/BW685</f>
        <v>1311546.1671597634</v>
      </c>
      <c r="BO685" s="66"/>
      <c r="BP685" s="66">
        <f t="shared" ref="BP685" si="720">+BP684+BE685</f>
        <v>64182637</v>
      </c>
      <c r="BQ685" s="66"/>
      <c r="BR685" s="435">
        <f t="shared" ref="BR685" si="721">+BP685/BC685</f>
        <v>7.2391450386797812E-2</v>
      </c>
      <c r="BS685" s="66"/>
      <c r="BT685" s="75"/>
      <c r="BU685" s="170"/>
      <c r="BV685" s="1"/>
      <c r="BW685" s="61">
        <f t="shared" si="399"/>
        <v>676</v>
      </c>
      <c r="CA685" s="56">
        <f t="shared" si="559"/>
        <v>6136836</v>
      </c>
      <c r="CC685" s="56">
        <f t="shared" si="560"/>
        <v>465154</v>
      </c>
      <c r="CG685" s="59">
        <f t="shared" si="561"/>
        <v>7.5797039386419976E-2</v>
      </c>
    </row>
    <row r="686" spans="2:85" x14ac:dyDescent="0.3">
      <c r="B686" s="158">
        <f t="shared" si="537"/>
        <v>44586</v>
      </c>
      <c r="C686" s="61"/>
      <c r="D686" s="17">
        <v>443072</v>
      </c>
      <c r="E686" s="16"/>
      <c r="F686" s="16"/>
      <c r="G686" s="16"/>
      <c r="H686" s="16">
        <f t="shared" ref="H686" si="722">+H685+D686</f>
        <v>65532687</v>
      </c>
      <c r="I686" s="16"/>
      <c r="J686" s="436">
        <f t="shared" ref="J686" si="723">+D686/H685</f>
        <v>6.807107401080802E-3</v>
      </c>
      <c r="K686" s="16"/>
      <c r="L686" s="16"/>
      <c r="M686" s="16"/>
      <c r="N686" s="16">
        <f t="shared" ref="N686" si="724">SUM(D680:D686)</f>
        <v>3621862</v>
      </c>
      <c r="O686" s="16">
        <f t="shared" ref="O686" si="725">+H686/BW686</f>
        <v>96798.651403249634</v>
      </c>
      <c r="P686" s="41"/>
      <c r="Q686" s="17">
        <f t="shared" ref="Q686" si="726">SUM(D680:D686)</f>
        <v>3621862</v>
      </c>
      <c r="R686" s="16"/>
      <c r="S686" s="60">
        <f t="shared" ref="S686" si="727">+(Q686-Q679)/Q679</f>
        <v>-0.16141889069690551</v>
      </c>
      <c r="T686" s="16"/>
      <c r="U686" s="41"/>
      <c r="V686" s="10">
        <f t="shared" si="558"/>
        <v>578</v>
      </c>
      <c r="W686" s="34">
        <v>2611</v>
      </c>
      <c r="X686" s="33">
        <v>4256</v>
      </c>
      <c r="Y686" s="33"/>
      <c r="Z686" s="33">
        <f t="shared" ref="Z686" si="728">SUM(W681:W686)</f>
        <v>10836</v>
      </c>
      <c r="AA686" s="33">
        <f t="shared" ref="AA686" si="729">+AA685+W686</f>
        <v>804641</v>
      </c>
      <c r="AB686" s="33"/>
      <c r="AC686" s="46">
        <f t="shared" ref="AC686" si="730">+AA686/H686</f>
        <v>1.227846799567367E-2</v>
      </c>
      <c r="AD686" s="33"/>
      <c r="AE686" s="33">
        <f t="shared" ref="AE686" si="731">+AA686/BW686</f>
        <v>1188.5391432791728</v>
      </c>
      <c r="AF686" s="50"/>
      <c r="AG686" s="33"/>
      <c r="AH686" s="33"/>
      <c r="AI686" s="213"/>
      <c r="AJ686" s="50"/>
      <c r="AL686" s="23">
        <f t="shared" ref="AL686" si="732">+AP686-AP685</f>
        <v>291023</v>
      </c>
      <c r="AM686" s="24"/>
      <c r="AN686" s="24"/>
      <c r="AO686" s="24">
        <v>178263</v>
      </c>
      <c r="AP686" s="24">
        <v>45119980</v>
      </c>
      <c r="AQ686" s="24">
        <v>20336656</v>
      </c>
      <c r="AR686" s="461">
        <f t="shared" ref="AR686" si="733">+AL686/AP685</f>
        <v>6.4918530225898411E-3</v>
      </c>
      <c r="AS686" s="25"/>
      <c r="AT686" s="25"/>
      <c r="AU686" s="24"/>
      <c r="AV686" s="298">
        <f t="shared" ref="AV686" si="734">+AP686/H686</f>
        <v>0.68851106318897015</v>
      </c>
      <c r="AW686" s="298"/>
      <c r="AX686" s="24">
        <f t="shared" ref="AX686" si="735">+AP686/BW686</f>
        <v>66646.942392909899</v>
      </c>
      <c r="AY686" s="308"/>
      <c r="BA686" s="65">
        <f t="shared" ref="BA686" si="736">+BC686-BC685</f>
        <v>2277258</v>
      </c>
      <c r="BB686" s="66"/>
      <c r="BC686" s="66">
        <v>888882467</v>
      </c>
      <c r="BD686" s="66"/>
      <c r="BE686" s="66">
        <f t="shared" ref="BE686" si="737">+D686</f>
        <v>443072</v>
      </c>
      <c r="BF686" s="66"/>
      <c r="BG686" s="144">
        <f t="shared" ref="BG686" si="738">+BE686/BA686</f>
        <v>0.19456381314721477</v>
      </c>
      <c r="BH686" s="66"/>
      <c r="BI686" s="170"/>
      <c r="BJ686" s="66"/>
      <c r="BK686" s="66"/>
      <c r="BL686" s="66"/>
      <c r="BM686" s="144"/>
      <c r="BN686" s="65">
        <f t="shared" ref="BN686" si="739">+BC686/BW686</f>
        <v>1312972.6248153618</v>
      </c>
      <c r="BO686" s="66"/>
      <c r="BP686" s="66">
        <f t="shared" ref="BP686" si="740">+BP685+BE686</f>
        <v>64625709</v>
      </c>
      <c r="BQ686" s="66"/>
      <c r="BR686" s="435">
        <f t="shared" ref="BR686" si="741">+BP686/BC686</f>
        <v>7.270444788737182E-2</v>
      </c>
      <c r="BS686" s="66"/>
      <c r="BT686" s="75"/>
      <c r="BU686" s="170"/>
      <c r="BV686" s="1"/>
      <c r="BW686" s="61">
        <f t="shared" si="399"/>
        <v>677</v>
      </c>
      <c r="CA686" s="56">
        <f t="shared" si="559"/>
        <v>2277258</v>
      </c>
      <c r="CC686" s="56">
        <f t="shared" si="560"/>
        <v>443072</v>
      </c>
      <c r="CG686" s="59">
        <f t="shared" si="561"/>
        <v>0.19456381314721477</v>
      </c>
    </row>
    <row r="687" spans="2:85" x14ac:dyDescent="0.3">
      <c r="B687" s="158">
        <f t="shared" si="537"/>
        <v>44587</v>
      </c>
      <c r="C687" s="61"/>
      <c r="D687" s="17">
        <v>533313</v>
      </c>
      <c r="E687" s="16"/>
      <c r="F687" s="16"/>
      <c r="G687" s="16"/>
      <c r="H687" s="16">
        <f t="shared" ref="H687" si="742">+H686+D687</f>
        <v>66066000</v>
      </c>
      <c r="I687" s="16"/>
      <c r="J687" s="436">
        <f t="shared" ref="J687" si="743">+D687/H686</f>
        <v>8.138121972627187E-3</v>
      </c>
      <c r="K687" s="16"/>
      <c r="L687" s="16"/>
      <c r="M687" s="16"/>
      <c r="N687" s="16">
        <f t="shared" ref="N687" si="744">SUM(D681:D687)</f>
        <v>3444247</v>
      </c>
      <c r="O687" s="16">
        <f t="shared" ref="O687" si="745">+H687/BW687</f>
        <v>97442.47787610619</v>
      </c>
      <c r="P687" s="41"/>
      <c r="Q687" s="17">
        <f t="shared" ref="Q687" si="746">SUM(D681:D687)</f>
        <v>3444247</v>
      </c>
      <c r="R687" s="16"/>
      <c r="S687" s="60">
        <f t="shared" ref="S687" si="747">+(Q687-Q680)/Q680</f>
        <v>-0.17155595601094795</v>
      </c>
      <c r="T687" s="16"/>
      <c r="U687" s="41"/>
      <c r="V687" s="10">
        <f t="shared" si="558"/>
        <v>579</v>
      </c>
      <c r="W687" s="34">
        <v>3143</v>
      </c>
      <c r="X687" s="33">
        <v>4256</v>
      </c>
      <c r="Y687" s="33"/>
      <c r="Z687" s="33">
        <f t="shared" ref="Z687" si="748">SUM(W682:W687)</f>
        <v>11279</v>
      </c>
      <c r="AA687" s="33">
        <f t="shared" ref="AA687" si="749">+AA686+W687</f>
        <v>807784</v>
      </c>
      <c r="AB687" s="33"/>
      <c r="AC687" s="46">
        <f t="shared" ref="AC687" si="750">+AA687/H687</f>
        <v>1.2226924590560954E-2</v>
      </c>
      <c r="AD687" s="33"/>
      <c r="AE687" s="33">
        <f t="shared" ref="AE687" si="751">+AA687/BW687</f>
        <v>1191.4218289085545</v>
      </c>
      <c r="AF687" s="50"/>
      <c r="AG687" s="33"/>
      <c r="AH687" s="33"/>
      <c r="AI687" s="213"/>
      <c r="AJ687" s="50"/>
      <c r="AL687" s="23">
        <f t="shared" ref="AL687" si="752">+AP687-AP686</f>
        <v>301338</v>
      </c>
      <c r="AM687" s="24"/>
      <c r="AN687" s="24"/>
      <c r="AO687" s="24">
        <v>178263</v>
      </c>
      <c r="AP687" s="24">
        <v>45421318</v>
      </c>
      <c r="AQ687" s="24">
        <v>20336656</v>
      </c>
      <c r="AR687" s="461">
        <f t="shared" ref="AR687" si="753">+AL687/AP686</f>
        <v>6.6785933859013239E-3</v>
      </c>
      <c r="AS687" s="25"/>
      <c r="AT687" s="25"/>
      <c r="AU687" s="24"/>
      <c r="AV687" s="298">
        <f t="shared" ref="AV687" si="754">+AP687/H687</f>
        <v>0.68751427360518269</v>
      </c>
      <c r="AW687" s="298"/>
      <c r="AX687" s="24">
        <f t="shared" ref="AX687" si="755">+AP687/BW687</f>
        <v>66993.094395280234</v>
      </c>
      <c r="AY687" s="308"/>
      <c r="BA687" s="65">
        <f t="shared" ref="BA687" si="756">+BC687-BC686</f>
        <v>2763890</v>
      </c>
      <c r="BB687" s="66"/>
      <c r="BC687" s="66">
        <v>891646357</v>
      </c>
      <c r="BD687" s="66"/>
      <c r="BE687" s="66">
        <f t="shared" ref="BE687" si="757">+D687</f>
        <v>533313</v>
      </c>
      <c r="BF687" s="66"/>
      <c r="BG687" s="144">
        <f t="shared" ref="BG687" si="758">+BE687/BA687</f>
        <v>0.19295738976587345</v>
      </c>
      <c r="BH687" s="66"/>
      <c r="BI687" s="170"/>
      <c r="BJ687" s="66"/>
      <c r="BK687" s="66"/>
      <c r="BL687" s="66"/>
      <c r="BM687" s="144"/>
      <c r="BN687" s="65">
        <f t="shared" ref="BN687" si="759">+BC687/BW687</f>
        <v>1315112.6209439528</v>
      </c>
      <c r="BO687" s="66"/>
      <c r="BP687" s="66">
        <f t="shared" ref="BP687" si="760">+BP686+BE687</f>
        <v>65159022</v>
      </c>
      <c r="BQ687" s="66"/>
      <c r="BR687" s="435">
        <f t="shared" ref="BR687" si="761">+BP687/BC687</f>
        <v>7.307720318538799E-2</v>
      </c>
      <c r="BS687" s="66"/>
      <c r="BT687" s="75"/>
      <c r="BU687" s="170"/>
      <c r="BV687" s="1"/>
      <c r="BW687" s="61">
        <f t="shared" si="399"/>
        <v>678</v>
      </c>
      <c r="CA687" s="56">
        <f t="shared" si="559"/>
        <v>2763890</v>
      </c>
      <c r="CC687" s="56">
        <f t="shared" si="560"/>
        <v>533313</v>
      </c>
      <c r="CG687" s="59">
        <f t="shared" si="561"/>
        <v>0.19295738976587345</v>
      </c>
    </row>
    <row r="688" spans="2:85" x14ac:dyDescent="0.3">
      <c r="B688" s="158">
        <f t="shared" si="537"/>
        <v>44588</v>
      </c>
      <c r="C688" s="61"/>
      <c r="D688" s="17">
        <v>497351</v>
      </c>
      <c r="E688" s="16"/>
      <c r="F688" s="16"/>
      <c r="G688" s="16"/>
      <c r="H688" s="16">
        <f t="shared" ref="H688" si="762">+H687+D688</f>
        <v>66563351</v>
      </c>
      <c r="I688" s="16"/>
      <c r="J688" s="436">
        <f t="shared" ref="J688" si="763">+D688/H687</f>
        <v>7.5280931190022096E-3</v>
      </c>
      <c r="K688" s="16"/>
      <c r="L688" s="16"/>
      <c r="M688" s="16"/>
      <c r="N688" s="16">
        <f t="shared" ref="N688" si="764">SUM(D682:D688)</f>
        <v>3249278</v>
      </c>
      <c r="O688" s="16">
        <f t="shared" ref="O688" si="765">+H688/BW688</f>
        <v>98031.444771723123</v>
      </c>
      <c r="P688" s="41"/>
      <c r="Q688" s="17">
        <f t="shared" ref="Q688" si="766">SUM(D682:D688)</f>
        <v>3249278</v>
      </c>
      <c r="R688" s="16"/>
      <c r="S688" s="60">
        <f t="shared" ref="S688" si="767">+(Q688-Q681)/Q681</f>
        <v>-0.19638286990183304</v>
      </c>
      <c r="T688" s="16"/>
      <c r="U688" s="41"/>
      <c r="V688" s="10">
        <f t="shared" si="558"/>
        <v>580</v>
      </c>
      <c r="W688" s="34">
        <v>2689</v>
      </c>
      <c r="X688" s="33">
        <v>4256</v>
      </c>
      <c r="Y688" s="33"/>
      <c r="Z688" s="33">
        <f t="shared" ref="Z688" si="768">SUM(W683:W688)</f>
        <v>11051</v>
      </c>
      <c r="AA688" s="33">
        <f t="shared" ref="AA688" si="769">+AA687+W688</f>
        <v>810473</v>
      </c>
      <c r="AB688" s="33"/>
      <c r="AC688" s="46">
        <f t="shared" ref="AC688" si="770">+AA688/H688</f>
        <v>1.217596451837288E-2</v>
      </c>
      <c r="AD688" s="33"/>
      <c r="AE688" s="33">
        <f t="shared" ref="AE688" si="771">+AA688/BW688</f>
        <v>1193.6273932253314</v>
      </c>
      <c r="AF688" s="50"/>
      <c r="AG688" s="33"/>
      <c r="AH688" s="33"/>
      <c r="AI688" s="213"/>
      <c r="AJ688" s="50"/>
      <c r="AL688" s="23">
        <f t="shared" ref="AL688" si="772">+AP688-AP687</f>
        <v>192894</v>
      </c>
      <c r="AM688" s="24"/>
      <c r="AN688" s="24"/>
      <c r="AO688" s="24">
        <v>178263</v>
      </c>
      <c r="AP688" s="24">
        <v>45614212</v>
      </c>
      <c r="AQ688" s="24">
        <v>20336656</v>
      </c>
      <c r="AR688" s="461">
        <f t="shared" ref="AR688" si="773">+AL688/AP687</f>
        <v>4.2467724076170575E-3</v>
      </c>
      <c r="AS688" s="25"/>
      <c r="AT688" s="25"/>
      <c r="AU688" s="24"/>
      <c r="AV688" s="298">
        <f t="shared" ref="AV688" si="774">+AP688/H688</f>
        <v>0.68527517492320966</v>
      </c>
      <c r="AW688" s="298"/>
      <c r="AX688" s="24">
        <f t="shared" ref="AX688" si="775">+AP688/BW688</f>
        <v>67178.515463917531</v>
      </c>
      <c r="AY688" s="308"/>
      <c r="BA688" s="65">
        <f t="shared" ref="BA688" si="776">+BC688-BC687</f>
        <v>2673321</v>
      </c>
      <c r="BB688" s="66"/>
      <c r="BC688" s="66">
        <v>894319678</v>
      </c>
      <c r="BD688" s="66"/>
      <c r="BE688" s="66">
        <f t="shared" ref="BE688" si="777">+D688</f>
        <v>497351</v>
      </c>
      <c r="BF688" s="66"/>
      <c r="BG688" s="144">
        <f t="shared" ref="BG688" si="778">+BE688/BA688</f>
        <v>0.18604237949726202</v>
      </c>
      <c r="BH688" s="66"/>
      <c r="BI688" s="170"/>
      <c r="BJ688" s="66"/>
      <c r="BK688" s="66"/>
      <c r="BL688" s="66"/>
      <c r="BM688" s="144"/>
      <c r="BN688" s="65">
        <f t="shared" ref="BN688" si="779">+BC688/BW688</f>
        <v>1317112.9278350514</v>
      </c>
      <c r="BO688" s="66"/>
      <c r="BP688" s="66">
        <f t="shared" ref="BP688" si="780">+BP687+BE688</f>
        <v>65656373</v>
      </c>
      <c r="BQ688" s="66"/>
      <c r="BR688" s="435">
        <f t="shared" ref="BR688" si="781">+BP688/BC688</f>
        <v>7.3414881294829343E-2</v>
      </c>
      <c r="BS688" s="66"/>
      <c r="BT688" s="75"/>
      <c r="BU688" s="170"/>
      <c r="BV688" s="1"/>
      <c r="BW688" s="61">
        <f t="shared" si="399"/>
        <v>679</v>
      </c>
      <c r="CA688" s="56">
        <f t="shared" si="559"/>
        <v>2673321</v>
      </c>
      <c r="CC688" s="56">
        <f t="shared" si="560"/>
        <v>497351</v>
      </c>
      <c r="CG688" s="59">
        <f t="shared" si="561"/>
        <v>0.18604237949726202</v>
      </c>
    </row>
    <row r="689" spans="2:85" x14ac:dyDescent="0.3">
      <c r="B689" s="158">
        <f t="shared" si="537"/>
        <v>44589</v>
      </c>
      <c r="C689" s="61"/>
      <c r="D689" s="17">
        <v>522300</v>
      </c>
      <c r="E689" s="16"/>
      <c r="F689" s="16"/>
      <c r="G689" s="16"/>
      <c r="H689" s="16">
        <f t="shared" ref="H689" si="782">+H688+D689</f>
        <v>67085651</v>
      </c>
      <c r="I689" s="16"/>
      <c r="J689" s="436">
        <f t="shared" ref="J689" si="783">+D689/H688</f>
        <v>7.8466602440132559E-3</v>
      </c>
      <c r="K689" s="16"/>
      <c r="L689" s="16"/>
      <c r="M689" s="16"/>
      <c r="N689" s="16">
        <f t="shared" ref="N689" si="784">SUM(D683:D689)</f>
        <v>2970878</v>
      </c>
      <c r="O689" s="16">
        <f t="shared" ref="O689" si="785">+H689/BW689</f>
        <v>98655.36911764706</v>
      </c>
      <c r="P689" s="41"/>
      <c r="Q689" s="17">
        <f t="shared" ref="Q689" si="786">SUM(D683:D689)</f>
        <v>2970878</v>
      </c>
      <c r="R689" s="16"/>
      <c r="S689" s="60">
        <f t="shared" ref="S689" si="787">+(Q689-Q682)/Q682</f>
        <v>-0.26040234171561838</v>
      </c>
      <c r="T689" s="16"/>
      <c r="U689" s="41"/>
      <c r="V689" s="10">
        <f t="shared" si="558"/>
        <v>581</v>
      </c>
      <c r="W689" s="34">
        <v>2732</v>
      </c>
      <c r="X689" s="33">
        <v>4256</v>
      </c>
      <c r="Y689" s="33"/>
      <c r="Z689" s="33">
        <f t="shared" ref="Z689" si="788">SUM(W684:W689)</f>
        <v>12942</v>
      </c>
      <c r="AA689" s="33">
        <f t="shared" ref="AA689" si="789">+AA688+W689</f>
        <v>813205</v>
      </c>
      <c r="AB689" s="33"/>
      <c r="AC689" s="46">
        <f t="shared" ref="AC689" si="790">+AA689/H689</f>
        <v>1.2121891758939627E-2</v>
      </c>
      <c r="AD689" s="33"/>
      <c r="AE689" s="33">
        <f t="shared" ref="AE689" si="791">+AA689/BW689</f>
        <v>1195.8897058823529</v>
      </c>
      <c r="AF689" s="50"/>
      <c r="AG689" s="33"/>
      <c r="AH689" s="33"/>
      <c r="AI689" s="213"/>
      <c r="AJ689" s="50"/>
      <c r="AL689" s="23">
        <f t="shared" ref="AL689" si="792">+AP689-AP688</f>
        <v>192176</v>
      </c>
      <c r="AM689" s="24"/>
      <c r="AN689" s="24"/>
      <c r="AO689" s="24">
        <v>178263</v>
      </c>
      <c r="AP689" s="24">
        <v>45806388</v>
      </c>
      <c r="AQ689" s="24">
        <v>20336656</v>
      </c>
      <c r="AR689" s="461">
        <f t="shared" ref="AR689" si="793">+AL689/AP688</f>
        <v>4.2130728905280662E-3</v>
      </c>
      <c r="AS689" s="25"/>
      <c r="AT689" s="25"/>
      <c r="AU689" s="24"/>
      <c r="AV689" s="298">
        <f t="shared" ref="AV689" si="794">+AP689/H689</f>
        <v>0.68280455383819705</v>
      </c>
      <c r="AW689" s="298"/>
      <c r="AX689" s="24">
        <f t="shared" ref="AX689" si="795">+AP689/BW689</f>
        <v>67362.335294117642</v>
      </c>
      <c r="AY689" s="308"/>
      <c r="BA689" s="65">
        <f t="shared" ref="BA689" si="796">+BC689-BC688</f>
        <v>2652002</v>
      </c>
      <c r="BB689" s="66"/>
      <c r="BC689" s="66">
        <v>896971680</v>
      </c>
      <c r="BD689" s="66"/>
      <c r="BE689" s="66">
        <f t="shared" ref="BE689" si="797">+D689</f>
        <v>522300</v>
      </c>
      <c r="BF689" s="66"/>
      <c r="BG689" s="144">
        <f t="shared" ref="BG689" si="798">+BE689/BA689</f>
        <v>0.19694555283140813</v>
      </c>
      <c r="BH689" s="66"/>
      <c r="BI689" s="170"/>
      <c r="BJ689" s="66"/>
      <c r="BK689" s="66"/>
      <c r="BL689" s="66"/>
      <c r="BM689" s="144"/>
      <c r="BN689" s="65">
        <f t="shared" ref="BN689" si="799">+BC689/BW689</f>
        <v>1319076</v>
      </c>
      <c r="BO689" s="66"/>
      <c r="BP689" s="66">
        <f t="shared" ref="BP689" si="800">+BP688+BE689</f>
        <v>66178673</v>
      </c>
      <c r="BQ689" s="66"/>
      <c r="BR689" s="435">
        <f t="shared" ref="BR689" si="801">+BP689/BC689</f>
        <v>7.3780114217206941E-2</v>
      </c>
      <c r="BS689" s="66"/>
      <c r="BT689" s="75"/>
      <c r="BU689" s="170"/>
      <c r="BV689" s="1"/>
      <c r="BW689" s="61">
        <f t="shared" si="399"/>
        <v>680</v>
      </c>
      <c r="CA689" s="56">
        <f t="shared" si="559"/>
        <v>2652002</v>
      </c>
      <c r="CC689" s="56">
        <f t="shared" si="560"/>
        <v>522300</v>
      </c>
      <c r="CG689" s="59">
        <f t="shared" si="561"/>
        <v>0.19694555283140813</v>
      </c>
    </row>
    <row r="690" spans="2:85" x14ac:dyDescent="0.3">
      <c r="B690" s="158">
        <f t="shared" si="537"/>
        <v>44590</v>
      </c>
      <c r="C690" s="61"/>
      <c r="D690" s="17">
        <v>192028</v>
      </c>
      <c r="E690" s="16"/>
      <c r="F690" s="16"/>
      <c r="G690" s="16"/>
      <c r="H690" s="16">
        <f t="shared" ref="H690" si="802">+H689+D690</f>
        <v>67277679</v>
      </c>
      <c r="I690" s="16"/>
      <c r="J690" s="436">
        <f t="shared" ref="J690" si="803">+D690/H689</f>
        <v>2.8624302982466401E-3</v>
      </c>
      <c r="K690" s="16"/>
      <c r="L690" s="16"/>
      <c r="M690" s="16"/>
      <c r="N690" s="16">
        <f t="shared" ref="N690" si="804">SUM(D684:D690)</f>
        <v>2850592</v>
      </c>
      <c r="O690" s="16">
        <f t="shared" ref="O690" si="805">+H690/BW690</f>
        <v>98792.480176211451</v>
      </c>
      <c r="P690" s="41"/>
      <c r="Q690" s="17">
        <f t="shared" ref="Q690" si="806">SUM(D684:D690)</f>
        <v>2850592</v>
      </c>
      <c r="R690" s="16"/>
      <c r="S690" s="60">
        <f t="shared" ref="S690" si="807">+(Q690-Q683)/Q683</f>
        <v>-0.27374506917988706</v>
      </c>
      <c r="T690" s="16"/>
      <c r="U690" s="41"/>
      <c r="V690" s="10">
        <f t="shared" si="558"/>
        <v>582</v>
      </c>
      <c r="W690" s="34">
        <v>1127</v>
      </c>
      <c r="X690" s="33">
        <v>4256</v>
      </c>
      <c r="Y690" s="33"/>
      <c r="Z690" s="33">
        <f t="shared" ref="Z690" si="808">SUM(W685:W690)</f>
        <v>13495</v>
      </c>
      <c r="AA690" s="33">
        <f t="shared" ref="AA690" si="809">+AA689+W690</f>
        <v>814332</v>
      </c>
      <c r="AB690" s="33"/>
      <c r="AC690" s="46">
        <f t="shared" ref="AC690" si="810">+AA690/H690</f>
        <v>1.2104044195698249E-2</v>
      </c>
      <c r="AD690" s="33"/>
      <c r="AE690" s="33">
        <f t="shared" ref="AE690" si="811">+AA690/BW690</f>
        <v>1195.7885462555066</v>
      </c>
      <c r="AF690" s="50"/>
      <c r="AG690" s="33"/>
      <c r="AH690" s="33"/>
      <c r="AI690" s="213"/>
      <c r="AJ690" s="50"/>
      <c r="AL690" s="23">
        <f t="shared" ref="AL690" si="812">+AP690-AP689</f>
        <v>76132</v>
      </c>
      <c r="AM690" s="24"/>
      <c r="AN690" s="24"/>
      <c r="AO690" s="24">
        <v>178263</v>
      </c>
      <c r="AP690" s="24">
        <v>45882520</v>
      </c>
      <c r="AQ690" s="24">
        <v>20336656</v>
      </c>
      <c r="AR690" s="461">
        <f t="shared" ref="AR690" si="813">+AL690/AP689</f>
        <v>1.6620389278456096E-3</v>
      </c>
      <c r="AS690" s="25"/>
      <c r="AT690" s="25"/>
      <c r="AU690" s="24"/>
      <c r="AV690" s="298">
        <f t="shared" ref="AV690" si="814">+AP690/H690</f>
        <v>0.68198726058905812</v>
      </c>
      <c r="AW690" s="298"/>
      <c r="AX690" s="24">
        <f t="shared" ref="AX690" si="815">+AP690/BW690</f>
        <v>67375.212922173276</v>
      </c>
      <c r="AY690" s="308"/>
      <c r="BA690" s="65">
        <f t="shared" ref="BA690" si="816">+BC690-BC689</f>
        <v>824228</v>
      </c>
      <c r="BB690" s="66"/>
      <c r="BC690" s="66">
        <v>897795908</v>
      </c>
      <c r="BD690" s="66"/>
      <c r="BE690" s="66">
        <f t="shared" ref="BE690" si="817">+D690</f>
        <v>192028</v>
      </c>
      <c r="BF690" s="66"/>
      <c r="BG690" s="144">
        <f t="shared" ref="BG690" si="818">+BE690/BA690</f>
        <v>0.23297922419524694</v>
      </c>
      <c r="BH690" s="66"/>
      <c r="BI690" s="170"/>
      <c r="BJ690" s="66"/>
      <c r="BK690" s="66"/>
      <c r="BL690" s="66"/>
      <c r="BM690" s="144"/>
      <c r="BN690" s="65">
        <f t="shared" ref="BN690" si="819">+BC690/BW690</f>
        <v>1318349.3509544786</v>
      </c>
      <c r="BO690" s="66"/>
      <c r="BP690" s="66">
        <f t="shared" ref="BP690" si="820">+BP689+BE690</f>
        <v>66370701</v>
      </c>
      <c r="BQ690" s="66"/>
      <c r="BR690" s="435">
        <f t="shared" ref="BR690" si="821">+BP690/BC690</f>
        <v>7.3926268106804513E-2</v>
      </c>
      <c r="BS690" s="66"/>
      <c r="BT690" s="75"/>
      <c r="BU690" s="170"/>
      <c r="BV690" s="1"/>
      <c r="BW690" s="61">
        <f t="shared" si="399"/>
        <v>681</v>
      </c>
      <c r="CA690" s="56">
        <f t="shared" si="559"/>
        <v>824228</v>
      </c>
      <c r="CC690" s="56">
        <f t="shared" si="560"/>
        <v>192028</v>
      </c>
      <c r="CG690" s="59">
        <f t="shared" si="561"/>
        <v>0.23297922419524694</v>
      </c>
    </row>
    <row r="691" spans="2:85" x14ac:dyDescent="0.3">
      <c r="B691" s="347">
        <f t="shared" si="537"/>
        <v>44591</v>
      </c>
      <c r="C691" s="61"/>
      <c r="D691" s="17">
        <v>157623</v>
      </c>
      <c r="E691" s="16"/>
      <c r="F691" s="16"/>
      <c r="G691" s="16"/>
      <c r="H691" s="16">
        <f t="shared" ref="H691" si="822">+H690+D691</f>
        <v>67435302</v>
      </c>
      <c r="I691" s="16"/>
      <c r="J691" s="436">
        <f t="shared" ref="J691" si="823">+D691/H690</f>
        <v>2.3428721433746249E-3</v>
      </c>
      <c r="K691" s="16"/>
      <c r="L691" s="16"/>
      <c r="M691" s="16"/>
      <c r="N691" s="16">
        <f t="shared" ref="N691" si="824">SUM(D685:D691)</f>
        <v>2810841</v>
      </c>
      <c r="O691" s="16">
        <f t="shared" ref="O691" si="825">+H691/BW691</f>
        <v>98878.741935483864</v>
      </c>
      <c r="P691" s="41"/>
      <c r="Q691" s="17">
        <f t="shared" ref="Q691" si="826">SUM(D685:D691)</f>
        <v>2810841</v>
      </c>
      <c r="R691" s="16"/>
      <c r="S691" s="60">
        <f t="shared" ref="S691" si="827">+(Q691-Q684)/Q684</f>
        <v>-0.26695220028489031</v>
      </c>
      <c r="T691" s="16"/>
      <c r="U691" s="41"/>
      <c r="V691" s="10">
        <f t="shared" si="558"/>
        <v>583</v>
      </c>
      <c r="W691" s="34">
        <v>599</v>
      </c>
      <c r="X691" s="33">
        <v>4256</v>
      </c>
      <c r="Y691" s="33"/>
      <c r="Z691" s="33">
        <f t="shared" ref="Z691" si="828">SUM(W686:W691)</f>
        <v>12901</v>
      </c>
      <c r="AA691" s="33">
        <f t="shared" ref="AA691" si="829">+AA690+W691</f>
        <v>814931</v>
      </c>
      <c r="AB691" s="33"/>
      <c r="AC691" s="46">
        <f t="shared" ref="AC691" si="830">+AA691/H691</f>
        <v>1.208463484007234E-2</v>
      </c>
      <c r="AD691" s="33"/>
      <c r="AE691" s="33">
        <f t="shared" ref="AE691" si="831">+AA691/BW691</f>
        <v>1194.9134897360705</v>
      </c>
      <c r="AF691" s="50"/>
      <c r="AG691" s="33"/>
      <c r="AH691" s="33"/>
      <c r="AI691" s="213"/>
      <c r="AJ691" s="50"/>
      <c r="AL691" s="23">
        <f t="shared" ref="AL691" si="832">+AP691-AP690</f>
        <v>55465</v>
      </c>
      <c r="AM691" s="24"/>
      <c r="AN691" s="24"/>
      <c r="AO691" s="24">
        <v>178263</v>
      </c>
      <c r="AP691" s="24">
        <v>45937985</v>
      </c>
      <c r="AQ691" s="24">
        <v>20336656</v>
      </c>
      <c r="AR691" s="461">
        <f t="shared" ref="AR691" si="833">+AL691/AP690</f>
        <v>1.2088481626554078E-3</v>
      </c>
      <c r="AS691" s="25"/>
      <c r="AT691" s="25"/>
      <c r="AU691" s="24"/>
      <c r="AV691" s="298">
        <f t="shared" ref="AV691" si="834">+AP691/H691</f>
        <v>0.68121567839942354</v>
      </c>
      <c r="AW691" s="298"/>
      <c r="AX691" s="24">
        <f t="shared" ref="AX691" si="835">+AP691/BW691</f>
        <v>67357.749266862171</v>
      </c>
      <c r="AY691" s="308"/>
      <c r="BA691" s="65">
        <f t="shared" ref="BA691" si="836">+BC691-BC690</f>
        <v>1479416</v>
      </c>
      <c r="BB691" s="66"/>
      <c r="BC691" s="66">
        <v>899275324</v>
      </c>
      <c r="BD691" s="66"/>
      <c r="BE691" s="66">
        <f t="shared" ref="BE691" si="837">+D691</f>
        <v>157623</v>
      </c>
      <c r="BF691" s="66"/>
      <c r="BG691" s="144">
        <f t="shared" ref="BG691" si="838">+BE691/BA691</f>
        <v>0.1065440687406382</v>
      </c>
      <c r="BH691" s="66"/>
      <c r="BI691" s="170"/>
      <c r="BJ691" s="66"/>
      <c r="BK691" s="66"/>
      <c r="BL691" s="66"/>
      <c r="BM691" s="144"/>
      <c r="BN691" s="65">
        <f t="shared" ref="BN691" si="839">+BC691/BW691</f>
        <v>1318585.5190615836</v>
      </c>
      <c r="BO691" s="66"/>
      <c r="BP691" s="66">
        <f t="shared" ref="BP691" si="840">+BP690+BE691</f>
        <v>66528324</v>
      </c>
      <c r="BQ691" s="66"/>
      <c r="BR691" s="435">
        <f t="shared" ref="BR691" si="841">+BP691/BC691</f>
        <v>7.3979928309475113E-2</v>
      </c>
      <c r="BS691" s="66"/>
      <c r="BT691" s="75"/>
      <c r="BU691" s="170"/>
      <c r="BV691" s="1"/>
      <c r="BW691" s="61">
        <f t="shared" si="399"/>
        <v>682</v>
      </c>
      <c r="CA691" s="56">
        <f t="shared" si="559"/>
        <v>1479416</v>
      </c>
      <c r="CC691" s="56">
        <f t="shared" si="560"/>
        <v>157623</v>
      </c>
      <c r="CG691" s="59">
        <f t="shared" si="561"/>
        <v>0.1065440687406382</v>
      </c>
    </row>
    <row r="692" spans="2:85" x14ac:dyDescent="0.3">
      <c r="B692" s="158">
        <f t="shared" si="537"/>
        <v>44592</v>
      </c>
      <c r="C692" s="61"/>
      <c r="D692" s="17">
        <v>274266</v>
      </c>
      <c r="E692" s="16"/>
      <c r="F692" s="16"/>
      <c r="G692" s="16"/>
      <c r="H692" s="16">
        <f t="shared" ref="H692" si="842">+H691+D692</f>
        <v>67709568</v>
      </c>
      <c r="I692" s="16"/>
      <c r="J692" s="436">
        <f t="shared" ref="J692" si="843">+D692/H691</f>
        <v>4.0670982685003772E-3</v>
      </c>
      <c r="K692" s="16"/>
      <c r="L692" s="16"/>
      <c r="M692" s="16"/>
      <c r="N692" s="16">
        <f t="shared" ref="N692" si="844">SUM(D686:D692)</f>
        <v>2619953</v>
      </c>
      <c r="O692" s="16">
        <f t="shared" ref="O692" si="845">+H692/BW692</f>
        <v>99135.531478770135</v>
      </c>
      <c r="P692" s="41"/>
      <c r="Q692" s="17">
        <f t="shared" ref="Q692" si="846">SUM(D686:D692)</f>
        <v>2619953</v>
      </c>
      <c r="R692" s="16"/>
      <c r="S692" s="60">
        <f t="shared" ref="S692" si="847">+(Q692-Q685)/Q685</f>
        <v>-0.29678792729622994</v>
      </c>
      <c r="T692" s="16"/>
      <c r="U692" s="41"/>
      <c r="V692" s="10">
        <f t="shared" si="558"/>
        <v>584</v>
      </c>
      <c r="W692" s="34">
        <v>1153</v>
      </c>
      <c r="X692" s="33">
        <v>4256</v>
      </c>
      <c r="Y692" s="33"/>
      <c r="Z692" s="33">
        <f t="shared" ref="Z692" si="848">SUM(W687:W692)</f>
        <v>11443</v>
      </c>
      <c r="AA692" s="33">
        <f t="shared" ref="AA692" si="849">+AA691+W692</f>
        <v>816084</v>
      </c>
      <c r="AB692" s="33"/>
      <c r="AC692" s="46">
        <f t="shared" ref="AC692" si="850">+AA692/H692</f>
        <v>1.2052713140925667E-2</v>
      </c>
      <c r="AD692" s="33"/>
      <c r="AE692" s="33">
        <f t="shared" ref="AE692" si="851">+AA692/BW692</f>
        <v>1194.8521229868229</v>
      </c>
      <c r="AF692" s="50"/>
      <c r="AG692" s="33"/>
      <c r="AH692" s="33"/>
      <c r="AI692" s="213"/>
      <c r="AJ692" s="50"/>
      <c r="AL692" s="23">
        <f t="shared" ref="AL692" si="852">+AP692-AP691</f>
        <v>304237</v>
      </c>
      <c r="AM692" s="24"/>
      <c r="AN692" s="24"/>
      <c r="AO692" s="24">
        <v>178263</v>
      </c>
      <c r="AP692" s="24">
        <v>46242222</v>
      </c>
      <c r="AQ692" s="24">
        <v>20336656</v>
      </c>
      <c r="AR692" s="461">
        <f t="shared" ref="AR692" si="853">+AL692/AP691</f>
        <v>6.6227763364022172E-3</v>
      </c>
      <c r="AS692" s="25"/>
      <c r="AT692" s="25"/>
      <c r="AU692" s="24"/>
      <c r="AV692" s="298">
        <f t="shared" ref="AV692" si="854">+AP692/H692</f>
        <v>0.68294959436161218</v>
      </c>
      <c r="AW692" s="298"/>
      <c r="AX692" s="24">
        <f t="shared" ref="AX692" si="855">+AP692/BW692</f>
        <v>67704.571010248896</v>
      </c>
      <c r="AY692" s="308"/>
      <c r="BA692" s="65">
        <f t="shared" ref="BA692" si="856">+BC692-BC691</f>
        <v>2794223</v>
      </c>
      <c r="BB692" s="66"/>
      <c r="BC692" s="66">
        <v>902069547</v>
      </c>
      <c r="BD692" s="66"/>
      <c r="BE692" s="66">
        <f t="shared" ref="BE692" si="857">+D692</f>
        <v>274266</v>
      </c>
      <c r="BF692" s="66"/>
      <c r="BG692" s="144">
        <f t="shared" ref="BG692" si="858">+BE692/BA692</f>
        <v>9.8154656947566463E-2</v>
      </c>
      <c r="BH692" s="66"/>
      <c r="BI692" s="170"/>
      <c r="BJ692" s="66"/>
      <c r="BK692" s="66"/>
      <c r="BL692" s="66"/>
      <c r="BM692" s="144"/>
      <c r="BN692" s="65">
        <f t="shared" ref="BN692" si="859">+BC692/BW692</f>
        <v>1320746.0424597363</v>
      </c>
      <c r="BO692" s="66"/>
      <c r="BP692" s="66">
        <f t="shared" ref="BP692" si="860">+BP691+BE692</f>
        <v>66802590</v>
      </c>
      <c r="BQ692" s="66"/>
      <c r="BR692" s="435">
        <f t="shared" ref="BR692" si="861">+BP692/BC692</f>
        <v>7.4054811208475485E-2</v>
      </c>
      <c r="BS692" s="66"/>
      <c r="BT692" s="75"/>
      <c r="BU692" s="170"/>
      <c r="BV692" s="1"/>
      <c r="BW692" s="61">
        <f t="shared" si="399"/>
        <v>683</v>
      </c>
    </row>
    <row r="693" spans="2:85" x14ac:dyDescent="0.3">
      <c r="B693" s="158">
        <f t="shared" si="537"/>
        <v>44593</v>
      </c>
      <c r="C693" s="61"/>
      <c r="D693" s="17">
        <v>301964</v>
      </c>
      <c r="E693" s="16"/>
      <c r="F693" s="16"/>
      <c r="G693" s="16"/>
      <c r="H693" s="16">
        <f t="shared" ref="H693" si="862">+H692+D693</f>
        <v>68011532</v>
      </c>
      <c r="I693" s="16"/>
      <c r="J693" s="436">
        <f t="shared" ref="J693" si="863">+D693/H692</f>
        <v>4.4596946771245094E-3</v>
      </c>
      <c r="K693" s="16"/>
      <c r="L693" s="16"/>
      <c r="M693" s="16"/>
      <c r="N693" s="16">
        <f t="shared" ref="N693" si="864">SUM(D687:D693)</f>
        <v>2478845</v>
      </c>
      <c r="O693" s="16">
        <f t="shared" ref="O693" si="865">+H693/BW693</f>
        <v>99432.064327485379</v>
      </c>
      <c r="P693" s="41"/>
      <c r="Q693" s="17">
        <f t="shared" ref="Q693" si="866">SUM(D687:D693)</f>
        <v>2478845</v>
      </c>
      <c r="R693" s="16"/>
      <c r="S693" s="60">
        <f t="shared" ref="S693" si="867">+(Q693-Q686)/Q686</f>
        <v>-0.31558822506213657</v>
      </c>
      <c r="T693" s="16"/>
      <c r="U693" s="41"/>
      <c r="V693" s="10">
        <f t="shared" si="558"/>
        <v>585</v>
      </c>
      <c r="W693" s="34">
        <v>3149</v>
      </c>
      <c r="X693" s="33">
        <v>4256</v>
      </c>
      <c r="Y693" s="33"/>
      <c r="Z693" s="33">
        <f t="shared" ref="Z693" si="868">SUM(W688:W693)</f>
        <v>11449</v>
      </c>
      <c r="AA693" s="33">
        <f t="shared" ref="AA693" si="869">+AA692+W693</f>
        <v>819233</v>
      </c>
      <c r="AB693" s="33"/>
      <c r="AC693" s="46">
        <f t="shared" ref="AC693" si="870">+AA693/H693</f>
        <v>1.2045501342331179E-2</v>
      </c>
      <c r="AD693" s="33"/>
      <c r="AE693" s="33">
        <f t="shared" ref="AE693" si="871">+AA693/BW693</f>
        <v>1197.7090643274853</v>
      </c>
      <c r="AF693" s="50"/>
      <c r="AG693" s="33"/>
      <c r="AH693" s="33"/>
      <c r="AI693" s="213"/>
      <c r="AJ693" s="50"/>
      <c r="AL693" s="23">
        <f t="shared" ref="AL693" si="872">+AP693-AP692</f>
        <v>404807</v>
      </c>
      <c r="AM693" s="24"/>
      <c r="AN693" s="24"/>
      <c r="AO693" s="24">
        <v>178263</v>
      </c>
      <c r="AP693" s="24">
        <v>46647029</v>
      </c>
      <c r="AQ693" s="24">
        <v>20336656</v>
      </c>
      <c r="AR693" s="461">
        <f t="shared" ref="AR693" si="873">+AL693/AP692</f>
        <v>8.7540559794034127E-3</v>
      </c>
      <c r="AS693" s="25"/>
      <c r="AT693" s="25"/>
      <c r="AU693" s="24"/>
      <c r="AV693" s="298">
        <f t="shared" ref="AV693" si="874">+AP693/H693</f>
        <v>0.68586940520616413</v>
      </c>
      <c r="AW693" s="298"/>
      <c r="AX693" s="24">
        <f t="shared" ref="AX693" si="875">+AP693/BW693</f>
        <v>68197.410818713455</v>
      </c>
      <c r="AY693" s="308"/>
      <c r="BA693" s="65">
        <f t="shared" ref="BA693" si="876">+BC693-BC692</f>
        <v>4170296</v>
      </c>
      <c r="BB693" s="66"/>
      <c r="BC693" s="66">
        <v>906239843</v>
      </c>
      <c r="BD693" s="66"/>
      <c r="BE693" s="66">
        <f t="shared" ref="BE693" si="877">+D693</f>
        <v>301964</v>
      </c>
      <c r="BF693" s="66"/>
      <c r="BG693" s="144">
        <f t="shared" ref="BG693" si="878">+BE693/BA693</f>
        <v>7.2408289483528274E-2</v>
      </c>
      <c r="BH693" s="66"/>
      <c r="BI693" s="170"/>
      <c r="BJ693" s="66"/>
      <c r="BK693" s="66"/>
      <c r="BL693" s="66"/>
      <c r="BM693" s="144"/>
      <c r="BN693" s="65">
        <f t="shared" ref="BN693" si="879">+BC693/BW693</f>
        <v>1324912.0511695906</v>
      </c>
      <c r="BO693" s="66"/>
      <c r="BP693" s="66">
        <f t="shared" ref="BP693" si="880">+BP692+BE693</f>
        <v>67104554</v>
      </c>
      <c r="BQ693" s="66"/>
      <c r="BR693" s="435">
        <f t="shared" ref="BR693" si="881">+BP693/BC693</f>
        <v>7.4047234314768479E-2</v>
      </c>
      <c r="BS693" s="66"/>
      <c r="BT693" s="75"/>
      <c r="BU693" s="170"/>
      <c r="BV693" s="1"/>
      <c r="BW693" s="61">
        <f t="shared" si="399"/>
        <v>684</v>
      </c>
      <c r="CA693" s="56">
        <f>SUM(CA662:CA692)</f>
        <v>86531088</v>
      </c>
      <c r="CC693" s="56">
        <f>SUM(CC662:CC692)</f>
        <v>15991947</v>
      </c>
      <c r="CG693" s="59">
        <f t="shared" si="561"/>
        <v>0.18481157893218678</v>
      </c>
    </row>
    <row r="694" spans="2:85" x14ac:dyDescent="0.3">
      <c r="B694" s="158">
        <f t="shared" si="537"/>
        <v>44594</v>
      </c>
      <c r="C694" s="61"/>
      <c r="D694" s="17">
        <v>302177</v>
      </c>
      <c r="E694" s="16"/>
      <c r="F694" s="16"/>
      <c r="G694" s="16"/>
      <c r="H694" s="16">
        <f t="shared" ref="H694" si="882">+H693+D694</f>
        <v>68313709</v>
      </c>
      <c r="I694" s="16"/>
      <c r="J694" s="436">
        <f t="shared" ref="J694" si="883">+D694/H693</f>
        <v>4.443025926838407E-3</v>
      </c>
      <c r="K694" s="16"/>
      <c r="L694" s="16"/>
      <c r="M694" s="16"/>
      <c r="N694" s="16">
        <f t="shared" ref="N694" si="884">SUM(D688:D694)</f>
        <v>2247709</v>
      </c>
      <c r="O694" s="16">
        <f t="shared" ref="O694" si="885">+H694/BW694</f>
        <v>99728.042335766426</v>
      </c>
      <c r="P694" s="41"/>
      <c r="Q694" s="17">
        <f t="shared" ref="Q694" si="886">SUM(D688:D694)</f>
        <v>2247709</v>
      </c>
      <c r="R694" s="16"/>
      <c r="S694" s="60">
        <f t="shared" ref="S694" si="887">+(Q694-Q687)/Q687</f>
        <v>-0.34740191397423009</v>
      </c>
      <c r="T694" s="16"/>
      <c r="U694" s="41"/>
      <c r="V694" s="10">
        <f t="shared" si="558"/>
        <v>586</v>
      </c>
      <c r="W694" s="34">
        <v>2990</v>
      </c>
      <c r="X694" s="33">
        <v>4256</v>
      </c>
      <c r="Y694" s="33"/>
      <c r="Z694" s="33">
        <f t="shared" ref="Z694" si="888">SUM(W689:W694)</f>
        <v>11750</v>
      </c>
      <c r="AA694" s="33">
        <f t="shared" ref="AA694" si="889">+AA693+W694</f>
        <v>822223</v>
      </c>
      <c r="AB694" s="33"/>
      <c r="AC694" s="46">
        <f t="shared" ref="AC694" si="890">+AA694/H694</f>
        <v>1.2035988267010946E-2</v>
      </c>
      <c r="AD694" s="33"/>
      <c r="AE694" s="33">
        <f t="shared" ref="AE694" si="891">+AA694/BW694</f>
        <v>1200.3255474452556</v>
      </c>
      <c r="AF694" s="50"/>
      <c r="AG694" s="33"/>
      <c r="AH694" s="33"/>
      <c r="AI694" s="213"/>
      <c r="AJ694" s="50"/>
      <c r="AL694" s="23">
        <f t="shared" ref="AL694" si="892">+AP694-AP693</f>
        <v>465591</v>
      </c>
      <c r="AM694" s="24"/>
      <c r="AN694" s="24"/>
      <c r="AO694" s="24">
        <v>178263</v>
      </c>
      <c r="AP694" s="24">
        <v>47112620</v>
      </c>
      <c r="AQ694" s="24">
        <v>20336656</v>
      </c>
      <c r="AR694" s="461">
        <f t="shared" ref="AR694" si="893">+AL694/AP693</f>
        <v>9.9811501392725356E-3</v>
      </c>
      <c r="AS694" s="25"/>
      <c r="AT694" s="25"/>
      <c r="AU694" s="24"/>
      <c r="AV694" s="298">
        <f t="shared" ref="AV694" si="894">+AP694/H694</f>
        <v>0.68965103329406396</v>
      </c>
      <c r="AW694" s="298"/>
      <c r="AX694" s="24">
        <f t="shared" ref="AX694" si="895">+AP694/BW694</f>
        <v>68777.547445255477</v>
      </c>
      <c r="AY694" s="308"/>
      <c r="BA694" s="65">
        <f t="shared" ref="BA694" si="896">+BC694-BC693</f>
        <v>2164784</v>
      </c>
      <c r="BB694" s="66"/>
      <c r="BC694" s="66">
        <v>908404627</v>
      </c>
      <c r="BD694" s="66"/>
      <c r="BE694" s="66">
        <f t="shared" ref="BE694" si="897">+D694</f>
        <v>302177</v>
      </c>
      <c r="BF694" s="66"/>
      <c r="BG694" s="144">
        <f t="shared" ref="BG694" si="898">+BE694/BA694</f>
        <v>0.13958759857796435</v>
      </c>
      <c r="BH694" s="66"/>
      <c r="BI694" s="170"/>
      <c r="BJ694" s="66"/>
      <c r="BK694" s="66"/>
      <c r="BL694" s="66"/>
      <c r="BM694" s="144"/>
      <c r="BN694" s="65">
        <f t="shared" ref="BN694" si="899">+BC694/BW694</f>
        <v>1326138.1416058394</v>
      </c>
      <c r="BO694" s="66"/>
      <c r="BP694" s="66">
        <f t="shared" ref="BP694" si="900">+BP693+BE694</f>
        <v>67406731</v>
      </c>
      <c r="BQ694" s="66"/>
      <c r="BR694" s="435">
        <f t="shared" ref="BR694" si="901">+BP694/BC694</f>
        <v>7.4203421026828392E-2</v>
      </c>
      <c r="BS694" s="66"/>
      <c r="BT694" s="75"/>
      <c r="BU694" s="170"/>
      <c r="BV694" s="1"/>
      <c r="BW694" s="61">
        <f t="shared" si="399"/>
        <v>685</v>
      </c>
      <c r="CA694" s="56"/>
      <c r="CC694" s="56"/>
      <c r="CG694" s="59"/>
    </row>
    <row r="695" spans="2:85" x14ac:dyDescent="0.3">
      <c r="B695" s="158">
        <f t="shared" si="537"/>
        <v>44595</v>
      </c>
      <c r="C695" s="61"/>
      <c r="D695" s="17">
        <v>255994</v>
      </c>
      <c r="E695" s="16"/>
      <c r="F695" s="16"/>
      <c r="G695" s="16"/>
      <c r="H695" s="16">
        <f t="shared" ref="H695" si="902">+H694+D695</f>
        <v>68569703</v>
      </c>
      <c r="I695" s="16"/>
      <c r="J695" s="436">
        <f t="shared" ref="J695" si="903">+D695/H694</f>
        <v>3.7473298368267487E-3</v>
      </c>
      <c r="K695" s="16"/>
      <c r="L695" s="16"/>
      <c r="M695" s="16"/>
      <c r="N695" s="16">
        <f t="shared" ref="N695" si="904">SUM(D689:D695)</f>
        <v>2006352</v>
      </c>
      <c r="O695" s="16">
        <f t="shared" ref="O695" si="905">+H695/BW695</f>
        <v>99955.835276967933</v>
      </c>
      <c r="P695" s="41"/>
      <c r="Q695" s="17">
        <f t="shared" ref="Q695" si="906">SUM(D689:D695)</f>
        <v>2006352</v>
      </c>
      <c r="R695" s="16"/>
      <c r="S695" s="60">
        <f t="shared" ref="S695" si="907">+(Q695-Q688)/Q688</f>
        <v>-0.38252374835271097</v>
      </c>
      <c r="T695" s="16"/>
      <c r="U695" s="41"/>
      <c r="V695" s="10">
        <f t="shared" si="558"/>
        <v>587</v>
      </c>
      <c r="W695" s="34">
        <v>2376</v>
      </c>
      <c r="X695" s="33">
        <v>4256</v>
      </c>
      <c r="Y695" s="33"/>
      <c r="Z695" s="33">
        <f t="shared" ref="Z695" si="908">SUM(W690:W695)</f>
        <v>11394</v>
      </c>
      <c r="AA695" s="33">
        <f t="shared" ref="AA695" si="909">+AA694+W695</f>
        <v>824599</v>
      </c>
      <c r="AB695" s="33"/>
      <c r="AC695" s="46">
        <f t="shared" ref="AC695" si="910">+AA695/H695</f>
        <v>1.2025704705181529E-2</v>
      </c>
      <c r="AD695" s="33"/>
      <c r="AE695" s="33">
        <f t="shared" ref="AE695" si="911">+AA695/BW695</f>
        <v>1202.039358600583</v>
      </c>
      <c r="AF695" s="50"/>
      <c r="AG695" s="33"/>
      <c r="AH695" s="33"/>
      <c r="AI695" s="213"/>
      <c r="AJ695" s="50"/>
      <c r="AL695" s="23">
        <f t="shared" ref="AL695" si="912">+AP695-AP694</f>
        <v>201116</v>
      </c>
      <c r="AM695" s="24"/>
      <c r="AN695" s="24"/>
      <c r="AO695" s="24">
        <v>178263</v>
      </c>
      <c r="AP695" s="24">
        <v>47313736</v>
      </c>
      <c r="AQ695" s="24">
        <v>20336656</v>
      </c>
      <c r="AR695" s="461">
        <f t="shared" ref="AR695" si="913">+AL695/AP694</f>
        <v>4.2688349745779366E-3</v>
      </c>
      <c r="AS695" s="25"/>
      <c r="AT695" s="25"/>
      <c r="AU695" s="24"/>
      <c r="AV695" s="298">
        <f t="shared" ref="AV695" si="914">+AP695/H695</f>
        <v>0.69000934713105</v>
      </c>
      <c r="AW695" s="298"/>
      <c r="AX695" s="24">
        <f t="shared" ref="AX695" si="915">+AP695/BW695</f>
        <v>68970.460641399419</v>
      </c>
      <c r="AY695" s="308"/>
      <c r="BA695" s="65">
        <f t="shared" ref="BA695" si="916">+BC695-BC694</f>
        <v>1750926</v>
      </c>
      <c r="BB695" s="66"/>
      <c r="BC695" s="66">
        <v>910155553</v>
      </c>
      <c r="BD695" s="66"/>
      <c r="BE695" s="66">
        <f t="shared" ref="BE695" si="917">+D695</f>
        <v>255994</v>
      </c>
      <c r="BF695" s="66"/>
      <c r="BG695" s="144">
        <f t="shared" ref="BG695" si="918">+BE695/BA695</f>
        <v>0.14620492242390598</v>
      </c>
      <c r="BH695" s="66"/>
      <c r="BI695" s="170"/>
      <c r="BJ695" s="66"/>
      <c r="BK695" s="66"/>
      <c r="BL695" s="66"/>
      <c r="BM695" s="144"/>
      <c r="BN695" s="65">
        <f t="shared" ref="BN695" si="919">+BC695/BW695</f>
        <v>1326757.3658892128</v>
      </c>
      <c r="BO695" s="66"/>
      <c r="BP695" s="66">
        <f t="shared" ref="BP695" si="920">+BP694+BE695</f>
        <v>67662725</v>
      </c>
      <c r="BQ695" s="66"/>
      <c r="BR695" s="435">
        <f t="shared" ref="BR695" si="921">+BP695/BC695</f>
        <v>7.4341935042833276E-2</v>
      </c>
      <c r="BS695" s="66"/>
      <c r="BT695" s="75"/>
      <c r="BU695" s="170"/>
      <c r="BV695" s="1"/>
      <c r="BW695" s="61">
        <f t="shared" si="399"/>
        <v>686</v>
      </c>
      <c r="CA695" s="56"/>
      <c r="CC695" s="56"/>
      <c r="CG695" s="59"/>
    </row>
    <row r="696" spans="2:85" x14ac:dyDescent="0.3">
      <c r="B696" s="158">
        <f t="shared" si="537"/>
        <v>44596</v>
      </c>
      <c r="C696" s="61"/>
      <c r="D696" s="17">
        <v>303273</v>
      </c>
      <c r="E696" s="16"/>
      <c r="F696" s="16"/>
      <c r="G696" s="16"/>
      <c r="H696" s="16">
        <f t="shared" ref="H696" si="922">+H695+D696</f>
        <v>68872976</v>
      </c>
      <c r="I696" s="16"/>
      <c r="J696" s="436">
        <f t="shared" ref="J696" si="923">+D696/H695</f>
        <v>4.4228425489898941E-3</v>
      </c>
      <c r="K696" s="16"/>
      <c r="L696" s="16"/>
      <c r="M696" s="16"/>
      <c r="N696" s="16">
        <f t="shared" ref="N696" si="924">SUM(D690:D696)</f>
        <v>1787325</v>
      </c>
      <c r="O696" s="16">
        <f t="shared" ref="O696" si="925">+H696/BW696</f>
        <v>100251.78457059679</v>
      </c>
      <c r="P696" s="41"/>
      <c r="Q696" s="17">
        <f t="shared" ref="Q696" si="926">SUM(D690:D696)</f>
        <v>1787325</v>
      </c>
      <c r="R696" s="16"/>
      <c r="S696" s="60">
        <f t="shared" ref="S696" si="927">+(Q696-Q689)/Q689</f>
        <v>-0.39838492189850944</v>
      </c>
      <c r="T696" s="16"/>
      <c r="U696" s="41"/>
      <c r="V696" s="10">
        <f t="shared" si="558"/>
        <v>588</v>
      </c>
      <c r="W696" s="34">
        <v>2693</v>
      </c>
      <c r="X696" s="33">
        <v>4256</v>
      </c>
      <c r="Y696" s="33"/>
      <c r="Z696" s="33">
        <f t="shared" ref="Z696" si="928">SUM(W691:W696)</f>
        <v>12960</v>
      </c>
      <c r="AA696" s="33">
        <f t="shared" ref="AA696" si="929">+AA695+W696</f>
        <v>827292</v>
      </c>
      <c r="AB696" s="33"/>
      <c r="AC696" s="46">
        <f t="shared" ref="AC696" si="930">+AA696/H696</f>
        <v>1.2011852079689427E-2</v>
      </c>
      <c r="AD696" s="33"/>
      <c r="AE696" s="33">
        <f t="shared" ref="AE696" si="931">+AA696/BW696</f>
        <v>1204.2096069868996</v>
      </c>
      <c r="AF696" s="50"/>
      <c r="AG696" s="33"/>
      <c r="AH696" s="33"/>
      <c r="AI696" s="213"/>
      <c r="AJ696" s="50"/>
      <c r="AL696" s="23">
        <f t="shared" ref="AL696" si="932">+AP696-AP695</f>
        <v>472418</v>
      </c>
      <c r="AM696" s="24"/>
      <c r="AN696" s="24"/>
      <c r="AO696" s="24">
        <v>178263</v>
      </c>
      <c r="AP696" s="24">
        <v>47786154</v>
      </c>
      <c r="AQ696" s="24">
        <v>20336656</v>
      </c>
      <c r="AR696" s="461">
        <f t="shared" ref="AR696" si="933">+AL696/AP695</f>
        <v>9.9847959586197126E-3</v>
      </c>
      <c r="AS696" s="25"/>
      <c r="AT696" s="25"/>
      <c r="AU696" s="24"/>
      <c r="AV696" s="298">
        <f t="shared" ref="AV696" si="934">+AP696/H696</f>
        <v>0.69383024773025637</v>
      </c>
      <c r="AW696" s="298"/>
      <c r="AX696" s="24">
        <f t="shared" ref="AX696" si="935">+AP696/BW696</f>
        <v>69557.720524017466</v>
      </c>
      <c r="AY696" s="308"/>
      <c r="BA696" s="65">
        <f t="shared" ref="BA696" si="936">+BC696-BC695</f>
        <v>3117403</v>
      </c>
      <c r="BB696" s="66"/>
      <c r="BC696" s="66">
        <v>913272956</v>
      </c>
      <c r="BD696" s="66"/>
      <c r="BE696" s="66">
        <f t="shared" ref="BE696" si="937">+D696</f>
        <v>303273</v>
      </c>
      <c r="BF696" s="66"/>
      <c r="BG696" s="144">
        <f t="shared" ref="BG696" si="938">+BE696/BA696</f>
        <v>9.7283860957341733E-2</v>
      </c>
      <c r="BH696" s="66"/>
      <c r="BI696" s="170"/>
      <c r="BJ696" s="66"/>
      <c r="BK696" s="66"/>
      <c r="BL696" s="66"/>
      <c r="BM696" s="144"/>
      <c r="BN696" s="65">
        <f t="shared" ref="BN696" si="939">+BC696/BW696</f>
        <v>1329363.8369723435</v>
      </c>
      <c r="BO696" s="66"/>
      <c r="BP696" s="66">
        <f t="shared" ref="BP696" si="940">+BP695+BE696</f>
        <v>67965998</v>
      </c>
      <c r="BQ696" s="66"/>
      <c r="BR696" s="435">
        <f t="shared" ref="BR696" si="941">+BP696/BC696</f>
        <v>7.4420245944521318E-2</v>
      </c>
      <c r="BS696" s="66"/>
      <c r="BT696" s="75"/>
      <c r="BU696" s="170"/>
      <c r="BV696" s="1"/>
      <c r="BW696" s="61">
        <f t="shared" si="399"/>
        <v>687</v>
      </c>
      <c r="CA696" s="56"/>
      <c r="CC696" s="56"/>
      <c r="CG696" s="59"/>
    </row>
    <row r="697" spans="2:85" x14ac:dyDescent="0.3">
      <c r="B697" s="158">
        <f t="shared" si="537"/>
        <v>44597</v>
      </c>
      <c r="C697" s="61"/>
      <c r="D697" s="17">
        <v>105022</v>
      </c>
      <c r="E697" s="16"/>
      <c r="F697" s="16"/>
      <c r="G697" s="16"/>
      <c r="H697" s="16">
        <f t="shared" ref="H697" si="942">+H696+D697</f>
        <v>68977998</v>
      </c>
      <c r="I697" s="16"/>
      <c r="J697" s="436">
        <f t="shared" ref="J697" si="943">+D697/H696</f>
        <v>1.5248651372346681E-3</v>
      </c>
      <c r="K697" s="16"/>
      <c r="L697" s="16"/>
      <c r="M697" s="16"/>
      <c r="N697" s="16">
        <f t="shared" ref="N697" si="944">SUM(D691:D697)</f>
        <v>1700319</v>
      </c>
      <c r="O697" s="16">
        <f t="shared" ref="O697" si="945">+H697/BW697</f>
        <v>100258.71802325582</v>
      </c>
      <c r="P697" s="41"/>
      <c r="Q697" s="17">
        <f t="shared" ref="Q697" si="946">SUM(D691:D697)</f>
        <v>1700319</v>
      </c>
      <c r="R697" s="16"/>
      <c r="S697" s="60">
        <f t="shared" ref="S697" si="947">+(Q697-Q690)/Q690</f>
        <v>-0.40352074235807861</v>
      </c>
      <c r="T697" s="16"/>
      <c r="U697" s="41"/>
      <c r="V697" s="10">
        <f t="shared" si="558"/>
        <v>589</v>
      </c>
      <c r="W697" s="34">
        <v>1051</v>
      </c>
      <c r="X697" s="33">
        <v>4256</v>
      </c>
      <c r="Y697" s="33"/>
      <c r="Z697" s="33">
        <f t="shared" ref="Z697" si="948">SUM(W692:W697)</f>
        <v>13412</v>
      </c>
      <c r="AA697" s="33">
        <f t="shared" ref="AA697" si="949">+AA696+W697</f>
        <v>828343</v>
      </c>
      <c r="AB697" s="33"/>
      <c r="AC697" s="46">
        <f t="shared" ref="AC697" si="950">+AA697/H697</f>
        <v>1.2008800255408979E-2</v>
      </c>
      <c r="AD697" s="33"/>
      <c r="AE697" s="33">
        <f t="shared" ref="AE697" si="951">+AA697/BW697</f>
        <v>1203.9869186046512</v>
      </c>
      <c r="AF697" s="50"/>
      <c r="AG697" s="33"/>
      <c r="AH697" s="33"/>
      <c r="AI697" s="213"/>
      <c r="AJ697" s="50"/>
      <c r="AL697" s="23">
        <f t="shared" ref="AL697" si="952">+AP697-AP696</f>
        <v>114098</v>
      </c>
      <c r="AM697" s="24"/>
      <c r="AN697" s="24"/>
      <c r="AO697" s="24">
        <v>178263</v>
      </c>
      <c r="AP697" s="24">
        <v>47900252</v>
      </c>
      <c r="AQ697" s="24">
        <v>20336656</v>
      </c>
      <c r="AR697" s="461">
        <f t="shared" ref="AR697" si="953">+AL697/AP696</f>
        <v>2.3876790754074916E-3</v>
      </c>
      <c r="AS697" s="25"/>
      <c r="AT697" s="25"/>
      <c r="AU697" s="24"/>
      <c r="AV697" s="298">
        <f t="shared" ref="AV697" si="954">+AP697/H697</f>
        <v>0.69442798267354755</v>
      </c>
      <c r="AW697" s="298"/>
      <c r="AX697" s="24">
        <f t="shared" ref="AX697" si="955">+AP697/BW697</f>
        <v>69622.459302325587</v>
      </c>
      <c r="AY697" s="308"/>
      <c r="BA697" s="65">
        <f t="shared" ref="BA697" si="956">+BC697-BC696</f>
        <v>605965</v>
      </c>
      <c r="BB697" s="66"/>
      <c r="BC697" s="66">
        <v>913878921</v>
      </c>
      <c r="BD697" s="66"/>
      <c r="BE697" s="66">
        <f t="shared" ref="BE697" si="957">+D697</f>
        <v>105022</v>
      </c>
      <c r="BF697" s="66"/>
      <c r="BG697" s="144">
        <f t="shared" ref="BG697" si="958">+BE697/BA697</f>
        <v>0.17331364022674578</v>
      </c>
      <c r="BH697" s="66"/>
      <c r="BI697" s="170"/>
      <c r="BJ697" s="66"/>
      <c r="BK697" s="66"/>
      <c r="BL697" s="66"/>
      <c r="BM697" s="144"/>
      <c r="BN697" s="65">
        <f t="shared" ref="BN697" si="959">+BC697/BW697</f>
        <v>1328312.3851744186</v>
      </c>
      <c r="BO697" s="66"/>
      <c r="BP697" s="66">
        <f t="shared" ref="BP697" si="960">+BP696+BE697</f>
        <v>68071020</v>
      </c>
      <c r="BQ697" s="66"/>
      <c r="BR697" s="435">
        <f t="shared" ref="BR697" si="961">+BP697/BC697</f>
        <v>7.4485819112135976E-2</v>
      </c>
      <c r="BS697" s="66"/>
      <c r="BT697" s="75"/>
      <c r="BU697" s="170"/>
      <c r="BV697" s="1"/>
      <c r="BW697" s="61">
        <f t="shared" si="399"/>
        <v>688</v>
      </c>
      <c r="CA697" s="56"/>
      <c r="CC697" s="56"/>
      <c r="CG697" s="59"/>
    </row>
    <row r="698" spans="2:85" x14ac:dyDescent="0.3">
      <c r="B698" s="347">
        <f t="shared" si="537"/>
        <v>44598</v>
      </c>
      <c r="C698" s="61"/>
      <c r="D698" s="17">
        <v>50711</v>
      </c>
      <c r="E698" s="16"/>
      <c r="F698" s="16"/>
      <c r="G698" s="16"/>
      <c r="H698" s="16">
        <f t="shared" ref="H698" si="962">+H697+D698</f>
        <v>69028709</v>
      </c>
      <c r="I698" s="16"/>
      <c r="J698" s="436">
        <f t="shared" ref="J698" si="963">+D698/H697</f>
        <v>7.3517645438187407E-4</v>
      </c>
      <c r="K698" s="16"/>
      <c r="L698" s="16"/>
      <c r="M698" s="16"/>
      <c r="N698" s="16">
        <f t="shared" ref="N698" si="964">SUM(D692:D698)</f>
        <v>1593407</v>
      </c>
      <c r="O698" s="16">
        <f t="shared" ref="O698" si="965">+H698/BW698</f>
        <v>100186.80551523948</v>
      </c>
      <c r="P698" s="41"/>
      <c r="Q698" s="17">
        <f t="shared" ref="Q698" si="966">SUM(D692:D698)</f>
        <v>1593407</v>
      </c>
      <c r="R698" s="16"/>
      <c r="S698" s="60">
        <f t="shared" ref="S698" si="967">+(Q698-Q691)/Q691</f>
        <v>-0.43312090580719437</v>
      </c>
      <c r="T698" s="16"/>
      <c r="U698" s="41"/>
      <c r="V698" s="10">
        <f t="shared" si="558"/>
        <v>590</v>
      </c>
      <c r="W698" s="34">
        <v>374</v>
      </c>
      <c r="X698" s="33">
        <v>4256</v>
      </c>
      <c r="Y698" s="33"/>
      <c r="Z698" s="33">
        <f t="shared" ref="Z698" si="968">SUM(W693:W698)</f>
        <v>12633</v>
      </c>
      <c r="AA698" s="33">
        <f t="shared" ref="AA698" si="969">+AA697+W698</f>
        <v>828717</v>
      </c>
      <c r="AB698" s="33"/>
      <c r="AC698" s="46">
        <f t="shared" ref="AC698" si="970">+AA698/H698</f>
        <v>1.2005396189576717E-2</v>
      </c>
      <c r="AD698" s="33"/>
      <c r="AE698" s="33">
        <f t="shared" ref="AE698" si="971">+AA698/BW698</f>
        <v>1202.7822931785197</v>
      </c>
      <c r="AF698" s="50"/>
      <c r="AG698" s="33"/>
      <c r="AH698" s="33"/>
      <c r="AI698" s="213"/>
      <c r="AJ698" s="50"/>
      <c r="AL698" s="23">
        <f t="shared" ref="AL698" si="972">+AP698-AP697</f>
        <v>98118</v>
      </c>
      <c r="AM698" s="24"/>
      <c r="AN698" s="24"/>
      <c r="AO698" s="24">
        <v>178263</v>
      </c>
      <c r="AP698" s="24">
        <v>47998370</v>
      </c>
      <c r="AQ698" s="24">
        <v>20336656</v>
      </c>
      <c r="AR698" s="461">
        <f t="shared" ref="AR698" si="973">+AL698/AP697</f>
        <v>2.0483817078874658E-3</v>
      </c>
      <c r="AS698" s="25"/>
      <c r="AT698" s="25"/>
      <c r="AU698" s="24"/>
      <c r="AV698" s="298">
        <f t="shared" ref="AV698" si="974">+AP698/H698</f>
        <v>0.69533923921422314</v>
      </c>
      <c r="AW698" s="298"/>
      <c r="AX698" s="24">
        <f t="shared" ref="AX698" si="975">+AP698/BW698</f>
        <v>69663.817126269962</v>
      </c>
      <c r="AY698" s="308"/>
      <c r="BA698" s="65">
        <f t="shared" ref="BA698" si="976">+BC698-BC697</f>
        <v>518719</v>
      </c>
      <c r="BB698" s="66"/>
      <c r="BC698" s="66">
        <v>914397640</v>
      </c>
      <c r="BD698" s="66"/>
      <c r="BE698" s="66">
        <f t="shared" ref="BE698" si="977">+D698</f>
        <v>50711</v>
      </c>
      <c r="BF698" s="66"/>
      <c r="BG698" s="144">
        <f t="shared" ref="BG698" si="978">+BE698/BA698</f>
        <v>9.7761986740412435E-2</v>
      </c>
      <c r="BH698" s="66"/>
      <c r="BI698" s="170"/>
      <c r="BJ698" s="66"/>
      <c r="BK698" s="66"/>
      <c r="BL698" s="66"/>
      <c r="BM698" s="144"/>
      <c r="BN698" s="65">
        <f t="shared" ref="BN698" si="979">+BC698/BW698</f>
        <v>1327137.358490566</v>
      </c>
      <c r="BO698" s="66"/>
      <c r="BP698" s="66">
        <f t="shared" ref="BP698" si="980">+BP697+BE698</f>
        <v>68121731</v>
      </c>
      <c r="BQ698" s="66"/>
      <c r="BR698" s="435">
        <f t="shared" ref="BR698" si="981">+BP698/BC698</f>
        <v>7.4499023203953157E-2</v>
      </c>
      <c r="BS698" s="66"/>
      <c r="BT698" s="75"/>
      <c r="BU698" s="170"/>
      <c r="BV698" s="1"/>
      <c r="BW698" s="61">
        <f t="shared" si="399"/>
        <v>689</v>
      </c>
    </row>
    <row r="699" spans="2:85" x14ac:dyDescent="0.3">
      <c r="B699" s="158">
        <f t="shared" si="537"/>
        <v>44599</v>
      </c>
      <c r="C699" s="61"/>
      <c r="D699" s="17">
        <v>153801</v>
      </c>
      <c r="E699" s="16"/>
      <c r="F699" s="16"/>
      <c r="G699" s="16"/>
      <c r="H699" s="16">
        <f t="shared" ref="H699" si="982">+H698+D699</f>
        <v>69182510</v>
      </c>
      <c r="I699" s="16"/>
      <c r="J699" s="436">
        <f t="shared" ref="J699" si="983">+D699/H698</f>
        <v>2.228072960193997E-3</v>
      </c>
      <c r="K699" s="16"/>
      <c r="L699" s="16"/>
      <c r="M699" s="16"/>
      <c r="N699" s="16">
        <f t="shared" ref="N699" si="984">SUM(D693:D699)</f>
        <v>1472942</v>
      </c>
      <c r="O699" s="16">
        <f t="shared" ref="O699" si="985">+H699/BW699</f>
        <v>100264.50724637682</v>
      </c>
      <c r="P699" s="41"/>
      <c r="Q699" s="17">
        <f t="shared" ref="Q699" si="986">SUM(D693:D699)</f>
        <v>1472942</v>
      </c>
      <c r="R699" s="16"/>
      <c r="S699" s="60">
        <f t="shared" ref="S699" si="987">+(Q699-Q692)/Q692</f>
        <v>-0.4377983116491021</v>
      </c>
      <c r="T699" s="16"/>
      <c r="U699" s="41"/>
      <c r="V699" s="10">
        <f t="shared" si="558"/>
        <v>591</v>
      </c>
      <c r="W699" s="34">
        <v>1380</v>
      </c>
      <c r="X699" s="33">
        <v>4256</v>
      </c>
      <c r="Y699" s="33"/>
      <c r="Z699" s="33">
        <f t="shared" ref="Z699" si="988">SUM(W694:W699)</f>
        <v>10864</v>
      </c>
      <c r="AA699" s="33">
        <f t="shared" ref="AA699" si="989">+AA698+W699</f>
        <v>830097</v>
      </c>
      <c r="AB699" s="33"/>
      <c r="AC699" s="46">
        <f t="shared" ref="AC699" si="990">+AA699/H699</f>
        <v>1.1998653995063203E-2</v>
      </c>
      <c r="AD699" s="33"/>
      <c r="AE699" s="33">
        <f t="shared" ref="AE699" si="991">+AA699/BW699</f>
        <v>1203.0391304347827</v>
      </c>
      <c r="AF699" s="50"/>
      <c r="AG699" s="33"/>
      <c r="AH699" s="33"/>
      <c r="AI699" s="213"/>
      <c r="AJ699" s="50"/>
      <c r="AL699" s="23">
        <f t="shared" ref="AL699" si="992">+AP699-AP698</f>
        <v>347945</v>
      </c>
      <c r="AM699" s="24"/>
      <c r="AN699" s="24"/>
      <c r="AO699" s="24">
        <v>178263</v>
      </c>
      <c r="AP699" s="24">
        <v>48346315</v>
      </c>
      <c r="AQ699" s="24">
        <v>20336656</v>
      </c>
      <c r="AR699" s="461">
        <f t="shared" ref="AR699" si="993">+AL699/AP698</f>
        <v>7.2491003340321766E-3</v>
      </c>
      <c r="AS699" s="25"/>
      <c r="AT699" s="25"/>
      <c r="AU699" s="24"/>
      <c r="AV699" s="298">
        <f t="shared" ref="AV699" si="994">+AP699/H699</f>
        <v>0.69882279495207678</v>
      </c>
      <c r="AW699" s="298"/>
      <c r="AX699" s="24">
        <f t="shared" ref="AX699" si="995">+AP699/BW699</f>
        <v>70067.123188405792</v>
      </c>
      <c r="AY699" s="308"/>
      <c r="BA699" s="65">
        <f t="shared" ref="BA699" si="996">+BC699-BC698</f>
        <v>3894838</v>
      </c>
      <c r="BB699" s="66"/>
      <c r="BC699" s="66">
        <v>918292478</v>
      </c>
      <c r="BD699" s="66"/>
      <c r="BE699" s="66">
        <f t="shared" ref="BE699" si="997">+D699</f>
        <v>153801</v>
      </c>
      <c r="BF699" s="66"/>
      <c r="BG699" s="144">
        <f t="shared" ref="BG699" si="998">+BE699/BA699</f>
        <v>3.9488420314272375E-2</v>
      </c>
      <c r="BH699" s="66"/>
      <c r="BI699" s="170"/>
      <c r="BJ699" s="66"/>
      <c r="BK699" s="66"/>
      <c r="BL699" s="66"/>
      <c r="BM699" s="144"/>
      <c r="BN699" s="65">
        <f t="shared" ref="BN699" si="999">+BC699/BW699</f>
        <v>1330858.6637681159</v>
      </c>
      <c r="BO699" s="66"/>
      <c r="BP699" s="66">
        <f t="shared" ref="BP699" si="1000">+BP698+BE699</f>
        <v>68275532</v>
      </c>
      <c r="BQ699" s="66"/>
      <c r="BR699" s="435">
        <f t="shared" ref="BR699" si="1001">+BP699/BC699</f>
        <v>7.4350529527042478E-2</v>
      </c>
      <c r="BS699" s="66"/>
      <c r="BT699" s="75"/>
      <c r="BU699" s="170"/>
      <c r="BV699" s="1"/>
      <c r="BW699" s="61">
        <f t="shared" si="399"/>
        <v>690</v>
      </c>
    </row>
    <row r="700" spans="2:85" x14ac:dyDescent="0.3">
      <c r="B700" s="158">
        <f t="shared" ref="B700:B701" si="1002">1+B699</f>
        <v>44600</v>
      </c>
      <c r="C700" s="61"/>
      <c r="D700" s="17">
        <v>179169</v>
      </c>
      <c r="E700" s="16"/>
      <c r="F700" s="16"/>
      <c r="G700" s="16"/>
      <c r="H700" s="16">
        <f t="shared" ref="H700" si="1003">+H699+D700</f>
        <v>69361679</v>
      </c>
      <c r="I700" s="16"/>
      <c r="J700" s="436">
        <f t="shared" ref="J700" si="1004">+D700/H699</f>
        <v>2.5898019600618712E-3</v>
      </c>
      <c r="K700" s="16"/>
      <c r="L700" s="16"/>
      <c r="M700" s="16"/>
      <c r="N700" s="16">
        <f t="shared" ref="N700" si="1005">SUM(D694:D700)</f>
        <v>1350147</v>
      </c>
      <c r="O700" s="16">
        <f t="shared" ref="O700" si="1006">+H700/BW700</f>
        <v>100378.69609261939</v>
      </c>
      <c r="P700" s="41"/>
      <c r="Q700" s="17">
        <f t="shared" ref="Q700" si="1007">SUM(D694:D700)</f>
        <v>1350147</v>
      </c>
      <c r="R700" s="16"/>
      <c r="S700" s="60">
        <f t="shared" ref="S700" si="1008">+(Q700-Q693)/Q693</f>
        <v>-0.45533222125627054</v>
      </c>
      <c r="T700" s="16"/>
      <c r="U700" s="41"/>
      <c r="V700" s="10">
        <f t="shared" si="558"/>
        <v>592</v>
      </c>
      <c r="W700" s="34">
        <v>2777</v>
      </c>
      <c r="X700" s="33">
        <v>4256</v>
      </c>
      <c r="Y700" s="33"/>
      <c r="Z700" s="33">
        <f t="shared" ref="Z700" si="1009">SUM(W695:W700)</f>
        <v>10651</v>
      </c>
      <c r="AA700" s="33">
        <f t="shared" ref="AA700" si="1010">+AA699+W700</f>
        <v>832874</v>
      </c>
      <c r="AB700" s="33"/>
      <c r="AC700" s="46">
        <f t="shared" ref="AC700" si="1011">+AA700/H700</f>
        <v>1.2007696641830138E-2</v>
      </c>
      <c r="AD700" s="33"/>
      <c r="AE700" s="33">
        <f t="shared" ref="AE700" si="1012">+AA700/BW700</f>
        <v>1205.3169319826338</v>
      </c>
      <c r="AF700" s="50"/>
      <c r="AG700" s="33"/>
      <c r="AH700" s="33"/>
      <c r="AI700" s="213"/>
      <c r="AJ700" s="50"/>
      <c r="AL700" s="23">
        <f t="shared" ref="AL700" si="1013">+AP700-AP699</f>
        <v>482013</v>
      </c>
      <c r="AM700" s="24"/>
      <c r="AN700" s="24"/>
      <c r="AO700" s="24">
        <v>178263</v>
      </c>
      <c r="AP700" s="24">
        <v>48828328</v>
      </c>
      <c r="AQ700" s="24">
        <v>20336656</v>
      </c>
      <c r="AR700" s="461">
        <f t="shared" ref="AR700" si="1014">+AL700/AP699</f>
        <v>9.9700049528076758E-3</v>
      </c>
      <c r="AS700" s="25"/>
      <c r="AT700" s="25"/>
      <c r="AU700" s="24"/>
      <c r="AV700" s="298">
        <f t="shared" ref="AV700" si="1015">+AP700/H700</f>
        <v>0.70396692675216244</v>
      </c>
      <c r="AW700" s="298"/>
      <c r="AX700" s="24">
        <f t="shared" ref="AX700" si="1016">+AP700/BW700</f>
        <v>70663.282199710564</v>
      </c>
      <c r="AY700" s="308"/>
      <c r="BA700" s="65">
        <f t="shared" ref="BA700" si="1017">+BC700-BC699</f>
        <v>1754519</v>
      </c>
      <c r="BB700" s="66"/>
      <c r="BC700" s="66">
        <v>920046997</v>
      </c>
      <c r="BD700" s="66"/>
      <c r="BE700" s="66">
        <f t="shared" ref="BE700" si="1018">+D700</f>
        <v>179169</v>
      </c>
      <c r="BF700" s="66"/>
      <c r="BG700" s="144">
        <f t="shared" ref="BG700" si="1019">+BE700/BA700</f>
        <v>0.10211858634759727</v>
      </c>
      <c r="BH700" s="66"/>
      <c r="BI700" s="170"/>
      <c r="BJ700" s="66"/>
      <c r="BK700" s="66"/>
      <c r="BL700" s="66"/>
      <c r="BM700" s="144"/>
      <c r="BN700" s="65">
        <f t="shared" ref="BN700" si="1020">+BC700/BW700</f>
        <v>1331471.7756874096</v>
      </c>
      <c r="BO700" s="66"/>
      <c r="BP700" s="66">
        <f t="shared" ref="BP700" si="1021">+BP699+BE700</f>
        <v>68454701</v>
      </c>
      <c r="BQ700" s="66"/>
      <c r="BR700" s="435">
        <f t="shared" ref="BR700" si="1022">+BP700/BC700</f>
        <v>7.4403482890776723E-2</v>
      </c>
      <c r="BS700" s="66"/>
      <c r="BT700" s="75"/>
      <c r="BU700" s="170"/>
      <c r="BV700" s="1"/>
      <c r="BW700" s="61">
        <f t="shared" si="399"/>
        <v>691</v>
      </c>
    </row>
    <row r="701" spans="2:85" x14ac:dyDescent="0.3">
      <c r="B701" s="158">
        <f t="shared" si="1002"/>
        <v>44601</v>
      </c>
      <c r="C701" s="61"/>
      <c r="D701" s="17">
        <v>227458</v>
      </c>
      <c r="E701" s="16"/>
      <c r="F701" s="16"/>
      <c r="G701" s="16"/>
      <c r="H701" s="16">
        <f t="shared" ref="H701" si="1023">+H700+D701</f>
        <v>69589137</v>
      </c>
      <c r="I701" s="16"/>
      <c r="J701" s="436">
        <f t="shared" ref="J701" si="1024">+D701/H700</f>
        <v>3.2793035474242196E-3</v>
      </c>
      <c r="K701" s="16"/>
      <c r="L701" s="16"/>
      <c r="M701" s="16"/>
      <c r="N701" s="16">
        <f t="shared" ref="N701" si="1025">SUM(D695:D701)</f>
        <v>1275428</v>
      </c>
      <c r="O701" s="16">
        <f t="shared" ref="O701" si="1026">+H701/BW701</f>
        <v>100562.33670520231</v>
      </c>
      <c r="P701" s="41"/>
      <c r="Q701" s="17">
        <f t="shared" ref="Q701" si="1027">SUM(D695:D701)</f>
        <v>1275428</v>
      </c>
      <c r="R701" s="16"/>
      <c r="S701" s="60">
        <f t="shared" ref="S701" si="1028">+(Q701-Q694)/Q694</f>
        <v>-0.43256533652710383</v>
      </c>
      <c r="T701" s="16"/>
      <c r="U701" s="41"/>
      <c r="V701" s="10">
        <f t="shared" si="558"/>
        <v>593</v>
      </c>
      <c r="W701" s="34">
        <v>2785</v>
      </c>
      <c r="X701" s="33">
        <v>4256</v>
      </c>
      <c r="Y701" s="33"/>
      <c r="Z701" s="33">
        <f t="shared" ref="Z701" si="1029">SUM(W696:W701)</f>
        <v>11060</v>
      </c>
      <c r="AA701" s="33">
        <f t="shared" ref="AA701" si="1030">+AA700+W701</f>
        <v>835659</v>
      </c>
      <c r="AB701" s="33"/>
      <c r="AC701" s="46">
        <f t="shared" ref="AC701" si="1031">+AA701/H701</f>
        <v>1.2008469080454325E-2</v>
      </c>
      <c r="AD701" s="33"/>
      <c r="AE701" s="33">
        <f t="shared" ref="AE701" si="1032">+AA701/BW701</f>
        <v>1207.599710982659</v>
      </c>
      <c r="AF701" s="50"/>
      <c r="AG701" s="33"/>
      <c r="AH701" s="33"/>
      <c r="AI701" s="213"/>
      <c r="AJ701" s="50"/>
      <c r="AL701" s="23">
        <f t="shared" ref="AL701" si="1033">+AP701-AP700</f>
        <v>389026</v>
      </c>
      <c r="AM701" s="24"/>
      <c r="AN701" s="24"/>
      <c r="AO701" s="24">
        <v>178263</v>
      </c>
      <c r="AP701" s="24">
        <v>49217354</v>
      </c>
      <c r="AQ701" s="24">
        <v>20336656</v>
      </c>
      <c r="AR701" s="461">
        <f t="shared" ref="AR701" si="1034">+AL701/AP700</f>
        <v>7.9672193567635573E-3</v>
      </c>
      <c r="AS701" s="25"/>
      <c r="AT701" s="25"/>
      <c r="AU701" s="24"/>
      <c r="AV701" s="298">
        <f t="shared" ref="AV701" si="1035">+AP701/H701</f>
        <v>0.70725627765724408</v>
      </c>
      <c r="AW701" s="298"/>
      <c r="AX701" s="24">
        <f t="shared" ref="AX701" si="1036">+AP701/BW701</f>
        <v>71123.343930635834</v>
      </c>
      <c r="AY701" s="308"/>
      <c r="BA701" s="65">
        <f t="shared" ref="BA701" si="1037">+BC701-BC700</f>
        <v>2083737</v>
      </c>
      <c r="BB701" s="66"/>
      <c r="BC701" s="66">
        <v>922130734</v>
      </c>
      <c r="BD701" s="66"/>
      <c r="BE701" s="66">
        <f t="shared" ref="BE701" si="1038">+D701</f>
        <v>227458</v>
      </c>
      <c r="BF701" s="66"/>
      <c r="BG701" s="144">
        <f t="shared" ref="BG701" si="1039">+BE701/BA701</f>
        <v>0.10915868941233947</v>
      </c>
      <c r="BH701" s="66"/>
      <c r="BI701" s="170"/>
      <c r="BJ701" s="66"/>
      <c r="BK701" s="66"/>
      <c r="BL701" s="66"/>
      <c r="BM701" s="144"/>
      <c r="BN701" s="65">
        <f t="shared" ref="BN701" si="1040">+BC701/BW701</f>
        <v>1332558.8641618497</v>
      </c>
      <c r="BO701" s="66"/>
      <c r="BP701" s="66">
        <f t="shared" ref="BP701" si="1041">+BP700+BE701</f>
        <v>68682159</v>
      </c>
      <c r="BQ701" s="66"/>
      <c r="BR701" s="435">
        <f t="shared" ref="BR701" si="1042">+BP701/BC701</f>
        <v>7.4482019162371835E-2</v>
      </c>
      <c r="BS701" s="66"/>
      <c r="BT701" s="75"/>
      <c r="BU701" s="170"/>
      <c r="BV701" s="1"/>
      <c r="BW701" s="61">
        <f t="shared" si="399"/>
        <v>692</v>
      </c>
    </row>
    <row r="702" spans="2:85" x14ac:dyDescent="0.3">
      <c r="B702" s="158">
        <f>1+B701</f>
        <v>44602</v>
      </c>
      <c r="C702" s="61"/>
      <c r="D702" s="17">
        <v>179237</v>
      </c>
      <c r="E702" s="16"/>
      <c r="F702" s="16"/>
      <c r="G702" s="16"/>
      <c r="H702" s="16">
        <f t="shared" ref="H702" si="1043">+H701+D702</f>
        <v>69768374</v>
      </c>
      <c r="I702" s="16"/>
      <c r="J702" s="436">
        <f t="shared" ref="J702" si="1044">+D702/H701</f>
        <v>2.5756462535237359E-3</v>
      </c>
      <c r="K702" s="16"/>
      <c r="L702" s="16"/>
      <c r="M702" s="16"/>
      <c r="N702" s="16">
        <f t="shared" ref="N702" si="1045">SUM(D696:D702)</f>
        <v>1198671</v>
      </c>
      <c r="O702" s="16">
        <f t="shared" ref="O702" si="1046">+H702/BW702</f>
        <v>100675.86435786435</v>
      </c>
      <c r="P702" s="41"/>
      <c r="Q702" s="17">
        <f t="shared" ref="Q702" si="1047">SUM(D696:D702)</f>
        <v>1198671</v>
      </c>
      <c r="R702" s="16"/>
      <c r="S702" s="60">
        <f t="shared" ref="S702" si="1048">+(Q702-Q695)/Q695</f>
        <v>-0.40256196320486137</v>
      </c>
      <c r="T702" s="16"/>
      <c r="U702" s="41"/>
      <c r="V702" s="10">
        <f t="shared" si="558"/>
        <v>594</v>
      </c>
      <c r="W702" s="34">
        <v>2465</v>
      </c>
      <c r="X702" s="33">
        <v>4256</v>
      </c>
      <c r="Y702" s="33"/>
      <c r="Z702" s="33">
        <f t="shared" ref="Z702" si="1049">SUM(W697:W702)</f>
        <v>10832</v>
      </c>
      <c r="AA702" s="33">
        <f t="shared" ref="AA702" si="1050">+AA701+W702</f>
        <v>838124</v>
      </c>
      <c r="AB702" s="33"/>
      <c r="AC702" s="46">
        <f t="shared" ref="AC702" si="1051">+AA702/H702</f>
        <v>1.201295016564382E-2</v>
      </c>
      <c r="AD702" s="33"/>
      <c r="AE702" s="33">
        <f t="shared" ref="AE702" si="1052">+AA702/BW702</f>
        <v>1209.4141414141413</v>
      </c>
      <c r="AF702" s="50"/>
      <c r="AG702" s="33"/>
      <c r="AH702" s="33"/>
      <c r="AI702" s="213"/>
      <c r="AJ702" s="50"/>
      <c r="AL702" s="23">
        <f t="shared" ref="AL702" si="1053">+AP702-AP701</f>
        <v>218184</v>
      </c>
      <c r="AM702" s="24"/>
      <c r="AN702" s="24"/>
      <c r="AO702" s="24">
        <v>178263</v>
      </c>
      <c r="AP702" s="24">
        <v>49435538</v>
      </c>
      <c r="AQ702" s="24">
        <v>20336656</v>
      </c>
      <c r="AR702" s="461">
        <f t="shared" ref="AR702" si="1054">+AL702/AP701</f>
        <v>4.4330704978573212E-3</v>
      </c>
      <c r="AS702" s="25"/>
      <c r="AT702" s="25"/>
      <c r="AU702" s="24"/>
      <c r="AV702" s="298">
        <f t="shared" ref="AV702" si="1055">+AP702/H702</f>
        <v>0.70856657774481024</v>
      </c>
      <c r="AW702" s="298"/>
      <c r="AX702" s="24">
        <f t="shared" ref="AX702" si="1056">+AP702/BW702</f>
        <v>71335.552669552664</v>
      </c>
      <c r="AY702" s="308"/>
      <c r="BA702" s="65">
        <f t="shared" ref="BA702" si="1057">+BC702-BC701</f>
        <v>1860219</v>
      </c>
      <c r="BB702" s="66"/>
      <c r="BC702" s="66">
        <v>923990953</v>
      </c>
      <c r="BD702" s="66"/>
      <c r="BE702" s="66">
        <f t="shared" ref="BE702" si="1058">+D702</f>
        <v>179237</v>
      </c>
      <c r="BF702" s="66"/>
      <c r="BG702" s="144">
        <f t="shared" ref="BG702" si="1059">+BE702/BA702</f>
        <v>9.6352633749037075E-2</v>
      </c>
      <c r="BH702" s="66"/>
      <c r="BI702" s="170"/>
      <c r="BJ702" s="66"/>
      <c r="BK702" s="66"/>
      <c r="BL702" s="66"/>
      <c r="BM702" s="144"/>
      <c r="BN702" s="65">
        <f t="shared" ref="BN702" si="1060">+BC702/BW702</f>
        <v>1333320.2784992785</v>
      </c>
      <c r="BO702" s="66"/>
      <c r="BP702" s="66">
        <f t="shared" ref="BP702" si="1061">+BP701+BE702</f>
        <v>68861396</v>
      </c>
      <c r="BQ702" s="66"/>
      <c r="BR702" s="435">
        <f t="shared" ref="BR702" si="1062">+BP702/BC702</f>
        <v>7.4526050040232369E-2</v>
      </c>
      <c r="BS702" s="66"/>
      <c r="BT702" s="75"/>
      <c r="BU702" s="170"/>
      <c r="BV702" s="1"/>
      <c r="BW702" s="61">
        <f t="shared" si="399"/>
        <v>693</v>
      </c>
      <c r="BZ702" s="1"/>
      <c r="CA702" s="61"/>
    </row>
    <row r="703" spans="2:85" x14ac:dyDescent="0.3">
      <c r="B703" s="158">
        <f t="shared" ref="B703:B764" si="1063">1+B702</f>
        <v>44603</v>
      </c>
      <c r="C703" s="61"/>
      <c r="D703" s="17">
        <v>149318</v>
      </c>
      <c r="E703" s="16"/>
      <c r="F703" s="16"/>
      <c r="G703" s="16"/>
      <c r="H703" s="16">
        <f t="shared" ref="H703" si="1064">+H702+D703</f>
        <v>69917692</v>
      </c>
      <c r="I703" s="16"/>
      <c r="J703" s="436">
        <f t="shared" ref="J703" si="1065">+D703/H702</f>
        <v>2.1401960722203443E-3</v>
      </c>
      <c r="K703" s="16"/>
      <c r="L703" s="16"/>
      <c r="M703" s="16"/>
      <c r="N703" s="16">
        <f t="shared" ref="N703" si="1066">SUM(D697:D703)</f>
        <v>1044716</v>
      </c>
      <c r="O703" s="16">
        <f t="shared" ref="O703" si="1067">+H703/BW703</f>
        <v>100745.95389048991</v>
      </c>
      <c r="P703" s="41"/>
      <c r="Q703" s="17">
        <f t="shared" ref="Q703" si="1068">SUM(D697:D703)</f>
        <v>1044716</v>
      </c>
      <c r="R703" s="16"/>
      <c r="S703" s="60">
        <f t="shared" ref="S703" si="1069">+(Q703-Q696)/Q696</f>
        <v>-0.41548627138321237</v>
      </c>
      <c r="T703" s="16"/>
      <c r="U703" s="41"/>
      <c r="V703" s="10">
        <f t="shared" si="558"/>
        <v>595</v>
      </c>
      <c r="W703" s="34">
        <v>1917</v>
      </c>
      <c r="X703" s="33">
        <v>4256</v>
      </c>
      <c r="Y703" s="33"/>
      <c r="Z703" s="33">
        <f t="shared" ref="Z703" si="1070">SUM(W698:W703)</f>
        <v>11698</v>
      </c>
      <c r="AA703" s="33">
        <f t="shared" ref="AA703" si="1071">+AA702+W703</f>
        <v>840041</v>
      </c>
      <c r="AB703" s="33"/>
      <c r="AC703" s="46">
        <f t="shared" ref="AC703" si="1072">+AA703/H703</f>
        <v>1.2014712957058136E-2</v>
      </c>
      <c r="AD703" s="33"/>
      <c r="AE703" s="33">
        <f t="shared" ref="AE703" si="1073">+AA703/BW703</f>
        <v>1210.4337175792507</v>
      </c>
      <c r="AF703" s="50"/>
      <c r="AG703" s="33"/>
      <c r="AH703" s="33"/>
      <c r="AI703" s="213"/>
      <c r="AJ703" s="50"/>
      <c r="AL703" s="23">
        <f t="shared" ref="AL703" si="1074">+AP703-AP702</f>
        <v>191066</v>
      </c>
      <c r="AM703" s="24"/>
      <c r="AN703" s="24"/>
      <c r="AO703" s="24">
        <v>178263</v>
      </c>
      <c r="AP703" s="24">
        <v>49626604</v>
      </c>
      <c r="AQ703" s="24">
        <v>20336656</v>
      </c>
      <c r="AR703" s="461">
        <f t="shared" ref="AR703" si="1075">+AL703/AP702</f>
        <v>3.8649523749493733E-3</v>
      </c>
      <c r="AS703" s="25"/>
      <c r="AT703" s="25"/>
      <c r="AU703" s="24"/>
      <c r="AV703" s="298">
        <f t="shared" ref="AV703" si="1076">+AP703/H703</f>
        <v>0.70978607245788372</v>
      </c>
      <c r="AW703" s="298"/>
      <c r="AX703" s="24">
        <f t="shared" ref="AX703" si="1077">+AP703/BW703</f>
        <v>71508.074927953887</v>
      </c>
      <c r="AY703" s="308"/>
      <c r="BA703" s="65">
        <f t="shared" ref="BA703" si="1078">+BC703-BC702</f>
        <v>1711680</v>
      </c>
      <c r="BB703" s="66"/>
      <c r="BC703" s="66">
        <v>925702633</v>
      </c>
      <c r="BD703" s="66"/>
      <c r="BE703" s="66">
        <f t="shared" ref="BE703" si="1079">+D703</f>
        <v>149318</v>
      </c>
      <c r="BF703" s="66"/>
      <c r="BG703" s="144">
        <f t="shared" ref="BG703" si="1080">+BE703/BA703</f>
        <v>8.723476350719761E-2</v>
      </c>
      <c r="BH703" s="66"/>
      <c r="BI703" s="170"/>
      <c r="BJ703" s="66"/>
      <c r="BK703" s="66"/>
      <c r="BL703" s="66"/>
      <c r="BM703" s="144"/>
      <c r="BN703" s="65">
        <f t="shared" ref="BN703" si="1081">+BC703/BW703</f>
        <v>1333865.4654178675</v>
      </c>
      <c r="BO703" s="66"/>
      <c r="BP703" s="66">
        <f t="shared" ref="BP703" si="1082">+BP702+BE703</f>
        <v>69010714</v>
      </c>
      <c r="BQ703" s="66"/>
      <c r="BR703" s="435">
        <f t="shared" ref="BR703" si="1083">+BP703/BC703</f>
        <v>7.4549549217929043E-2</v>
      </c>
      <c r="BS703" s="66"/>
      <c r="BT703" s="75"/>
      <c r="BU703" s="170"/>
      <c r="BV703" s="1"/>
      <c r="BW703" s="61">
        <f t="shared" si="399"/>
        <v>694</v>
      </c>
      <c r="BZ703" s="1"/>
      <c r="CA703" s="61"/>
    </row>
    <row r="704" spans="2:85" x14ac:dyDescent="0.3">
      <c r="B704" s="158">
        <f t="shared" si="1063"/>
        <v>44604</v>
      </c>
      <c r="C704" s="61"/>
      <c r="D704" s="17">
        <v>59579</v>
      </c>
      <c r="E704" s="16"/>
      <c r="F704" s="16"/>
      <c r="G704" s="16"/>
      <c r="H704" s="16">
        <f t="shared" ref="H704" si="1084">+H703+D704</f>
        <v>69977271</v>
      </c>
      <c r="I704" s="16"/>
      <c r="J704" s="436">
        <f t="shared" ref="J704" si="1085">+D704/H703</f>
        <v>8.5213053085333534E-4</v>
      </c>
      <c r="K704" s="16"/>
      <c r="L704" s="16"/>
      <c r="M704" s="16"/>
      <c r="N704" s="16">
        <f t="shared" ref="N704" si="1086">SUM(D698:D704)</f>
        <v>999273</v>
      </c>
      <c r="O704" s="16">
        <f t="shared" ref="O704" si="1087">+H704/BW704</f>
        <v>100686.72086330935</v>
      </c>
      <c r="P704" s="41"/>
      <c r="Q704" s="17">
        <f t="shared" ref="Q704" si="1088">SUM(D698:D704)</f>
        <v>999273</v>
      </c>
      <c r="R704" s="16"/>
      <c r="S704" s="60">
        <f t="shared" ref="S704" si="1089">+(Q704-Q697)/Q697</f>
        <v>-0.41230263262364297</v>
      </c>
      <c r="T704" s="16"/>
      <c r="U704" s="41"/>
      <c r="V704" s="10">
        <f t="shared" si="558"/>
        <v>596</v>
      </c>
      <c r="W704" s="34">
        <v>873</v>
      </c>
      <c r="X704" s="33">
        <v>4256</v>
      </c>
      <c r="Y704" s="33"/>
      <c r="Z704" s="33">
        <f t="shared" ref="Z704" si="1090">SUM(W699:W704)</f>
        <v>12197</v>
      </c>
      <c r="AA704" s="33">
        <f t="shared" ref="AA704" si="1091">+AA703+W704</f>
        <v>840914</v>
      </c>
      <c r="AB704" s="33"/>
      <c r="AC704" s="46">
        <f t="shared" ref="AC704" si="1092">+AA704/H704</f>
        <v>1.2016959049460502E-2</v>
      </c>
      <c r="AD704" s="33"/>
      <c r="AE704" s="33">
        <f t="shared" ref="AE704" si="1093">+AA704/BW704</f>
        <v>1209.9482014388489</v>
      </c>
      <c r="AF704" s="50"/>
      <c r="AG704" s="33"/>
      <c r="AH704" s="33"/>
      <c r="AI704" s="213"/>
      <c r="AJ704" s="50"/>
      <c r="AL704" s="23">
        <f t="shared" ref="AL704" si="1094">+AP704-AP703</f>
        <v>132790</v>
      </c>
      <c r="AM704" s="24"/>
      <c r="AN704" s="24"/>
      <c r="AO704" s="24">
        <v>178263</v>
      </c>
      <c r="AP704" s="24">
        <v>49759394</v>
      </c>
      <c r="AQ704" s="24">
        <v>20336656</v>
      </c>
      <c r="AR704" s="461">
        <f t="shared" ref="AR704" si="1095">+AL704/AP703</f>
        <v>2.6757825298704702E-3</v>
      </c>
      <c r="AS704" s="25"/>
      <c r="AT704" s="25"/>
      <c r="AU704" s="24"/>
      <c r="AV704" s="298">
        <f t="shared" ref="AV704" si="1096">+AP704/H704</f>
        <v>0.7110793731867594</v>
      </c>
      <c r="AW704" s="298"/>
      <c r="AX704" s="24">
        <f t="shared" ref="AX704" si="1097">+AP704/BW704</f>
        <v>71596.250359712227</v>
      </c>
      <c r="AY704" s="308"/>
      <c r="BA704" s="65">
        <f t="shared" ref="BA704" si="1098">+BC704-BC703</f>
        <v>535429</v>
      </c>
      <c r="BB704" s="66"/>
      <c r="BC704" s="66">
        <v>926238062</v>
      </c>
      <c r="BD704" s="66"/>
      <c r="BE704" s="66">
        <f t="shared" ref="BE704" si="1099">+D704</f>
        <v>59579</v>
      </c>
      <c r="BF704" s="66"/>
      <c r="BG704" s="144">
        <f t="shared" ref="BG704" si="1100">+BE704/BA704</f>
        <v>0.11127339012268667</v>
      </c>
      <c r="BH704" s="66"/>
      <c r="BI704" s="170"/>
      <c r="BJ704" s="66"/>
      <c r="BK704" s="66"/>
      <c r="BL704" s="66"/>
      <c r="BM704" s="144"/>
      <c r="BN704" s="65">
        <f t="shared" ref="BN704" si="1101">+BC704/BW704</f>
        <v>1332716.635971223</v>
      </c>
      <c r="BO704" s="66"/>
      <c r="BP704" s="66">
        <f t="shared" ref="BP704" si="1102">+BP703+BE704</f>
        <v>69070293</v>
      </c>
      <c r="BQ704" s="66"/>
      <c r="BR704" s="435">
        <f t="shared" ref="BR704" si="1103">+BP704/BC704</f>
        <v>7.4570778111685929E-2</v>
      </c>
      <c r="BS704" s="66"/>
      <c r="BT704" s="75"/>
      <c r="BU704" s="170"/>
      <c r="BV704" s="1"/>
      <c r="BW704" s="61">
        <f t="shared" si="399"/>
        <v>695</v>
      </c>
      <c r="BZ704" s="1"/>
      <c r="CA704" s="61"/>
    </row>
    <row r="705" spans="2:79" x14ac:dyDescent="0.3">
      <c r="B705" s="347">
        <f t="shared" si="1063"/>
        <v>44605</v>
      </c>
      <c r="C705" s="61"/>
      <c r="D705" s="17">
        <v>31652</v>
      </c>
      <c r="E705" s="16"/>
      <c r="F705" s="16"/>
      <c r="G705" s="16"/>
      <c r="H705" s="16">
        <f t="shared" ref="H705" si="1104">+H704+D705</f>
        <v>70008923</v>
      </c>
      <c r="I705" s="16"/>
      <c r="J705" s="436">
        <f t="shared" ref="J705" si="1105">+D705/H704</f>
        <v>4.5231829632224441E-4</v>
      </c>
      <c r="K705" s="16"/>
      <c r="L705" s="16"/>
      <c r="M705" s="16"/>
      <c r="N705" s="16">
        <f t="shared" ref="N705" si="1106">SUM(D699:D705)</f>
        <v>980214</v>
      </c>
      <c r="O705" s="16">
        <f t="shared" ref="O705" si="1107">+H705/BW705</f>
        <v>100587.533045977</v>
      </c>
      <c r="P705" s="41"/>
      <c r="Q705" s="17">
        <f t="shared" ref="Q705" si="1108">SUM(D699:D705)</f>
        <v>980214</v>
      </c>
      <c r="R705" s="16"/>
      <c r="S705" s="60">
        <f t="shared" ref="S705" si="1109">+(Q705-Q698)/Q698</f>
        <v>-0.38483137076716745</v>
      </c>
      <c r="T705" s="16"/>
      <c r="U705" s="41"/>
      <c r="V705" s="10">
        <f t="shared" si="558"/>
        <v>597</v>
      </c>
      <c r="W705" s="34">
        <v>467</v>
      </c>
      <c r="X705" s="33">
        <v>4256</v>
      </c>
      <c r="Y705" s="33"/>
      <c r="Z705" s="33">
        <f t="shared" ref="Z705" si="1110">SUM(W700:W705)</f>
        <v>11284</v>
      </c>
      <c r="AA705" s="33">
        <f t="shared" ref="AA705" si="1111">+AA704+W705</f>
        <v>841381</v>
      </c>
      <c r="AB705" s="33"/>
      <c r="AC705" s="46">
        <f t="shared" ref="AC705" si="1112">+AA705/H705</f>
        <v>1.2018196594739787E-2</v>
      </c>
      <c r="AD705" s="33"/>
      <c r="AE705" s="33">
        <f t="shared" ref="AE705" si="1113">+AA705/BW705</f>
        <v>1208.8807471264367</v>
      </c>
      <c r="AF705" s="50"/>
      <c r="AG705" s="33"/>
      <c r="AH705" s="33"/>
      <c r="AI705" s="213"/>
      <c r="AJ705" s="50"/>
      <c r="AL705" s="23">
        <f t="shared" ref="AL705" si="1114">+AP705-AP704</f>
        <v>77499</v>
      </c>
      <c r="AM705" s="24"/>
      <c r="AN705" s="24"/>
      <c r="AO705" s="24">
        <v>178263</v>
      </c>
      <c r="AP705" s="24">
        <v>49836893</v>
      </c>
      <c r="AQ705" s="24">
        <v>20336656</v>
      </c>
      <c r="AR705" s="461">
        <f t="shared" ref="AR705" si="1115">+AL705/AP704</f>
        <v>1.5574747554200519E-3</v>
      </c>
      <c r="AS705" s="25"/>
      <c r="AT705" s="25"/>
      <c r="AU705" s="24"/>
      <c r="AV705" s="298">
        <f t="shared" ref="AV705" si="1116">+AP705/H705</f>
        <v>0.7118648718535493</v>
      </c>
      <c r="AW705" s="298"/>
      <c r="AX705" s="24">
        <f t="shared" ref="AX705" si="1117">+AP705/BW705</f>
        <v>71604.731321839077</v>
      </c>
      <c r="AY705" s="308"/>
      <c r="BA705" s="65">
        <f t="shared" ref="BA705" si="1118">+BC705-BC704</f>
        <v>407001</v>
      </c>
      <c r="BB705" s="66"/>
      <c r="BC705" s="66">
        <v>926645063</v>
      </c>
      <c r="BD705" s="66"/>
      <c r="BE705" s="66">
        <f t="shared" ref="BE705" si="1119">+D705</f>
        <v>31652</v>
      </c>
      <c r="BF705" s="66"/>
      <c r="BG705" s="144">
        <f t="shared" ref="BG705" si="1120">+BE705/BA705</f>
        <v>7.7768850690784541E-2</v>
      </c>
      <c r="BH705" s="66"/>
      <c r="BI705" s="170"/>
      <c r="BJ705" s="66"/>
      <c r="BK705" s="66"/>
      <c r="BL705" s="66"/>
      <c r="BM705" s="144"/>
      <c r="BN705" s="65">
        <f t="shared" ref="BN705" si="1121">+BC705/BW705</f>
        <v>1331386.5847701149</v>
      </c>
      <c r="BO705" s="66"/>
      <c r="BP705" s="66">
        <f t="shared" ref="BP705" si="1122">+BP704+BE705</f>
        <v>69101945</v>
      </c>
      <c r="BQ705" s="66"/>
      <c r="BR705" s="435">
        <f t="shared" ref="BR705" si="1123">+BP705/BC705</f>
        <v>7.4572182768970305E-2</v>
      </c>
      <c r="BS705" s="66"/>
      <c r="BT705" s="75"/>
      <c r="BU705" s="170"/>
      <c r="BV705" s="1"/>
      <c r="BW705" s="61">
        <f t="shared" si="399"/>
        <v>696</v>
      </c>
      <c r="BZ705" s="1"/>
      <c r="CA705" s="61"/>
    </row>
    <row r="706" spans="2:79" x14ac:dyDescent="0.3">
      <c r="B706" s="158">
        <f t="shared" si="1063"/>
        <v>44606</v>
      </c>
      <c r="C706" s="61"/>
      <c r="D706" s="17">
        <v>80842</v>
      </c>
      <c r="E706" s="16"/>
      <c r="F706" s="16"/>
      <c r="G706" s="16"/>
      <c r="H706" s="16">
        <f t="shared" ref="H706" si="1124">+H705+D706</f>
        <v>70089765</v>
      </c>
      <c r="I706" s="16"/>
      <c r="J706" s="436">
        <f t="shared" ref="J706" si="1125">+D706/H705</f>
        <v>1.1547385181171835E-3</v>
      </c>
      <c r="K706" s="16"/>
      <c r="L706" s="16"/>
      <c r="M706" s="16"/>
      <c r="N706" s="16">
        <f t="shared" ref="N706" si="1126">SUM(D700:D706)</f>
        <v>907255</v>
      </c>
      <c r="O706" s="16">
        <f t="shared" ref="O706" si="1127">+H706/BW706</f>
        <v>100559.20373027259</v>
      </c>
      <c r="P706" s="41"/>
      <c r="Q706" s="17">
        <f t="shared" ref="Q706" si="1128">SUM(D700:D706)</f>
        <v>907255</v>
      </c>
      <c r="R706" s="16"/>
      <c r="S706" s="60">
        <f t="shared" ref="S706" si="1129">+(Q706-Q699)/Q699</f>
        <v>-0.38405246099303297</v>
      </c>
      <c r="T706" s="16"/>
      <c r="U706" s="41"/>
      <c r="V706" s="10">
        <f t="shared" si="558"/>
        <v>598</v>
      </c>
      <c r="W706" s="34">
        <v>949</v>
      </c>
      <c r="X706" s="33">
        <v>4256</v>
      </c>
      <c r="Y706" s="33"/>
      <c r="Z706" s="33">
        <f t="shared" ref="Z706" si="1130">SUM(W701:W706)</f>
        <v>9456</v>
      </c>
      <c r="AA706" s="33">
        <f t="shared" ref="AA706" si="1131">+AA705+W706</f>
        <v>842330</v>
      </c>
      <c r="AB706" s="33"/>
      <c r="AC706" s="46">
        <f t="shared" ref="AC706" si="1132">+AA706/H706</f>
        <v>1.2017874507069613E-2</v>
      </c>
      <c r="AD706" s="33"/>
      <c r="AE706" s="33">
        <f t="shared" ref="AE706" si="1133">+AA706/BW706</f>
        <v>1208.5078909612625</v>
      </c>
      <c r="AF706" s="50"/>
      <c r="AG706" s="33"/>
      <c r="AH706" s="33"/>
      <c r="AI706" s="213"/>
      <c r="AJ706" s="50"/>
      <c r="AL706" s="23">
        <f t="shared" ref="AL706" si="1134">+AP706-AP705</f>
        <v>371524</v>
      </c>
      <c r="AM706" s="24"/>
      <c r="AN706" s="24"/>
      <c r="AO706" s="24">
        <v>178263</v>
      </c>
      <c r="AP706" s="24">
        <v>50208417</v>
      </c>
      <c r="AQ706" s="24">
        <v>20336656</v>
      </c>
      <c r="AR706" s="461">
        <f t="shared" ref="AR706" si="1135">+AL706/AP705</f>
        <v>7.4547985966942204E-3</v>
      </c>
      <c r="AS706" s="25"/>
      <c r="AT706" s="25"/>
      <c r="AU706" s="24"/>
      <c r="AV706" s="298">
        <f t="shared" ref="AV706" si="1136">+AP706/H706</f>
        <v>0.71634449052582783</v>
      </c>
      <c r="AW706" s="298"/>
      <c r="AX706" s="24">
        <f t="shared" ref="AX706" si="1137">+AP706/BW706</f>
        <v>72035.031563845056</v>
      </c>
      <c r="AY706" s="308"/>
      <c r="BA706" s="65">
        <f t="shared" ref="BA706" si="1138">+BC706-BC705</f>
        <v>2520306</v>
      </c>
      <c r="BB706" s="66"/>
      <c r="BC706" s="66">
        <v>929165369</v>
      </c>
      <c r="BD706" s="66"/>
      <c r="BE706" s="66">
        <f t="shared" ref="BE706" si="1139">+D706</f>
        <v>80842</v>
      </c>
      <c r="BF706" s="66"/>
      <c r="BG706" s="144">
        <f t="shared" ref="BG706" si="1140">+BE706/BA706</f>
        <v>3.2076263755274163E-2</v>
      </c>
      <c r="BH706" s="66"/>
      <c r="BI706" s="170"/>
      <c r="BJ706" s="66"/>
      <c r="BK706" s="66"/>
      <c r="BL706" s="66"/>
      <c r="BM706" s="144"/>
      <c r="BN706" s="65">
        <f t="shared" ref="BN706" si="1141">+BC706/BW706</f>
        <v>1333092.3515064563</v>
      </c>
      <c r="BO706" s="66"/>
      <c r="BP706" s="66">
        <f t="shared" ref="BP706" si="1142">+BP705+BE706</f>
        <v>69182787</v>
      </c>
      <c r="BQ706" s="66"/>
      <c r="BR706" s="435">
        <f t="shared" ref="BR706" si="1143">+BP706/BC706</f>
        <v>7.4456915107002877E-2</v>
      </c>
      <c r="BS706" s="66"/>
      <c r="BT706" s="75"/>
      <c r="BU706" s="170"/>
      <c r="BV706" s="1"/>
      <c r="BW706" s="61">
        <f t="shared" si="399"/>
        <v>697</v>
      </c>
      <c r="BZ706" s="1"/>
      <c r="CA706" s="61"/>
    </row>
    <row r="707" spans="2:79" x14ac:dyDescent="0.3">
      <c r="B707" s="158">
        <f t="shared" si="1063"/>
        <v>44607</v>
      </c>
      <c r="C707" s="61"/>
      <c r="D707" s="17">
        <v>97867</v>
      </c>
      <c r="E707" s="16"/>
      <c r="F707" s="16"/>
      <c r="G707" s="16"/>
      <c r="H707" s="16">
        <f t="shared" ref="H707" si="1144">+H706+D707</f>
        <v>70187632</v>
      </c>
      <c r="I707" s="16"/>
      <c r="J707" s="436">
        <f t="shared" ref="J707" si="1145">+D707/H706</f>
        <v>1.396309432625434E-3</v>
      </c>
      <c r="K707" s="16"/>
      <c r="L707" s="16"/>
      <c r="M707" s="16"/>
      <c r="N707" s="16">
        <f t="shared" ref="N707" si="1146">SUM(D701:D707)</f>
        <v>825953</v>
      </c>
      <c r="O707" s="16">
        <f t="shared" ref="O707" si="1147">+H707/BW707</f>
        <v>100555.34670487106</v>
      </c>
      <c r="P707" s="41"/>
      <c r="Q707" s="17">
        <f t="shared" ref="Q707" si="1148">SUM(D701:D707)</f>
        <v>825953</v>
      </c>
      <c r="R707" s="16"/>
      <c r="S707" s="60">
        <f t="shared" ref="S707" si="1149">+(Q707-Q700)/Q700</f>
        <v>-0.38824957578693281</v>
      </c>
      <c r="T707" s="16"/>
      <c r="U707" s="41"/>
      <c r="V707" s="10">
        <f t="shared" si="558"/>
        <v>599</v>
      </c>
      <c r="W707" s="34">
        <v>2223</v>
      </c>
      <c r="X707" s="33">
        <v>4256</v>
      </c>
      <c r="Y707" s="33"/>
      <c r="Z707" s="33">
        <f t="shared" ref="Z707" si="1150">SUM(W702:W707)</f>
        <v>8894</v>
      </c>
      <c r="AA707" s="33">
        <f t="shared" ref="AA707" si="1151">+AA706+W707</f>
        <v>844553</v>
      </c>
      <c r="AB707" s="33"/>
      <c r="AC707" s="46">
        <f t="shared" ref="AC707" si="1152">+AA707/H707</f>
        <v>1.2032789480631004E-2</v>
      </c>
      <c r="AD707" s="33"/>
      <c r="AE707" s="33">
        <f t="shared" ref="AE707" si="1153">+AA707/BW707</f>
        <v>1209.961318051576</v>
      </c>
      <c r="AF707" s="50"/>
      <c r="AG707" s="33"/>
      <c r="AH707" s="33"/>
      <c r="AI707" s="213"/>
      <c r="AJ707" s="50"/>
      <c r="AL707" s="23">
        <f t="shared" ref="AL707" si="1154">+AP707-AP706</f>
        <v>356630</v>
      </c>
      <c r="AM707" s="24"/>
      <c r="AN707" s="24"/>
      <c r="AO707" s="24">
        <v>178263</v>
      </c>
      <c r="AP707" s="24">
        <v>50565047</v>
      </c>
      <c r="AQ707" s="24">
        <v>20336656</v>
      </c>
      <c r="AR707" s="461">
        <f t="shared" ref="AR707" si="1155">+AL707/AP706</f>
        <v>7.102992313021938E-3</v>
      </c>
      <c r="AS707" s="25"/>
      <c r="AT707" s="25"/>
      <c r="AU707" s="24"/>
      <c r="AV707" s="298">
        <f t="shared" ref="AV707" si="1156">+AP707/H707</f>
        <v>0.72042674128114192</v>
      </c>
      <c r="AW707" s="298"/>
      <c r="AX707" s="24">
        <f t="shared" ref="AX707" si="1157">+AP707/BW707</f>
        <v>72442.760744985673</v>
      </c>
      <c r="AY707" s="308"/>
      <c r="BA707" s="65">
        <f t="shared" ref="BA707" si="1158">+BC707-BC706</f>
        <v>3722812</v>
      </c>
      <c r="BB707" s="66"/>
      <c r="BC707" s="66">
        <v>932888181</v>
      </c>
      <c r="BD707" s="66"/>
      <c r="BE707" s="66">
        <f t="shared" ref="BE707" si="1159">+D707</f>
        <v>97867</v>
      </c>
      <c r="BF707" s="66"/>
      <c r="BG707" s="144">
        <f t="shared" ref="BG707" si="1160">+BE707/BA707</f>
        <v>2.628846151779891E-2</v>
      </c>
      <c r="BH707" s="66"/>
      <c r="BI707" s="170"/>
      <c r="BJ707" s="66"/>
      <c r="BK707" s="66"/>
      <c r="BL707" s="66"/>
      <c r="BM707" s="144"/>
      <c r="BN707" s="65">
        <f t="shared" ref="BN707" si="1161">+BC707/BW707</f>
        <v>1336516.0186246419</v>
      </c>
      <c r="BO707" s="66"/>
      <c r="BP707" s="66">
        <f t="shared" ref="BP707" si="1162">+BP706+BE707</f>
        <v>69280654</v>
      </c>
      <c r="BQ707" s="66"/>
      <c r="BR707" s="435">
        <f t="shared" ref="BR707" si="1163">+BP707/BC707</f>
        <v>7.4264692608427413E-2</v>
      </c>
      <c r="BS707" s="66"/>
      <c r="BT707" s="75"/>
      <c r="BU707" s="170"/>
      <c r="BV707" s="1"/>
      <c r="BW707" s="61">
        <f t="shared" si="399"/>
        <v>698</v>
      </c>
      <c r="BZ707" s="1"/>
      <c r="CA707" s="61"/>
    </row>
    <row r="708" spans="2:79" x14ac:dyDescent="0.3">
      <c r="B708" s="158">
        <f t="shared" si="1063"/>
        <v>44608</v>
      </c>
      <c r="C708" s="61"/>
      <c r="D708" s="17">
        <v>114668</v>
      </c>
      <c r="E708" s="16"/>
      <c r="F708" s="16"/>
      <c r="G708" s="16"/>
      <c r="H708" s="16">
        <f t="shared" ref="H708" si="1164">+H707+D708</f>
        <v>70302300</v>
      </c>
      <c r="I708" s="16"/>
      <c r="J708" s="436">
        <f t="shared" ref="J708" si="1165">+D708/H707</f>
        <v>1.6337351287189744E-3</v>
      </c>
      <c r="K708" s="16"/>
      <c r="L708" s="16"/>
      <c r="M708" s="16"/>
      <c r="N708" s="16">
        <f t="shared" ref="N708" si="1166">SUM(D702:D708)</f>
        <v>713163</v>
      </c>
      <c r="O708" s="16">
        <f t="shared" ref="O708" si="1167">+H708/BW708</f>
        <v>100575.5364806867</v>
      </c>
      <c r="P708" s="41"/>
      <c r="Q708" s="17">
        <f t="shared" ref="Q708" si="1168">SUM(D702:D708)</f>
        <v>713163</v>
      </c>
      <c r="R708" s="16"/>
      <c r="S708" s="60">
        <f t="shared" ref="S708" si="1169">+(Q708-Q701)/Q701</f>
        <v>-0.44084417152516647</v>
      </c>
      <c r="T708" s="16"/>
      <c r="U708" s="41"/>
      <c r="V708" s="10">
        <f t="shared" si="558"/>
        <v>600</v>
      </c>
      <c r="W708" s="34">
        <v>2802</v>
      </c>
      <c r="X708" s="33">
        <v>4256</v>
      </c>
      <c r="Y708" s="33"/>
      <c r="Z708" s="33">
        <f t="shared" ref="Z708" si="1170">SUM(W703:W708)</f>
        <v>9231</v>
      </c>
      <c r="AA708" s="33">
        <f t="shared" ref="AA708" si="1171">+AA707+W708</f>
        <v>847355</v>
      </c>
      <c r="AB708" s="33"/>
      <c r="AC708" s="46">
        <f t="shared" ref="AC708" si="1172">+AA708/H708</f>
        <v>1.2053019602488111E-2</v>
      </c>
      <c r="AD708" s="33"/>
      <c r="AE708" s="33">
        <f t="shared" ref="AE708" si="1173">+AA708/BW708</f>
        <v>1212.238912732475</v>
      </c>
      <c r="AF708" s="50"/>
      <c r="AG708" s="33"/>
      <c r="AH708" s="33"/>
      <c r="AI708" s="213"/>
      <c r="AJ708" s="50"/>
      <c r="AL708" s="23">
        <f t="shared" ref="AL708" si="1174">+AP708-AP707</f>
        <v>255973</v>
      </c>
      <c r="AM708" s="24"/>
      <c r="AN708" s="24"/>
      <c r="AO708" s="24">
        <v>178263</v>
      </c>
      <c r="AP708" s="24">
        <v>50821020</v>
      </c>
      <c r="AQ708" s="24">
        <v>20336656</v>
      </c>
      <c r="AR708" s="461">
        <f t="shared" ref="AR708" si="1175">+AL708/AP707</f>
        <v>5.0622517961864053E-3</v>
      </c>
      <c r="AS708" s="25"/>
      <c r="AT708" s="25"/>
      <c r="AU708" s="24"/>
      <c r="AV708" s="298">
        <f t="shared" ref="AV708" si="1176">+AP708/H708</f>
        <v>0.72289270763545432</v>
      </c>
      <c r="AW708" s="298"/>
      <c r="AX708" s="24">
        <f t="shared" ref="AX708" si="1177">+AP708/BW708</f>
        <v>72705.321888412014</v>
      </c>
      <c r="AY708" s="308"/>
      <c r="BA708" s="65">
        <f t="shared" ref="BA708" si="1178">+BC708-BC707</f>
        <v>1409493</v>
      </c>
      <c r="BB708" s="66"/>
      <c r="BC708" s="66">
        <v>934297674</v>
      </c>
      <c r="BD708" s="66"/>
      <c r="BE708" s="66">
        <f t="shared" ref="BE708" si="1179">+D708</f>
        <v>114668</v>
      </c>
      <c r="BF708" s="66"/>
      <c r="BG708" s="144">
        <f t="shared" ref="BG708" si="1180">+BE708/BA708</f>
        <v>8.1354075543475568E-2</v>
      </c>
      <c r="BH708" s="66"/>
      <c r="BI708" s="170"/>
      <c r="BJ708" s="66"/>
      <c r="BK708" s="66"/>
      <c r="BL708" s="66"/>
      <c r="BM708" s="144"/>
      <c r="BN708" s="65">
        <f t="shared" ref="BN708" si="1181">+BC708/BW708</f>
        <v>1336620.4206008583</v>
      </c>
      <c r="BO708" s="66"/>
      <c r="BP708" s="66">
        <f t="shared" ref="BP708" si="1182">+BP707+BE708</f>
        <v>69395322</v>
      </c>
      <c r="BQ708" s="66"/>
      <c r="BR708" s="435">
        <f t="shared" ref="BR708" si="1183">+BP708/BC708</f>
        <v>7.4275387739004481E-2</v>
      </c>
      <c r="BS708" s="66"/>
      <c r="BT708" s="75"/>
      <c r="BU708" s="170"/>
      <c r="BV708" s="1"/>
      <c r="BW708" s="61">
        <f t="shared" si="399"/>
        <v>699</v>
      </c>
      <c r="BZ708" s="1"/>
      <c r="CA708" s="61"/>
    </row>
    <row r="709" spans="2:79" x14ac:dyDescent="0.3">
      <c r="B709" s="158">
        <f t="shared" si="1063"/>
        <v>44609</v>
      </c>
      <c r="C709" s="61"/>
      <c r="D709" s="17">
        <v>103377</v>
      </c>
      <c r="E709" s="16"/>
      <c r="F709" s="16"/>
      <c r="G709" s="16"/>
      <c r="H709" s="16">
        <f t="shared" ref="H709" si="1184">+H708+D709</f>
        <v>70405677</v>
      </c>
      <c r="I709" s="16"/>
      <c r="J709" s="436">
        <f t="shared" ref="J709" si="1185">+D709/H708</f>
        <v>1.4704639819749852E-3</v>
      </c>
      <c r="K709" s="16"/>
      <c r="L709" s="16"/>
      <c r="M709" s="16"/>
      <c r="N709" s="16">
        <f t="shared" ref="N709" si="1186">SUM(D703:D709)</f>
        <v>637303</v>
      </c>
      <c r="O709" s="16">
        <f t="shared" ref="O709" si="1187">+H709/BW709</f>
        <v>100579.53857142857</v>
      </c>
      <c r="P709" s="41"/>
      <c r="Q709" s="17">
        <f t="shared" ref="Q709" si="1188">SUM(D703:D709)</f>
        <v>637303</v>
      </c>
      <c r="R709" s="16"/>
      <c r="S709" s="60">
        <f t="shared" ref="S709" si="1189">+(Q709-Q702)/Q702</f>
        <v>-0.46832533697736911</v>
      </c>
      <c r="T709" s="16"/>
      <c r="U709" s="41"/>
      <c r="V709" s="10">
        <f t="shared" si="558"/>
        <v>601</v>
      </c>
      <c r="W709" s="34">
        <v>2184</v>
      </c>
      <c r="X709" s="33">
        <v>4256</v>
      </c>
      <c r="Y709" s="33"/>
      <c r="Z709" s="33">
        <f t="shared" ref="Z709" si="1190">SUM(W704:W709)</f>
        <v>9498</v>
      </c>
      <c r="AA709" s="33">
        <f t="shared" ref="AA709" si="1191">+AA708+W709</f>
        <v>849539</v>
      </c>
      <c r="AB709" s="33"/>
      <c r="AC709" s="46">
        <f t="shared" ref="AC709" si="1192">+AA709/H709</f>
        <v>1.2066342320662579E-2</v>
      </c>
      <c r="AD709" s="33"/>
      <c r="AE709" s="33">
        <f t="shared" ref="AE709" si="1193">+AA709/BW709</f>
        <v>1213.6271428571429</v>
      </c>
      <c r="AF709" s="50"/>
      <c r="AG709" s="33"/>
      <c r="AH709" s="33"/>
      <c r="AI709" s="213"/>
      <c r="AJ709" s="50"/>
      <c r="AL709" s="23">
        <f t="shared" ref="AL709" si="1194">+AP709-AP708</f>
        <v>198295</v>
      </c>
      <c r="AM709" s="24"/>
      <c r="AN709" s="24"/>
      <c r="AO709" s="24">
        <v>178263</v>
      </c>
      <c r="AP709" s="24">
        <v>51019315</v>
      </c>
      <c r="AQ709" s="24">
        <v>20336656</v>
      </c>
      <c r="AR709" s="461">
        <f t="shared" ref="AR709" si="1195">+AL709/AP708</f>
        <v>3.901830384356709E-3</v>
      </c>
      <c r="AS709" s="25"/>
      <c r="AT709" s="25"/>
      <c r="AU709" s="24"/>
      <c r="AV709" s="298">
        <f t="shared" ref="AV709" si="1196">+AP709/H709</f>
        <v>0.72464774395962417</v>
      </c>
      <c r="AW709" s="298"/>
      <c r="AX709" s="24">
        <f t="shared" ref="AX709" si="1197">+AP709/BW709</f>
        <v>72884.735714285707</v>
      </c>
      <c r="AY709" s="308"/>
      <c r="BA709" s="65">
        <f t="shared" ref="BA709" si="1198">+BC709-BC708</f>
        <v>1582227</v>
      </c>
      <c r="BB709" s="66"/>
      <c r="BC709" s="66">
        <v>935879901</v>
      </c>
      <c r="BD709" s="66"/>
      <c r="BE709" s="66">
        <f t="shared" ref="BE709" si="1199">+D709</f>
        <v>103377</v>
      </c>
      <c r="BF709" s="66"/>
      <c r="BG709" s="144">
        <f t="shared" ref="BG709" si="1200">+BE709/BA709</f>
        <v>6.5336389784778043E-2</v>
      </c>
      <c r="BH709" s="66"/>
      <c r="BI709" s="170"/>
      <c r="BJ709" s="66"/>
      <c r="BK709" s="66"/>
      <c r="BL709" s="66"/>
      <c r="BM709" s="144"/>
      <c r="BN709" s="65">
        <f t="shared" ref="BN709" si="1201">+BC709/BW709</f>
        <v>1336971.2871428572</v>
      </c>
      <c r="BO709" s="66"/>
      <c r="BP709" s="66">
        <f t="shared" ref="BP709" si="1202">+BP708+BE709</f>
        <v>69498699</v>
      </c>
      <c r="BQ709" s="66"/>
      <c r="BR709" s="435">
        <f t="shared" ref="BR709" si="1203">+BP709/BC709</f>
        <v>7.4260275197426215E-2</v>
      </c>
      <c r="BS709" s="66"/>
      <c r="BT709" s="75"/>
      <c r="BU709" s="170"/>
      <c r="BV709" s="1"/>
      <c r="BW709" s="61">
        <f t="shared" si="399"/>
        <v>700</v>
      </c>
      <c r="BZ709" s="1"/>
      <c r="CA709" s="61"/>
    </row>
    <row r="710" spans="2:79" x14ac:dyDescent="0.3">
      <c r="B710" s="158">
        <f t="shared" si="1063"/>
        <v>44610</v>
      </c>
      <c r="C710" s="61"/>
      <c r="D710" s="17">
        <v>108480</v>
      </c>
      <c r="E710" s="16"/>
      <c r="F710" s="16"/>
      <c r="G710" s="16"/>
      <c r="H710" s="16">
        <f t="shared" ref="H710" si="1204">+H709+D710</f>
        <v>70514157</v>
      </c>
      <c r="I710" s="16"/>
      <c r="J710" s="436">
        <f t="shared" ref="J710" si="1205">+D710/H709</f>
        <v>1.540784843244956E-3</v>
      </c>
      <c r="K710" s="16"/>
      <c r="L710" s="16"/>
      <c r="M710" s="16"/>
      <c r="N710" s="16">
        <f t="shared" ref="N710" si="1206">SUM(D704:D710)</f>
        <v>596465</v>
      </c>
      <c r="O710" s="16">
        <f t="shared" ref="O710" si="1207">+H710/BW710</f>
        <v>100590.80884450785</v>
      </c>
      <c r="P710" s="41"/>
      <c r="Q710" s="17">
        <f t="shared" ref="Q710" si="1208">SUM(D704:D710)</f>
        <v>596465</v>
      </c>
      <c r="R710" s="16"/>
      <c r="S710" s="60">
        <f t="shared" ref="S710" si="1209">+(Q710-Q703)/Q703</f>
        <v>-0.42906493247925753</v>
      </c>
      <c r="T710" s="16"/>
      <c r="U710" s="41"/>
      <c r="V710" s="10">
        <f t="shared" si="558"/>
        <v>602</v>
      </c>
      <c r="W710" s="34">
        <v>2070</v>
      </c>
      <c r="X710" s="33">
        <v>4256</v>
      </c>
      <c r="Y710" s="33"/>
      <c r="Z710" s="33">
        <f t="shared" ref="Z710" si="1210">SUM(W705:W710)</f>
        <v>10695</v>
      </c>
      <c r="AA710" s="33">
        <f t="shared" ref="AA710" si="1211">+AA709+W710</f>
        <v>851609</v>
      </c>
      <c r="AB710" s="33"/>
      <c r="AC710" s="46">
        <f t="shared" ref="AC710" si="1212">+AA710/H710</f>
        <v>1.2077135092177305E-2</v>
      </c>
      <c r="AD710" s="33"/>
      <c r="AE710" s="33">
        <f t="shared" ref="AE710" si="1213">+AA710/BW710</f>
        <v>1214.848787446505</v>
      </c>
      <c r="AF710" s="50"/>
      <c r="AG710" s="33"/>
      <c r="AH710" s="33"/>
      <c r="AI710" s="213"/>
      <c r="AJ710" s="50"/>
      <c r="AL710" s="23">
        <f t="shared" ref="AL710" si="1214">+AP710-AP709</f>
        <v>397428</v>
      </c>
      <c r="AM710" s="24"/>
      <c r="AN710" s="24"/>
      <c r="AO710" s="24">
        <v>178263</v>
      </c>
      <c r="AP710" s="24">
        <v>51416743</v>
      </c>
      <c r="AQ710" s="24">
        <v>20336656</v>
      </c>
      <c r="AR710" s="461">
        <f t="shared" ref="AR710" si="1215">+AL710/AP709</f>
        <v>7.789755703305699E-3</v>
      </c>
      <c r="AS710" s="25"/>
      <c r="AT710" s="25"/>
      <c r="AU710" s="24"/>
      <c r="AV710" s="298">
        <f t="shared" ref="AV710" si="1216">+AP710/H710</f>
        <v>0.72916908018910298</v>
      </c>
      <c r="AW710" s="298"/>
      <c r="AX710" s="24">
        <f t="shared" ref="AX710" si="1217">+AP710/BW710</f>
        <v>73347.707560627678</v>
      </c>
      <c r="AY710" s="308"/>
      <c r="BA710" s="65">
        <f t="shared" ref="BA710" si="1218">+BC710-BC709</f>
        <v>1963474</v>
      </c>
      <c r="BB710" s="66"/>
      <c r="BC710" s="66">
        <v>937843375</v>
      </c>
      <c r="BD710" s="66"/>
      <c r="BE710" s="66">
        <f t="shared" ref="BE710" si="1219">+D710</f>
        <v>108480</v>
      </c>
      <c r="BF710" s="66"/>
      <c r="BG710" s="144">
        <f t="shared" ref="BG710" si="1220">+BE710/BA710</f>
        <v>5.5249012719292438E-2</v>
      </c>
      <c r="BH710" s="66"/>
      <c r="BI710" s="170"/>
      <c r="BJ710" s="66"/>
      <c r="BK710" s="66"/>
      <c r="BL710" s="66"/>
      <c r="BM710" s="144"/>
      <c r="BN710" s="65">
        <f t="shared" ref="BN710" si="1221">+BC710/BW710</f>
        <v>1337865.0142653352</v>
      </c>
      <c r="BO710" s="66"/>
      <c r="BP710" s="66">
        <f t="shared" ref="BP710" si="1222">+BP709+BE710</f>
        <v>69607179</v>
      </c>
      <c r="BQ710" s="66"/>
      <c r="BR710" s="435">
        <f t="shared" ref="BR710" si="1223">+BP710/BC710</f>
        <v>7.4220473114713845E-2</v>
      </c>
      <c r="BS710" s="66"/>
      <c r="BT710" s="75"/>
      <c r="BU710" s="170"/>
      <c r="BV710" s="1"/>
      <c r="BW710" s="61">
        <f t="shared" si="399"/>
        <v>701</v>
      </c>
      <c r="BZ710" s="1"/>
      <c r="CA710" s="61"/>
    </row>
    <row r="711" spans="2:79" x14ac:dyDescent="0.3">
      <c r="B711" s="158">
        <f t="shared" si="1063"/>
        <v>44611</v>
      </c>
      <c r="C711" s="61"/>
      <c r="D711" s="17">
        <v>41443</v>
      </c>
      <c r="E711" s="16"/>
      <c r="F711" s="16"/>
      <c r="G711" s="16"/>
      <c r="H711" s="16">
        <f t="shared" ref="H711" si="1224">+H710+D711</f>
        <v>70555600</v>
      </c>
      <c r="I711" s="16"/>
      <c r="J711" s="436">
        <f t="shared" ref="J711" si="1225">+D711/H710</f>
        <v>5.8772595125827006E-4</v>
      </c>
      <c r="K711" s="16"/>
      <c r="L711" s="16"/>
      <c r="M711" s="16"/>
      <c r="N711" s="16">
        <f t="shared" ref="N711" si="1226">SUM(D705:D711)</f>
        <v>578329</v>
      </c>
      <c r="O711" s="16">
        <f t="shared" ref="O711" si="1227">+H711/BW711</f>
        <v>100506.55270655271</v>
      </c>
      <c r="P711" s="41"/>
      <c r="Q711" s="17">
        <f t="shared" ref="Q711" si="1228">SUM(D705:D711)</f>
        <v>578329</v>
      </c>
      <c r="R711" s="16"/>
      <c r="S711" s="60">
        <f t="shared" ref="S711" si="1229">+(Q711-Q704)/Q704</f>
        <v>-0.42125024893097279</v>
      </c>
      <c r="T711" s="16"/>
      <c r="U711" s="41"/>
      <c r="V711" s="10">
        <f t="shared" si="558"/>
        <v>603</v>
      </c>
      <c r="W711" s="34">
        <v>715</v>
      </c>
      <c r="X711" s="33">
        <v>4256</v>
      </c>
      <c r="Y711" s="33"/>
      <c r="Z711" s="33">
        <f t="shared" ref="Z711" si="1230">SUM(W706:W711)</f>
        <v>10943</v>
      </c>
      <c r="AA711" s="33">
        <f t="shared" ref="AA711" si="1231">+AA710+W711</f>
        <v>852324</v>
      </c>
      <c r="AB711" s="33"/>
      <c r="AC711" s="46">
        <f t="shared" ref="AC711" si="1232">+AA711/H711</f>
        <v>1.2080175067606256E-2</v>
      </c>
      <c r="AD711" s="33"/>
      <c r="AE711" s="33">
        <f t="shared" ref="AE711" si="1233">+AA711/BW711</f>
        <v>1214.1367521367522</v>
      </c>
      <c r="AF711" s="50"/>
      <c r="AG711" s="33"/>
      <c r="AH711" s="33"/>
      <c r="AI711" s="213"/>
      <c r="AJ711" s="50"/>
      <c r="AL711" s="23">
        <f t="shared" ref="AL711" si="1234">+AP711-AP710</f>
        <v>128108</v>
      </c>
      <c r="AM711" s="24"/>
      <c r="AN711" s="24"/>
      <c r="AO711" s="24">
        <v>178263</v>
      </c>
      <c r="AP711" s="24">
        <v>51544851</v>
      </c>
      <c r="AQ711" s="24">
        <v>20336656</v>
      </c>
      <c r="AR711" s="461">
        <f t="shared" ref="AR711" si="1235">+AL711/AP710</f>
        <v>2.4915619412143627E-3</v>
      </c>
      <c r="AS711" s="25"/>
      <c r="AT711" s="25"/>
      <c r="AU711" s="24"/>
      <c r="AV711" s="298">
        <f t="shared" ref="AV711" si="1236">+AP711/H711</f>
        <v>0.73055648311402643</v>
      </c>
      <c r="AW711" s="298"/>
      <c r="AX711" s="24">
        <f t="shared" ref="AX711" si="1237">+AP711/BW711</f>
        <v>73425.713675213672</v>
      </c>
      <c r="AY711" s="308"/>
      <c r="BA711" s="65">
        <f t="shared" ref="BA711" si="1238">+BC711-BC710</f>
        <v>596804</v>
      </c>
      <c r="BB711" s="66"/>
      <c r="BC711" s="66">
        <v>938440179</v>
      </c>
      <c r="BD711" s="66"/>
      <c r="BE711" s="66">
        <f t="shared" ref="BE711" si="1239">+D711</f>
        <v>41443</v>
      </c>
      <c r="BF711" s="66"/>
      <c r="BG711" s="144">
        <f t="shared" ref="BG711" si="1240">+BE711/BA711</f>
        <v>6.9441558702689657E-2</v>
      </c>
      <c r="BH711" s="66"/>
      <c r="BI711" s="170"/>
      <c r="BJ711" s="66"/>
      <c r="BK711" s="66"/>
      <c r="BL711" s="66"/>
      <c r="BM711" s="144"/>
      <c r="BN711" s="65">
        <f t="shared" ref="BN711" si="1241">+BC711/BW711</f>
        <v>1336809.3717948718</v>
      </c>
      <c r="BO711" s="66"/>
      <c r="BP711" s="66">
        <f t="shared" ref="BP711" si="1242">+BP710+BE711</f>
        <v>69648622</v>
      </c>
      <c r="BQ711" s="66"/>
      <c r="BR711" s="435">
        <f t="shared" ref="BR711" si="1243">+BP711/BC711</f>
        <v>7.4217433948978437E-2</v>
      </c>
      <c r="BS711" s="66"/>
      <c r="BT711" s="75"/>
      <c r="BU711" s="170"/>
      <c r="BV711" s="1"/>
      <c r="BW711" s="61">
        <f t="shared" si="399"/>
        <v>702</v>
      </c>
      <c r="BZ711" s="1"/>
      <c r="CA711" s="61"/>
    </row>
    <row r="712" spans="2:79" x14ac:dyDescent="0.3">
      <c r="B712" s="347">
        <f t="shared" si="1063"/>
        <v>44612</v>
      </c>
      <c r="C712" s="61"/>
      <c r="D712" s="17">
        <v>15056</v>
      </c>
      <c r="E712" s="16"/>
      <c r="F712" s="16"/>
      <c r="G712" s="16"/>
      <c r="H712" s="16">
        <f t="shared" ref="H712" si="1244">+H711+D712</f>
        <v>70570656</v>
      </c>
      <c r="I712" s="16"/>
      <c r="J712" s="436">
        <f t="shared" ref="J712" si="1245">+D712/H711</f>
        <v>2.1339199156409979E-4</v>
      </c>
      <c r="K712" s="16"/>
      <c r="L712" s="16"/>
      <c r="M712" s="16"/>
      <c r="N712" s="16">
        <f t="shared" ref="N712" si="1246">SUM(D706:D712)</f>
        <v>561733</v>
      </c>
      <c r="O712" s="16">
        <f t="shared" ref="O712" si="1247">+H712/BW712</f>
        <v>100385.00142247511</v>
      </c>
      <c r="P712" s="41"/>
      <c r="Q712" s="17">
        <f t="shared" ref="Q712" si="1248">SUM(D706:D712)</f>
        <v>561733</v>
      </c>
      <c r="R712" s="16"/>
      <c r="S712" s="60">
        <f t="shared" ref="S712" si="1249">+(Q712-Q705)/Q705</f>
        <v>-0.42692820139275711</v>
      </c>
      <c r="T712" s="16"/>
      <c r="U712" s="41"/>
      <c r="V712" s="10">
        <f t="shared" si="558"/>
        <v>604</v>
      </c>
      <c r="W712" s="34">
        <v>282</v>
      </c>
      <c r="X712" s="33">
        <v>4256</v>
      </c>
      <c r="Y712" s="33"/>
      <c r="Z712" s="33">
        <f t="shared" ref="Z712" si="1250">SUM(W707:W712)</f>
        <v>10276</v>
      </c>
      <c r="AA712" s="33">
        <f t="shared" ref="AA712" si="1251">+AA711+W712</f>
        <v>852606</v>
      </c>
      <c r="AB712" s="33"/>
      <c r="AC712" s="46">
        <f t="shared" ref="AC712" si="1252">+AA712/H712</f>
        <v>1.2081593800119982E-2</v>
      </c>
      <c r="AD712" s="33"/>
      <c r="AE712" s="33">
        <f t="shared" ref="AE712" si="1253">+AA712/BW712</f>
        <v>1212.8108108108108</v>
      </c>
      <c r="AF712" s="50"/>
      <c r="AG712" s="33"/>
      <c r="AH712" s="33"/>
      <c r="AI712" s="213"/>
      <c r="AJ712" s="50"/>
      <c r="AL712" s="23">
        <f t="shared" ref="AL712" si="1254">+AP712-AP711</f>
        <v>129104</v>
      </c>
      <c r="AM712" s="24"/>
      <c r="AN712" s="24"/>
      <c r="AO712" s="24">
        <v>178263</v>
      </c>
      <c r="AP712" s="24">
        <v>51673955</v>
      </c>
      <c r="AQ712" s="24">
        <v>20336656</v>
      </c>
      <c r="AR712" s="461">
        <f t="shared" ref="AR712" si="1255">+AL712/AP711</f>
        <v>2.5046924667606468E-3</v>
      </c>
      <c r="AS712" s="25"/>
      <c r="AT712" s="25"/>
      <c r="AU712" s="24"/>
      <c r="AV712" s="298">
        <f t="shared" ref="AV712" si="1256">+AP712/H712</f>
        <v>0.73223005040508626</v>
      </c>
      <c r="AW712" s="298"/>
      <c r="AX712" s="24">
        <f t="shared" ref="AX712" si="1257">+AP712/BW712</f>
        <v>73504.9146514936</v>
      </c>
      <c r="AY712" s="308"/>
      <c r="BA712" s="65">
        <f t="shared" ref="BA712" si="1258">+BC712-BC711</f>
        <v>271012</v>
      </c>
      <c r="BB712" s="66"/>
      <c r="BC712" s="66">
        <v>938711191</v>
      </c>
      <c r="BD712" s="66"/>
      <c r="BE712" s="66">
        <f t="shared" ref="BE712" si="1259">+D712</f>
        <v>15056</v>
      </c>
      <c r="BF712" s="66"/>
      <c r="BG712" s="144">
        <f t="shared" ref="BG712" si="1260">+BE712/BA712</f>
        <v>5.5554735583664194E-2</v>
      </c>
      <c r="BH712" s="66"/>
      <c r="BI712" s="170"/>
      <c r="BJ712" s="66"/>
      <c r="BK712" s="66"/>
      <c r="BL712" s="66"/>
      <c r="BM712" s="144"/>
      <c r="BN712" s="65">
        <f t="shared" ref="BN712" si="1261">+BC712/BW712</f>
        <v>1335293.3015647226</v>
      </c>
      <c r="BO712" s="66"/>
      <c r="BP712" s="66">
        <f t="shared" ref="BP712" si="1262">+BP711+BE712</f>
        <v>69663678</v>
      </c>
      <c r="BQ712" s="66"/>
      <c r="BR712" s="435">
        <f t="shared" ref="BR712" si="1263">+BP712/BC712</f>
        <v>7.4212045907099455E-2</v>
      </c>
      <c r="BS712" s="66"/>
      <c r="BT712" s="75"/>
      <c r="BU712" s="170"/>
      <c r="BV712" s="1"/>
      <c r="BW712" s="61">
        <f t="shared" si="399"/>
        <v>703</v>
      </c>
      <c r="BZ712" s="1"/>
      <c r="CA712" s="61"/>
    </row>
    <row r="713" spans="2:79" x14ac:dyDescent="0.3">
      <c r="B713" s="158">
        <f t="shared" si="1063"/>
        <v>44613</v>
      </c>
      <c r="C713" s="61"/>
      <c r="D713" s="17">
        <v>27798</v>
      </c>
      <c r="E713" s="16"/>
      <c r="F713" s="16"/>
      <c r="G713" s="16"/>
      <c r="H713" s="16">
        <f t="shared" ref="H713" si="1264">+H712+D713</f>
        <v>70598454</v>
      </c>
      <c r="I713" s="16"/>
      <c r="J713" s="436">
        <f t="shared" ref="J713" si="1265">+D713/H712</f>
        <v>3.9390309762743313E-4</v>
      </c>
      <c r="K713" s="16"/>
      <c r="L713" s="16"/>
      <c r="M713" s="16"/>
      <c r="N713" s="16">
        <f t="shared" ref="N713" si="1266">SUM(D707:D713)</f>
        <v>508689</v>
      </c>
      <c r="O713" s="16">
        <f t="shared" ref="O713" si="1267">+H713/BW713</f>
        <v>100281.89488636363</v>
      </c>
      <c r="P713" s="41"/>
      <c r="Q713" s="17">
        <f t="shared" ref="Q713" si="1268">SUM(D707:D713)</f>
        <v>508689</v>
      </c>
      <c r="R713" s="16"/>
      <c r="S713" s="60">
        <f t="shared" ref="S713" si="1269">+(Q713-Q706)/Q706</f>
        <v>-0.43930978611305532</v>
      </c>
      <c r="T713" s="16"/>
      <c r="U713" s="41"/>
      <c r="V713" s="10">
        <f t="shared" si="558"/>
        <v>605</v>
      </c>
      <c r="W713" s="34">
        <v>294</v>
      </c>
      <c r="X713" s="33">
        <v>4256</v>
      </c>
      <c r="Y713" s="33"/>
      <c r="Z713" s="33">
        <f t="shared" ref="Z713" si="1270">SUM(W708:W713)</f>
        <v>8347</v>
      </c>
      <c r="AA713" s="33">
        <f t="shared" ref="AA713" si="1271">+AA712+W713</f>
        <v>852900</v>
      </c>
      <c r="AB713" s="33"/>
      <c r="AC713" s="46">
        <f t="shared" ref="AC713" si="1272">+AA713/H713</f>
        <v>1.2081001093876645E-2</v>
      </c>
      <c r="AD713" s="33"/>
      <c r="AE713" s="33">
        <f t="shared" ref="AE713" si="1273">+AA713/BW713</f>
        <v>1211.5056818181818</v>
      </c>
      <c r="AF713" s="50"/>
      <c r="AG713" s="33"/>
      <c r="AH713" s="33"/>
      <c r="AI713" s="213"/>
      <c r="AJ713" s="50"/>
      <c r="AL713" s="23">
        <f t="shared" ref="AL713" si="1274">+AP713-AP712</f>
        <v>255289</v>
      </c>
      <c r="AM713" s="24"/>
      <c r="AN713" s="24"/>
      <c r="AO713" s="24">
        <v>178263</v>
      </c>
      <c r="AP713" s="24">
        <v>51929244</v>
      </c>
      <c r="AQ713" s="24">
        <v>20336656</v>
      </c>
      <c r="AR713" s="461">
        <f t="shared" ref="AR713" si="1275">+AL713/AP712</f>
        <v>4.9403805069691302E-3</v>
      </c>
      <c r="AS713" s="25"/>
      <c r="AT713" s="25"/>
      <c r="AU713" s="24"/>
      <c r="AV713" s="298">
        <f t="shared" ref="AV713" si="1276">+AP713/H713</f>
        <v>0.73555780697407336</v>
      </c>
      <c r="AW713" s="298"/>
      <c r="AX713" s="24">
        <f t="shared" ref="AX713" si="1277">+AP713/BW713</f>
        <v>73763.130681818177</v>
      </c>
      <c r="AY713" s="308"/>
      <c r="BA713" s="65">
        <f t="shared" ref="BA713" si="1278">+BC713-BC712</f>
        <v>801897</v>
      </c>
      <c r="BB713" s="66"/>
      <c r="BC713" s="66">
        <v>939513088</v>
      </c>
      <c r="BD713" s="66"/>
      <c r="BE713" s="66">
        <f t="shared" ref="BE713" si="1279">+D713</f>
        <v>27798</v>
      </c>
      <c r="BF713" s="66"/>
      <c r="BG713" s="144">
        <f t="shared" ref="BG713" si="1280">+BE713/BA713</f>
        <v>3.4665299907594115E-2</v>
      </c>
      <c r="BH713" s="66"/>
      <c r="BI713" s="170"/>
      <c r="BJ713" s="66"/>
      <c r="BK713" s="66"/>
      <c r="BL713" s="66"/>
      <c r="BM713" s="144"/>
      <c r="BN713" s="65">
        <f t="shared" ref="BN713" si="1281">+BC713/BW713</f>
        <v>1334535.6363636365</v>
      </c>
      <c r="BO713" s="66"/>
      <c r="BP713" s="66">
        <f t="shared" ref="BP713" si="1282">+BP712+BE713</f>
        <v>69691476</v>
      </c>
      <c r="BQ713" s="66"/>
      <c r="BR713" s="435">
        <f t="shared" ref="BR713" si="1283">+BP713/BC713</f>
        <v>7.417829180895881E-2</v>
      </c>
      <c r="BS713" s="66"/>
      <c r="BT713" s="75"/>
      <c r="BU713" s="170"/>
      <c r="BV713" s="1"/>
      <c r="BW713" s="61">
        <f t="shared" si="399"/>
        <v>704</v>
      </c>
      <c r="BZ713" s="1"/>
      <c r="CA713" s="61"/>
    </row>
    <row r="714" spans="2:79" x14ac:dyDescent="0.3">
      <c r="B714" s="158">
        <f t="shared" si="1063"/>
        <v>44614</v>
      </c>
      <c r="C714" s="61"/>
      <c r="D714" s="17">
        <v>61863</v>
      </c>
      <c r="E714" s="16"/>
      <c r="F714" s="16"/>
      <c r="G714" s="16"/>
      <c r="H714" s="16">
        <f t="shared" ref="H714" si="1284">+H713+D714</f>
        <v>70660317</v>
      </c>
      <c r="I714" s="16"/>
      <c r="J714" s="436">
        <f t="shared" ref="J714" si="1285">+D714/H713</f>
        <v>8.762656474035536E-4</v>
      </c>
      <c r="K714" s="16"/>
      <c r="L714" s="16"/>
      <c r="M714" s="16"/>
      <c r="N714" s="16">
        <f t="shared" ref="N714" si="1286">SUM(D708:D714)</f>
        <v>472685</v>
      </c>
      <c r="O714" s="16">
        <f t="shared" ref="O714" si="1287">+H714/BW714</f>
        <v>100227.4</v>
      </c>
      <c r="P714" s="41"/>
      <c r="Q714" s="17">
        <f t="shared" ref="Q714" si="1288">SUM(D708:D714)</f>
        <v>472685</v>
      </c>
      <c r="R714" s="16"/>
      <c r="S714" s="60">
        <f t="shared" ref="S714" si="1289">+(Q714-Q707)/Q707</f>
        <v>-0.42770956700926083</v>
      </c>
      <c r="T714" s="16"/>
      <c r="U714" s="41"/>
      <c r="V714" s="10">
        <f t="shared" si="558"/>
        <v>606</v>
      </c>
      <c r="W714" s="34">
        <v>1558</v>
      </c>
      <c r="X714" s="33">
        <v>4256</v>
      </c>
      <c r="Y714" s="33"/>
      <c r="Z714" s="33">
        <f t="shared" ref="Z714" si="1290">SUM(W709:W714)</f>
        <v>7103</v>
      </c>
      <c r="AA714" s="33">
        <f t="shared" ref="AA714" si="1291">+AA713+W714</f>
        <v>854458</v>
      </c>
      <c r="AB714" s="33"/>
      <c r="AC714" s="46">
        <f t="shared" ref="AC714" si="1292">+AA714/H714</f>
        <v>1.2092473346815017E-2</v>
      </c>
      <c r="AD714" s="33"/>
      <c r="AE714" s="33">
        <f t="shared" ref="AE714" si="1293">+AA714/BW714</f>
        <v>1211.9971631205674</v>
      </c>
      <c r="AF714" s="50"/>
      <c r="AG714" s="33"/>
      <c r="AH714" s="33"/>
      <c r="AI714" s="213"/>
      <c r="AJ714" s="50"/>
      <c r="AL714" s="23">
        <f t="shared" ref="AL714" si="1294">+AP714-AP713</f>
        <v>270585</v>
      </c>
      <c r="AM714" s="24"/>
      <c r="AN714" s="24"/>
      <c r="AO714" s="24">
        <v>178263</v>
      </c>
      <c r="AP714" s="24">
        <v>52199829</v>
      </c>
      <c r="AQ714" s="24">
        <v>20336656</v>
      </c>
      <c r="AR714" s="461">
        <f t="shared" ref="AR714" si="1295">+AL714/AP713</f>
        <v>5.2106477806609314E-3</v>
      </c>
      <c r="AS714" s="25"/>
      <c r="AT714" s="25"/>
      <c r="AU714" s="24"/>
      <c r="AV714" s="298">
        <f t="shared" ref="AV714" si="1296">+AP714/H714</f>
        <v>0.7387432043363179</v>
      </c>
      <c r="AW714" s="298"/>
      <c r="AX714" s="24">
        <f t="shared" ref="AX714" si="1297">+AP714/BW714</f>
        <v>74042.310638297873</v>
      </c>
      <c r="AY714" s="308"/>
      <c r="BA714" s="65">
        <f t="shared" ref="BA714" si="1298">+BC714-BC713</f>
        <v>3304692</v>
      </c>
      <c r="BB714" s="66"/>
      <c r="BC714" s="66">
        <v>942817780</v>
      </c>
      <c r="BD714" s="66"/>
      <c r="BE714" s="66">
        <f t="shared" ref="BE714" si="1299">+D714</f>
        <v>61863</v>
      </c>
      <c r="BF714" s="66"/>
      <c r="BG714" s="144">
        <f t="shared" ref="BG714" si="1300">+BE714/BA714</f>
        <v>1.8719747558925311E-2</v>
      </c>
      <c r="BH714" s="66"/>
      <c r="BI714" s="170"/>
      <c r="BJ714" s="66"/>
      <c r="BK714" s="66"/>
      <c r="BL714" s="66"/>
      <c r="BM714" s="144"/>
      <c r="BN714" s="65">
        <f t="shared" ref="BN714" si="1301">+BC714/BW714</f>
        <v>1337330.1843971631</v>
      </c>
      <c r="BO714" s="66"/>
      <c r="BP714" s="66">
        <f t="shared" ref="BP714" si="1302">+BP713+BE714</f>
        <v>69753339</v>
      </c>
      <c r="BQ714" s="66"/>
      <c r="BR714" s="435">
        <f t="shared" ref="BR714" si="1303">+BP714/BC714</f>
        <v>7.3983902806754445E-2</v>
      </c>
      <c r="BS714" s="66"/>
      <c r="BT714" s="75"/>
      <c r="BU714" s="170"/>
      <c r="BV714" s="1"/>
      <c r="BW714" s="61">
        <f t="shared" si="399"/>
        <v>705</v>
      </c>
      <c r="BZ714" s="1"/>
      <c r="CA714" s="61"/>
    </row>
    <row r="715" spans="2:79" x14ac:dyDescent="0.3">
      <c r="B715" s="158">
        <f t="shared" si="1063"/>
        <v>44615</v>
      </c>
      <c r="C715" s="61"/>
      <c r="D715" s="17">
        <v>75300</v>
      </c>
      <c r="E715" s="16"/>
      <c r="F715" s="16"/>
      <c r="G715" s="16"/>
      <c r="H715" s="16">
        <f t="shared" ref="H715" si="1304">+H714+D715</f>
        <v>70735617</v>
      </c>
      <c r="I715" s="16"/>
      <c r="J715" s="436">
        <f t="shared" ref="J715" si="1305">+D715/H714</f>
        <v>1.0656617914691778E-3</v>
      </c>
      <c r="K715" s="16"/>
      <c r="L715" s="16"/>
      <c r="M715" s="16"/>
      <c r="N715" s="16">
        <f t="shared" ref="N715" si="1306">SUM(D709:D715)</f>
        <v>433317</v>
      </c>
      <c r="O715" s="16">
        <f t="shared" ref="O715" si="1307">+H715/BW715</f>
        <v>100192.09206798866</v>
      </c>
      <c r="P715" s="41"/>
      <c r="Q715" s="17">
        <f t="shared" ref="Q715" si="1308">SUM(D709:D715)</f>
        <v>433317</v>
      </c>
      <c r="R715" s="16"/>
      <c r="S715" s="60">
        <f t="shared" ref="S715" si="1309">+(Q715-Q708)/Q708</f>
        <v>-0.39240117616870196</v>
      </c>
      <c r="T715" s="16"/>
      <c r="U715" s="41"/>
      <c r="V715" s="10">
        <f t="shared" si="558"/>
        <v>607</v>
      </c>
      <c r="W715" s="34">
        <v>2440</v>
      </c>
      <c r="X715" s="33">
        <v>4256</v>
      </c>
      <c r="Y715" s="33"/>
      <c r="Z715" s="33">
        <f t="shared" ref="Z715" si="1310">SUM(W710:W715)</f>
        <v>7359</v>
      </c>
      <c r="AA715" s="33">
        <f t="shared" ref="AA715" si="1311">+AA714+W715</f>
        <v>856898</v>
      </c>
      <c r="AB715" s="33"/>
      <c r="AC715" s="46">
        <f t="shared" ref="AC715" si="1312">+AA715/H715</f>
        <v>1.2114095223061389E-2</v>
      </c>
      <c r="AD715" s="33"/>
      <c r="AE715" s="33">
        <f t="shared" ref="AE715" si="1313">+AA715/BW715</f>
        <v>1213.7365439093485</v>
      </c>
      <c r="AF715" s="50"/>
      <c r="AG715" s="33"/>
      <c r="AH715" s="33"/>
      <c r="AI715" s="213"/>
      <c r="AJ715" s="50"/>
      <c r="AL715" s="23">
        <f t="shared" ref="AL715" si="1314">+AP715-AP714</f>
        <v>253733</v>
      </c>
      <c r="AM715" s="24"/>
      <c r="AN715" s="24"/>
      <c r="AO715" s="24">
        <v>178263</v>
      </c>
      <c r="AP715" s="24">
        <v>52453562</v>
      </c>
      <c r="AQ715" s="24">
        <v>20336656</v>
      </c>
      <c r="AR715" s="461">
        <f t="shared" ref="AR715" si="1315">+AL715/AP714</f>
        <v>4.8608013639278398E-3</v>
      </c>
      <c r="AS715" s="25"/>
      <c r="AT715" s="25"/>
      <c r="AU715" s="24"/>
      <c r="AV715" s="298">
        <f t="shared" ref="AV715" si="1316">+AP715/H715</f>
        <v>0.74154385336032347</v>
      </c>
      <c r="AW715" s="298"/>
      <c r="AX715" s="24">
        <f t="shared" ref="AX715" si="1317">+AP715/BW715</f>
        <v>74296.830028328608</v>
      </c>
      <c r="AY715" s="308"/>
      <c r="BA715" s="65">
        <f t="shared" ref="BA715" si="1318">+BC715-BC714</f>
        <v>1308978</v>
      </c>
      <c r="BB715" s="66"/>
      <c r="BC715" s="66">
        <v>944126758</v>
      </c>
      <c r="BD715" s="66"/>
      <c r="BE715" s="66">
        <f t="shared" ref="BE715" si="1319">+D715</f>
        <v>75300</v>
      </c>
      <c r="BF715" s="66"/>
      <c r="BG715" s="144">
        <f t="shared" ref="BG715" si="1320">+BE715/BA715</f>
        <v>5.7525794933146315E-2</v>
      </c>
      <c r="BH715" s="66"/>
      <c r="BI715" s="170"/>
      <c r="BJ715" s="66"/>
      <c r="BK715" s="66"/>
      <c r="BL715" s="66"/>
      <c r="BM715" s="144"/>
      <c r="BN715" s="65">
        <f t="shared" ref="BN715" si="1321">+BC715/BW715</f>
        <v>1337290.0254957506</v>
      </c>
      <c r="BO715" s="66"/>
      <c r="BP715" s="66">
        <f t="shared" ref="BP715" si="1322">+BP714+BE715</f>
        <v>69828639</v>
      </c>
      <c r="BQ715" s="66"/>
      <c r="BR715" s="435">
        <f t="shared" ref="BR715" si="1323">+BP715/BC715</f>
        <v>7.3961084577162259E-2</v>
      </c>
      <c r="BS715" s="66"/>
      <c r="BT715" s="75"/>
      <c r="BU715" s="170"/>
      <c r="BV715" s="1"/>
      <c r="BW715" s="61">
        <f t="shared" si="399"/>
        <v>706</v>
      </c>
      <c r="BZ715" s="1"/>
      <c r="CA715" s="61"/>
    </row>
    <row r="716" spans="2:79" x14ac:dyDescent="0.3">
      <c r="B716" s="158">
        <f t="shared" si="1063"/>
        <v>44616</v>
      </c>
      <c r="C716" s="61"/>
      <c r="D716" s="17">
        <v>70885</v>
      </c>
      <c r="E716" s="16"/>
      <c r="F716" s="16"/>
      <c r="G716" s="16"/>
      <c r="H716" s="16">
        <f t="shared" ref="H716" si="1324">+H715+D716</f>
        <v>70806502</v>
      </c>
      <c r="I716" s="16"/>
      <c r="J716" s="436">
        <f t="shared" ref="J716" si="1325">+D716/H715</f>
        <v>1.0021118498195895E-3</v>
      </c>
      <c r="K716" s="16"/>
      <c r="L716" s="16"/>
      <c r="M716" s="16"/>
      <c r="N716" s="16">
        <f t="shared" ref="N716" si="1326">SUM(D710:D716)</f>
        <v>400825</v>
      </c>
      <c r="O716" s="16">
        <f t="shared" ref="O716" si="1327">+H716/BW716</f>
        <v>100150.63932107497</v>
      </c>
      <c r="P716" s="41"/>
      <c r="Q716" s="17">
        <f t="shared" ref="Q716" si="1328">SUM(D710:D716)</f>
        <v>400825</v>
      </c>
      <c r="R716" s="16"/>
      <c r="S716" s="60">
        <f t="shared" ref="S716" si="1329">+(Q716-Q709)/Q709</f>
        <v>-0.37106054733776556</v>
      </c>
      <c r="T716" s="16"/>
      <c r="U716" s="41"/>
      <c r="V716" s="10">
        <f t="shared" si="558"/>
        <v>608</v>
      </c>
      <c r="W716" s="34">
        <v>1823</v>
      </c>
      <c r="X716" s="33">
        <v>4256</v>
      </c>
      <c r="Y716" s="33"/>
      <c r="Z716" s="33">
        <f t="shared" ref="Z716" si="1330">SUM(W711:W716)</f>
        <v>7112</v>
      </c>
      <c r="AA716" s="33">
        <f t="shared" ref="AA716" si="1331">+AA715+W716</f>
        <v>858721</v>
      </c>
      <c r="AB716" s="33"/>
      <c r="AC716" s="46">
        <f t="shared" ref="AC716" si="1332">+AA716/H716</f>
        <v>1.2127713920961665E-2</v>
      </c>
      <c r="AD716" s="33"/>
      <c r="AE716" s="33">
        <f t="shared" ref="AE716" si="1333">+AA716/BW716</f>
        <v>1214.5983026874117</v>
      </c>
      <c r="AF716" s="50"/>
      <c r="AG716" s="33"/>
      <c r="AH716" s="33"/>
      <c r="AI716" s="213"/>
      <c r="AJ716" s="50"/>
      <c r="AL716" s="23">
        <f t="shared" ref="AL716" si="1334">+AP716-AP715</f>
        <v>209108</v>
      </c>
      <c r="AM716" s="24"/>
      <c r="AN716" s="24"/>
      <c r="AO716" s="24">
        <v>178263</v>
      </c>
      <c r="AP716" s="24">
        <v>52662670</v>
      </c>
      <c r="AQ716" s="24">
        <v>20336656</v>
      </c>
      <c r="AR716" s="461">
        <f t="shared" ref="AR716" si="1335">+AL716/AP715</f>
        <v>3.986535747562768E-3</v>
      </c>
      <c r="AS716" s="25"/>
      <c r="AT716" s="25"/>
      <c r="AU716" s="24"/>
      <c r="AV716" s="298">
        <f t="shared" ref="AV716" si="1336">+AP716/H716</f>
        <v>0.74375471902283774</v>
      </c>
      <c r="AW716" s="298"/>
      <c r="AX716" s="24">
        <f t="shared" ref="AX716" si="1337">+AP716/BW716</f>
        <v>74487.51060820368</v>
      </c>
      <c r="AY716" s="308"/>
      <c r="BA716" s="65">
        <f t="shared" ref="BA716" si="1338">+BC716-BC715</f>
        <v>1292265</v>
      </c>
      <c r="BB716" s="66"/>
      <c r="BC716" s="66">
        <v>945419023</v>
      </c>
      <c r="BD716" s="66"/>
      <c r="BE716" s="66">
        <f t="shared" ref="BE716" si="1339">+D716</f>
        <v>70885</v>
      </c>
      <c r="BF716" s="66"/>
      <c r="BG716" s="144">
        <f t="shared" ref="BG716" si="1340">+BE716/BA716</f>
        <v>5.4853300213191569E-2</v>
      </c>
      <c r="BH716" s="66"/>
      <c r="BI716" s="170"/>
      <c r="BJ716" s="66"/>
      <c r="BK716" s="66"/>
      <c r="BL716" s="66"/>
      <c r="BM716" s="144"/>
      <c r="BN716" s="65">
        <f t="shared" ref="BN716" si="1341">+BC716/BW716</f>
        <v>1337226.3408769448</v>
      </c>
      <c r="BO716" s="66"/>
      <c r="BP716" s="66">
        <f t="shared" ref="BP716" si="1342">+BP715+BE716</f>
        <v>69899524</v>
      </c>
      <c r="BQ716" s="66"/>
      <c r="BR716" s="435">
        <f t="shared" ref="BR716" si="1343">+BP716/BC716</f>
        <v>7.3934966717926931E-2</v>
      </c>
      <c r="BS716" s="66"/>
      <c r="BT716" s="75"/>
      <c r="BU716" s="170"/>
      <c r="BV716" s="1"/>
      <c r="BW716" s="61">
        <f t="shared" si="399"/>
        <v>707</v>
      </c>
      <c r="BZ716" s="1"/>
      <c r="CA716" s="61"/>
    </row>
    <row r="717" spans="2:79" x14ac:dyDescent="0.3">
      <c r="B717" s="158">
        <f t="shared" si="1063"/>
        <v>44617</v>
      </c>
      <c r="C717" s="61"/>
      <c r="D717" s="17">
        <v>76258</v>
      </c>
      <c r="E717" s="16"/>
      <c r="F717" s="16"/>
      <c r="G717" s="16"/>
      <c r="H717" s="16">
        <f t="shared" ref="H717" si="1344">+H716+D717</f>
        <v>70882760</v>
      </c>
      <c r="I717" s="16"/>
      <c r="J717" s="436">
        <f t="shared" ref="J717" si="1345">+D717/H716</f>
        <v>1.0769914887194963E-3</v>
      </c>
      <c r="K717" s="16"/>
      <c r="L717" s="16"/>
      <c r="M717" s="16"/>
      <c r="N717" s="16">
        <f t="shared" ref="N717" si="1346">SUM(D711:D717)</f>
        <v>368603</v>
      </c>
      <c r="O717" s="16">
        <f t="shared" ref="O717" si="1347">+H717/BW717</f>
        <v>100116.89265536724</v>
      </c>
      <c r="P717" s="41"/>
      <c r="Q717" s="17">
        <f t="shared" ref="Q717" si="1348">SUM(D711:D717)</f>
        <v>368603</v>
      </c>
      <c r="R717" s="16"/>
      <c r="S717" s="60">
        <f t="shared" ref="S717" si="1349">+(Q717-Q710)/Q710</f>
        <v>-0.38202073885307603</v>
      </c>
      <c r="T717" s="16"/>
      <c r="U717" s="41"/>
      <c r="V717" s="10">
        <f t="shared" si="558"/>
        <v>609</v>
      </c>
      <c r="W717" s="34">
        <v>1853</v>
      </c>
      <c r="X717" s="33">
        <v>4256</v>
      </c>
      <c r="Y717" s="33"/>
      <c r="Z717" s="33">
        <f t="shared" ref="Z717" si="1350">SUM(W712:W717)</f>
        <v>8250</v>
      </c>
      <c r="AA717" s="33">
        <f t="shared" ref="AA717" si="1351">+AA716+W717</f>
        <v>860574</v>
      </c>
      <c r="AB717" s="33"/>
      <c r="AC717" s="46">
        <f t="shared" ref="AC717" si="1352">+AA717/H717</f>
        <v>1.2140808286810502E-2</v>
      </c>
      <c r="AD717" s="33"/>
      <c r="AE717" s="33">
        <f t="shared" ref="AE717" si="1353">+AA717/BW717</f>
        <v>1215.5</v>
      </c>
      <c r="AF717" s="50"/>
      <c r="AG717" s="33"/>
      <c r="AH717" s="33"/>
      <c r="AI717" s="213"/>
      <c r="AJ717" s="50"/>
      <c r="AL717" s="23">
        <f t="shared" ref="AL717" si="1354">+AP717-AP716</f>
        <v>203580</v>
      </c>
      <c r="AM717" s="24"/>
      <c r="AN717" s="24"/>
      <c r="AO717" s="24">
        <v>178263</v>
      </c>
      <c r="AP717" s="24">
        <v>52866250</v>
      </c>
      <c r="AQ717" s="24">
        <v>20336656</v>
      </c>
      <c r="AR717" s="461">
        <f t="shared" ref="AR717" si="1355">+AL717/AP716</f>
        <v>3.8657363935402441E-3</v>
      </c>
      <c r="AS717" s="25"/>
      <c r="AT717" s="25"/>
      <c r="AU717" s="24"/>
      <c r="AV717" s="298">
        <f t="shared" ref="AV717" si="1356">+AP717/H717</f>
        <v>0.74582662977570291</v>
      </c>
      <c r="AW717" s="298"/>
      <c r="AX717" s="24">
        <f t="shared" ref="AX717" si="1357">+AP717/BW717</f>
        <v>74669.844632768363</v>
      </c>
      <c r="AY717" s="308"/>
      <c r="BA717" s="65">
        <f t="shared" ref="BA717" si="1358">+BC717-BC716</f>
        <v>1712369</v>
      </c>
      <c r="BB717" s="66"/>
      <c r="BC717" s="66">
        <v>947131392</v>
      </c>
      <c r="BD717" s="66"/>
      <c r="BE717" s="66">
        <f t="shared" ref="BE717" si="1359">+D717</f>
        <v>76258</v>
      </c>
      <c r="BF717" s="66"/>
      <c r="BG717" s="144">
        <f t="shared" ref="BG717" si="1360">+BE717/BA717</f>
        <v>4.4533625637932013E-2</v>
      </c>
      <c r="BH717" s="66"/>
      <c r="BI717" s="170"/>
      <c r="BJ717" s="66"/>
      <c r="BK717" s="66"/>
      <c r="BL717" s="66"/>
      <c r="BM717" s="144"/>
      <c r="BN717" s="65">
        <f t="shared" ref="BN717" si="1361">+BC717/BW717</f>
        <v>1337756.2033898304</v>
      </c>
      <c r="BO717" s="66"/>
      <c r="BP717" s="66">
        <f t="shared" ref="BP717" si="1362">+BP716+BE717</f>
        <v>69975782</v>
      </c>
      <c r="BQ717" s="66"/>
      <c r="BR717" s="435">
        <f t="shared" ref="BR717" si="1363">+BP717/BC717</f>
        <v>7.3881810476407475E-2</v>
      </c>
      <c r="BS717" s="66"/>
      <c r="BT717" s="75"/>
      <c r="BU717" s="170"/>
      <c r="BV717" s="1"/>
      <c r="BW717" s="61">
        <f t="shared" si="399"/>
        <v>708</v>
      </c>
      <c r="BZ717" s="1"/>
      <c r="CA717" s="61"/>
    </row>
    <row r="718" spans="2:79" x14ac:dyDescent="0.3">
      <c r="B718" s="158">
        <f t="shared" si="1063"/>
        <v>44618</v>
      </c>
      <c r="C718" s="61"/>
      <c r="D718" s="17">
        <v>26003</v>
      </c>
      <c r="E718" s="16"/>
      <c r="F718" s="16"/>
      <c r="G718" s="16"/>
      <c r="H718" s="16">
        <f t="shared" ref="H718" si="1364">+H717+D718</f>
        <v>70908763</v>
      </c>
      <c r="I718" s="16"/>
      <c r="J718" s="436">
        <f t="shared" ref="J718" si="1365">+D718/H717</f>
        <v>3.6684519620849978E-4</v>
      </c>
      <c r="K718" s="16"/>
      <c r="L718" s="16"/>
      <c r="M718" s="16"/>
      <c r="N718" s="16">
        <f t="shared" ref="N718" si="1366">SUM(D712:D718)</f>
        <v>353163</v>
      </c>
      <c r="O718" s="16">
        <f t="shared" ref="O718" si="1367">+H718/BW718</f>
        <v>100012.35966149507</v>
      </c>
      <c r="P718" s="41"/>
      <c r="Q718" s="17">
        <f t="shared" ref="Q718" si="1368">SUM(D712:D718)</f>
        <v>353163</v>
      </c>
      <c r="R718" s="16"/>
      <c r="S718" s="60">
        <f t="shared" ref="S718" si="1369">+(Q718-Q711)/Q711</f>
        <v>-0.38933894029177163</v>
      </c>
      <c r="T718" s="16"/>
      <c r="U718" s="41"/>
      <c r="V718" s="10">
        <f t="shared" si="558"/>
        <v>610</v>
      </c>
      <c r="W718" s="34">
        <v>635</v>
      </c>
      <c r="X718" s="33">
        <v>4256</v>
      </c>
      <c r="Y718" s="33"/>
      <c r="Z718" s="33">
        <f t="shared" ref="Z718" si="1370">SUM(W713:W718)</f>
        <v>8603</v>
      </c>
      <c r="AA718" s="33">
        <f t="shared" ref="AA718" si="1371">+AA717+W718</f>
        <v>861209</v>
      </c>
      <c r="AB718" s="33"/>
      <c r="AC718" s="46">
        <f t="shared" ref="AC718" si="1372">+AA718/H718</f>
        <v>1.21453112924844E-2</v>
      </c>
      <c r="AD718" s="33"/>
      <c r="AE718" s="33">
        <f t="shared" ref="AE718" si="1373">+AA718/BW718</f>
        <v>1214.6812411847673</v>
      </c>
      <c r="AF718" s="50"/>
      <c r="AG718" s="33"/>
      <c r="AH718" s="33"/>
      <c r="AI718" s="213"/>
      <c r="AJ718" s="50"/>
      <c r="AL718" s="23">
        <f t="shared" ref="AL718" si="1374">+AP718-AP717</f>
        <v>170795</v>
      </c>
      <c r="AM718" s="24"/>
      <c r="AN718" s="24"/>
      <c r="AO718" s="24">
        <v>178263</v>
      </c>
      <c r="AP718" s="24">
        <v>53037045</v>
      </c>
      <c r="AQ718" s="24">
        <v>20336656</v>
      </c>
      <c r="AR718" s="461">
        <f t="shared" ref="AR718" si="1375">+AL718/AP717</f>
        <v>3.2307001158584162E-3</v>
      </c>
      <c r="AS718" s="25"/>
      <c r="AT718" s="25"/>
      <c r="AU718" s="24"/>
      <c r="AV718" s="298">
        <f t="shared" ref="AV718" si="1376">+AP718/H718</f>
        <v>0.74796178576687344</v>
      </c>
      <c r="AW718" s="298"/>
      <c r="AX718" s="24">
        <f t="shared" ref="AX718" si="1377">+AP718/BW718</f>
        <v>74805.423131170668</v>
      </c>
      <c r="AY718" s="308"/>
      <c r="BA718" s="65">
        <f t="shared" ref="BA718" si="1378">+BC718-BC717</f>
        <v>401696</v>
      </c>
      <c r="BB718" s="66"/>
      <c r="BC718" s="66">
        <v>947533088</v>
      </c>
      <c r="BD718" s="66"/>
      <c r="BE718" s="66">
        <f t="shared" ref="BE718" si="1379">+D718</f>
        <v>26003</v>
      </c>
      <c r="BF718" s="66"/>
      <c r="BG718" s="144">
        <f t="shared" ref="BG718" si="1380">+BE718/BA718</f>
        <v>6.4733031944555083E-2</v>
      </c>
      <c r="BH718" s="66"/>
      <c r="BI718" s="170"/>
      <c r="BJ718" s="66"/>
      <c r="BK718" s="66"/>
      <c r="BL718" s="66"/>
      <c r="BM718" s="144"/>
      <c r="BN718" s="65">
        <f t="shared" ref="BN718" si="1381">+BC718/BW718</f>
        <v>1336435.9492242595</v>
      </c>
      <c r="BO718" s="66"/>
      <c r="BP718" s="66">
        <f t="shared" ref="BP718" si="1382">+BP717+BE718</f>
        <v>70001785</v>
      </c>
      <c r="BQ718" s="66"/>
      <c r="BR718" s="435">
        <f t="shared" ref="BR718" si="1383">+BP718/BC718</f>
        <v>7.3877931954604209E-2</v>
      </c>
      <c r="BS718" s="66"/>
      <c r="BT718" s="75"/>
      <c r="BU718" s="170"/>
      <c r="BV718" s="1"/>
      <c r="BW718" s="61">
        <f t="shared" si="399"/>
        <v>709</v>
      </c>
      <c r="BZ718" s="1"/>
      <c r="CA718" s="61"/>
    </row>
    <row r="719" spans="2:79" x14ac:dyDescent="0.3">
      <c r="B719" s="347">
        <f t="shared" si="1063"/>
        <v>44619</v>
      </c>
      <c r="C719" s="61"/>
      <c r="D719" s="17">
        <v>7464</v>
      </c>
      <c r="E719" s="16"/>
      <c r="F719" s="16"/>
      <c r="G719" s="16"/>
      <c r="H719" s="16">
        <f t="shared" ref="H719" si="1384">+H718+D719</f>
        <v>70916227</v>
      </c>
      <c r="I719" s="16"/>
      <c r="J719" s="436">
        <f t="shared" ref="J719" si="1385">+D719/H718</f>
        <v>1.052620252309295E-4</v>
      </c>
      <c r="K719" s="16"/>
      <c r="L719" s="16"/>
      <c r="M719" s="16"/>
      <c r="N719" s="16">
        <f t="shared" ref="N719" si="1386">SUM(D713:D719)</f>
        <v>345571</v>
      </c>
      <c r="O719" s="16">
        <f t="shared" ref="O719" si="1387">+H719/BW719</f>
        <v>99882.009859154932</v>
      </c>
      <c r="P719" s="41"/>
      <c r="Q719" s="17">
        <f t="shared" ref="Q719" si="1388">SUM(D713:D719)</f>
        <v>345571</v>
      </c>
      <c r="R719" s="16"/>
      <c r="S719" s="60">
        <f t="shared" ref="S719" si="1389">+(Q719-Q712)/Q712</f>
        <v>-0.38481271351335955</v>
      </c>
      <c r="T719" s="16"/>
      <c r="U719" s="41"/>
      <c r="V719" s="10">
        <f t="shared" si="558"/>
        <v>611</v>
      </c>
      <c r="W719" s="34">
        <v>189</v>
      </c>
      <c r="X719" s="33">
        <v>4256</v>
      </c>
      <c r="Y719" s="33"/>
      <c r="Z719" s="33">
        <f t="shared" ref="Z719" si="1390">SUM(W714:W719)</f>
        <v>8498</v>
      </c>
      <c r="AA719" s="33">
        <f t="shared" ref="AA719" si="1391">+AA718+W719</f>
        <v>861398</v>
      </c>
      <c r="AB719" s="33"/>
      <c r="AC719" s="46">
        <f t="shared" ref="AC719" si="1392">+AA719/H719</f>
        <v>1.2146698103383306E-2</v>
      </c>
      <c r="AD719" s="33"/>
      <c r="AE719" s="33">
        <f t="shared" ref="AE719" si="1393">+AA719/BW719</f>
        <v>1213.2366197183098</v>
      </c>
      <c r="AF719" s="50"/>
      <c r="AG719" s="33"/>
      <c r="AH719" s="33"/>
      <c r="AI719" s="213"/>
      <c r="AJ719" s="50"/>
      <c r="AL719" s="23">
        <f t="shared" ref="AL719" si="1394">+AP719-AP718</f>
        <v>155945</v>
      </c>
      <c r="AM719" s="24"/>
      <c r="AN719" s="24"/>
      <c r="AO719" s="24">
        <v>178263</v>
      </c>
      <c r="AP719" s="24">
        <v>53192990</v>
      </c>
      <c r="AQ719" s="24">
        <v>20336656</v>
      </c>
      <c r="AR719" s="461">
        <f t="shared" ref="AR719" si="1395">+AL719/AP718</f>
        <v>2.9403033294935644E-3</v>
      </c>
      <c r="AS719" s="25"/>
      <c r="AT719" s="25"/>
      <c r="AU719" s="24"/>
      <c r="AV719" s="298">
        <f t="shared" ref="AV719" si="1396">+AP719/H719</f>
        <v>0.75008206513863185</v>
      </c>
      <c r="AW719" s="298"/>
      <c r="AX719" s="24">
        <f t="shared" ref="AX719" si="1397">+AP719/BW719</f>
        <v>74919.704225352107</v>
      </c>
      <c r="AY719" s="308"/>
      <c r="BA719" s="65">
        <f t="shared" ref="BA719" si="1398">+BC719-BC718</f>
        <v>219233</v>
      </c>
      <c r="BB719" s="66"/>
      <c r="BC719" s="66">
        <v>947752321</v>
      </c>
      <c r="BD719" s="66"/>
      <c r="BE719" s="66">
        <f t="shared" ref="BE719" si="1399">+D719</f>
        <v>7464</v>
      </c>
      <c r="BF719" s="66"/>
      <c r="BG719" s="144">
        <f t="shared" ref="BG719" si="1400">+BE719/BA719</f>
        <v>3.4045969356803034E-2</v>
      </c>
      <c r="BH719" s="66"/>
      <c r="BI719" s="170"/>
      <c r="BJ719" s="66"/>
      <c r="BK719" s="66"/>
      <c r="BL719" s="66"/>
      <c r="BM719" s="144"/>
      <c r="BN719" s="65">
        <f t="shared" ref="BN719" si="1401">+BC719/BW719</f>
        <v>1334862.4239436621</v>
      </c>
      <c r="BO719" s="66"/>
      <c r="BP719" s="66">
        <f t="shared" ref="BP719" si="1402">+BP718+BE719</f>
        <v>70009249</v>
      </c>
      <c r="BQ719" s="66"/>
      <c r="BR719" s="435">
        <f t="shared" ref="BR719" si="1403">+BP719/BC719</f>
        <v>7.3868718069855302E-2</v>
      </c>
      <c r="BS719" s="66"/>
      <c r="BT719" s="75"/>
      <c r="BU719" s="170"/>
      <c r="BV719" s="1"/>
      <c r="BW719" s="61">
        <f t="shared" si="399"/>
        <v>710</v>
      </c>
      <c r="BZ719" s="1"/>
      <c r="CA719" s="61"/>
    </row>
    <row r="720" spans="2:79" x14ac:dyDescent="0.3">
      <c r="B720" s="158">
        <f t="shared" si="1063"/>
        <v>44620</v>
      </c>
      <c r="C720" s="61"/>
      <c r="D720" s="17">
        <v>32918</v>
      </c>
      <c r="E720" s="16"/>
      <c r="F720" s="16"/>
      <c r="G720" s="16"/>
      <c r="H720" s="16">
        <f t="shared" ref="H720" si="1404">+H719+D720</f>
        <v>70949145</v>
      </c>
      <c r="I720" s="16"/>
      <c r="J720" s="436">
        <f t="shared" ref="J720" si="1405">+D720/H719</f>
        <v>4.6418149121215936E-4</v>
      </c>
      <c r="K720" s="16"/>
      <c r="L720" s="16"/>
      <c r="M720" s="16"/>
      <c r="N720" s="16">
        <f t="shared" ref="N720" si="1406">SUM(D714:D720)</f>
        <v>350691</v>
      </c>
      <c r="O720" s="16">
        <f t="shared" ref="O720" si="1407">+H720/BW720</f>
        <v>99787.827004219405</v>
      </c>
      <c r="P720" s="41"/>
      <c r="Q720" s="17">
        <f t="shared" ref="Q720" si="1408">SUM(D714:D720)</f>
        <v>350691</v>
      </c>
      <c r="R720" s="16"/>
      <c r="S720" s="60">
        <f t="shared" ref="S720" si="1409">+(Q720-Q713)/Q713</f>
        <v>-0.31059842064601356</v>
      </c>
      <c r="T720" s="16"/>
      <c r="U720" s="41"/>
      <c r="V720" s="10">
        <f t="shared" si="558"/>
        <v>612</v>
      </c>
      <c r="W720" s="34">
        <v>710</v>
      </c>
      <c r="X720" s="33">
        <v>4256</v>
      </c>
      <c r="Y720" s="33"/>
      <c r="Z720" s="33">
        <f t="shared" ref="Z720" si="1410">SUM(W715:W720)</f>
        <v>7650</v>
      </c>
      <c r="AA720" s="33">
        <f t="shared" ref="AA720" si="1411">+AA719+W720</f>
        <v>862108</v>
      </c>
      <c r="AB720" s="33"/>
      <c r="AC720" s="46">
        <f t="shared" ref="AC720" si="1412">+AA720/H720</f>
        <v>1.2151069614721925E-2</v>
      </c>
      <c r="AD720" s="33"/>
      <c r="AE720" s="33">
        <f t="shared" ref="AE720" si="1413">+AA720/BW720</f>
        <v>1212.5288326300983</v>
      </c>
      <c r="AF720" s="50"/>
      <c r="AG720" s="33"/>
      <c r="AH720" s="33"/>
      <c r="AI720" s="213"/>
      <c r="AJ720" s="50"/>
      <c r="AL720" s="23">
        <f t="shared" ref="AL720" si="1414">+AP720-AP719</f>
        <v>307272</v>
      </c>
      <c r="AM720" s="24"/>
      <c r="AN720" s="24"/>
      <c r="AO720" s="24">
        <v>178263</v>
      </c>
      <c r="AP720" s="24">
        <v>53500262</v>
      </c>
      <c r="AQ720" s="24">
        <v>20336656</v>
      </c>
      <c r="AR720" s="461">
        <f t="shared" ref="AR720" si="1415">+AL720/AP719</f>
        <v>5.7765506319535712E-3</v>
      </c>
      <c r="AS720" s="25"/>
      <c r="AT720" s="25"/>
      <c r="AU720" s="24"/>
      <c r="AV720" s="298">
        <f t="shared" ref="AV720" si="1416">+AP720/H720</f>
        <v>0.75406492918272661</v>
      </c>
      <c r="AW720" s="298"/>
      <c r="AX720" s="24">
        <f t="shared" ref="AX720" si="1417">+AP720/BW720</f>
        <v>75246.50070323488</v>
      </c>
      <c r="AY720" s="308"/>
      <c r="BA720" s="65">
        <f t="shared" ref="BA720" si="1418">+BC720-BC719</f>
        <v>2767081</v>
      </c>
      <c r="BB720" s="66"/>
      <c r="BC720" s="66">
        <v>950519402</v>
      </c>
      <c r="BD720" s="66"/>
      <c r="BE720" s="66">
        <f t="shared" ref="BE720" si="1419">+D720</f>
        <v>32918</v>
      </c>
      <c r="BF720" s="66"/>
      <c r="BG720" s="144">
        <f t="shared" ref="BG720" si="1420">+BE720/BA720</f>
        <v>1.1896290712125883E-2</v>
      </c>
      <c r="BH720" s="66"/>
      <c r="BI720" s="170"/>
      <c r="BJ720" s="66"/>
      <c r="BK720" s="66"/>
      <c r="BL720" s="66"/>
      <c r="BM720" s="144"/>
      <c r="BN720" s="65">
        <f t="shared" ref="BN720" si="1421">+BC720/BW720</f>
        <v>1336876.7960618846</v>
      </c>
      <c r="BO720" s="66"/>
      <c r="BP720" s="66">
        <f t="shared" ref="BP720" si="1422">+BP719+BE720</f>
        <v>70042167</v>
      </c>
      <c r="BQ720" s="66"/>
      <c r="BR720" s="435">
        <f t="shared" ref="BR720" si="1423">+BP720/BC720</f>
        <v>7.3688308573842246E-2</v>
      </c>
      <c r="BS720" s="66"/>
      <c r="BT720" s="75"/>
      <c r="BU720" s="170"/>
      <c r="BV720" s="1"/>
      <c r="BW720" s="61">
        <f t="shared" si="399"/>
        <v>711</v>
      </c>
      <c r="BZ720" s="1"/>
      <c r="CA720" s="61"/>
    </row>
    <row r="721" spans="2:79" x14ac:dyDescent="0.3">
      <c r="B721" s="158">
        <f t="shared" si="1063"/>
        <v>44621</v>
      </c>
      <c r="C721" s="61"/>
      <c r="D721" s="17">
        <v>41899</v>
      </c>
      <c r="E721" s="16"/>
      <c r="F721" s="16"/>
      <c r="G721" s="16"/>
      <c r="H721" s="16">
        <f t="shared" ref="H721" si="1424">+H720+D721</f>
        <v>70991044</v>
      </c>
      <c r="I721" s="16"/>
      <c r="J721" s="436">
        <f t="shared" ref="J721" si="1425">+D721/H720</f>
        <v>5.9054975222041085E-4</v>
      </c>
      <c r="K721" s="16"/>
      <c r="L721" s="16"/>
      <c r="M721" s="16"/>
      <c r="N721" s="16">
        <f t="shared" ref="N721" si="1426">SUM(D715:D721)</f>
        <v>330727</v>
      </c>
      <c r="O721" s="16">
        <f t="shared" ref="O721" si="1427">+H721/BW721</f>
        <v>99706.52247191011</v>
      </c>
      <c r="P721" s="41"/>
      <c r="Q721" s="17">
        <f t="shared" ref="Q721" si="1428">SUM(D715:D721)</f>
        <v>330727</v>
      </c>
      <c r="R721" s="16"/>
      <c r="S721" s="60">
        <f t="shared" ref="S721" si="1429">+(Q721-Q714)/Q714</f>
        <v>-0.30032262500396673</v>
      </c>
      <c r="T721" s="16"/>
      <c r="U721" s="41"/>
      <c r="V721" s="10">
        <f t="shared" si="558"/>
        <v>613</v>
      </c>
      <c r="W721" s="34">
        <v>1451</v>
      </c>
      <c r="X721" s="33">
        <v>4256</v>
      </c>
      <c r="Y721" s="33"/>
      <c r="Z721" s="33">
        <f t="shared" ref="Z721" si="1430">SUM(W716:W721)</f>
        <v>6661</v>
      </c>
      <c r="AA721" s="33">
        <f t="shared" ref="AA721" si="1431">+AA720+W721</f>
        <v>863559</v>
      </c>
      <c r="AB721" s="33"/>
      <c r="AC721" s="46">
        <f t="shared" ref="AC721" si="1432">+AA721/H721</f>
        <v>1.2164337236680164E-2</v>
      </c>
      <c r="AD721" s="33"/>
      <c r="AE721" s="33">
        <f t="shared" ref="AE721" si="1433">+AA721/BW721</f>
        <v>1212.8637640449438</v>
      </c>
      <c r="AF721" s="50"/>
      <c r="AG721" s="33"/>
      <c r="AH721" s="33"/>
      <c r="AI721" s="213"/>
      <c r="AJ721" s="50"/>
      <c r="AL721" s="23">
        <f t="shared" ref="AL721" si="1434">+AP721-AP720</f>
        <v>230543</v>
      </c>
      <c r="AM721" s="24"/>
      <c r="AN721" s="24"/>
      <c r="AO721" s="24">
        <v>178263</v>
      </c>
      <c r="AP721" s="24">
        <v>53730805</v>
      </c>
      <c r="AQ721" s="24">
        <v>20336656</v>
      </c>
      <c r="AR721" s="461">
        <f t="shared" ref="AR721" si="1435">+AL721/AP720</f>
        <v>4.3091938503030131E-3</v>
      </c>
      <c r="AS721" s="25"/>
      <c r="AT721" s="25"/>
      <c r="AU721" s="24"/>
      <c r="AV721" s="298">
        <f t="shared" ref="AV721" si="1436">+AP721/H721</f>
        <v>0.75686737329852483</v>
      </c>
      <c r="AW721" s="298"/>
      <c r="AX721" s="24">
        <f t="shared" ref="AX721" si="1437">+AP721/BW721</f>
        <v>75464.613764044945</v>
      </c>
      <c r="AY721" s="308"/>
      <c r="BA721" s="65">
        <f t="shared" ref="BA721" si="1438">+BC721-BC720</f>
        <v>1025286</v>
      </c>
      <c r="BB721" s="66"/>
      <c r="BC721" s="66">
        <v>951544688</v>
      </c>
      <c r="BD721" s="66"/>
      <c r="BE721" s="66">
        <f t="shared" ref="BE721" si="1439">+D721</f>
        <v>41899</v>
      </c>
      <c r="BF721" s="66"/>
      <c r="BG721" s="144">
        <f t="shared" ref="BG721" si="1440">+BE721/BA721</f>
        <v>4.0865670651896155E-2</v>
      </c>
      <c r="BH721" s="66"/>
      <c r="BI721" s="170"/>
      <c r="BJ721" s="66"/>
      <c r="BK721" s="66"/>
      <c r="BL721" s="66"/>
      <c r="BM721" s="144"/>
      <c r="BN721" s="65">
        <f t="shared" ref="BN721" si="1441">+BC721/BW721</f>
        <v>1336439.1685393259</v>
      </c>
      <c r="BO721" s="66"/>
      <c r="BP721" s="66">
        <f t="shared" ref="BP721" si="1442">+BP720+BE721</f>
        <v>70084066</v>
      </c>
      <c r="BQ721" s="66"/>
      <c r="BR721" s="435">
        <f t="shared" ref="BR721" si="1443">+BP721/BC721</f>
        <v>7.3652942298806673E-2</v>
      </c>
      <c r="BS721" s="66"/>
      <c r="BT721" s="75"/>
      <c r="BU721" s="170"/>
      <c r="BV721" s="1"/>
      <c r="BW721" s="61">
        <f t="shared" si="399"/>
        <v>712</v>
      </c>
      <c r="BZ721" s="1"/>
      <c r="CA721" s="61"/>
    </row>
    <row r="722" spans="2:79" x14ac:dyDescent="0.3">
      <c r="B722" s="158">
        <f t="shared" si="1063"/>
        <v>44622</v>
      </c>
      <c r="C722" s="61"/>
      <c r="D722" s="17">
        <v>50699</v>
      </c>
      <c r="E722" s="16"/>
      <c r="F722" s="16"/>
      <c r="G722" s="16"/>
      <c r="H722" s="16">
        <f t="shared" ref="H722" si="1444">+H721+D722</f>
        <v>71041743</v>
      </c>
      <c r="I722" s="16"/>
      <c r="J722" s="436">
        <f t="shared" ref="J722" si="1445">+D722/H721</f>
        <v>7.1416050734512374E-4</v>
      </c>
      <c r="K722" s="16"/>
      <c r="L722" s="16"/>
      <c r="M722" s="16"/>
      <c r="N722" s="16">
        <f t="shared" ref="N722" si="1446">SUM(D716:D722)</f>
        <v>306126</v>
      </c>
      <c r="O722" s="16">
        <f t="shared" ref="O722" si="1447">+H722/BW722</f>
        <v>99637.788218793823</v>
      </c>
      <c r="P722" s="41"/>
      <c r="Q722" s="17">
        <f t="shared" ref="Q722" si="1448">SUM(D716:D722)</f>
        <v>306126</v>
      </c>
      <c r="R722" s="16"/>
      <c r="S722" s="60">
        <f t="shared" ref="S722" si="1449">+(Q722-Q715)/Q715</f>
        <v>-0.29352875608388318</v>
      </c>
      <c r="T722" s="16"/>
      <c r="U722" s="41"/>
      <c r="V722" s="10">
        <f t="shared" si="558"/>
        <v>614</v>
      </c>
      <c r="W722" s="34">
        <v>1778</v>
      </c>
      <c r="X722" s="33">
        <v>4256</v>
      </c>
      <c r="Y722" s="33"/>
      <c r="Z722" s="33">
        <f t="shared" ref="Z722" si="1450">SUM(W717:W722)</f>
        <v>6616</v>
      </c>
      <c r="AA722" s="33">
        <f t="shared" ref="AA722" si="1451">+AA721+W722</f>
        <v>865337</v>
      </c>
      <c r="AB722" s="33"/>
      <c r="AC722" s="46">
        <f t="shared" ref="AC722" si="1452">+AA722/H722</f>
        <v>1.218068368620967E-2</v>
      </c>
      <c r="AD722" s="33"/>
      <c r="AE722" s="33">
        <f t="shared" ref="AE722" si="1453">+AA722/BW722</f>
        <v>1213.6563814866761</v>
      </c>
      <c r="AF722" s="50"/>
      <c r="AG722" s="33"/>
      <c r="AH722" s="33"/>
      <c r="AI722" s="213"/>
      <c r="AJ722" s="50"/>
      <c r="AL722" s="23">
        <f t="shared" ref="AL722" si="1454">+AP722-AP721</f>
        <v>214984</v>
      </c>
      <c r="AM722" s="24"/>
      <c r="AN722" s="24"/>
      <c r="AO722" s="24">
        <v>178263</v>
      </c>
      <c r="AP722" s="24">
        <v>53945789</v>
      </c>
      <c r="AQ722" s="24">
        <v>20336656</v>
      </c>
      <c r="AR722" s="461">
        <f t="shared" ref="AR722" si="1455">+AL722/AP721</f>
        <v>4.0011311946657043E-3</v>
      </c>
      <c r="AS722" s="25"/>
      <c r="AT722" s="25"/>
      <c r="AU722" s="24"/>
      <c r="AV722" s="298">
        <f t="shared" ref="AV722" si="1456">+AP722/H722</f>
        <v>0.75935339874755048</v>
      </c>
      <c r="AW722" s="298"/>
      <c r="AX722" s="24">
        <f t="shared" ref="AX722" si="1457">+AP722/BW722</f>
        <v>75660.293127629731</v>
      </c>
      <c r="AY722" s="308"/>
      <c r="BA722" s="65">
        <f t="shared" ref="BA722" si="1458">+BC722-BC721</f>
        <v>1143010</v>
      </c>
      <c r="BB722" s="66"/>
      <c r="BC722" s="66">
        <v>952687698</v>
      </c>
      <c r="BD722" s="66"/>
      <c r="BE722" s="66">
        <f t="shared" ref="BE722" si="1459">+D722</f>
        <v>50699</v>
      </c>
      <c r="BF722" s="66"/>
      <c r="BG722" s="144">
        <f t="shared" ref="BG722" si="1460">+BE722/BA722</f>
        <v>4.4355692426138002E-2</v>
      </c>
      <c r="BH722" s="66"/>
      <c r="BI722" s="170"/>
      <c r="BJ722" s="66"/>
      <c r="BK722" s="66"/>
      <c r="BL722" s="66"/>
      <c r="BM722" s="144"/>
      <c r="BN722" s="65">
        <f t="shared" ref="BN722" si="1461">+BC722/BW722</f>
        <v>1336167.8793828893</v>
      </c>
      <c r="BO722" s="66"/>
      <c r="BP722" s="66">
        <f t="shared" ref="BP722" si="1462">+BP721+BE722</f>
        <v>70134765</v>
      </c>
      <c r="BQ722" s="66"/>
      <c r="BR722" s="435">
        <f t="shared" ref="BR722" si="1463">+BP722/BC722</f>
        <v>7.3617792217990835E-2</v>
      </c>
      <c r="BS722" s="66"/>
      <c r="BT722" s="75"/>
      <c r="BU722" s="170"/>
      <c r="BV722" s="1"/>
      <c r="BW722" s="61">
        <f t="shared" si="399"/>
        <v>713</v>
      </c>
      <c r="BZ722" s="1"/>
      <c r="CA722" s="61"/>
    </row>
    <row r="723" spans="2:79" x14ac:dyDescent="0.3">
      <c r="B723" s="158">
        <f t="shared" si="1063"/>
        <v>44623</v>
      </c>
      <c r="C723" s="61"/>
      <c r="D723" s="17">
        <v>49091</v>
      </c>
      <c r="E723" s="16"/>
      <c r="F723" s="16"/>
      <c r="G723" s="16"/>
      <c r="H723" s="16">
        <f t="shared" ref="H723" si="1464">+H722+D723</f>
        <v>71090834</v>
      </c>
      <c r="I723" s="16"/>
      <c r="J723" s="436">
        <f t="shared" ref="J723" si="1465">+D723/H722</f>
        <v>6.9101626630979477E-4</v>
      </c>
      <c r="K723" s="16"/>
      <c r="L723" s="16"/>
      <c r="M723" s="16"/>
      <c r="N723" s="16">
        <f t="shared" ref="N723" si="1466">SUM(D717:D723)</f>
        <v>284332</v>
      </c>
      <c r="O723" s="16">
        <f t="shared" ref="O723" si="1467">+H723/BW723</f>
        <v>99566.994397759103</v>
      </c>
      <c r="P723" s="41"/>
      <c r="Q723" s="17">
        <f t="shared" ref="Q723" si="1468">SUM(D717:D723)</f>
        <v>284332</v>
      </c>
      <c r="R723" s="16"/>
      <c r="S723" s="60">
        <f t="shared" ref="S723" si="1469">+(Q723-Q716)/Q716</f>
        <v>-0.29063306929457994</v>
      </c>
      <c r="T723" s="16"/>
      <c r="U723" s="41"/>
      <c r="V723" s="10">
        <f t="shared" si="558"/>
        <v>615</v>
      </c>
      <c r="W723" s="34">
        <v>1258</v>
      </c>
      <c r="X723" s="33">
        <v>4256</v>
      </c>
      <c r="Y723" s="33"/>
      <c r="Z723" s="33">
        <f t="shared" ref="Z723" si="1470">SUM(W718:W723)</f>
        <v>6021</v>
      </c>
      <c r="AA723" s="33">
        <f t="shared" ref="AA723" si="1471">+AA722+W723</f>
        <v>866595</v>
      </c>
      <c r="AB723" s="33"/>
      <c r="AC723" s="46">
        <f t="shared" ref="AC723" si="1472">+AA723/H723</f>
        <v>1.218996811881543E-2</v>
      </c>
      <c r="AD723" s="33"/>
      <c r="AE723" s="33">
        <f t="shared" ref="AE723" si="1473">+AA723/BW723</f>
        <v>1213.7184873949579</v>
      </c>
      <c r="AF723" s="50"/>
      <c r="AG723" s="33"/>
      <c r="AH723" s="33"/>
      <c r="AI723" s="213"/>
      <c r="AJ723" s="50"/>
      <c r="AL723" s="23">
        <f t="shared" ref="AL723" si="1474">+AP723-AP722</f>
        <v>191175</v>
      </c>
      <c r="AM723" s="24"/>
      <c r="AN723" s="24"/>
      <c r="AO723" s="24">
        <v>178263</v>
      </c>
      <c r="AP723" s="24">
        <v>54136964</v>
      </c>
      <c r="AQ723" s="24">
        <v>20336656</v>
      </c>
      <c r="AR723" s="461">
        <f t="shared" ref="AR723" si="1475">+AL723/AP722</f>
        <v>3.5438354604471539E-3</v>
      </c>
      <c r="AS723" s="25"/>
      <c r="AT723" s="25"/>
      <c r="AU723" s="24"/>
      <c r="AV723" s="298">
        <f t="shared" ref="AV723" si="1476">+AP723/H723</f>
        <v>0.76151820078520949</v>
      </c>
      <c r="AW723" s="298"/>
      <c r="AX723" s="24">
        <f t="shared" ref="AX723" si="1477">+AP723/BW723</f>
        <v>75822.078431372545</v>
      </c>
      <c r="AY723" s="308"/>
      <c r="BA723" s="65">
        <f t="shared" ref="BA723" si="1478">+BC723-BC722</f>
        <v>1680004</v>
      </c>
      <c r="BB723" s="66"/>
      <c r="BC723" s="66">
        <v>954367702</v>
      </c>
      <c r="BD723" s="66"/>
      <c r="BE723" s="66">
        <f t="shared" ref="BE723" si="1479">+D723</f>
        <v>49091</v>
      </c>
      <c r="BF723" s="66"/>
      <c r="BG723" s="144">
        <f t="shared" ref="BG723" si="1480">+BE723/BA723</f>
        <v>2.9220763760086286E-2</v>
      </c>
      <c r="BH723" s="66"/>
      <c r="BI723" s="170"/>
      <c r="BJ723" s="66"/>
      <c r="BK723" s="66"/>
      <c r="BL723" s="66"/>
      <c r="BM723" s="144"/>
      <c r="BN723" s="65">
        <f t="shared" ref="BN723" si="1481">+BC723/BW723</f>
        <v>1336649.4425770307</v>
      </c>
      <c r="BO723" s="66"/>
      <c r="BP723" s="66">
        <f t="shared" ref="BP723" si="1482">+BP722+BE723</f>
        <v>70183856</v>
      </c>
      <c r="BQ723" s="66"/>
      <c r="BR723" s="435">
        <f t="shared" ref="BR723" si="1483">+BP723/BC723</f>
        <v>7.353963870835184E-2</v>
      </c>
      <c r="BS723" s="66"/>
      <c r="BT723" s="75"/>
      <c r="BU723" s="170"/>
      <c r="BV723" s="1"/>
      <c r="BW723" s="61">
        <f t="shared" si="399"/>
        <v>714</v>
      </c>
      <c r="BZ723" s="1"/>
      <c r="CA723" s="61"/>
    </row>
    <row r="724" spans="2:79" x14ac:dyDescent="0.3">
      <c r="B724" s="158">
        <f t="shared" si="1063"/>
        <v>44624</v>
      </c>
      <c r="C724" s="61"/>
      <c r="D724" s="17">
        <v>45698</v>
      </c>
      <c r="E724" s="16"/>
      <c r="F724" s="16"/>
      <c r="G724" s="16"/>
      <c r="H724" s="16">
        <f t="shared" ref="H724" si="1484">+H723+D724</f>
        <v>71136532</v>
      </c>
      <c r="I724" s="16"/>
      <c r="J724" s="436">
        <f t="shared" ref="J724" si="1485">+D724/H723</f>
        <v>6.4281142066781771E-4</v>
      </c>
      <c r="K724" s="16"/>
      <c r="L724" s="16"/>
      <c r="M724" s="16"/>
      <c r="N724" s="16">
        <f t="shared" ref="N724" si="1486">SUM(D718:D724)</f>
        <v>253772</v>
      </c>
      <c r="O724" s="16">
        <f t="shared" ref="O724" si="1487">+H724/BW724</f>
        <v>99491.653146853147</v>
      </c>
      <c r="P724" s="41"/>
      <c r="Q724" s="17">
        <f t="shared" ref="Q724" si="1488">SUM(D718:D724)</f>
        <v>253772</v>
      </c>
      <c r="R724" s="16"/>
      <c r="S724" s="60">
        <f t="shared" ref="S724" si="1489">+(Q724-Q717)/Q717</f>
        <v>-0.31153029139751981</v>
      </c>
      <c r="T724" s="16"/>
      <c r="U724" s="41"/>
      <c r="V724" s="10">
        <f t="shared" si="558"/>
        <v>616</v>
      </c>
      <c r="W724" s="34">
        <v>1454</v>
      </c>
      <c r="X724" s="33">
        <v>4256</v>
      </c>
      <c r="Y724" s="33"/>
      <c r="Z724" s="33">
        <f t="shared" ref="Z724" si="1490">SUM(W719:W724)</f>
        <v>6840</v>
      </c>
      <c r="AA724" s="33">
        <f t="shared" ref="AA724" si="1491">+AA723+W724</f>
        <v>868049</v>
      </c>
      <c r="AB724" s="33"/>
      <c r="AC724" s="46">
        <f t="shared" ref="AC724" si="1492">+AA724/H724</f>
        <v>1.2202576870067268E-2</v>
      </c>
      <c r="AD724" s="33"/>
      <c r="AE724" s="33">
        <f t="shared" ref="AE724" si="1493">+AA724/BW724</f>
        <v>1214.0545454545454</v>
      </c>
      <c r="AF724" s="50"/>
      <c r="AG724" s="33"/>
      <c r="AH724" s="33"/>
      <c r="AI724" s="213"/>
      <c r="AJ724" s="50"/>
      <c r="AL724" s="23">
        <f t="shared" ref="AL724" si="1494">+AP724-AP723</f>
        <v>207970</v>
      </c>
      <c r="AM724" s="24"/>
      <c r="AN724" s="24"/>
      <c r="AO724" s="24">
        <v>178263</v>
      </c>
      <c r="AP724" s="24">
        <v>54344934</v>
      </c>
      <c r="AQ724" s="24">
        <v>20336656</v>
      </c>
      <c r="AR724" s="461">
        <f t="shared" ref="AR724" si="1495">+AL724/AP723</f>
        <v>3.8415526958622947E-3</v>
      </c>
      <c r="AS724" s="25"/>
      <c r="AT724" s="25"/>
      <c r="AU724" s="24"/>
      <c r="AV724" s="298">
        <f t="shared" ref="AV724" si="1496">+AP724/H724</f>
        <v>0.7639525356676089</v>
      </c>
      <c r="AW724" s="298"/>
      <c r="AX724" s="24">
        <f t="shared" ref="AX724" si="1497">+AP724/BW724</f>
        <v>76006.900699300706</v>
      </c>
      <c r="AY724" s="308"/>
      <c r="BA724" s="65">
        <f t="shared" ref="BA724" si="1498">+BC724-BC723</f>
        <v>1413093</v>
      </c>
      <c r="BB724" s="66"/>
      <c r="BC724" s="66">
        <v>955780795</v>
      </c>
      <c r="BD724" s="66"/>
      <c r="BE724" s="66">
        <f t="shared" ref="BE724" si="1499">+D724</f>
        <v>45698</v>
      </c>
      <c r="BF724" s="66"/>
      <c r="BG724" s="144">
        <f t="shared" ref="BG724" si="1500">+BE724/BA724</f>
        <v>3.2338989719714134E-2</v>
      </c>
      <c r="BH724" s="66"/>
      <c r="BI724" s="170"/>
      <c r="BJ724" s="66"/>
      <c r="BK724" s="66"/>
      <c r="BL724" s="66"/>
      <c r="BM724" s="144"/>
      <c r="BN724" s="65">
        <f t="shared" ref="BN724" si="1501">+BC724/BW724</f>
        <v>1336756.3566433566</v>
      </c>
      <c r="BO724" s="66"/>
      <c r="BP724" s="66">
        <f t="shared" ref="BP724" si="1502">+BP723+BE724</f>
        <v>70229554</v>
      </c>
      <c r="BQ724" s="66"/>
      <c r="BR724" s="435">
        <f t="shared" ref="BR724" si="1503">+BP724/BC724</f>
        <v>7.3478724794841688E-2</v>
      </c>
      <c r="BS724" s="66"/>
      <c r="BT724" s="75"/>
      <c r="BU724" s="170"/>
      <c r="BV724" s="1"/>
      <c r="BW724" s="61">
        <f t="shared" si="399"/>
        <v>715</v>
      </c>
      <c r="BZ724" s="1"/>
      <c r="CA724" s="61"/>
    </row>
    <row r="725" spans="2:79" x14ac:dyDescent="0.3">
      <c r="B725" s="158">
        <f t="shared" si="1063"/>
        <v>44625</v>
      </c>
      <c r="C725" s="61"/>
      <c r="D725" s="17">
        <v>16213</v>
      </c>
      <c r="E725" s="16"/>
      <c r="F725" s="16"/>
      <c r="G725" s="16"/>
      <c r="H725" s="16">
        <f t="shared" ref="H725" si="1504">+H724+D725</f>
        <v>71152745</v>
      </c>
      <c r="I725" s="16"/>
      <c r="J725" s="436">
        <f t="shared" ref="J725" si="1505">+D725/H724</f>
        <v>2.2791383757645088E-4</v>
      </c>
      <c r="K725" s="16"/>
      <c r="L725" s="16"/>
      <c r="M725" s="16"/>
      <c r="N725" s="16">
        <f t="shared" ref="N725" si="1506">SUM(D719:D725)</f>
        <v>243982</v>
      </c>
      <c r="O725" s="16">
        <f t="shared" ref="O725" si="1507">+H725/BW725</f>
        <v>99375.342178770952</v>
      </c>
      <c r="P725" s="41"/>
      <c r="Q725" s="17">
        <f t="shared" ref="Q725" si="1508">SUM(D719:D725)</f>
        <v>243982</v>
      </c>
      <c r="R725" s="16"/>
      <c r="S725" s="60">
        <f t="shared" ref="S725" si="1509">+(Q725-Q718)/Q718</f>
        <v>-0.30915186471969036</v>
      </c>
      <c r="T725" s="16"/>
      <c r="U725" s="41"/>
      <c r="V725" s="10">
        <f t="shared" si="558"/>
        <v>617</v>
      </c>
      <c r="W725" s="34">
        <v>328</v>
      </c>
      <c r="X725" s="33">
        <v>4256</v>
      </c>
      <c r="Y725" s="33"/>
      <c r="Z725" s="33">
        <f t="shared" ref="Z725" si="1510">SUM(W720:W725)</f>
        <v>6979</v>
      </c>
      <c r="AA725" s="33">
        <f t="shared" ref="AA725" si="1511">+AA724+W725</f>
        <v>868377</v>
      </c>
      <c r="AB725" s="33"/>
      <c r="AC725" s="46">
        <f t="shared" ref="AC725" si="1512">+AA725/H725</f>
        <v>1.2204406168728978E-2</v>
      </c>
      <c r="AD725" s="33"/>
      <c r="AE725" s="33">
        <f t="shared" ref="AE725" si="1513">+AA725/BW725</f>
        <v>1212.8170391061453</v>
      </c>
      <c r="AF725" s="50"/>
      <c r="AG725" s="33"/>
      <c r="AH725" s="33"/>
      <c r="AI725" s="213"/>
      <c r="AJ725" s="50"/>
      <c r="AL725" s="23">
        <f t="shared" ref="AL725" si="1514">+AP725-AP724</f>
        <v>250010</v>
      </c>
      <c r="AM725" s="24"/>
      <c r="AN725" s="24"/>
      <c r="AO725" s="24">
        <v>178263</v>
      </c>
      <c r="AP725" s="24">
        <v>54594944</v>
      </c>
      <c r="AQ725" s="24">
        <v>20336656</v>
      </c>
      <c r="AR725" s="461">
        <f t="shared" ref="AR725" si="1515">+AL725/AP724</f>
        <v>4.6004288090588166E-3</v>
      </c>
      <c r="AS725" s="25"/>
      <c r="AT725" s="25"/>
      <c r="AU725" s="24"/>
      <c r="AV725" s="298">
        <f t="shared" ref="AV725" si="1516">+AP725/H725</f>
        <v>0.76729216841880099</v>
      </c>
      <c r="AW725" s="298"/>
      <c r="AX725" s="24">
        <f t="shared" ref="AX725" si="1517">+AP725/BW725</f>
        <v>76249.921787709492</v>
      </c>
      <c r="AY725" s="308"/>
      <c r="BA725" s="65">
        <f t="shared" ref="BA725" si="1518">+BC725-BC724</f>
        <v>553786</v>
      </c>
      <c r="BB725" s="66"/>
      <c r="BC725" s="66">
        <v>956334581</v>
      </c>
      <c r="BD725" s="66"/>
      <c r="BE725" s="66">
        <f t="shared" ref="BE725" si="1519">+D725</f>
        <v>16213</v>
      </c>
      <c r="BF725" s="66"/>
      <c r="BG725" s="144">
        <f t="shared" ref="BG725" si="1520">+BE725/BA725</f>
        <v>2.9276651991924679E-2</v>
      </c>
      <c r="BH725" s="66"/>
      <c r="BI725" s="170"/>
      <c r="BJ725" s="66"/>
      <c r="BK725" s="66"/>
      <c r="BL725" s="66"/>
      <c r="BM725" s="144"/>
      <c r="BN725" s="65">
        <f t="shared" ref="BN725" si="1521">+BC725/BW725</f>
        <v>1335662.8226256983</v>
      </c>
      <c r="BO725" s="66"/>
      <c r="BP725" s="66">
        <f t="shared" ref="BP725" si="1522">+BP724+BE725</f>
        <v>70245767</v>
      </c>
      <c r="BQ725" s="66"/>
      <c r="BR725" s="435">
        <f t="shared" ref="BR725" si="1523">+BP725/BC725</f>
        <v>7.3453128638877485E-2</v>
      </c>
      <c r="BS725" s="66"/>
      <c r="BT725" s="75"/>
      <c r="BU725" s="170"/>
      <c r="BV725" s="1"/>
      <c r="BW725" s="61">
        <f t="shared" si="399"/>
        <v>716</v>
      </c>
      <c r="BZ725" s="1"/>
      <c r="CA725" s="61"/>
    </row>
    <row r="726" spans="2:79" x14ac:dyDescent="0.3">
      <c r="B726" s="347">
        <f t="shared" si="1063"/>
        <v>44626</v>
      </c>
      <c r="C726" s="61"/>
      <c r="D726" s="17">
        <v>4903</v>
      </c>
      <c r="E726" s="16"/>
      <c r="F726" s="16"/>
      <c r="G726" s="16"/>
      <c r="H726" s="16">
        <f t="shared" ref="H726" si="1524">+H725+D726</f>
        <v>71157648</v>
      </c>
      <c r="I726" s="16"/>
      <c r="J726" s="436">
        <f t="shared" ref="J726" si="1525">+D726/H725</f>
        <v>6.8908093426332315E-5</v>
      </c>
      <c r="K726" s="16"/>
      <c r="L726" s="16"/>
      <c r="M726" s="16"/>
      <c r="N726" s="16">
        <f t="shared" ref="N726" si="1526">SUM(D720:D726)</f>
        <v>241421</v>
      </c>
      <c r="O726" s="16">
        <f t="shared" ref="O726" si="1527">+H726/BW726</f>
        <v>99243.581589958165</v>
      </c>
      <c r="P726" s="41"/>
      <c r="Q726" s="17">
        <f t="shared" ref="Q726" si="1528">SUM(D720:D726)</f>
        <v>241421</v>
      </c>
      <c r="R726" s="16"/>
      <c r="S726" s="60">
        <f t="shared" ref="S726" si="1529">+(Q726-Q719)/Q719</f>
        <v>-0.30138524355342317</v>
      </c>
      <c r="T726" s="16"/>
      <c r="U726" s="41"/>
      <c r="V726" s="10">
        <f t="shared" si="558"/>
        <v>618</v>
      </c>
      <c r="W726" s="34">
        <v>183</v>
      </c>
      <c r="X726" s="33">
        <v>4256</v>
      </c>
      <c r="Y726" s="33"/>
      <c r="Z726" s="33">
        <f t="shared" ref="Z726" si="1530">SUM(W721:W726)</f>
        <v>6452</v>
      </c>
      <c r="AA726" s="33">
        <f t="shared" ref="AA726" si="1531">+AA725+W726</f>
        <v>868560</v>
      </c>
      <c r="AB726" s="33"/>
      <c r="AC726" s="46">
        <f t="shared" ref="AC726" si="1532">+AA726/H726</f>
        <v>1.2206136998794564E-2</v>
      </c>
      <c r="AD726" s="33"/>
      <c r="AE726" s="33">
        <f t="shared" ref="AE726" si="1533">+AA726/BW726</f>
        <v>1211.3807531380753</v>
      </c>
      <c r="AF726" s="50"/>
      <c r="AG726" s="33"/>
      <c r="AH726" s="33"/>
      <c r="AI726" s="213"/>
      <c r="AJ726" s="50"/>
      <c r="AL726" s="23">
        <f t="shared" ref="AL726" si="1534">+AP726-AP725</f>
        <v>158237</v>
      </c>
      <c r="AM726" s="24"/>
      <c r="AN726" s="24"/>
      <c r="AO726" s="24">
        <v>178263</v>
      </c>
      <c r="AP726" s="24">
        <v>54753181</v>
      </c>
      <c r="AQ726" s="24">
        <v>20336656</v>
      </c>
      <c r="AR726" s="461">
        <f t="shared" ref="AR726" si="1535">+AL726/AP725</f>
        <v>2.8983819454050544E-3</v>
      </c>
      <c r="AS726" s="25"/>
      <c r="AT726" s="25"/>
      <c r="AU726" s="24"/>
      <c r="AV726" s="298">
        <f t="shared" ref="AV726" si="1536">+AP726/H726</f>
        <v>0.76946305195472453</v>
      </c>
      <c r="AW726" s="298"/>
      <c r="AX726" s="24">
        <f t="shared" ref="AX726" si="1537">+AP726/BW726</f>
        <v>76364.269177126916</v>
      </c>
      <c r="AY726" s="308"/>
      <c r="BA726" s="65">
        <f t="shared" ref="BA726" si="1538">+BC726-BC725</f>
        <v>195077</v>
      </c>
      <c r="BB726" s="66"/>
      <c r="BC726" s="66">
        <v>956529658</v>
      </c>
      <c r="BD726" s="66"/>
      <c r="BE726" s="66">
        <f t="shared" ref="BE726" si="1539">+D726</f>
        <v>4903</v>
      </c>
      <c r="BF726" s="66"/>
      <c r="BG726" s="144">
        <f t="shared" ref="BG726" si="1540">+BE726/BA726</f>
        <v>2.5133665168113103E-2</v>
      </c>
      <c r="BH726" s="66"/>
      <c r="BI726" s="170"/>
      <c r="BJ726" s="66"/>
      <c r="BK726" s="66"/>
      <c r="BL726" s="66"/>
      <c r="BM726" s="144"/>
      <c r="BN726" s="65">
        <f t="shared" ref="BN726" si="1541">+BC726/BW726</f>
        <v>1334072.0474198048</v>
      </c>
      <c r="BO726" s="66"/>
      <c r="BP726" s="66">
        <f t="shared" ref="BP726" si="1542">+BP725+BE726</f>
        <v>70250670</v>
      </c>
      <c r="BQ726" s="66"/>
      <c r="BR726" s="435">
        <f t="shared" ref="BR726" si="1543">+BP726/BC726</f>
        <v>7.3443274249213084E-2</v>
      </c>
      <c r="BS726" s="66"/>
      <c r="BT726" s="75"/>
      <c r="BU726" s="170"/>
      <c r="BV726" s="1"/>
      <c r="BW726" s="61">
        <f t="shared" ref="BW726:BW761" si="1544">+BW725+1</f>
        <v>717</v>
      </c>
      <c r="BZ726" s="1"/>
      <c r="CA726" s="61"/>
    </row>
    <row r="727" spans="2:79" x14ac:dyDescent="0.3">
      <c r="B727" s="158">
        <f t="shared" si="1063"/>
        <v>44627</v>
      </c>
      <c r="C727" s="61"/>
      <c r="D727" s="17">
        <v>25751</v>
      </c>
      <c r="E727" s="16"/>
      <c r="F727" s="16"/>
      <c r="G727" s="16"/>
      <c r="H727" s="16">
        <f t="shared" ref="H727" si="1545">+H726+D727</f>
        <v>71183399</v>
      </c>
      <c r="I727" s="16"/>
      <c r="J727" s="436">
        <f t="shared" ref="J727" si="1546">+D727/H726</f>
        <v>3.6188660985534543E-4</v>
      </c>
      <c r="K727" s="16"/>
      <c r="L727" s="16"/>
      <c r="M727" s="16"/>
      <c r="N727" s="16">
        <f t="shared" ref="N727" si="1547">SUM(D721:D727)</f>
        <v>234254</v>
      </c>
      <c r="O727" s="16">
        <f t="shared" ref="O727" si="1548">+H727/BW727</f>
        <v>99141.224233983288</v>
      </c>
      <c r="P727" s="41"/>
      <c r="Q727" s="17">
        <f t="shared" ref="Q727" si="1549">SUM(D721:D727)</f>
        <v>234254</v>
      </c>
      <c r="R727" s="16"/>
      <c r="S727" s="60">
        <f t="shared" ref="S727" si="1550">+(Q727-Q720)/Q720</f>
        <v>-0.3320216372818236</v>
      </c>
      <c r="T727" s="16"/>
      <c r="U727" s="41"/>
      <c r="V727" s="10">
        <f t="shared" si="558"/>
        <v>619</v>
      </c>
      <c r="W727" s="34">
        <v>508</v>
      </c>
      <c r="X727" s="33">
        <v>4256</v>
      </c>
      <c r="Y727" s="33"/>
      <c r="Z727" s="33">
        <f t="shared" ref="Z727" si="1551">SUM(W722:W727)</f>
        <v>5509</v>
      </c>
      <c r="AA727" s="33">
        <f t="shared" ref="AA727" si="1552">+AA726+W727</f>
        <v>869068</v>
      </c>
      <c r="AB727" s="33"/>
      <c r="AC727" s="46">
        <f t="shared" ref="AC727" si="1553">+AA727/H727</f>
        <v>1.2208857854624222E-2</v>
      </c>
      <c r="AD727" s="33"/>
      <c r="AE727" s="33">
        <f t="shared" ref="AE727" si="1554">+AA727/BW727</f>
        <v>1210.4011142061281</v>
      </c>
      <c r="AF727" s="50"/>
      <c r="AG727" s="33"/>
      <c r="AH727" s="33"/>
      <c r="AI727" s="213"/>
      <c r="AJ727" s="50"/>
      <c r="AL727" s="23">
        <f t="shared" ref="AL727" si="1555">+AP727-AP726</f>
        <v>259830</v>
      </c>
      <c r="AM727" s="24"/>
      <c r="AN727" s="24"/>
      <c r="AO727" s="24">
        <v>178263</v>
      </c>
      <c r="AP727" s="24">
        <v>55013011</v>
      </c>
      <c r="AQ727" s="24">
        <v>20336656</v>
      </c>
      <c r="AR727" s="461">
        <f t="shared" ref="AR727" si="1556">+AL727/AP726</f>
        <v>4.745477710235685E-3</v>
      </c>
      <c r="AS727" s="25"/>
      <c r="AT727" s="25"/>
      <c r="AU727" s="24"/>
      <c r="AV727" s="298">
        <f t="shared" ref="AV727" si="1557">+AP727/H727</f>
        <v>0.77283484313526529</v>
      </c>
      <c r="AW727" s="298"/>
      <c r="AX727" s="24">
        <f t="shared" ref="AX727" si="1558">+AP727/BW727</f>
        <v>76619.792479108641</v>
      </c>
      <c r="AY727" s="308"/>
      <c r="BA727" s="65">
        <f t="shared" ref="BA727" si="1559">+BC727-BC726</f>
        <v>1788945</v>
      </c>
      <c r="BB727" s="66"/>
      <c r="BC727" s="66">
        <v>958318603</v>
      </c>
      <c r="BD727" s="66"/>
      <c r="BE727" s="66">
        <f t="shared" ref="BE727" si="1560">+D727</f>
        <v>25751</v>
      </c>
      <c r="BF727" s="66"/>
      <c r="BG727" s="144">
        <f t="shared" ref="BG727" si="1561">+BE727/BA727</f>
        <v>1.4394517439049272E-2</v>
      </c>
      <c r="BH727" s="66"/>
      <c r="BI727" s="170"/>
      <c r="BJ727" s="66"/>
      <c r="BK727" s="66"/>
      <c r="BL727" s="66"/>
      <c r="BM727" s="144"/>
      <c r="BN727" s="65">
        <f t="shared" ref="BN727" si="1562">+BC727/BW727</f>
        <v>1334705.5752089135</v>
      </c>
      <c r="BO727" s="66"/>
      <c r="BP727" s="66">
        <f t="shared" ref="BP727" si="1563">+BP726+BE727</f>
        <v>70276421</v>
      </c>
      <c r="BQ727" s="66"/>
      <c r="BR727" s="435">
        <f t="shared" ref="BR727" si="1564">+BP727/BC727</f>
        <v>7.3333044751506302E-2</v>
      </c>
      <c r="BS727" s="66"/>
      <c r="BT727" s="75"/>
      <c r="BU727" s="170"/>
      <c r="BV727" s="1"/>
      <c r="BW727" s="61">
        <f t="shared" si="1544"/>
        <v>718</v>
      </c>
      <c r="BZ727" s="1"/>
      <c r="CA727" s="61"/>
    </row>
    <row r="728" spans="2:79" x14ac:dyDescent="0.3">
      <c r="B728" s="158">
        <f t="shared" si="1063"/>
        <v>44628</v>
      </c>
      <c r="C728" s="61"/>
      <c r="D728" s="17">
        <v>29632</v>
      </c>
      <c r="E728" s="16"/>
      <c r="F728" s="16"/>
      <c r="G728" s="16"/>
      <c r="H728" s="16">
        <f t="shared" ref="H728" si="1565">+H727+D728</f>
        <v>71213031</v>
      </c>
      <c r="I728" s="16"/>
      <c r="J728" s="436">
        <f t="shared" ref="J728" si="1566">+D728/H727</f>
        <v>4.1627683443438827E-4</v>
      </c>
      <c r="K728" s="16"/>
      <c r="L728" s="16"/>
      <c r="M728" s="16"/>
      <c r="N728" s="16">
        <f t="shared" ref="N728" si="1567">SUM(D722:D728)</f>
        <v>221987</v>
      </c>
      <c r="O728" s="16">
        <f t="shared" ref="O728" si="1568">+H728/BW728</f>
        <v>99044.549374130744</v>
      </c>
      <c r="P728" s="41"/>
      <c r="Q728" s="17">
        <f t="shared" ref="Q728" si="1569">SUM(D722:D728)</f>
        <v>221987</v>
      </c>
      <c r="R728" s="16"/>
      <c r="S728" s="60">
        <f t="shared" ref="S728" si="1570">+(Q728-Q721)/Q721</f>
        <v>-0.3287908153854992</v>
      </c>
      <c r="T728" s="16"/>
      <c r="U728" s="41"/>
      <c r="V728" s="10">
        <f t="shared" si="558"/>
        <v>620</v>
      </c>
      <c r="W728" s="34">
        <v>1128</v>
      </c>
      <c r="X728" s="33">
        <v>4256</v>
      </c>
      <c r="Y728" s="33"/>
      <c r="Z728" s="33">
        <f t="shared" ref="Z728" si="1571">SUM(W723:W728)</f>
        <v>4859</v>
      </c>
      <c r="AA728" s="33">
        <f t="shared" ref="AA728" si="1572">+AA727+W728</f>
        <v>870196</v>
      </c>
      <c r="AB728" s="33"/>
      <c r="AC728" s="46">
        <f t="shared" ref="AC728" si="1573">+AA728/H728</f>
        <v>1.221961750230797E-2</v>
      </c>
      <c r="AD728" s="33"/>
      <c r="AE728" s="33">
        <f t="shared" ref="AE728" si="1574">+AA728/BW728</f>
        <v>1210.2865090403338</v>
      </c>
      <c r="AF728" s="50"/>
      <c r="AG728" s="33"/>
      <c r="AH728" s="33"/>
      <c r="AI728" s="213"/>
      <c r="AJ728" s="50"/>
      <c r="AL728" s="23">
        <f t="shared" ref="AL728" si="1575">+AP728-AP727</f>
        <v>202659</v>
      </c>
      <c r="AM728" s="24"/>
      <c r="AN728" s="24"/>
      <c r="AO728" s="24">
        <v>178263</v>
      </c>
      <c r="AP728" s="24">
        <v>55215670</v>
      </c>
      <c r="AQ728" s="24">
        <v>20336656</v>
      </c>
      <c r="AR728" s="461">
        <f t="shared" ref="AR728" si="1576">+AL728/AP727</f>
        <v>3.6838376288838288E-3</v>
      </c>
      <c r="AS728" s="25"/>
      <c r="AT728" s="25"/>
      <c r="AU728" s="24"/>
      <c r="AV728" s="298">
        <f t="shared" ref="AV728" si="1577">+AP728/H728</f>
        <v>0.77535907718911723</v>
      </c>
      <c r="AW728" s="298"/>
      <c r="AX728" s="24">
        <f t="shared" ref="AX728" si="1578">+AP728/BW728</f>
        <v>76795.090403337963</v>
      </c>
      <c r="AY728" s="308"/>
      <c r="BA728" s="65">
        <f t="shared" ref="BA728" si="1579">+BC728-BC727</f>
        <v>1742227</v>
      </c>
      <c r="BB728" s="66"/>
      <c r="BC728" s="66">
        <v>960060830</v>
      </c>
      <c r="BD728" s="66"/>
      <c r="BE728" s="66">
        <f t="shared" ref="BE728" si="1580">+D728</f>
        <v>29632</v>
      </c>
      <c r="BF728" s="66"/>
      <c r="BG728" s="144">
        <f t="shared" ref="BG728" si="1581">+BE728/BA728</f>
        <v>1.7008116623149567E-2</v>
      </c>
      <c r="BH728" s="66"/>
      <c r="BI728" s="170"/>
      <c r="BJ728" s="66"/>
      <c r="BK728" s="66"/>
      <c r="BL728" s="66"/>
      <c r="BM728" s="144"/>
      <c r="BN728" s="65">
        <f t="shared" ref="BN728" si="1582">+BC728/BW728</f>
        <v>1335272.3643949931</v>
      </c>
      <c r="BO728" s="66"/>
      <c r="BP728" s="66">
        <f t="shared" ref="BP728" si="1583">+BP727+BE728</f>
        <v>70306053</v>
      </c>
      <c r="BQ728" s="66"/>
      <c r="BR728" s="435">
        <f t="shared" ref="BR728" si="1584">+BP728/BC728</f>
        <v>7.3230831633866372E-2</v>
      </c>
      <c r="BS728" s="66"/>
      <c r="BT728" s="75"/>
      <c r="BU728" s="170"/>
      <c r="BV728" s="1"/>
      <c r="BW728" s="61">
        <f t="shared" si="1544"/>
        <v>719</v>
      </c>
      <c r="BZ728" s="1"/>
      <c r="CA728" s="61"/>
    </row>
    <row r="729" spans="2:79" x14ac:dyDescent="0.3">
      <c r="B729" s="158">
        <f t="shared" si="1063"/>
        <v>44629</v>
      </c>
      <c r="C729" s="61"/>
      <c r="D729" s="17">
        <v>39200</v>
      </c>
      <c r="E729" s="16"/>
      <c r="F729" s="16"/>
      <c r="G729" s="16"/>
      <c r="H729" s="16">
        <f t="shared" ref="H729" si="1585">+H728+D729</f>
        <v>71252231</v>
      </c>
      <c r="I729" s="16"/>
      <c r="J729" s="436">
        <f t="shared" ref="J729" si="1586">+D729/H728</f>
        <v>5.5046105255651873E-4</v>
      </c>
      <c r="K729" s="16"/>
      <c r="L729" s="16"/>
      <c r="M729" s="16"/>
      <c r="N729" s="16">
        <f t="shared" ref="N729" si="1587">SUM(D723:D729)</f>
        <v>210488</v>
      </c>
      <c r="O729" s="16">
        <f t="shared" ref="O729" si="1588">+H729/BW729</f>
        <v>98961.431944444441</v>
      </c>
      <c r="P729" s="41"/>
      <c r="Q729" s="17">
        <f t="shared" ref="Q729" si="1589">SUM(D723:D729)</f>
        <v>210488</v>
      </c>
      <c r="R729" s="16"/>
      <c r="S729" s="60">
        <f t="shared" ref="S729" si="1590">+(Q729-Q722)/Q722</f>
        <v>-0.31241384266609173</v>
      </c>
      <c r="T729" s="16"/>
      <c r="U729" s="41"/>
      <c r="V729" s="10">
        <f t="shared" si="558"/>
        <v>621</v>
      </c>
      <c r="W729" s="34">
        <v>1265</v>
      </c>
      <c r="X729" s="33">
        <v>4256</v>
      </c>
      <c r="Y729" s="33"/>
      <c r="Z729" s="33">
        <f t="shared" ref="Z729" si="1591">SUM(W724:W729)</f>
        <v>4866</v>
      </c>
      <c r="AA729" s="33">
        <f t="shared" ref="AA729" si="1592">+AA728+W729</f>
        <v>871461</v>
      </c>
      <c r="AB729" s="33"/>
      <c r="AC729" s="46">
        <f t="shared" ref="AC729" si="1593">+AA729/H729</f>
        <v>1.2230648609444944E-2</v>
      </c>
      <c r="AD729" s="33"/>
      <c r="AE729" s="33">
        <f t="shared" ref="AE729" si="1594">+AA729/BW729</f>
        <v>1210.3625</v>
      </c>
      <c r="AF729" s="50"/>
      <c r="AG729" s="33"/>
      <c r="AH729" s="33"/>
      <c r="AI729" s="213"/>
      <c r="AJ729" s="50"/>
      <c r="AL729" s="23">
        <f t="shared" ref="AL729" si="1595">+AP729-AP728</f>
        <v>214324</v>
      </c>
      <c r="AM729" s="24"/>
      <c r="AN729" s="24"/>
      <c r="AO729" s="24">
        <v>178263</v>
      </c>
      <c r="AP729" s="24">
        <v>55429994</v>
      </c>
      <c r="AQ729" s="24">
        <v>20336656</v>
      </c>
      <c r="AR729" s="461">
        <f t="shared" ref="AR729" si="1596">+AL729/AP728</f>
        <v>3.881579269073435E-3</v>
      </c>
      <c r="AS729" s="25"/>
      <c r="AT729" s="25"/>
      <c r="AU729" s="24"/>
      <c r="AV729" s="298">
        <f t="shared" ref="AV729" si="1597">+AP729/H729</f>
        <v>0.77794046897984148</v>
      </c>
      <c r="AW729" s="298"/>
      <c r="AX729" s="24">
        <f t="shared" ref="AX729" si="1598">+AP729/BW729</f>
        <v>76986.102777777778</v>
      </c>
      <c r="AY729" s="308"/>
      <c r="BA729" s="65">
        <f t="shared" ref="BA729" si="1599">+BC729-BC728</f>
        <v>1387984</v>
      </c>
      <c r="BB729" s="66"/>
      <c r="BC729" s="66">
        <v>961448814</v>
      </c>
      <c r="BD729" s="66"/>
      <c r="BE729" s="66">
        <f t="shared" ref="BE729" si="1600">+D729</f>
        <v>39200</v>
      </c>
      <c r="BF729" s="66"/>
      <c r="BG729" s="144">
        <f t="shared" ref="BG729" si="1601">+BE729/BA729</f>
        <v>2.8242400488766441E-2</v>
      </c>
      <c r="BH729" s="66"/>
      <c r="BI729" s="170"/>
      <c r="BJ729" s="66"/>
      <c r="BK729" s="66"/>
      <c r="BL729" s="66"/>
      <c r="BM729" s="144"/>
      <c r="BN729" s="65">
        <f t="shared" ref="BN729" si="1602">+BC729/BW729</f>
        <v>1335345.575</v>
      </c>
      <c r="BO729" s="66"/>
      <c r="BP729" s="66">
        <f t="shared" ref="BP729" si="1603">+BP728+BE729</f>
        <v>70345253</v>
      </c>
      <c r="BQ729" s="66"/>
      <c r="BR729" s="435">
        <f t="shared" ref="BR729" si="1604">+BP729/BC729</f>
        <v>7.316588462711443E-2</v>
      </c>
      <c r="BS729" s="66"/>
      <c r="BT729" s="75"/>
      <c r="BU729" s="170"/>
      <c r="BV729" s="1"/>
      <c r="BW729" s="61">
        <f t="shared" si="1544"/>
        <v>720</v>
      </c>
      <c r="BZ729" s="1"/>
      <c r="CA729" s="61"/>
    </row>
    <row r="730" spans="2:79" x14ac:dyDescent="0.3">
      <c r="B730" s="158">
        <f t="shared" si="1063"/>
        <v>44630</v>
      </c>
      <c r="C730" s="61"/>
      <c r="D730" s="17">
        <v>38038</v>
      </c>
      <c r="E730" s="16"/>
      <c r="F730" s="16"/>
      <c r="G730" s="16"/>
      <c r="H730" s="16">
        <f t="shared" ref="H730" si="1605">+H729+D730</f>
        <v>71290269</v>
      </c>
      <c r="I730" s="16"/>
      <c r="J730" s="436">
        <f t="shared" ref="J730" si="1606">+D730/H729</f>
        <v>5.3384995060716067E-4</v>
      </c>
      <c r="K730" s="16"/>
      <c r="L730" s="16"/>
      <c r="M730" s="16"/>
      <c r="N730" s="16">
        <f t="shared" ref="N730" si="1607">SUM(D724:D730)</f>
        <v>199435</v>
      </c>
      <c r="O730" s="16">
        <f t="shared" ref="O730" si="1608">+H730/BW730</f>
        <v>98876.933425797499</v>
      </c>
      <c r="P730" s="41"/>
      <c r="Q730" s="17">
        <f t="shared" ref="Q730" si="1609">SUM(D724:D730)</f>
        <v>199435</v>
      </c>
      <c r="R730" s="16"/>
      <c r="S730" s="60">
        <f t="shared" ref="S730" si="1610">+(Q730-Q723)/Q723</f>
        <v>-0.29858404963212021</v>
      </c>
      <c r="T730" s="16"/>
      <c r="U730" s="41"/>
      <c r="V730" s="10">
        <f t="shared" si="558"/>
        <v>622</v>
      </c>
      <c r="W730" s="34">
        <v>1247</v>
      </c>
      <c r="X730" s="33">
        <v>4256</v>
      </c>
      <c r="Y730" s="33"/>
      <c r="Z730" s="33">
        <f t="shared" ref="Z730" si="1611">SUM(W725:W730)</f>
        <v>4659</v>
      </c>
      <c r="AA730" s="33">
        <f t="shared" ref="AA730" si="1612">+AA729+W730</f>
        <v>872708</v>
      </c>
      <c r="AB730" s="33"/>
      <c r="AC730" s="46">
        <f t="shared" ref="AC730" si="1613">+AA730/H730</f>
        <v>1.2241614630462399E-2</v>
      </c>
      <c r="AD730" s="33"/>
      <c r="AE730" s="33">
        <f t="shared" ref="AE730" si="1614">+AA730/BW730</f>
        <v>1210.4133148404992</v>
      </c>
      <c r="AF730" s="50"/>
      <c r="AG730" s="33"/>
      <c r="AH730" s="33"/>
      <c r="AI730" s="213"/>
      <c r="AJ730" s="50"/>
      <c r="AL730" s="23">
        <f t="shared" ref="AL730" si="1615">+AP730-AP729</f>
        <v>170181</v>
      </c>
      <c r="AM730" s="24"/>
      <c r="AN730" s="24"/>
      <c r="AO730" s="24">
        <v>178263</v>
      </c>
      <c r="AP730" s="24">
        <v>55600175</v>
      </c>
      <c r="AQ730" s="24">
        <v>20336656</v>
      </c>
      <c r="AR730" s="461">
        <f t="shared" ref="AR730" si="1616">+AL730/AP729</f>
        <v>3.0701969767487256E-3</v>
      </c>
      <c r="AS730" s="25"/>
      <c r="AT730" s="25"/>
      <c r="AU730" s="24"/>
      <c r="AV730" s="298">
        <f t="shared" ref="AV730" si="1617">+AP730/H730</f>
        <v>0.77991254318313763</v>
      </c>
      <c r="AW730" s="298"/>
      <c r="AX730" s="24">
        <f t="shared" ref="AX730" si="1618">+AP730/BW730</f>
        <v>77115.360610263524</v>
      </c>
      <c r="AY730" s="308"/>
      <c r="BA730" s="65">
        <f t="shared" ref="BA730" si="1619">+BC730-BC729</f>
        <v>1168400</v>
      </c>
      <c r="BB730" s="66"/>
      <c r="BC730" s="66">
        <v>962617214</v>
      </c>
      <c r="BD730" s="66"/>
      <c r="BE730" s="66">
        <f t="shared" ref="BE730" si="1620">+D730</f>
        <v>38038</v>
      </c>
      <c r="BF730" s="66"/>
      <c r="BG730" s="144">
        <f t="shared" ref="BG730" si="1621">+BE730/BA730</f>
        <v>3.2555631633002395E-2</v>
      </c>
      <c r="BH730" s="66"/>
      <c r="BI730" s="170"/>
      <c r="BJ730" s="66"/>
      <c r="BK730" s="66"/>
      <c r="BL730" s="66"/>
      <c r="BM730" s="144"/>
      <c r="BN730" s="65">
        <f t="shared" ref="BN730" si="1622">+BC730/BW730</f>
        <v>1335114.027739251</v>
      </c>
      <c r="BO730" s="66"/>
      <c r="BP730" s="66">
        <f t="shared" ref="BP730" si="1623">+BP729+BE730</f>
        <v>70383291</v>
      </c>
      <c r="BQ730" s="66"/>
      <c r="BR730" s="435">
        <f t="shared" ref="BR730" si="1624">+BP730/BC730</f>
        <v>7.3116592947194067E-2</v>
      </c>
      <c r="BS730" s="66"/>
      <c r="BT730" s="75"/>
      <c r="BU730" s="170"/>
      <c r="BV730" s="1"/>
      <c r="BW730" s="61">
        <f t="shared" si="1544"/>
        <v>721</v>
      </c>
      <c r="BZ730" s="1"/>
      <c r="CA730" s="61"/>
    </row>
    <row r="731" spans="2:79" x14ac:dyDescent="0.3">
      <c r="B731" s="158">
        <f t="shared" si="1063"/>
        <v>44631</v>
      </c>
      <c r="C731" s="61"/>
      <c r="D731" s="17">
        <v>39254</v>
      </c>
      <c r="E731" s="16"/>
      <c r="F731" s="16"/>
      <c r="G731" s="16"/>
      <c r="H731" s="16">
        <f t="shared" ref="H731" si="1625">+H730+D731</f>
        <v>71329523</v>
      </c>
      <c r="I731" s="16"/>
      <c r="J731" s="436">
        <f t="shared" ref="J731" si="1626">+D731/H730</f>
        <v>5.5062213329563957E-4</v>
      </c>
      <c r="K731" s="16"/>
      <c r="L731" s="16"/>
      <c r="M731" s="16"/>
      <c r="N731" s="16">
        <f t="shared" ref="N731" si="1627">SUM(D725:D731)</f>
        <v>192991</v>
      </c>
      <c r="O731" s="16">
        <f t="shared" ref="O731" si="1628">+H731/BW731</f>
        <v>98794.353185595566</v>
      </c>
      <c r="P731" s="41"/>
      <c r="Q731" s="17">
        <f t="shared" ref="Q731" si="1629">SUM(D725:D731)</f>
        <v>192991</v>
      </c>
      <c r="R731" s="16"/>
      <c r="S731" s="60">
        <f t="shared" ref="S731" si="1630">+(Q731-Q724)/Q724</f>
        <v>-0.23951026906041645</v>
      </c>
      <c r="T731" s="16"/>
      <c r="U731" s="41"/>
      <c r="V731" s="10">
        <f t="shared" si="558"/>
        <v>623</v>
      </c>
      <c r="W731" s="34">
        <v>1022</v>
      </c>
      <c r="X731" s="33">
        <v>4256</v>
      </c>
      <c r="Y731" s="33"/>
      <c r="Z731" s="33">
        <f t="shared" ref="Z731" si="1631">SUM(W726:W731)</f>
        <v>5353</v>
      </c>
      <c r="AA731" s="33">
        <f t="shared" ref="AA731" si="1632">+AA730+W731</f>
        <v>873730</v>
      </c>
      <c r="AB731" s="33"/>
      <c r="AC731" s="46">
        <f t="shared" ref="AC731" si="1633">+AA731/H731</f>
        <v>1.2249205704067305E-2</v>
      </c>
      <c r="AD731" s="33"/>
      <c r="AE731" s="33">
        <f t="shared" ref="AE731" si="1634">+AA731/BW731</f>
        <v>1210.152354570637</v>
      </c>
      <c r="AF731" s="50"/>
      <c r="AG731" s="33"/>
      <c r="AH731" s="33"/>
      <c r="AI731" s="213"/>
      <c r="AJ731" s="50"/>
      <c r="AL731" s="23">
        <f t="shared" ref="AL731" si="1635">+AP731-AP730</f>
        <v>157198</v>
      </c>
      <c r="AM731" s="24"/>
      <c r="AN731" s="24"/>
      <c r="AO731" s="24">
        <v>178263</v>
      </c>
      <c r="AP731" s="24">
        <v>55757373</v>
      </c>
      <c r="AQ731" s="24">
        <v>20336656</v>
      </c>
      <c r="AR731" s="461">
        <f t="shared" ref="AR731" si="1636">+AL731/AP730</f>
        <v>2.8272932594186977E-3</v>
      </c>
      <c r="AS731" s="25"/>
      <c r="AT731" s="25"/>
      <c r="AU731" s="24"/>
      <c r="AV731" s="298">
        <f t="shared" ref="AV731" si="1637">+AP731/H731</f>
        <v>0.7816871704020788</v>
      </c>
      <c r="AW731" s="298"/>
      <c r="AX731" s="24">
        <f t="shared" ref="AX731" si="1638">+AP731/BW731</f>
        <v>77226.278393351808</v>
      </c>
      <c r="AY731" s="308"/>
      <c r="BA731" s="65">
        <f t="shared" ref="BA731" si="1639">+BC731-BC730</f>
        <v>1188666</v>
      </c>
      <c r="BB731" s="66"/>
      <c r="BC731" s="66">
        <v>963805880</v>
      </c>
      <c r="BD731" s="66"/>
      <c r="BE731" s="66">
        <f t="shared" ref="BE731" si="1640">+D731</f>
        <v>39254</v>
      </c>
      <c r="BF731" s="66"/>
      <c r="BG731" s="144">
        <f t="shared" ref="BG731" si="1641">+BE731/BA731</f>
        <v>3.3023574326177411E-2</v>
      </c>
      <c r="BH731" s="66"/>
      <c r="BI731" s="170"/>
      <c r="BJ731" s="66"/>
      <c r="BK731" s="66"/>
      <c r="BL731" s="66"/>
      <c r="BM731" s="144"/>
      <c r="BN731" s="65">
        <f t="shared" ref="BN731" si="1642">+BC731/BW731</f>
        <v>1334911.1911357341</v>
      </c>
      <c r="BO731" s="66"/>
      <c r="BP731" s="66">
        <f t="shared" ref="BP731" si="1643">+BP730+BE731</f>
        <v>70422545</v>
      </c>
      <c r="BQ731" s="66"/>
      <c r="BR731" s="435">
        <f t="shared" ref="BR731" si="1644">+BP731/BC731</f>
        <v>7.3067146052273518E-2</v>
      </c>
      <c r="BS731" s="66"/>
      <c r="BT731" s="75"/>
      <c r="BU731" s="170"/>
      <c r="BV731" s="1"/>
      <c r="BW731" s="61">
        <f t="shared" si="1544"/>
        <v>722</v>
      </c>
      <c r="BZ731" s="1"/>
      <c r="CA731" s="61"/>
    </row>
    <row r="732" spans="2:79" x14ac:dyDescent="0.3">
      <c r="B732" s="158">
        <f t="shared" si="1063"/>
        <v>44632</v>
      </c>
      <c r="C732" s="61"/>
      <c r="D732" s="17">
        <v>12261</v>
      </c>
      <c r="E732" s="16"/>
      <c r="F732" s="16"/>
      <c r="G732" s="16"/>
      <c r="H732" s="16">
        <f t="shared" ref="H732" si="1645">+H731+D732</f>
        <v>71341784</v>
      </c>
      <c r="I732" s="16"/>
      <c r="J732" s="436">
        <f t="shared" ref="J732" si="1646">+D732/H731</f>
        <v>1.71892359353083E-4</v>
      </c>
      <c r="K732" s="16"/>
      <c r="L732" s="16"/>
      <c r="M732" s="16"/>
      <c r="N732" s="16">
        <f t="shared" ref="N732" si="1647">SUM(D726:D732)</f>
        <v>189039</v>
      </c>
      <c r="O732" s="16">
        <f t="shared" ref="O732" si="1648">+H732/BW732</f>
        <v>98674.666666666672</v>
      </c>
      <c r="P732" s="41"/>
      <c r="Q732" s="17">
        <f t="shared" ref="Q732" si="1649">SUM(D726:D732)</f>
        <v>189039</v>
      </c>
      <c r="R732" s="16"/>
      <c r="S732" s="60">
        <f t="shared" ref="S732" si="1650">+(Q732-Q725)/Q725</f>
        <v>-0.22519284209490864</v>
      </c>
      <c r="T732" s="16"/>
      <c r="U732" s="41"/>
      <c r="V732" s="10">
        <f t="shared" si="558"/>
        <v>624</v>
      </c>
      <c r="W732" s="34">
        <v>460</v>
      </c>
      <c r="X732" s="33">
        <v>4256</v>
      </c>
      <c r="Y732" s="33"/>
      <c r="Z732" s="33">
        <f t="shared" ref="Z732" si="1651">SUM(W727:W732)</f>
        <v>5630</v>
      </c>
      <c r="AA732" s="33">
        <f t="shared" ref="AA732" si="1652">+AA731+W732</f>
        <v>874190</v>
      </c>
      <c r="AB732" s="33"/>
      <c r="AC732" s="46">
        <f t="shared" ref="AC732" si="1653">+AA732/H732</f>
        <v>1.2253548355336895E-2</v>
      </c>
      <c r="AD732" s="33"/>
      <c r="AE732" s="33">
        <f t="shared" ref="AE732" si="1654">+AA732/BW732</f>
        <v>1209.1147994467497</v>
      </c>
      <c r="AF732" s="50"/>
      <c r="AG732" s="33"/>
      <c r="AH732" s="33"/>
      <c r="AI732" s="213"/>
      <c r="AJ732" s="50"/>
      <c r="AL732" s="23">
        <f t="shared" ref="AL732" si="1655">+AP732-AP731</f>
        <v>157765</v>
      </c>
      <c r="AM732" s="24"/>
      <c r="AN732" s="24"/>
      <c r="AO732" s="24">
        <v>178263</v>
      </c>
      <c r="AP732" s="24">
        <v>55915138</v>
      </c>
      <c r="AQ732" s="24">
        <v>20336656</v>
      </c>
      <c r="AR732" s="461">
        <f t="shared" ref="AR732" si="1656">+AL732/AP731</f>
        <v>2.8294912674598212E-3</v>
      </c>
      <c r="AS732" s="25"/>
      <c r="AT732" s="25"/>
      <c r="AU732" s="24"/>
      <c r="AV732" s="298">
        <f t="shared" ref="AV732" si="1657">+AP732/H732</f>
        <v>0.78376422434291804</v>
      </c>
      <c r="AW732" s="298"/>
      <c r="AX732" s="24">
        <f t="shared" ref="AX732" si="1658">+AP732/BW732</f>
        <v>77337.673582295989</v>
      </c>
      <c r="AY732" s="308"/>
      <c r="BA732" s="65">
        <f t="shared" ref="BA732" si="1659">+BC732-BC731</f>
        <v>348507</v>
      </c>
      <c r="BB732" s="66"/>
      <c r="BC732" s="66">
        <v>964154387</v>
      </c>
      <c r="BD732" s="66"/>
      <c r="BE732" s="66">
        <f t="shared" ref="BE732" si="1660">+D732</f>
        <v>12261</v>
      </c>
      <c r="BF732" s="66"/>
      <c r="BG732" s="144">
        <f t="shared" ref="BG732" si="1661">+BE732/BA732</f>
        <v>3.5181502810560476E-2</v>
      </c>
      <c r="BH732" s="66"/>
      <c r="BI732" s="170"/>
      <c r="BJ732" s="66"/>
      <c r="BK732" s="66"/>
      <c r="BL732" s="66"/>
      <c r="BM732" s="144"/>
      <c r="BN732" s="65">
        <f t="shared" ref="BN732" si="1662">+BC732/BW732</f>
        <v>1333546.8699861688</v>
      </c>
      <c r="BO732" s="66"/>
      <c r="BP732" s="66">
        <f t="shared" ref="BP732" si="1663">+BP731+BE732</f>
        <v>70434806</v>
      </c>
      <c r="BQ732" s="66"/>
      <c r="BR732" s="435">
        <f t="shared" ref="BR732" si="1664">+BP732/BC732</f>
        <v>7.3053451760106969E-2</v>
      </c>
      <c r="BS732" s="66"/>
      <c r="BT732" s="75"/>
      <c r="BU732" s="170"/>
      <c r="BV732" s="1"/>
      <c r="BW732" s="61">
        <f t="shared" si="1544"/>
        <v>723</v>
      </c>
      <c r="BZ732" s="1"/>
      <c r="CA732" s="61"/>
    </row>
    <row r="733" spans="2:79" x14ac:dyDescent="0.3">
      <c r="B733" s="347">
        <f t="shared" si="1063"/>
        <v>44633</v>
      </c>
      <c r="C733" s="61"/>
      <c r="D733" s="17">
        <v>5143</v>
      </c>
      <c r="E733" s="16"/>
      <c r="F733" s="16"/>
      <c r="G733" s="16"/>
      <c r="H733" s="16">
        <f t="shared" ref="H733" si="1665">+H732+D733</f>
        <v>71346927</v>
      </c>
      <c r="I733" s="16"/>
      <c r="J733" s="436">
        <f t="shared" ref="J733" si="1666">+D733/H732</f>
        <v>7.2089590582708165E-5</v>
      </c>
      <c r="K733" s="16"/>
      <c r="L733" s="16"/>
      <c r="M733" s="16"/>
      <c r="N733" s="16">
        <f t="shared" ref="N733" si="1667">SUM(D727:D733)</f>
        <v>189279</v>
      </c>
      <c r="O733" s="16">
        <f t="shared" ref="O733" si="1668">+H733/BW733</f>
        <v>98545.479281767955</v>
      </c>
      <c r="P733" s="41"/>
      <c r="Q733" s="17">
        <f t="shared" ref="Q733" si="1669">SUM(D727:D733)</f>
        <v>189279</v>
      </c>
      <c r="R733" s="16"/>
      <c r="S733" s="60">
        <f t="shared" ref="S733" si="1670">+(Q733-Q726)/Q726</f>
        <v>-0.21597955438839206</v>
      </c>
      <c r="T733" s="16"/>
      <c r="U733" s="41"/>
      <c r="V733" s="10">
        <f t="shared" si="558"/>
        <v>625</v>
      </c>
      <c r="W733" s="34">
        <v>118</v>
      </c>
      <c r="X733" s="33">
        <v>4256</v>
      </c>
      <c r="Y733" s="33"/>
      <c r="Z733" s="33">
        <f t="shared" ref="Z733" si="1671">SUM(W728:W733)</f>
        <v>5240</v>
      </c>
      <c r="AA733" s="33">
        <f t="shared" ref="AA733" si="1672">+AA732+W733</f>
        <v>874308</v>
      </c>
      <c r="AB733" s="33"/>
      <c r="AC733" s="46">
        <f t="shared" ref="AC733" si="1673">+AA733/H733</f>
        <v>1.225431895616191E-2</v>
      </c>
      <c r="AD733" s="33"/>
      <c r="AE733" s="33">
        <f t="shared" ref="AE733" si="1674">+AA733/BW733</f>
        <v>1207.6077348066299</v>
      </c>
      <c r="AF733" s="50"/>
      <c r="AG733" s="33"/>
      <c r="AH733" s="33"/>
      <c r="AI733" s="213"/>
      <c r="AJ733" s="50"/>
      <c r="AL733" s="23">
        <f t="shared" ref="AL733" si="1675">+AP733-AP732</f>
        <v>155965</v>
      </c>
      <c r="AM733" s="24"/>
      <c r="AN733" s="24"/>
      <c r="AO733" s="24">
        <v>178263</v>
      </c>
      <c r="AP733" s="24">
        <v>56071103</v>
      </c>
      <c r="AQ733" s="24">
        <v>20336656</v>
      </c>
      <c r="AR733" s="461">
        <f t="shared" ref="AR733" si="1676">+AL733/AP732</f>
        <v>2.78931619555334E-3</v>
      </c>
      <c r="AS733" s="25"/>
      <c r="AT733" s="25"/>
      <c r="AU733" s="24"/>
      <c r="AV733" s="298">
        <f t="shared" ref="AV733" si="1677">+AP733/H733</f>
        <v>0.78589373582971556</v>
      </c>
      <c r="AW733" s="298"/>
      <c r="AX733" s="24">
        <f t="shared" ref="AX733" si="1678">+AP733/BW733</f>
        <v>77446.274861878454</v>
      </c>
      <c r="AY733" s="308"/>
      <c r="BA733" s="65">
        <f t="shared" ref="BA733" si="1679">+BC733-BC732</f>
        <v>232268</v>
      </c>
      <c r="BB733" s="66"/>
      <c r="BC733" s="66">
        <v>964386655</v>
      </c>
      <c r="BD733" s="66"/>
      <c r="BE733" s="66">
        <f t="shared" ref="BE733" si="1680">+D733</f>
        <v>5143</v>
      </c>
      <c r="BF733" s="66"/>
      <c r="BG733" s="144">
        <f t="shared" ref="BG733" si="1681">+BE733/BA733</f>
        <v>2.2142525014207725E-2</v>
      </c>
      <c r="BH733" s="66"/>
      <c r="BI733" s="170"/>
      <c r="BJ733" s="66"/>
      <c r="BK733" s="66"/>
      <c r="BL733" s="66"/>
      <c r="BM733" s="144"/>
      <c r="BN733" s="65">
        <f t="shared" ref="BN733" si="1682">+BC733/BW733</f>
        <v>1332025.7665745856</v>
      </c>
      <c r="BO733" s="66"/>
      <c r="BP733" s="66">
        <f t="shared" ref="BP733" si="1683">+BP732+BE733</f>
        <v>70439949</v>
      </c>
      <c r="BQ733" s="66"/>
      <c r="BR733" s="435">
        <f t="shared" ref="BR733" si="1684">+BP733/BC733</f>
        <v>7.3041190102324668E-2</v>
      </c>
      <c r="BS733" s="66"/>
      <c r="BT733" s="75"/>
      <c r="BU733" s="170"/>
      <c r="BV733" s="1"/>
      <c r="BW733" s="61">
        <f t="shared" si="1544"/>
        <v>724</v>
      </c>
      <c r="BZ733" s="1"/>
      <c r="CA733" s="61"/>
    </row>
    <row r="734" spans="2:79" x14ac:dyDescent="0.3">
      <c r="B734" s="158">
        <f t="shared" si="1063"/>
        <v>44634</v>
      </c>
      <c r="C734" s="61"/>
      <c r="D734" s="17">
        <v>19474</v>
      </c>
      <c r="E734" s="16"/>
      <c r="F734" s="16"/>
      <c r="G734" s="16"/>
      <c r="H734" s="16">
        <f t="shared" ref="H734" si="1685">+H733+D734</f>
        <v>71366401</v>
      </c>
      <c r="I734" s="16"/>
      <c r="J734" s="436">
        <f t="shared" ref="J734" si="1686">+D734/H733</f>
        <v>2.7294798555234199E-4</v>
      </c>
      <c r="K734" s="16"/>
      <c r="L734" s="16"/>
      <c r="M734" s="16"/>
      <c r="N734" s="16">
        <f t="shared" ref="N734" si="1687">SUM(D728:D734)</f>
        <v>183002</v>
      </c>
      <c r="O734" s="16">
        <f t="shared" ref="O734" si="1688">+H734/BW734</f>
        <v>98436.415172413792</v>
      </c>
      <c r="P734" s="41"/>
      <c r="Q734" s="17">
        <f t="shared" ref="Q734" si="1689">SUM(D728:D734)</f>
        <v>183002</v>
      </c>
      <c r="R734" s="16"/>
      <c r="S734" s="60">
        <f t="shared" ref="S734" si="1690">+(Q734-Q727)/Q727</f>
        <v>-0.21878815303047119</v>
      </c>
      <c r="T734" s="16"/>
      <c r="U734" s="41"/>
      <c r="V734" s="10">
        <f t="shared" si="558"/>
        <v>626</v>
      </c>
      <c r="W734" s="34">
        <v>408</v>
      </c>
      <c r="X734" s="33">
        <v>4256</v>
      </c>
      <c r="Y734" s="33"/>
      <c r="Z734" s="33">
        <f t="shared" ref="Z734" si="1691">SUM(W729:W734)</f>
        <v>4520</v>
      </c>
      <c r="AA734" s="33">
        <f t="shared" ref="AA734" si="1692">+AA733+W734</f>
        <v>874716</v>
      </c>
      <c r="AB734" s="33"/>
      <c r="AC734" s="46">
        <f t="shared" ref="AC734" si="1693">+AA734/H734</f>
        <v>1.225669205316939E-2</v>
      </c>
      <c r="AD734" s="33"/>
      <c r="AE734" s="33">
        <f t="shared" ref="AE734" si="1694">+AA734/BW734</f>
        <v>1206.5048275862068</v>
      </c>
      <c r="AF734" s="50"/>
      <c r="AG734" s="33"/>
      <c r="AH734" s="33"/>
      <c r="AI734" s="213"/>
      <c r="AJ734" s="50"/>
      <c r="AL734" s="23">
        <f t="shared" ref="AL734" si="1695">+AP734-AP733</f>
        <v>210903</v>
      </c>
      <c r="AM734" s="24"/>
      <c r="AN734" s="24"/>
      <c r="AO734" s="24">
        <v>178263</v>
      </c>
      <c r="AP734" s="24">
        <v>56282006</v>
      </c>
      <c r="AQ734" s="24">
        <v>20336656</v>
      </c>
      <c r="AR734" s="461">
        <f t="shared" ref="AR734" si="1696">+AL734/AP733</f>
        <v>3.7613492283181944E-3</v>
      </c>
      <c r="AS734" s="25"/>
      <c r="AT734" s="25"/>
      <c r="AU734" s="24"/>
      <c r="AV734" s="298">
        <f t="shared" ref="AV734" si="1697">+AP734/H734</f>
        <v>0.78863450042828975</v>
      </c>
      <c r="AW734" s="298"/>
      <c r="AX734" s="24">
        <f t="shared" ref="AX734" si="1698">+AP734/BW734</f>
        <v>77630.353103448273</v>
      </c>
      <c r="AY734" s="308"/>
      <c r="BA734" s="65">
        <f t="shared" ref="BA734" si="1699">+BC734-BC733</f>
        <v>2389969</v>
      </c>
      <c r="BB734" s="66"/>
      <c r="BC734" s="66">
        <v>966776624</v>
      </c>
      <c r="BD734" s="66"/>
      <c r="BE734" s="66">
        <f t="shared" ref="BE734" si="1700">+D734</f>
        <v>19474</v>
      </c>
      <c r="BF734" s="66"/>
      <c r="BG734" s="144">
        <f t="shared" ref="BG734" si="1701">+BE734/BA734</f>
        <v>8.1482228430577973E-3</v>
      </c>
      <c r="BH734" s="66"/>
      <c r="BI734" s="170"/>
      <c r="BJ734" s="66"/>
      <c r="BK734" s="66"/>
      <c r="BL734" s="66"/>
      <c r="BM734" s="144"/>
      <c r="BN734" s="65">
        <f t="shared" ref="BN734" si="1702">+BC734/BW734</f>
        <v>1333484.9986206896</v>
      </c>
      <c r="BO734" s="66"/>
      <c r="BP734" s="66">
        <f t="shared" ref="BP734" si="1703">+BP733+BE734</f>
        <v>70459423</v>
      </c>
      <c r="BQ734" s="66"/>
      <c r="BR734" s="435">
        <f t="shared" ref="BR734" si="1704">+BP734/BC734</f>
        <v>7.2880768163877327E-2</v>
      </c>
      <c r="BS734" s="66"/>
      <c r="BT734" s="75"/>
      <c r="BU734" s="170"/>
      <c r="BV734" s="1"/>
      <c r="BW734" s="61">
        <f t="shared" si="1544"/>
        <v>725</v>
      </c>
      <c r="BZ734" s="1"/>
      <c r="CA734" s="61"/>
    </row>
    <row r="735" spans="2:79" x14ac:dyDescent="0.3">
      <c r="B735" s="158">
        <f t="shared" si="1063"/>
        <v>44635</v>
      </c>
      <c r="C735" s="61"/>
      <c r="D735" s="17">
        <v>25359</v>
      </c>
      <c r="E735" s="16"/>
      <c r="F735" s="16"/>
      <c r="G735" s="16"/>
      <c r="H735" s="16">
        <f t="shared" ref="H735" si="1705">+H734+D735</f>
        <v>71391760</v>
      </c>
      <c r="I735" s="16"/>
      <c r="J735" s="436">
        <f t="shared" ref="J735" si="1706">+D735/H734</f>
        <v>3.5533527885201887E-4</v>
      </c>
      <c r="K735" s="16"/>
      <c r="L735" s="16"/>
      <c r="M735" s="16"/>
      <c r="N735" s="16">
        <f t="shared" ref="N735" si="1707">SUM(D729:D735)</f>
        <v>178729</v>
      </c>
      <c r="O735" s="16">
        <f t="shared" ref="O735" si="1708">+H735/BW735</f>
        <v>98335.757575757569</v>
      </c>
      <c r="P735" s="41"/>
      <c r="Q735" s="17">
        <f t="shared" ref="Q735" si="1709">SUM(D729:D735)</f>
        <v>178729</v>
      </c>
      <c r="R735" s="16"/>
      <c r="S735" s="60">
        <f t="shared" ref="S735" si="1710">+(Q735-Q728)/Q728</f>
        <v>-0.19486726700212176</v>
      </c>
      <c r="T735" s="16"/>
      <c r="U735" s="41"/>
      <c r="V735" s="10">
        <f t="shared" si="558"/>
        <v>627</v>
      </c>
      <c r="W735" s="34">
        <v>901</v>
      </c>
      <c r="X735" s="33">
        <v>4256</v>
      </c>
      <c r="Y735" s="33"/>
      <c r="Z735" s="33">
        <f t="shared" ref="Z735" si="1711">SUM(W730:W735)</f>
        <v>4156</v>
      </c>
      <c r="AA735" s="33">
        <f t="shared" ref="AA735" si="1712">+AA734+W735</f>
        <v>875617</v>
      </c>
      <c r="AB735" s="33"/>
      <c r="AC735" s="46">
        <f t="shared" ref="AC735" si="1713">+AA735/H735</f>
        <v>1.2264958869202832E-2</v>
      </c>
      <c r="AD735" s="33"/>
      <c r="AE735" s="33">
        <f t="shared" ref="AE735" si="1714">+AA735/BW735</f>
        <v>1206.0840220385676</v>
      </c>
      <c r="AF735" s="50"/>
      <c r="AG735" s="33"/>
      <c r="AH735" s="33"/>
      <c r="AI735" s="213"/>
      <c r="AJ735" s="50"/>
      <c r="AL735" s="23">
        <f t="shared" ref="AL735" si="1715">+AP735-AP734</f>
        <v>174444</v>
      </c>
      <c r="AM735" s="24"/>
      <c r="AN735" s="24"/>
      <c r="AO735" s="24">
        <v>178263</v>
      </c>
      <c r="AP735" s="24">
        <v>56456450</v>
      </c>
      <c r="AQ735" s="24">
        <v>20336656</v>
      </c>
      <c r="AR735" s="461">
        <f t="shared" ref="AR735" si="1716">+AL735/AP734</f>
        <v>3.0994630859461549E-3</v>
      </c>
      <c r="AS735" s="25"/>
      <c r="AT735" s="25"/>
      <c r="AU735" s="24"/>
      <c r="AV735" s="298">
        <f t="shared" ref="AV735" si="1717">+AP735/H735</f>
        <v>0.79079784557769695</v>
      </c>
      <c r="AW735" s="298"/>
      <c r="AX735" s="24">
        <f t="shared" ref="AX735" si="1718">+AP735/BW735</f>
        <v>77763.705234159774</v>
      </c>
      <c r="AY735" s="308"/>
      <c r="BA735" s="65">
        <f t="shared" ref="BA735" si="1719">+BC735-BC734</f>
        <v>630014</v>
      </c>
      <c r="BB735" s="66"/>
      <c r="BC735" s="66">
        <v>967406638</v>
      </c>
      <c r="BD735" s="66"/>
      <c r="BE735" s="66">
        <f t="shared" ref="BE735" si="1720">+D735</f>
        <v>25359</v>
      </c>
      <c r="BF735" s="66"/>
      <c r="BG735" s="144">
        <f t="shared" ref="BG735" si="1721">+BE735/BA735</f>
        <v>4.025148647490373E-2</v>
      </c>
      <c r="BH735" s="66"/>
      <c r="BI735" s="170"/>
      <c r="BJ735" s="66"/>
      <c r="BK735" s="66"/>
      <c r="BL735" s="66"/>
      <c r="BM735" s="144"/>
      <c r="BN735" s="65">
        <f t="shared" ref="BN735" si="1722">+BC735/BW735</f>
        <v>1332516.0303030303</v>
      </c>
      <c r="BO735" s="66"/>
      <c r="BP735" s="66">
        <f t="shared" ref="BP735" si="1723">+BP734+BE735</f>
        <v>70484782</v>
      </c>
      <c r="BQ735" s="66"/>
      <c r="BR735" s="435">
        <f t="shared" ref="BR735" si="1724">+BP735/BC735</f>
        <v>7.2859518667061279E-2</v>
      </c>
      <c r="BS735" s="66"/>
      <c r="BT735" s="75"/>
      <c r="BU735" s="170"/>
      <c r="BV735" s="1"/>
      <c r="BW735" s="61">
        <f t="shared" si="1544"/>
        <v>726</v>
      </c>
      <c r="BZ735" s="1"/>
      <c r="CA735" s="61"/>
    </row>
    <row r="736" spans="2:79" x14ac:dyDescent="0.3">
      <c r="B736" s="158">
        <f t="shared" si="1063"/>
        <v>44636</v>
      </c>
      <c r="C736" s="61"/>
      <c r="D736" s="17">
        <v>30508</v>
      </c>
      <c r="E736" s="16"/>
      <c r="F736" s="16"/>
      <c r="G736" s="16"/>
      <c r="H736" s="16">
        <f t="shared" ref="H736" si="1725">+H735+D736</f>
        <v>71422268</v>
      </c>
      <c r="I736" s="16"/>
      <c r="J736" s="436">
        <f t="shared" ref="J736" si="1726">+D736/H735</f>
        <v>4.2733222993802087E-4</v>
      </c>
      <c r="K736" s="16"/>
      <c r="L736" s="16"/>
      <c r="M736" s="16"/>
      <c r="N736" s="16">
        <f t="shared" ref="N736" si="1727">SUM(D730:D736)</f>
        <v>170037</v>
      </c>
      <c r="O736" s="16">
        <f t="shared" ref="O736" si="1728">+H736/BW736</f>
        <v>98242.459422283355</v>
      </c>
      <c r="P736" s="41"/>
      <c r="Q736" s="17">
        <f t="shared" ref="Q736" si="1729">SUM(D730:D736)</f>
        <v>170037</v>
      </c>
      <c r="R736" s="16"/>
      <c r="S736" s="60">
        <f t="shared" ref="S736" si="1730">+(Q736-Q729)/Q729</f>
        <v>-0.19217722625517844</v>
      </c>
      <c r="T736" s="16"/>
      <c r="U736" s="41"/>
      <c r="V736" s="10">
        <f t="shared" si="558"/>
        <v>628</v>
      </c>
      <c r="W736" s="34">
        <v>982</v>
      </c>
      <c r="X736" s="33">
        <v>4256</v>
      </c>
      <c r="Y736" s="33"/>
      <c r="Z736" s="33">
        <f t="shared" ref="Z736" si="1731">SUM(W731:W736)</f>
        <v>3891</v>
      </c>
      <c r="AA736" s="33">
        <f t="shared" ref="AA736" si="1732">+AA735+W736</f>
        <v>876599</v>
      </c>
      <c r="AB736" s="33"/>
      <c r="AC736" s="46">
        <f t="shared" ref="AC736" si="1733">+AA736/H736</f>
        <v>1.227346910910194E-2</v>
      </c>
      <c r="AD736" s="33"/>
      <c r="AE736" s="33">
        <f t="shared" ref="AE736" si="1734">+AA736/BW736</f>
        <v>1205.7757909215957</v>
      </c>
      <c r="AF736" s="50"/>
      <c r="AG736" s="33"/>
      <c r="AH736" s="33"/>
      <c r="AI736" s="213"/>
      <c r="AJ736" s="50"/>
      <c r="AL736" s="23">
        <f t="shared" ref="AL736" si="1735">+AP736-AP735</f>
        <v>174667</v>
      </c>
      <c r="AM736" s="24"/>
      <c r="AN736" s="24"/>
      <c r="AO736" s="24">
        <v>178263</v>
      </c>
      <c r="AP736" s="24">
        <v>56631117</v>
      </c>
      <c r="AQ736" s="24">
        <v>20336656</v>
      </c>
      <c r="AR736" s="461">
        <f t="shared" ref="AR736" si="1736">+AL736/AP735</f>
        <v>3.0938360453057179E-3</v>
      </c>
      <c r="AS736" s="25"/>
      <c r="AT736" s="25"/>
      <c r="AU736" s="24"/>
      <c r="AV736" s="298">
        <f t="shared" ref="AV736" si="1737">+AP736/H736</f>
        <v>0.79290561033430074</v>
      </c>
      <c r="AW736" s="298"/>
      <c r="AX736" s="24">
        <f t="shared" ref="AX736" si="1738">+AP736/BW736</f>
        <v>77896.997248968357</v>
      </c>
      <c r="AY736" s="308"/>
      <c r="BA736" s="65">
        <f t="shared" ref="BA736" si="1739">+BC736-BC735</f>
        <v>1301559</v>
      </c>
      <c r="BB736" s="66"/>
      <c r="BC736" s="66">
        <v>968708197</v>
      </c>
      <c r="BD736" s="66"/>
      <c r="BE736" s="66">
        <f t="shared" ref="BE736" si="1740">+D736</f>
        <v>30508</v>
      </c>
      <c r="BF736" s="66"/>
      <c r="BG736" s="144">
        <f t="shared" ref="BG736" si="1741">+BE736/BA736</f>
        <v>2.3439582838734162E-2</v>
      </c>
      <c r="BH736" s="66"/>
      <c r="BI736" s="170"/>
      <c r="BJ736" s="66"/>
      <c r="BK736" s="66"/>
      <c r="BL736" s="66"/>
      <c r="BM736" s="144"/>
      <c r="BN736" s="65">
        <f t="shared" ref="BN736" si="1742">+BC736/BW736</f>
        <v>1332473.4484181567</v>
      </c>
      <c r="BO736" s="66"/>
      <c r="BP736" s="66">
        <f t="shared" ref="BP736" si="1743">+BP735+BE736</f>
        <v>70515290</v>
      </c>
      <c r="BQ736" s="66"/>
      <c r="BR736" s="435">
        <f t="shared" ref="BR736" si="1744">+BP736/BC736</f>
        <v>7.2793117905246757E-2</v>
      </c>
      <c r="BS736" s="66"/>
      <c r="BT736" s="75"/>
      <c r="BU736" s="170"/>
      <c r="BV736" s="1"/>
      <c r="BW736" s="61">
        <f t="shared" si="1544"/>
        <v>727</v>
      </c>
      <c r="BZ736" s="1"/>
      <c r="CA736" s="61"/>
    </row>
    <row r="737" spans="2:93" x14ac:dyDescent="0.3">
      <c r="B737" s="158">
        <f t="shared" si="1063"/>
        <v>44637</v>
      </c>
      <c r="C737" s="61"/>
      <c r="D737" s="17">
        <v>35474</v>
      </c>
      <c r="E737" s="16"/>
      <c r="F737" s="16"/>
      <c r="G737" s="16"/>
      <c r="H737" s="16">
        <f t="shared" ref="H737" si="1745">+H736+D737</f>
        <v>71457742</v>
      </c>
      <c r="I737" s="16"/>
      <c r="J737" s="436">
        <f t="shared" ref="J737" si="1746">+D737/H736</f>
        <v>4.9667983100172629E-4</v>
      </c>
      <c r="K737" s="16"/>
      <c r="L737" s="16"/>
      <c r="M737" s="16"/>
      <c r="N737" s="16">
        <f t="shared" ref="N737" si="1747">SUM(D731:D737)</f>
        <v>167473</v>
      </c>
      <c r="O737" s="16">
        <f t="shared" ref="O737" si="1748">+H737/BW737</f>
        <v>98156.239010989011</v>
      </c>
      <c r="P737" s="41"/>
      <c r="Q737" s="17">
        <f t="shared" ref="Q737" si="1749">SUM(D731:D737)</f>
        <v>167473</v>
      </c>
      <c r="R737" s="16"/>
      <c r="S737" s="60">
        <f t="shared" ref="S737" si="1750">+(Q737-Q730)/Q730</f>
        <v>-0.16026274224684733</v>
      </c>
      <c r="T737" s="16"/>
      <c r="U737" s="41"/>
      <c r="V737" s="10">
        <f t="shared" si="558"/>
        <v>629</v>
      </c>
      <c r="W737" s="34">
        <v>931</v>
      </c>
      <c r="X737" s="33">
        <v>4256</v>
      </c>
      <c r="Y737" s="33"/>
      <c r="Z737" s="33">
        <f t="shared" ref="Z737" si="1751">SUM(W732:W737)</f>
        <v>3800</v>
      </c>
      <c r="AA737" s="33">
        <f t="shared" ref="AA737" si="1752">+AA736+W737</f>
        <v>877530</v>
      </c>
      <c r="AB737" s="33"/>
      <c r="AC737" s="46">
        <f t="shared" ref="AC737" si="1753">+AA737/H737</f>
        <v>1.2280404830032272E-2</v>
      </c>
      <c r="AD737" s="33"/>
      <c r="AE737" s="33">
        <f t="shared" ref="AE737" si="1754">+AA737/BW737</f>
        <v>1205.3983516483515</v>
      </c>
      <c r="AF737" s="50"/>
      <c r="AG737" s="33"/>
      <c r="AH737" s="33"/>
      <c r="AI737" s="213"/>
      <c r="AJ737" s="50"/>
      <c r="AL737" s="23">
        <f t="shared" ref="AL737" si="1755">+AP737-AP736</f>
        <v>191463</v>
      </c>
      <c r="AM737" s="24"/>
      <c r="AN737" s="24"/>
      <c r="AO737" s="24">
        <v>178263</v>
      </c>
      <c r="AP737" s="24">
        <v>56822580</v>
      </c>
      <c r="AQ737" s="24">
        <v>20336656</v>
      </c>
      <c r="AR737" s="461">
        <f t="shared" ref="AR737" si="1756">+AL737/AP736</f>
        <v>3.3808798085335312E-3</v>
      </c>
      <c r="AS737" s="25"/>
      <c r="AT737" s="25"/>
      <c r="AU737" s="24"/>
      <c r="AV737" s="298">
        <f t="shared" ref="AV737" si="1757">+AP737/H737</f>
        <v>0.79519137338540591</v>
      </c>
      <c r="AW737" s="298"/>
      <c r="AX737" s="24">
        <f t="shared" ref="AX737" si="1758">+AP737/BW737</f>
        <v>78052.994505494498</v>
      </c>
      <c r="AY737" s="308"/>
      <c r="BA737" s="65">
        <f t="shared" ref="BA737" si="1759">+BC737-BC736</f>
        <v>992876</v>
      </c>
      <c r="BB737" s="66"/>
      <c r="BC737" s="66">
        <v>969701073</v>
      </c>
      <c r="BD737" s="66"/>
      <c r="BE737" s="66">
        <f t="shared" ref="BE737" si="1760">+D737</f>
        <v>35474</v>
      </c>
      <c r="BF737" s="66"/>
      <c r="BG737" s="144">
        <f t="shared" ref="BG737" si="1761">+BE737/BA737</f>
        <v>3.5728530048062396E-2</v>
      </c>
      <c r="BH737" s="66"/>
      <c r="BI737" s="170"/>
      <c r="BJ737" s="66"/>
      <c r="BK737" s="66"/>
      <c r="BL737" s="66"/>
      <c r="BM737" s="144"/>
      <c r="BN737" s="65">
        <f t="shared" ref="BN737" si="1762">+BC737/BW737</f>
        <v>1332006.9684065934</v>
      </c>
      <c r="BO737" s="66"/>
      <c r="BP737" s="66">
        <f t="shared" ref="BP737" si="1763">+BP736+BE737</f>
        <v>70550764</v>
      </c>
      <c r="BQ737" s="66"/>
      <c r="BR737" s="435">
        <f t="shared" ref="BR737" si="1764">+BP737/BC737</f>
        <v>7.275516750923508E-2</v>
      </c>
      <c r="BS737" s="66"/>
      <c r="BT737" s="75"/>
      <c r="BU737" s="170"/>
      <c r="BV737" s="1"/>
      <c r="BW737" s="61">
        <f t="shared" si="1544"/>
        <v>728</v>
      </c>
      <c r="BZ737" s="1"/>
      <c r="CA737" s="61"/>
    </row>
    <row r="738" spans="2:93" x14ac:dyDescent="0.3">
      <c r="B738" s="158">
        <f t="shared" si="1063"/>
        <v>44638</v>
      </c>
      <c r="C738" s="61"/>
      <c r="D738" s="17">
        <v>32236</v>
      </c>
      <c r="E738" s="16"/>
      <c r="F738" s="16"/>
      <c r="G738" s="16"/>
      <c r="H738" s="16">
        <f t="shared" ref="H738" si="1765">+H737+D738</f>
        <v>71489978</v>
      </c>
      <c r="I738" s="16"/>
      <c r="J738" s="436">
        <f t="shared" ref="J738" si="1766">+D738/H737</f>
        <v>4.5111976810014511E-4</v>
      </c>
      <c r="K738" s="16"/>
      <c r="L738" s="16"/>
      <c r="M738" s="16"/>
      <c r="N738" s="16">
        <f t="shared" ref="N738" si="1767">SUM(D732:D738)</f>
        <v>160455</v>
      </c>
      <c r="O738" s="16">
        <f t="shared" ref="O738" si="1768">+H738/BW738</f>
        <v>98065.813443072708</v>
      </c>
      <c r="P738" s="41"/>
      <c r="Q738" s="17">
        <f t="shared" ref="Q738" si="1769">SUM(D732:D738)</f>
        <v>160455</v>
      </c>
      <c r="R738" s="16"/>
      <c r="S738" s="60">
        <f t="shared" ref="S738" si="1770">+(Q738-Q731)/Q731</f>
        <v>-0.16858817250545363</v>
      </c>
      <c r="T738" s="16"/>
      <c r="U738" s="41"/>
      <c r="V738" s="10">
        <f t="shared" si="558"/>
        <v>630</v>
      </c>
      <c r="W738" s="34">
        <v>721</v>
      </c>
      <c r="X738" s="33">
        <v>4256</v>
      </c>
      <c r="Y738" s="33"/>
      <c r="Z738" s="33">
        <f t="shared" ref="Z738" si="1771">SUM(W733:W738)</f>
        <v>4061</v>
      </c>
      <c r="AA738" s="33">
        <f t="shared" ref="AA738" si="1772">+AA737+W738</f>
        <v>878251</v>
      </c>
      <c r="AB738" s="33"/>
      <c r="AC738" s="46">
        <f t="shared" ref="AC738" si="1773">+AA738/H738</f>
        <v>1.2284952724422435E-2</v>
      </c>
      <c r="AD738" s="33"/>
      <c r="AE738" s="33">
        <f t="shared" ref="AE738" si="1774">+AA738/BW738</f>
        <v>1204.7338820301784</v>
      </c>
      <c r="AF738" s="50"/>
      <c r="AG738" s="33"/>
      <c r="AH738" s="33"/>
      <c r="AI738" s="213"/>
      <c r="AJ738" s="50"/>
      <c r="AL738" s="23">
        <f t="shared" ref="AL738" si="1775">+AP738-AP737</f>
        <v>152897</v>
      </c>
      <c r="AM738" s="24"/>
      <c r="AN738" s="24"/>
      <c r="AO738" s="24">
        <v>178263</v>
      </c>
      <c r="AP738" s="24">
        <v>56975477</v>
      </c>
      <c r="AQ738" s="24">
        <v>20336656</v>
      </c>
      <c r="AR738" s="461">
        <f t="shared" ref="AR738" si="1776">+AL738/AP737</f>
        <v>2.6907789121859657E-3</v>
      </c>
      <c r="AS738" s="25"/>
      <c r="AT738" s="25"/>
      <c r="AU738" s="24"/>
      <c r="AV738" s="298">
        <f t="shared" ref="AV738" si="1777">+AP738/H738</f>
        <v>0.79697152795319082</v>
      </c>
      <c r="AW738" s="298"/>
      <c r="AX738" s="24">
        <f t="shared" ref="AX738" si="1778">+AP738/BW738</f>
        <v>78155.661179698218</v>
      </c>
      <c r="AY738" s="308"/>
      <c r="BA738" s="65">
        <f t="shared" ref="BA738" si="1779">+BC738-BC737</f>
        <v>1217534</v>
      </c>
      <c r="BB738" s="66"/>
      <c r="BC738" s="66">
        <v>970918607</v>
      </c>
      <c r="BD738" s="66"/>
      <c r="BE738" s="66">
        <f t="shared" ref="BE738" si="1780">+D738</f>
        <v>32236</v>
      </c>
      <c r="BF738" s="66"/>
      <c r="BG738" s="144">
        <f t="shared" ref="BG738" si="1781">+BE738/BA738</f>
        <v>2.6476468008285601E-2</v>
      </c>
      <c r="BH738" s="66"/>
      <c r="BI738" s="170"/>
      <c r="BJ738" s="66"/>
      <c r="BK738" s="66"/>
      <c r="BL738" s="66"/>
      <c r="BM738" s="144"/>
      <c r="BN738" s="65">
        <f t="shared" ref="BN738" si="1782">+BC738/BW738</f>
        <v>1331849.9410150892</v>
      </c>
      <c r="BO738" s="66"/>
      <c r="BP738" s="66">
        <f t="shared" ref="BP738" si="1783">+BP737+BE738</f>
        <v>70583000</v>
      </c>
      <c r="BQ738" s="66"/>
      <c r="BR738" s="435">
        <f t="shared" ref="BR738" si="1784">+BP738/BC738</f>
        <v>7.2697133921546114E-2</v>
      </c>
      <c r="BS738" s="66"/>
      <c r="BT738" s="75"/>
      <c r="BU738" s="170"/>
      <c r="BV738" s="1"/>
      <c r="BW738" s="61">
        <f t="shared" si="1544"/>
        <v>729</v>
      </c>
      <c r="BZ738" s="1"/>
      <c r="CA738" s="61"/>
    </row>
    <row r="739" spans="2:93" x14ac:dyDescent="0.3">
      <c r="B739" s="158">
        <f t="shared" si="1063"/>
        <v>44639</v>
      </c>
      <c r="C739" s="61"/>
      <c r="D739" s="17">
        <v>12362</v>
      </c>
      <c r="E739" s="16"/>
      <c r="F739" s="16"/>
      <c r="G739" s="16"/>
      <c r="H739" s="16">
        <f t="shared" ref="H739" si="1785">+H738+D739</f>
        <v>71502340</v>
      </c>
      <c r="I739" s="16"/>
      <c r="J739" s="436">
        <f t="shared" ref="J739" si="1786">+D739/H738</f>
        <v>1.7291934262450047E-4</v>
      </c>
      <c r="K739" s="16"/>
      <c r="L739" s="16"/>
      <c r="M739" s="16"/>
      <c r="N739" s="16">
        <f t="shared" ref="N739" si="1787">SUM(D733:D739)</f>
        <v>160556</v>
      </c>
      <c r="O739" s="16">
        <f t="shared" ref="O739" si="1788">+H739/BW739</f>
        <v>97948.410958904104</v>
      </c>
      <c r="P739" s="41"/>
      <c r="Q739" s="17">
        <f t="shared" ref="Q739" si="1789">SUM(D733:D739)</f>
        <v>160556</v>
      </c>
      <c r="R739" s="16"/>
      <c r="S739" s="60">
        <f t="shared" ref="S739" si="1790">+(Q739-Q732)/Q732</f>
        <v>-0.15067261252968964</v>
      </c>
      <c r="T739" s="16"/>
      <c r="U739" s="41"/>
      <c r="V739" s="10">
        <f t="shared" si="558"/>
        <v>631</v>
      </c>
      <c r="W739" s="34">
        <v>327</v>
      </c>
      <c r="X739" s="33">
        <v>4256</v>
      </c>
      <c r="Y739" s="33"/>
      <c r="Z739" s="33">
        <f t="shared" ref="Z739" si="1791">SUM(W734:W739)</f>
        <v>4270</v>
      </c>
      <c r="AA739" s="33">
        <f t="shared" ref="AA739" si="1792">+AA738+W739</f>
        <v>878578</v>
      </c>
      <c r="AB739" s="33"/>
      <c r="AC739" s="46">
        <f t="shared" ref="AC739" si="1793">+AA739/H739</f>
        <v>1.2287402062645782E-2</v>
      </c>
      <c r="AD739" s="33"/>
      <c r="AE739" s="33">
        <f t="shared" ref="AE739" si="1794">+AA739/BW739</f>
        <v>1203.5315068493151</v>
      </c>
      <c r="AF739" s="50"/>
      <c r="AG739" s="33"/>
      <c r="AH739" s="33"/>
      <c r="AI739" s="213"/>
      <c r="AJ739" s="50"/>
      <c r="AL739" s="23">
        <f t="shared" ref="AL739" si="1795">+AP739-AP738</f>
        <v>147586</v>
      </c>
      <c r="AM739" s="24"/>
      <c r="AN739" s="24"/>
      <c r="AO739" s="24">
        <v>178263</v>
      </c>
      <c r="AP739" s="24">
        <v>57123063</v>
      </c>
      <c r="AQ739" s="24">
        <v>20336656</v>
      </c>
      <c r="AR739" s="461">
        <f t="shared" ref="AR739" si="1796">+AL739/AP738</f>
        <v>2.5903425082338494E-3</v>
      </c>
      <c r="AS739" s="25"/>
      <c r="AT739" s="25"/>
      <c r="AU739" s="24"/>
      <c r="AV739" s="298">
        <f t="shared" ref="AV739" si="1797">+AP739/H739</f>
        <v>0.79889781229537382</v>
      </c>
      <c r="AW739" s="298"/>
      <c r="AX739" s="24">
        <f t="shared" ref="AX739" si="1798">+AP739/BW739</f>
        <v>78250.771232876708</v>
      </c>
      <c r="AY739" s="308"/>
      <c r="BA739" s="65">
        <f t="shared" ref="BA739" si="1799">+BC739-BC738</f>
        <v>274904</v>
      </c>
      <c r="BB739" s="66"/>
      <c r="BC739" s="66">
        <v>971193511</v>
      </c>
      <c r="BD739" s="66"/>
      <c r="BE739" s="66">
        <f t="shared" ref="BE739" si="1800">+D739</f>
        <v>12362</v>
      </c>
      <c r="BF739" s="66"/>
      <c r="BG739" s="144">
        <f t="shared" ref="BG739" si="1801">+BE739/BA739</f>
        <v>4.4968425341210025E-2</v>
      </c>
      <c r="BH739" s="66"/>
      <c r="BI739" s="170"/>
      <c r="BJ739" s="66"/>
      <c r="BK739" s="66"/>
      <c r="BL739" s="66"/>
      <c r="BM739" s="144"/>
      <c r="BN739" s="65">
        <f t="shared" ref="BN739" si="1802">+BC739/BW739</f>
        <v>1330402.0698630137</v>
      </c>
      <c r="BO739" s="66"/>
      <c r="BP739" s="66">
        <f t="shared" ref="BP739" si="1803">+BP738+BE739</f>
        <v>70595362</v>
      </c>
      <c r="BQ739" s="66"/>
      <c r="BR739" s="435">
        <f t="shared" ref="BR739" si="1804">+BP739/BC739</f>
        <v>7.2689285091403377E-2</v>
      </c>
      <c r="BS739" s="66"/>
      <c r="BT739" s="75"/>
      <c r="BU739" s="170"/>
      <c r="BV739" s="1"/>
      <c r="BW739" s="61">
        <f t="shared" si="1544"/>
        <v>730</v>
      </c>
      <c r="BZ739" s="1"/>
      <c r="CA739" s="61"/>
    </row>
    <row r="740" spans="2:93" x14ac:dyDescent="0.3">
      <c r="B740" s="347">
        <f t="shared" si="1063"/>
        <v>44640</v>
      </c>
      <c r="C740" s="61"/>
      <c r="D740" s="17">
        <v>5966</v>
      </c>
      <c r="E740" s="16"/>
      <c r="F740" s="16"/>
      <c r="G740" s="16"/>
      <c r="H740" s="16">
        <f t="shared" ref="H740" si="1805">+H739+D740</f>
        <v>71508306</v>
      </c>
      <c r="I740" s="16"/>
      <c r="J740" s="436">
        <f t="shared" ref="J740" si="1806">+D740/H739</f>
        <v>8.3437828747982235E-5</v>
      </c>
      <c r="K740" s="16"/>
      <c r="L740" s="16"/>
      <c r="M740" s="16"/>
      <c r="N740" s="16">
        <f t="shared" ref="N740" si="1807">SUM(D734:D740)</f>
        <v>161379</v>
      </c>
      <c r="O740" s="16">
        <f t="shared" ref="O740" si="1808">+H740/BW740</f>
        <v>97822.580027359785</v>
      </c>
      <c r="P740" s="41"/>
      <c r="Q740" s="17">
        <f t="shared" ref="Q740" si="1809">SUM(D734:D740)</f>
        <v>161379</v>
      </c>
      <c r="R740" s="16"/>
      <c r="S740" s="60">
        <f t="shared" ref="S740" si="1810">+(Q740-Q733)/Q733</f>
        <v>-0.14740145499500737</v>
      </c>
      <c r="T740" s="16"/>
      <c r="U740" s="41"/>
      <c r="V740" s="10">
        <f t="shared" si="558"/>
        <v>632</v>
      </c>
      <c r="W740" s="34">
        <v>88</v>
      </c>
      <c r="X740" s="33">
        <v>4256</v>
      </c>
      <c r="Y740" s="33"/>
      <c r="Z740" s="33">
        <f t="shared" ref="Z740" si="1811">SUM(W735:W740)</f>
        <v>3950</v>
      </c>
      <c r="AA740" s="33">
        <f t="shared" ref="AA740" si="1812">+AA739+W740</f>
        <v>878666</v>
      </c>
      <c r="AB740" s="33"/>
      <c r="AC740" s="46">
        <f t="shared" ref="AC740" si="1813">+AA740/H740</f>
        <v>1.2287607540304479E-2</v>
      </c>
      <c r="AD740" s="33"/>
      <c r="AE740" s="33">
        <f t="shared" ref="AE740" si="1814">+AA740/BW740</f>
        <v>1202.0054719562243</v>
      </c>
      <c r="AF740" s="50"/>
      <c r="AG740" s="33"/>
      <c r="AH740" s="33"/>
      <c r="AI740" s="213"/>
      <c r="AJ740" s="50"/>
      <c r="AL740" s="23">
        <f t="shared" ref="AL740" si="1815">+AP740-AP739</f>
        <v>5883699</v>
      </c>
      <c r="AM740" s="24"/>
      <c r="AN740" s="24"/>
      <c r="AO740" s="24">
        <v>178263</v>
      </c>
      <c r="AP740" s="24">
        <v>63006762</v>
      </c>
      <c r="AQ740" s="24">
        <v>20336656</v>
      </c>
      <c r="AR740" s="461">
        <f t="shared" ref="AR740" si="1816">+AL740/AP739</f>
        <v>0.10300041158507205</v>
      </c>
      <c r="AS740" s="25"/>
      <c r="AT740" s="25"/>
      <c r="AU740" s="24"/>
      <c r="AV740" s="298">
        <f t="shared" ref="AV740" si="1817">+AP740/H740</f>
        <v>0.8811110977793265</v>
      </c>
      <c r="AW740" s="298"/>
      <c r="AX740" s="24">
        <f t="shared" ref="AX740" si="1818">+AP740/BW740</f>
        <v>86192.560875512994</v>
      </c>
      <c r="AY740" s="308"/>
      <c r="BA740" s="65">
        <f t="shared" ref="BA740" si="1819">+BC740-BC739</f>
        <v>412853</v>
      </c>
      <c r="BB740" s="66"/>
      <c r="BC740" s="66">
        <v>971606364</v>
      </c>
      <c r="BD740" s="66"/>
      <c r="BE740" s="66">
        <f t="shared" ref="BE740" si="1820">+D740</f>
        <v>5966</v>
      </c>
      <c r="BF740" s="66"/>
      <c r="BG740" s="144">
        <f t="shared" ref="BG740" si="1821">+BE740/BA740</f>
        <v>1.4450664037805224E-2</v>
      </c>
      <c r="BH740" s="66"/>
      <c r="BI740" s="170"/>
      <c r="BJ740" s="66"/>
      <c r="BK740" s="66"/>
      <c r="BL740" s="66"/>
      <c r="BM740" s="144"/>
      <c r="BN740" s="65">
        <f t="shared" ref="BN740" si="1822">+BC740/BW740</f>
        <v>1329146.8727770178</v>
      </c>
      <c r="BO740" s="66"/>
      <c r="BP740" s="66">
        <f t="shared" ref="BP740" si="1823">+BP739+BE740</f>
        <v>70601328</v>
      </c>
      <c r="BQ740" s="66"/>
      <c r="BR740" s="435">
        <f t="shared" ref="BR740" si="1824">+BP740/BC740</f>
        <v>7.2664538454999247E-2</v>
      </c>
      <c r="BS740" s="66"/>
      <c r="BT740" s="75"/>
      <c r="BU740" s="170"/>
      <c r="BV740" s="1"/>
      <c r="BW740" s="61">
        <f t="shared" si="1544"/>
        <v>731</v>
      </c>
      <c r="BZ740" s="1"/>
      <c r="CA740" s="61"/>
    </row>
    <row r="741" spans="2:93" x14ac:dyDescent="0.3">
      <c r="B741" s="158">
        <f t="shared" si="1063"/>
        <v>44641</v>
      </c>
      <c r="C741" s="61"/>
      <c r="D741" s="17">
        <v>16435</v>
      </c>
      <c r="E741" s="16"/>
      <c r="F741" s="16"/>
      <c r="G741" s="16"/>
      <c r="H741" s="16">
        <f t="shared" ref="H741" si="1825">+H740+D741</f>
        <v>71524741</v>
      </c>
      <c r="I741" s="16"/>
      <c r="J741" s="436">
        <f t="shared" ref="J741" si="1826">+D741/H740</f>
        <v>2.2983344060758479E-4</v>
      </c>
      <c r="K741" s="16"/>
      <c r="L741" s="16"/>
      <c r="M741" s="16"/>
      <c r="N741" s="16">
        <f t="shared" ref="N741" si="1827">SUM(D735:D741)</f>
        <v>158340</v>
      </c>
      <c r="O741" s="16">
        <f t="shared" ref="O741" si="1828">+H741/BW741</f>
        <v>97711.394808743164</v>
      </c>
      <c r="P741" s="41"/>
      <c r="Q741" s="17">
        <f t="shared" ref="Q741" si="1829">SUM(D735:D741)</f>
        <v>158340</v>
      </c>
      <c r="R741" s="16"/>
      <c r="S741" s="60">
        <f t="shared" ref="S741" si="1830">+(Q741-Q734)/Q734</f>
        <v>-0.13476355449667216</v>
      </c>
      <c r="T741" s="16"/>
      <c r="U741" s="41"/>
      <c r="V741" s="10">
        <f t="shared" si="558"/>
        <v>633</v>
      </c>
      <c r="W741" s="34">
        <v>232</v>
      </c>
      <c r="X741" s="33">
        <v>4256</v>
      </c>
      <c r="Y741" s="33"/>
      <c r="Z741" s="33">
        <f t="shared" ref="Z741" si="1831">SUM(W736:W741)</f>
        <v>3281</v>
      </c>
      <c r="AA741" s="33">
        <f t="shared" ref="AA741" si="1832">+AA740+W741</f>
        <v>878898</v>
      </c>
      <c r="AB741" s="33"/>
      <c r="AC741" s="46">
        <f t="shared" ref="AC741" si="1833">+AA741/H741</f>
        <v>1.2288027718967903E-2</v>
      </c>
      <c r="AD741" s="33"/>
      <c r="AE741" s="33">
        <f t="shared" ref="AE741" si="1834">+AA741/BW741</f>
        <v>1200.6803278688524</v>
      </c>
      <c r="AF741" s="50"/>
      <c r="AG741" s="33"/>
      <c r="AH741" s="33"/>
      <c r="AI741" s="213"/>
      <c r="AJ741" s="50"/>
      <c r="AL741" s="23">
        <f t="shared" ref="AL741" si="1835">+AP741-AP740</f>
        <v>248156</v>
      </c>
      <c r="AM741" s="24"/>
      <c r="AN741" s="24"/>
      <c r="AO741" s="24">
        <v>178263</v>
      </c>
      <c r="AP741" s="24">
        <v>63254918</v>
      </c>
      <c r="AQ741" s="24">
        <v>20336656</v>
      </c>
      <c r="AR741" s="461">
        <f t="shared" ref="AR741" si="1836">+AL741/AP740</f>
        <v>3.9385613880618085E-3</v>
      </c>
      <c r="AS741" s="25"/>
      <c r="AT741" s="25"/>
      <c r="AU741" s="24"/>
      <c r="AV741" s="298">
        <f t="shared" ref="AV741" si="1837">+AP741/H741</f>
        <v>0.88437814825502126</v>
      </c>
      <c r="AW741" s="298"/>
      <c r="AX741" s="24">
        <f t="shared" ref="AX741" si="1838">+AP741/BW741</f>
        <v>86413.822404371589</v>
      </c>
      <c r="AY741" s="308"/>
      <c r="BA741" s="65">
        <f t="shared" ref="BA741" si="1839">+BC741-BC740</f>
        <v>1240438</v>
      </c>
      <c r="BB741" s="66"/>
      <c r="BC741" s="66">
        <v>972846802</v>
      </c>
      <c r="BD741" s="66"/>
      <c r="BE741" s="66">
        <f t="shared" ref="BE741" si="1840">+D741</f>
        <v>16435</v>
      </c>
      <c r="BF741" s="66"/>
      <c r="BG741" s="144">
        <f t="shared" ref="BG741" si="1841">+BE741/BA741</f>
        <v>1.3249352244932839E-2</v>
      </c>
      <c r="BH741" s="66"/>
      <c r="BI741" s="170"/>
      <c r="BJ741" s="66"/>
      <c r="BK741" s="66"/>
      <c r="BL741" s="66"/>
      <c r="BM741" s="144"/>
      <c r="BN741" s="65">
        <f t="shared" ref="BN741" si="1842">+BC741/BW741</f>
        <v>1329025.6857923497</v>
      </c>
      <c r="BO741" s="66"/>
      <c r="BP741" s="66">
        <f t="shared" ref="BP741" si="1843">+BP740+BE741</f>
        <v>70617763</v>
      </c>
      <c r="BQ741" s="66"/>
      <c r="BR741" s="435">
        <f t="shared" ref="BR741" si="1844">+BP741/BC741</f>
        <v>7.2588780530318281E-2</v>
      </c>
      <c r="BS741" s="66"/>
      <c r="BT741" s="75"/>
      <c r="BU741" s="170"/>
      <c r="BV741" s="1"/>
      <c r="BW741" s="61">
        <f t="shared" si="1544"/>
        <v>732</v>
      </c>
      <c r="BZ741" s="1"/>
      <c r="CA741" s="61"/>
      <c r="CO741" s="56"/>
    </row>
    <row r="742" spans="2:93" x14ac:dyDescent="0.3">
      <c r="B742" s="158">
        <f t="shared" si="1063"/>
        <v>44642</v>
      </c>
      <c r="C742" s="61"/>
      <c r="D742" s="17">
        <v>23607</v>
      </c>
      <c r="E742" s="16"/>
      <c r="F742" s="16"/>
      <c r="G742" s="16"/>
      <c r="H742" s="16">
        <f t="shared" ref="H742" si="1845">+H741+D742</f>
        <v>71548348</v>
      </c>
      <c r="I742" s="16"/>
      <c r="J742" s="436">
        <f t="shared" ref="J742" si="1846">+D742/H741</f>
        <v>3.3005362438152697E-4</v>
      </c>
      <c r="K742" s="16"/>
      <c r="L742" s="16"/>
      <c r="M742" s="16"/>
      <c r="N742" s="16">
        <f t="shared" ref="N742" si="1847">SUM(D736:D742)</f>
        <v>156588</v>
      </c>
      <c r="O742" s="16">
        <f t="shared" ref="O742" si="1848">+H742/BW742</f>
        <v>97610.297407912687</v>
      </c>
      <c r="P742" s="41"/>
      <c r="Q742" s="17">
        <f t="shared" ref="Q742" si="1849">SUM(D736:D742)</f>
        <v>156588</v>
      </c>
      <c r="R742" s="16"/>
      <c r="S742" s="60">
        <f t="shared" ref="S742" si="1850">+(Q742-Q735)/Q735</f>
        <v>-0.12388028803383894</v>
      </c>
      <c r="T742" s="16"/>
      <c r="U742" s="41"/>
      <c r="V742" s="10">
        <f t="shared" si="558"/>
        <v>634</v>
      </c>
      <c r="W742" s="34">
        <v>817</v>
      </c>
      <c r="X742" s="33">
        <v>4256</v>
      </c>
      <c r="Y742" s="33"/>
      <c r="Z742" s="33">
        <f t="shared" ref="Z742" si="1851">SUM(W737:W742)</f>
        <v>3116</v>
      </c>
      <c r="AA742" s="33">
        <f t="shared" ref="AA742" si="1852">+AA741+W742</f>
        <v>879715</v>
      </c>
      <c r="AB742" s="33"/>
      <c r="AC742" s="46">
        <f t="shared" ref="AC742" si="1853">+AA742/H742</f>
        <v>1.2295392201088976E-2</v>
      </c>
      <c r="AD742" s="33"/>
      <c r="AE742" s="33">
        <f t="shared" ref="AE742" si="1854">+AA742/BW742</f>
        <v>1200.1568894952252</v>
      </c>
      <c r="AF742" s="50"/>
      <c r="AG742" s="33"/>
      <c r="AH742" s="33"/>
      <c r="AI742" s="213"/>
      <c r="AJ742" s="50"/>
      <c r="AL742" s="23">
        <f t="shared" ref="AL742" si="1855">+AP742-AP741</f>
        <v>195708</v>
      </c>
      <c r="AM742" s="24"/>
      <c r="AN742" s="24"/>
      <c r="AO742" s="24">
        <v>178263</v>
      </c>
      <c r="AP742" s="24">
        <v>63450626</v>
      </c>
      <c r="AQ742" s="24">
        <v>20336656</v>
      </c>
      <c r="AR742" s="461">
        <f t="shared" ref="AR742" si="1856">+AL742/AP741</f>
        <v>3.0939570580108887E-3</v>
      </c>
      <c r="AS742" s="25"/>
      <c r="AT742" s="25"/>
      <c r="AU742" s="24"/>
      <c r="AV742" s="298">
        <f t="shared" ref="AV742" si="1857">+AP742/H742</f>
        <v>0.88682167755990682</v>
      </c>
      <c r="AW742" s="298"/>
      <c r="AX742" s="24">
        <f t="shared" ref="AX742" si="1858">+AP742/BW742</f>
        <v>86562.92769440655</v>
      </c>
      <c r="AY742" s="308"/>
      <c r="BA742" s="65">
        <f t="shared" ref="BA742" si="1859">+BC742-BC741</f>
        <v>1594124</v>
      </c>
      <c r="BB742" s="66"/>
      <c r="BC742" s="66">
        <v>974440926</v>
      </c>
      <c r="BD742" s="66"/>
      <c r="BE742" s="66">
        <f t="shared" ref="BE742" si="1860">+D742</f>
        <v>23607</v>
      </c>
      <c r="BF742" s="66"/>
      <c r="BG742" s="144">
        <f t="shared" ref="BG742" si="1861">+BE742/BA742</f>
        <v>1.4808760171730681E-2</v>
      </c>
      <c r="BH742" s="66"/>
      <c r="BI742" s="170"/>
      <c r="BJ742" s="66"/>
      <c r="BK742" s="66"/>
      <c r="BL742" s="66"/>
      <c r="BM742" s="144"/>
      <c r="BN742" s="65">
        <f t="shared" ref="BN742" si="1862">+BC742/BW742</f>
        <v>1329387.3478854024</v>
      </c>
      <c r="BO742" s="66"/>
      <c r="BP742" s="66">
        <f t="shared" ref="BP742" si="1863">+BP741+BE742</f>
        <v>70641370</v>
      </c>
      <c r="BQ742" s="66"/>
      <c r="BR742" s="435">
        <f t="shared" ref="BR742" si="1864">+BP742/BC742</f>
        <v>7.2494256055086914E-2</v>
      </c>
      <c r="BS742" s="66"/>
      <c r="BT742" s="75"/>
      <c r="BU742" s="170"/>
      <c r="BV742" s="1"/>
      <c r="BW742" s="61">
        <f t="shared" si="1544"/>
        <v>733</v>
      </c>
      <c r="BZ742" s="1"/>
      <c r="CA742" s="61"/>
    </row>
    <row r="743" spans="2:93" x14ac:dyDescent="0.3">
      <c r="B743" s="158">
        <f t="shared" si="1063"/>
        <v>44643</v>
      </c>
      <c r="C743" s="61"/>
      <c r="D743" s="17">
        <v>32023</v>
      </c>
      <c r="E743" s="16"/>
      <c r="F743" s="16"/>
      <c r="G743" s="16"/>
      <c r="H743" s="16">
        <f t="shared" ref="H743" si="1865">+H742+D743</f>
        <v>71580371</v>
      </c>
      <c r="I743" s="16"/>
      <c r="J743" s="436">
        <f t="shared" ref="J743" si="1866">+D743/H742</f>
        <v>4.4757147991732806E-4</v>
      </c>
      <c r="K743" s="16"/>
      <c r="L743" s="16"/>
      <c r="M743" s="16"/>
      <c r="N743" s="16">
        <f t="shared" ref="N743" si="1867">SUM(D737:D743)</f>
        <v>158103</v>
      </c>
      <c r="O743" s="16">
        <f t="shared" ref="O743" si="1868">+H743/BW743</f>
        <v>97520.941416893736</v>
      </c>
      <c r="P743" s="41"/>
      <c r="Q743" s="17">
        <f t="shared" ref="Q743" si="1869">SUM(D737:D743)</f>
        <v>158103</v>
      </c>
      <c r="R743" s="16"/>
      <c r="S743" s="60">
        <f t="shared" ref="S743" si="1870">+(Q743-Q736)/Q736</f>
        <v>-7.0184724501137982E-2</v>
      </c>
      <c r="T743" s="16"/>
      <c r="U743" s="41"/>
      <c r="V743" s="10">
        <f t="shared" si="558"/>
        <v>635</v>
      </c>
      <c r="W743" s="34">
        <v>771</v>
      </c>
      <c r="X743" s="33">
        <v>4256</v>
      </c>
      <c r="Y743" s="33"/>
      <c r="Z743" s="33">
        <f t="shared" ref="Z743" si="1871">SUM(W738:W743)</f>
        <v>2956</v>
      </c>
      <c r="AA743" s="33">
        <f t="shared" ref="AA743" si="1872">+AA742+W743</f>
        <v>880486</v>
      </c>
      <c r="AB743" s="33"/>
      <c r="AC743" s="46">
        <f t="shared" ref="AC743" si="1873">+AA743/H743</f>
        <v>1.2300662705422412E-2</v>
      </c>
      <c r="AD743" s="33"/>
      <c r="AE743" s="33">
        <f t="shared" ref="AE743" si="1874">+AA743/BW743</f>
        <v>1199.5722070844686</v>
      </c>
      <c r="AF743" s="50"/>
      <c r="AG743" s="33"/>
      <c r="AH743" s="33"/>
      <c r="AI743" s="213"/>
      <c r="AJ743" s="50"/>
      <c r="AL743" s="23">
        <f t="shared" ref="AL743" si="1875">+AP743-AP742</f>
        <v>172540</v>
      </c>
      <c r="AM743" s="24"/>
      <c r="AN743" s="24"/>
      <c r="AO743" s="24">
        <v>178263</v>
      </c>
      <c r="AP743" s="24">
        <v>63623166</v>
      </c>
      <c r="AQ743" s="24">
        <v>20336656</v>
      </c>
      <c r="AR743" s="461">
        <f t="shared" ref="AR743" si="1876">+AL743/AP742</f>
        <v>2.7192797120709259E-3</v>
      </c>
      <c r="AS743" s="25"/>
      <c r="AT743" s="25"/>
      <c r="AU743" s="24"/>
      <c r="AV743" s="298">
        <f t="shared" ref="AV743" si="1877">+AP743/H743</f>
        <v>0.88883537639110588</v>
      </c>
      <c r="AW743" s="298"/>
      <c r="AX743" s="24">
        <f t="shared" ref="AX743" si="1878">+AP743/BW743</f>
        <v>86680.062670299725</v>
      </c>
      <c r="AY743" s="308"/>
      <c r="BA743" s="65">
        <f t="shared" ref="BA743" si="1879">+BC743-BC742</f>
        <v>1359862</v>
      </c>
      <c r="BB743" s="66"/>
      <c r="BC743" s="66">
        <v>975800788</v>
      </c>
      <c r="BD743" s="66"/>
      <c r="BE743" s="66">
        <f t="shared" ref="BE743" si="1880">+D743</f>
        <v>32023</v>
      </c>
      <c r="BF743" s="66"/>
      <c r="BG743" s="144">
        <f t="shared" ref="BG743" si="1881">+BE743/BA743</f>
        <v>2.3548713031175221E-2</v>
      </c>
      <c r="BH743" s="66"/>
      <c r="BI743" s="170"/>
      <c r="BJ743" s="66"/>
      <c r="BK743" s="66"/>
      <c r="BL743" s="66"/>
      <c r="BM743" s="144"/>
      <c r="BN743" s="65">
        <f t="shared" ref="BN743" si="1882">+BC743/BW743</f>
        <v>1329428.8664850136</v>
      </c>
      <c r="BO743" s="66"/>
      <c r="BP743" s="66">
        <f t="shared" ref="BP743" si="1883">+BP742+BE743</f>
        <v>70673393</v>
      </c>
      <c r="BQ743" s="66"/>
      <c r="BR743" s="435">
        <f t="shared" ref="BR743" si="1884">+BP743/BC743</f>
        <v>7.2426046247464196E-2</v>
      </c>
      <c r="BS743" s="66"/>
      <c r="BT743" s="75"/>
      <c r="BU743" s="170"/>
      <c r="BV743" s="1"/>
      <c r="BW743" s="61">
        <f t="shared" si="1544"/>
        <v>734</v>
      </c>
      <c r="BZ743" s="1"/>
      <c r="CA743" s="61"/>
    </row>
    <row r="744" spans="2:93" x14ac:dyDescent="0.3">
      <c r="B744" s="158">
        <f t="shared" si="1063"/>
        <v>44644</v>
      </c>
      <c r="C744" s="61"/>
      <c r="D744" s="17">
        <v>31796</v>
      </c>
      <c r="E744" s="16"/>
      <c r="F744" s="16"/>
      <c r="G744" s="16"/>
      <c r="H744" s="16">
        <f t="shared" ref="H744" si="1885">+H743+D744</f>
        <v>71612167</v>
      </c>
      <c r="I744" s="16"/>
      <c r="J744" s="436">
        <f t="shared" ref="J744" si="1886">+D744/H743</f>
        <v>4.4419998884889827E-4</v>
      </c>
      <c r="K744" s="16"/>
      <c r="L744" s="16"/>
      <c r="M744" s="16"/>
      <c r="N744" s="16">
        <f t="shared" ref="N744" si="1887">SUM(D738:D744)</f>
        <v>154425</v>
      </c>
      <c r="O744" s="16">
        <f t="shared" ref="O744" si="1888">+H744/BW744</f>
        <v>97431.519727891151</v>
      </c>
      <c r="P744" s="41"/>
      <c r="Q744" s="17">
        <f t="shared" ref="Q744" si="1889">SUM(D738:D744)</f>
        <v>154425</v>
      </c>
      <c r="R744" s="16"/>
      <c r="S744" s="60">
        <f t="shared" ref="S744" si="1890">+(Q744-Q737)/Q737</f>
        <v>-7.7911066261427214E-2</v>
      </c>
      <c r="T744" s="16"/>
      <c r="U744" s="41"/>
      <c r="V744" s="10">
        <f t="shared" si="558"/>
        <v>636</v>
      </c>
      <c r="W744" s="34">
        <v>649</v>
      </c>
      <c r="X744" s="33">
        <v>4256</v>
      </c>
      <c r="Y744" s="33"/>
      <c r="Z744" s="33">
        <f t="shared" ref="Z744" si="1891">SUM(W739:W744)</f>
        <v>2884</v>
      </c>
      <c r="AA744" s="33">
        <f t="shared" ref="AA744" si="1892">+AA743+W744</f>
        <v>881135</v>
      </c>
      <c r="AB744" s="33"/>
      <c r="AC744" s="46">
        <f t="shared" ref="AC744" si="1893">+AA744/H744</f>
        <v>1.230426388297955E-2</v>
      </c>
      <c r="AD744" s="33"/>
      <c r="AE744" s="33">
        <f t="shared" ref="AE744" si="1894">+AA744/BW744</f>
        <v>1198.8231292517007</v>
      </c>
      <c r="AF744" s="50"/>
      <c r="AG744" s="33"/>
      <c r="AH744" s="33"/>
      <c r="AI744" s="213"/>
      <c r="AJ744" s="50"/>
      <c r="AL744" s="23">
        <f t="shared" ref="AL744" si="1895">+AP744-AP743</f>
        <v>201228</v>
      </c>
      <c r="AM744" s="24"/>
      <c r="AN744" s="24"/>
      <c r="AO744" s="24">
        <v>178263</v>
      </c>
      <c r="AP744" s="24">
        <v>63824394</v>
      </c>
      <c r="AQ744" s="24">
        <v>20336656</v>
      </c>
      <c r="AR744" s="461">
        <f t="shared" ref="AR744" si="1896">+AL744/AP743</f>
        <v>3.1628102254452413E-3</v>
      </c>
      <c r="AS744" s="25"/>
      <c r="AT744" s="25"/>
      <c r="AU744" s="24"/>
      <c r="AV744" s="298">
        <f t="shared" ref="AV744" si="1897">+AP744/H744</f>
        <v>0.89125070045708854</v>
      </c>
      <c r="AW744" s="298"/>
      <c r="AX744" s="24">
        <f t="shared" ref="AX744" si="1898">+AP744/BW744</f>
        <v>86835.910204081636</v>
      </c>
      <c r="AY744" s="308"/>
      <c r="BA744" s="65">
        <f t="shared" ref="BA744" si="1899">+BC744-BC743</f>
        <v>1054255</v>
      </c>
      <c r="BB744" s="66"/>
      <c r="BC744" s="66">
        <v>976855043</v>
      </c>
      <c r="BD744" s="66"/>
      <c r="BE744" s="66">
        <f t="shared" ref="BE744" si="1900">+D744</f>
        <v>31796</v>
      </c>
      <c r="BF744" s="66"/>
      <c r="BG744" s="144">
        <f t="shared" ref="BG744" si="1901">+BE744/BA744</f>
        <v>3.0159686223921157E-2</v>
      </c>
      <c r="BH744" s="66"/>
      <c r="BI744" s="170"/>
      <c r="BJ744" s="66"/>
      <c r="BK744" s="66"/>
      <c r="BL744" s="66"/>
      <c r="BM744" s="144"/>
      <c r="BN744" s="65">
        <f t="shared" ref="BN744" si="1902">+BC744/BW744</f>
        <v>1329054.4802721089</v>
      </c>
      <c r="BO744" s="66"/>
      <c r="BP744" s="66">
        <f t="shared" ref="BP744" si="1903">+BP743+BE744</f>
        <v>70705189</v>
      </c>
      <c r="BQ744" s="66"/>
      <c r="BR744" s="435">
        <f t="shared" ref="BR744" si="1904">+BP744/BC744</f>
        <v>7.2380430962263043E-2</v>
      </c>
      <c r="BS744" s="66"/>
      <c r="BT744" s="75"/>
      <c r="BU744" s="170"/>
      <c r="BV744" s="1"/>
      <c r="BW744" s="61">
        <f t="shared" si="1544"/>
        <v>735</v>
      </c>
      <c r="BZ744" s="1"/>
      <c r="CA744" s="61"/>
    </row>
    <row r="745" spans="2:93" x14ac:dyDescent="0.3">
      <c r="B745" s="158">
        <f t="shared" si="1063"/>
        <v>44645</v>
      </c>
      <c r="C745" s="61"/>
      <c r="D745" s="17">
        <v>31927</v>
      </c>
      <c r="E745" s="16"/>
      <c r="F745" s="16"/>
      <c r="G745" s="16"/>
      <c r="H745" s="16">
        <f t="shared" ref="H745" si="1905">+H744+D745</f>
        <v>71644094</v>
      </c>
      <c r="I745" s="16"/>
      <c r="J745" s="436">
        <f t="shared" ref="J745" si="1906">+D745/H744</f>
        <v>4.4583206091221902E-4</v>
      </c>
      <c r="K745" s="16"/>
      <c r="L745" s="16"/>
      <c r="M745" s="16"/>
      <c r="N745" s="16">
        <f t="shared" ref="N745" si="1907">SUM(D739:D745)</f>
        <v>154116</v>
      </c>
      <c r="O745" s="16">
        <f t="shared" ref="O745" si="1908">+H745/BW745</f>
        <v>97342.519021739135</v>
      </c>
      <c r="P745" s="41"/>
      <c r="Q745" s="17">
        <f t="shared" ref="Q745" si="1909">SUM(D739:D745)</f>
        <v>154116</v>
      </c>
      <c r="R745" s="16"/>
      <c r="S745" s="60">
        <f t="shared" ref="S745" si="1910">+(Q745-Q738)/Q738</f>
        <v>-3.9506403664578853E-2</v>
      </c>
      <c r="T745" s="16"/>
      <c r="U745" s="41"/>
      <c r="V745" s="10">
        <f t="shared" si="558"/>
        <v>637</v>
      </c>
      <c r="W745" s="34">
        <v>692</v>
      </c>
      <c r="X745" s="33">
        <v>4256</v>
      </c>
      <c r="Y745" s="33"/>
      <c r="Z745" s="33">
        <f t="shared" ref="Z745" si="1911">SUM(W740:W745)</f>
        <v>3249</v>
      </c>
      <c r="AA745" s="33">
        <f t="shared" ref="AA745" si="1912">+AA744+W745</f>
        <v>881827</v>
      </c>
      <c r="AB745" s="33"/>
      <c r="AC745" s="46">
        <f t="shared" ref="AC745" si="1913">+AA745/H745</f>
        <v>1.2308439548415533E-2</v>
      </c>
      <c r="AD745" s="33"/>
      <c r="AE745" s="33">
        <f t="shared" ref="AE745" si="1914">+AA745/BW745</f>
        <v>1198.1345108695652</v>
      </c>
      <c r="AF745" s="50"/>
      <c r="AG745" s="33"/>
      <c r="AH745" s="33"/>
      <c r="AI745" s="213"/>
      <c r="AJ745" s="50"/>
      <c r="AL745" s="23">
        <f t="shared" ref="AL745" si="1915">+AP745-AP744</f>
        <v>245769</v>
      </c>
      <c r="AM745" s="24"/>
      <c r="AN745" s="24"/>
      <c r="AO745" s="24">
        <v>178263</v>
      </c>
      <c r="AP745" s="24">
        <v>64070163</v>
      </c>
      <c r="AQ745" s="24">
        <v>20336656</v>
      </c>
      <c r="AR745" s="461">
        <f t="shared" ref="AR745" si="1916">+AL745/AP744</f>
        <v>3.8507063615833156E-3</v>
      </c>
      <c r="AS745" s="25"/>
      <c r="AT745" s="25"/>
      <c r="AU745" s="24"/>
      <c r="AV745" s="298">
        <f t="shared" ref="AV745" si="1917">+AP745/H745</f>
        <v>0.89428394474497785</v>
      </c>
      <c r="AW745" s="298"/>
      <c r="AX745" s="24">
        <f t="shared" ref="AX745" si="1918">+AP745/BW745</f>
        <v>87051.851902173919</v>
      </c>
      <c r="AY745" s="308"/>
      <c r="BA745" s="65">
        <f t="shared" ref="BA745" si="1919">+BC745-BC744</f>
        <v>1092488</v>
      </c>
      <c r="BB745" s="66"/>
      <c r="BC745" s="66">
        <v>977947531</v>
      </c>
      <c r="BD745" s="66"/>
      <c r="BE745" s="66">
        <f t="shared" ref="BE745" si="1920">+D745</f>
        <v>31927</v>
      </c>
      <c r="BF745" s="66"/>
      <c r="BG745" s="144">
        <f t="shared" ref="BG745" si="1921">+BE745/BA745</f>
        <v>2.9224119624197246E-2</v>
      </c>
      <c r="BH745" s="66"/>
      <c r="BI745" s="170"/>
      <c r="BJ745" s="66"/>
      <c r="BK745" s="66"/>
      <c r="BL745" s="66"/>
      <c r="BM745" s="144"/>
      <c r="BN745" s="65">
        <f t="shared" ref="BN745" si="1922">+BC745/BW745</f>
        <v>1328733.0584239131</v>
      </c>
      <c r="BO745" s="66"/>
      <c r="BP745" s="66">
        <f t="shared" ref="BP745" si="1923">+BP744+BE745</f>
        <v>70737116</v>
      </c>
      <c r="BQ745" s="66"/>
      <c r="BR745" s="435">
        <f t="shared" ref="BR745" si="1924">+BP745/BC745</f>
        <v>7.2332220040136286E-2</v>
      </c>
      <c r="BS745" s="66"/>
      <c r="BT745" s="75"/>
      <c r="BU745" s="170"/>
      <c r="BV745" s="1"/>
      <c r="BW745" s="61">
        <f t="shared" si="1544"/>
        <v>736</v>
      </c>
      <c r="BZ745" s="1"/>
      <c r="CA745" s="61"/>
    </row>
    <row r="746" spans="2:93" x14ac:dyDescent="0.3">
      <c r="B746" s="158">
        <f t="shared" si="1063"/>
        <v>44646</v>
      </c>
      <c r="C746" s="61"/>
      <c r="D746" s="17">
        <v>15510</v>
      </c>
      <c r="E746" s="16"/>
      <c r="F746" s="16"/>
      <c r="G746" s="16"/>
      <c r="H746" s="16">
        <f t="shared" ref="H746" si="1925">+H745+D746</f>
        <v>71659604</v>
      </c>
      <c r="I746" s="16"/>
      <c r="J746" s="436">
        <f t="shared" ref="J746" si="1926">+D746/H745</f>
        <v>2.1648679094190233E-4</v>
      </c>
      <c r="K746" s="16"/>
      <c r="L746" s="16"/>
      <c r="M746" s="16"/>
      <c r="N746" s="16">
        <f t="shared" ref="N746" si="1927">SUM(D740:D746)</f>
        <v>157264</v>
      </c>
      <c r="O746" s="16">
        <f t="shared" ref="O746" si="1928">+H746/BW746</f>
        <v>97231.484396200816</v>
      </c>
      <c r="P746" s="41"/>
      <c r="Q746" s="17">
        <f t="shared" ref="Q746" si="1929">SUM(D740:D746)</f>
        <v>157264</v>
      </c>
      <c r="R746" s="16"/>
      <c r="S746" s="60">
        <f t="shared" ref="S746" si="1930">+(Q746-Q739)/Q739</f>
        <v>-2.0503749470589701E-2</v>
      </c>
      <c r="T746" s="16"/>
      <c r="U746" s="41"/>
      <c r="V746" s="10">
        <f t="shared" si="558"/>
        <v>638</v>
      </c>
      <c r="W746" s="34">
        <v>221</v>
      </c>
      <c r="X746" s="33">
        <v>4256</v>
      </c>
      <c r="Y746" s="33"/>
      <c r="Z746" s="33">
        <f t="shared" ref="Z746" si="1931">SUM(W741:W746)</f>
        <v>3382</v>
      </c>
      <c r="AA746" s="33">
        <f t="shared" ref="AA746" si="1932">+AA745+W746</f>
        <v>882048</v>
      </c>
      <c r="AB746" s="33"/>
      <c r="AC746" s="46">
        <f t="shared" ref="AC746" si="1933">+AA746/H746</f>
        <v>1.2308859535422495E-2</v>
      </c>
      <c r="AD746" s="33"/>
      <c r="AE746" s="33">
        <f t="shared" ref="AE746" si="1934">+AA746/BW746</f>
        <v>1196.80868385346</v>
      </c>
      <c r="AF746" s="50"/>
      <c r="AG746" s="33"/>
      <c r="AH746" s="33"/>
      <c r="AI746" s="213"/>
      <c r="AJ746" s="50"/>
      <c r="AL746" s="23">
        <f t="shared" ref="AL746" si="1935">+AP746-AP745</f>
        <v>198813</v>
      </c>
      <c r="AM746" s="24"/>
      <c r="AN746" s="24"/>
      <c r="AO746" s="24">
        <v>178263</v>
      </c>
      <c r="AP746" s="24">
        <v>64268976</v>
      </c>
      <c r="AQ746" s="24">
        <v>20336656</v>
      </c>
      <c r="AR746" s="461">
        <f t="shared" ref="AR746" si="1936">+AL746/AP745</f>
        <v>3.1030512596011343E-3</v>
      </c>
      <c r="AS746" s="25"/>
      <c r="AT746" s="25"/>
      <c r="AU746" s="24"/>
      <c r="AV746" s="298">
        <f t="shared" ref="AV746" si="1937">+AP746/H746</f>
        <v>0.89686479428493637</v>
      </c>
      <c r="AW746" s="298"/>
      <c r="AX746" s="24">
        <f t="shared" ref="AX746" si="1938">+AP746/BW746</f>
        <v>87203.495251017637</v>
      </c>
      <c r="AY746" s="308"/>
      <c r="BA746" s="65">
        <f t="shared" ref="BA746" si="1939">+BC746-BC745</f>
        <v>345814</v>
      </c>
      <c r="BB746" s="66"/>
      <c r="BC746" s="66">
        <v>978293345</v>
      </c>
      <c r="BD746" s="66"/>
      <c r="BE746" s="66">
        <f t="shared" ref="BE746" si="1940">+D746</f>
        <v>15510</v>
      </c>
      <c r="BF746" s="66"/>
      <c r="BG746" s="144">
        <f t="shared" ref="BG746" si="1941">+BE746/BA746</f>
        <v>4.4850700087330185E-2</v>
      </c>
      <c r="BH746" s="66"/>
      <c r="BI746" s="170"/>
      <c r="BJ746" s="66"/>
      <c r="BK746" s="66"/>
      <c r="BL746" s="66"/>
      <c r="BM746" s="144"/>
      <c r="BN746" s="65">
        <f t="shared" ref="BN746" si="1942">+BC746/BW746</f>
        <v>1327399.382632293</v>
      </c>
      <c r="BO746" s="66"/>
      <c r="BP746" s="66">
        <f t="shared" ref="BP746" si="1943">+BP745+BE746</f>
        <v>70752626</v>
      </c>
      <c r="BQ746" s="66"/>
      <c r="BR746" s="435">
        <f t="shared" ref="BR746" si="1944">+BP746/BC746</f>
        <v>7.2322505679520907E-2</v>
      </c>
      <c r="BS746" s="66"/>
      <c r="BT746" s="75"/>
      <c r="BU746" s="170"/>
      <c r="BV746" s="1"/>
      <c r="BW746" s="61">
        <f t="shared" si="1544"/>
        <v>737</v>
      </c>
      <c r="BZ746" s="1"/>
      <c r="CA746" s="61"/>
    </row>
    <row r="747" spans="2:93" x14ac:dyDescent="0.3">
      <c r="B747" s="347">
        <f t="shared" si="1063"/>
        <v>44647</v>
      </c>
      <c r="C747" s="61"/>
      <c r="D747" s="17">
        <v>4952</v>
      </c>
      <c r="E747" s="16"/>
      <c r="F747" s="16"/>
      <c r="G747" s="16"/>
      <c r="H747" s="16">
        <f t="shared" ref="H747" si="1945">+H746+D747</f>
        <v>71664556</v>
      </c>
      <c r="I747" s="16"/>
      <c r="J747" s="436">
        <f t="shared" ref="J747" si="1946">+D747/H746</f>
        <v>6.9104484585206469E-5</v>
      </c>
      <c r="K747" s="16"/>
      <c r="L747" s="16"/>
      <c r="M747" s="16"/>
      <c r="N747" s="16">
        <f t="shared" ref="N747" si="1947">SUM(D741:D747)</f>
        <v>156250</v>
      </c>
      <c r="O747" s="16">
        <f t="shared" ref="O747" si="1948">+H747/BW747</f>
        <v>97106.444444444438</v>
      </c>
      <c r="P747" s="41"/>
      <c r="Q747" s="17">
        <f t="shared" ref="Q747" si="1949">SUM(D741:D747)</f>
        <v>156250</v>
      </c>
      <c r="R747" s="16"/>
      <c r="S747" s="60">
        <f t="shared" ref="S747" si="1950">+(Q747-Q740)/Q740</f>
        <v>-3.1782326077122801E-2</v>
      </c>
      <c r="T747" s="16"/>
      <c r="U747" s="41"/>
      <c r="V747" s="10">
        <f t="shared" si="558"/>
        <v>639</v>
      </c>
      <c r="W747" s="34">
        <v>42</v>
      </c>
      <c r="X747" s="33">
        <v>4256</v>
      </c>
      <c r="Y747" s="33"/>
      <c r="Z747" s="33">
        <f t="shared" ref="Z747" si="1951">SUM(W742:W747)</f>
        <v>3192</v>
      </c>
      <c r="AA747" s="33">
        <f t="shared" ref="AA747" si="1952">+AA746+W747</f>
        <v>882090</v>
      </c>
      <c r="AB747" s="33"/>
      <c r="AC747" s="46">
        <f t="shared" ref="AC747" si="1953">+AA747/H747</f>
        <v>1.2308595060576388E-2</v>
      </c>
      <c r="AD747" s="33"/>
      <c r="AE747" s="33">
        <f t="shared" ref="AE747" si="1954">+AA747/BW747</f>
        <v>1195.2439024390244</v>
      </c>
      <c r="AF747" s="50"/>
      <c r="AG747" s="33"/>
      <c r="AH747" s="33"/>
      <c r="AI747" s="213"/>
      <c r="AJ747" s="50"/>
      <c r="AL747" s="23">
        <f t="shared" ref="AL747" si="1955">+AP747-AP746</f>
        <v>188050</v>
      </c>
      <c r="AM747" s="24"/>
      <c r="AN747" s="24"/>
      <c r="AO747" s="24">
        <v>178263</v>
      </c>
      <c r="AP747" s="24">
        <v>64457026</v>
      </c>
      <c r="AQ747" s="24">
        <v>20336656</v>
      </c>
      <c r="AR747" s="461">
        <f t="shared" ref="AR747" si="1956">+AL747/AP746</f>
        <v>2.9259840704479248E-3</v>
      </c>
      <c r="AS747" s="25"/>
      <c r="AT747" s="25"/>
      <c r="AU747" s="24"/>
      <c r="AV747" s="298">
        <f t="shared" ref="AV747" si="1957">+AP747/H747</f>
        <v>0.89942685195733296</v>
      </c>
      <c r="AW747" s="298"/>
      <c r="AX747" s="24">
        <f t="shared" ref="AX747" si="1958">+AP747/BW747</f>
        <v>87340.143631436309</v>
      </c>
      <c r="AY747" s="308"/>
      <c r="BA747" s="65">
        <f t="shared" ref="BA747" si="1959">+BC747-BC746</f>
        <v>190454</v>
      </c>
      <c r="BB747" s="66"/>
      <c r="BC747" s="66">
        <v>978483799</v>
      </c>
      <c r="BD747" s="66"/>
      <c r="BE747" s="66">
        <f t="shared" ref="BE747" si="1960">+D747</f>
        <v>4952</v>
      </c>
      <c r="BF747" s="66"/>
      <c r="BG747" s="144">
        <f t="shared" ref="BG747" si="1961">+BE747/BA747</f>
        <v>2.6001029119892466E-2</v>
      </c>
      <c r="BH747" s="66"/>
      <c r="BI747" s="170"/>
      <c r="BJ747" s="66"/>
      <c r="BK747" s="66"/>
      <c r="BL747" s="66"/>
      <c r="BM747" s="144"/>
      <c r="BN747" s="65">
        <f t="shared" ref="BN747" si="1962">+BC747/BW747</f>
        <v>1325858.8062330624</v>
      </c>
      <c r="BO747" s="66"/>
      <c r="BP747" s="66">
        <f t="shared" ref="BP747" si="1963">+BP746+BE747</f>
        <v>70757578</v>
      </c>
      <c r="BQ747" s="66"/>
      <c r="BR747" s="435">
        <f t="shared" ref="BR747" si="1964">+BP747/BC747</f>
        <v>7.2313489576744647E-2</v>
      </c>
      <c r="BS747" s="66"/>
      <c r="BT747" s="75"/>
      <c r="BU747" s="170"/>
      <c r="BV747" s="1"/>
      <c r="BW747" s="61">
        <f t="shared" si="1544"/>
        <v>738</v>
      </c>
      <c r="BZ747" s="1"/>
      <c r="CA747" s="61"/>
    </row>
    <row r="748" spans="2:93" x14ac:dyDescent="0.3">
      <c r="B748" s="158">
        <f t="shared" si="1063"/>
        <v>44648</v>
      </c>
      <c r="C748" s="61"/>
      <c r="D748" s="17">
        <v>16886</v>
      </c>
      <c r="E748" s="16"/>
      <c r="F748" s="16"/>
      <c r="G748" s="16"/>
      <c r="H748" s="16">
        <f t="shared" ref="H748" si="1965">+H747+D748</f>
        <v>71681442</v>
      </c>
      <c r="I748" s="16"/>
      <c r="J748" s="436">
        <f t="shared" ref="J748" si="1966">+D748/H747</f>
        <v>2.3562554409741965E-4</v>
      </c>
      <c r="K748" s="16"/>
      <c r="L748" s="16"/>
      <c r="M748" s="16"/>
      <c r="N748" s="16">
        <f t="shared" ref="N748" si="1967">SUM(D742:D748)</f>
        <v>156701</v>
      </c>
      <c r="O748" s="16">
        <f t="shared" ref="O748" si="1968">+H748/BW748</f>
        <v>96997.891745602159</v>
      </c>
      <c r="P748" s="41"/>
      <c r="Q748" s="17">
        <f t="shared" ref="Q748" si="1969">SUM(D742:D748)</f>
        <v>156701</v>
      </c>
      <c r="R748" s="16"/>
      <c r="S748" s="60">
        <f t="shared" ref="S748" si="1970">+(Q748-Q741)/Q741</f>
        <v>-1.0351143109763799E-2</v>
      </c>
      <c r="T748" s="16"/>
      <c r="U748" s="41"/>
      <c r="V748" s="10">
        <f t="shared" si="558"/>
        <v>640</v>
      </c>
      <c r="W748" s="34">
        <v>215</v>
      </c>
      <c r="X748" s="33">
        <v>4256</v>
      </c>
      <c r="Y748" s="33"/>
      <c r="Z748" s="33">
        <f t="shared" ref="Z748" si="1971">SUM(W743:W748)</f>
        <v>2590</v>
      </c>
      <c r="AA748" s="33">
        <f t="shared" ref="AA748" si="1972">+AA747+W748</f>
        <v>882305</v>
      </c>
      <c r="AB748" s="33"/>
      <c r="AC748" s="46">
        <f t="shared" ref="AC748" si="1973">+AA748/H748</f>
        <v>1.2308694905998124E-2</v>
      </c>
      <c r="AD748" s="33"/>
      <c r="AE748" s="33">
        <f t="shared" ref="AE748" si="1974">+AA748/BW748</f>
        <v>1193.9174560216509</v>
      </c>
      <c r="AF748" s="50"/>
      <c r="AG748" s="33"/>
      <c r="AH748" s="33"/>
      <c r="AI748" s="213"/>
      <c r="AJ748" s="50"/>
      <c r="AL748" s="23">
        <f t="shared" ref="AL748" si="1975">+AP748-AP747</f>
        <v>226143</v>
      </c>
      <c r="AM748" s="24"/>
      <c r="AN748" s="24"/>
      <c r="AO748" s="24">
        <v>178263</v>
      </c>
      <c r="AP748" s="24">
        <v>64683169</v>
      </c>
      <c r="AQ748" s="24">
        <v>20336656</v>
      </c>
      <c r="AR748" s="461">
        <f t="shared" ref="AR748" si="1976">+AL748/AP747</f>
        <v>3.5084305627132097E-3</v>
      </c>
      <c r="AS748" s="25"/>
      <c r="AT748" s="25"/>
      <c r="AU748" s="24"/>
      <c r="AV748" s="298">
        <f t="shared" ref="AV748" si="1977">+AP748/H748</f>
        <v>0.90236980723685778</v>
      </c>
      <c r="AW748" s="298"/>
      <c r="AX748" s="24">
        <f t="shared" ref="AX748" si="1978">+AP748/BW748</f>
        <v>87527.968876860628</v>
      </c>
      <c r="AY748" s="308"/>
      <c r="BA748" s="65">
        <f t="shared" ref="BA748" si="1979">+BC748-BC747</f>
        <v>1217028</v>
      </c>
      <c r="BB748" s="66"/>
      <c r="BC748" s="66">
        <v>979700827</v>
      </c>
      <c r="BD748" s="66"/>
      <c r="BE748" s="66">
        <f t="shared" ref="BE748" si="1980">+D748</f>
        <v>16886</v>
      </c>
      <c r="BF748" s="66"/>
      <c r="BG748" s="144">
        <f t="shared" ref="BG748" si="1981">+BE748/BA748</f>
        <v>1.3874783488958348E-2</v>
      </c>
      <c r="BH748" s="66"/>
      <c r="BI748" s="170"/>
      <c r="BJ748" s="66"/>
      <c r="BK748" s="66"/>
      <c r="BL748" s="66"/>
      <c r="BM748" s="144"/>
      <c r="BN748" s="65">
        <f t="shared" ref="BN748" si="1982">+BC748/BW748</f>
        <v>1325711.5385656292</v>
      </c>
      <c r="BO748" s="66"/>
      <c r="BP748" s="66">
        <f t="shared" ref="BP748" si="1983">+BP747+BE748</f>
        <v>70774464</v>
      </c>
      <c r="BQ748" s="66"/>
      <c r="BR748" s="435">
        <f t="shared" ref="BR748" si="1984">+BP748/BC748</f>
        <v>7.2240894413371767E-2</v>
      </c>
      <c r="BS748" s="66"/>
      <c r="BT748" s="75"/>
      <c r="BU748" s="170"/>
      <c r="BV748" s="1"/>
      <c r="BW748" s="61">
        <f t="shared" si="1544"/>
        <v>739</v>
      </c>
      <c r="BZ748" s="1"/>
      <c r="CA748" s="61"/>
    </row>
    <row r="749" spans="2:93" x14ac:dyDescent="0.3">
      <c r="B749" s="158">
        <f t="shared" si="1063"/>
        <v>44649</v>
      </c>
      <c r="C749" s="61"/>
      <c r="D749" s="17">
        <v>23974</v>
      </c>
      <c r="E749" s="16"/>
      <c r="F749" s="16"/>
      <c r="G749" s="16"/>
      <c r="H749" s="16">
        <f t="shared" ref="H749" si="1985">+H748+D749</f>
        <v>71705416</v>
      </c>
      <c r="I749" s="16"/>
      <c r="J749" s="436">
        <f t="shared" ref="J749" si="1986">+D749/H748</f>
        <v>3.344519771240093E-4</v>
      </c>
      <c r="K749" s="16"/>
      <c r="L749" s="16"/>
      <c r="M749" s="16"/>
      <c r="N749" s="16">
        <f t="shared" ref="N749" si="1987">SUM(D743:D749)</f>
        <v>157068</v>
      </c>
      <c r="O749" s="16">
        <f t="shared" ref="O749" si="1988">+H749/BW749</f>
        <v>96899.210810810808</v>
      </c>
      <c r="P749" s="41"/>
      <c r="Q749" s="17">
        <f t="shared" ref="Q749" si="1989">SUM(D743:D749)</f>
        <v>157068</v>
      </c>
      <c r="R749" s="16"/>
      <c r="S749" s="60">
        <f t="shared" ref="S749" si="1990">+(Q749-Q742)/Q742</f>
        <v>3.0653689937926278E-3</v>
      </c>
      <c r="T749" s="16"/>
      <c r="U749" s="41"/>
      <c r="V749" s="10">
        <f t="shared" si="558"/>
        <v>641</v>
      </c>
      <c r="W749" s="34">
        <v>716</v>
      </c>
      <c r="X749" s="33">
        <v>4256</v>
      </c>
      <c r="Y749" s="33"/>
      <c r="Z749" s="33">
        <f t="shared" ref="Z749" si="1991">SUM(W744:W749)</f>
        <v>2535</v>
      </c>
      <c r="AA749" s="33">
        <f t="shared" ref="AA749" si="1992">+AA748+W749</f>
        <v>883021</v>
      </c>
      <c r="AB749" s="33"/>
      <c r="AC749" s="46">
        <f t="shared" ref="AC749" si="1993">+AA749/H749</f>
        <v>1.23145649137577E-2</v>
      </c>
      <c r="AD749" s="33"/>
      <c r="AE749" s="33">
        <f t="shared" ref="AE749" si="1994">+AA749/BW749</f>
        <v>1193.2716216216215</v>
      </c>
      <c r="AF749" s="50"/>
      <c r="AG749" s="33"/>
      <c r="AH749" s="33"/>
      <c r="AI749" s="213"/>
      <c r="AJ749" s="50"/>
      <c r="AL749" s="23">
        <f t="shared" ref="AL749" si="1995">+AP749-AP748</f>
        <v>193805</v>
      </c>
      <c r="AM749" s="24"/>
      <c r="AN749" s="24"/>
      <c r="AO749" s="24">
        <v>178263</v>
      </c>
      <c r="AP749" s="24">
        <v>64876974</v>
      </c>
      <c r="AQ749" s="24">
        <v>20336656</v>
      </c>
      <c r="AR749" s="461">
        <f t="shared" ref="AR749" si="1996">+AL749/AP748</f>
        <v>2.9962199285566852E-3</v>
      </c>
      <c r="AS749" s="25"/>
      <c r="AT749" s="25"/>
      <c r="AU749" s="24"/>
      <c r="AV749" s="298">
        <f t="shared" ref="AV749" si="1997">+AP749/H749</f>
        <v>0.90477090321880294</v>
      </c>
      <c r="AW749" s="298"/>
      <c r="AX749" s="24">
        <f t="shared" ref="AX749" si="1998">+AP749/BW749</f>
        <v>87671.586486486485</v>
      </c>
      <c r="AY749" s="308"/>
      <c r="BA749" s="65">
        <f t="shared" ref="BA749" si="1999">+BC749-BC748</f>
        <v>1565986</v>
      </c>
      <c r="BB749" s="66"/>
      <c r="BC749" s="66">
        <v>981266813</v>
      </c>
      <c r="BD749" s="66"/>
      <c r="BE749" s="66">
        <f t="shared" ref="BE749" si="2000">+D749</f>
        <v>23974</v>
      </c>
      <c r="BF749" s="66"/>
      <c r="BG749" s="144">
        <f t="shared" ref="BG749" si="2001">+BE749/BA749</f>
        <v>1.530920455227569E-2</v>
      </c>
      <c r="BH749" s="66"/>
      <c r="BI749" s="170"/>
      <c r="BJ749" s="66"/>
      <c r="BK749" s="66"/>
      <c r="BL749" s="66"/>
      <c r="BM749" s="144"/>
      <c r="BN749" s="65">
        <f t="shared" ref="BN749" si="2002">+BC749/BW749</f>
        <v>1326036.2337837839</v>
      </c>
      <c r="BO749" s="66"/>
      <c r="BP749" s="66">
        <f t="shared" ref="BP749" si="2003">+BP748+BE749</f>
        <v>70798438</v>
      </c>
      <c r="BQ749" s="66"/>
      <c r="BR749" s="435">
        <f t="shared" ref="BR749" si="2004">+BP749/BC749</f>
        <v>7.2150038156849394E-2</v>
      </c>
      <c r="BS749" s="66"/>
      <c r="BT749" s="75"/>
      <c r="BU749" s="170"/>
      <c r="BV749" s="1"/>
      <c r="BW749" s="61">
        <f t="shared" si="1544"/>
        <v>740</v>
      </c>
      <c r="BZ749" s="1"/>
      <c r="CA749" s="61"/>
    </row>
    <row r="750" spans="2:93" x14ac:dyDescent="0.3">
      <c r="B750" s="158">
        <f t="shared" si="1063"/>
        <v>44650</v>
      </c>
      <c r="C750" s="61"/>
      <c r="D750" s="17">
        <v>32194</v>
      </c>
      <c r="E750" s="16"/>
      <c r="F750" s="16"/>
      <c r="G750" s="16"/>
      <c r="H750" s="16">
        <f t="shared" ref="H750" si="2005">+H749+D750</f>
        <v>71737610</v>
      </c>
      <c r="I750" s="16"/>
      <c r="J750" s="436">
        <f t="shared" ref="J750" si="2006">+D750/H749</f>
        <v>4.4897584863045768E-4</v>
      </c>
      <c r="K750" s="16"/>
      <c r="L750" s="16"/>
      <c r="M750" s="16"/>
      <c r="N750" s="16">
        <f t="shared" ref="N750" si="2007">SUM(D744:D750)</f>
        <v>157239</v>
      </c>
      <c r="O750" s="16">
        <f t="shared" ref="O750" si="2008">+H750/BW750</f>
        <v>96811.889338731446</v>
      </c>
      <c r="P750" s="41"/>
      <c r="Q750" s="17">
        <f t="shared" ref="Q750" si="2009">SUM(D744:D750)</f>
        <v>157239</v>
      </c>
      <c r="R750" s="16"/>
      <c r="S750" s="60">
        <f t="shared" ref="S750" si="2010">+(Q750-Q743)/Q743</f>
        <v>-5.4647919394318891E-3</v>
      </c>
      <c r="T750" s="16"/>
      <c r="U750" s="41"/>
      <c r="V750" s="10">
        <f t="shared" si="558"/>
        <v>642</v>
      </c>
      <c r="W750" s="34">
        <v>741</v>
      </c>
      <c r="X750" s="33">
        <v>4256</v>
      </c>
      <c r="Y750" s="33"/>
      <c r="Z750" s="33">
        <f t="shared" ref="Z750" si="2011">SUM(W745:W750)</f>
        <v>2627</v>
      </c>
      <c r="AA750" s="33">
        <f t="shared" ref="AA750" si="2012">+AA749+W750</f>
        <v>883762</v>
      </c>
      <c r="AB750" s="33"/>
      <c r="AC750" s="46">
        <f t="shared" ref="AC750" si="2013">+AA750/H750</f>
        <v>1.2319367762600399E-2</v>
      </c>
      <c r="AD750" s="33"/>
      <c r="AE750" s="33">
        <f t="shared" ref="AE750" si="2014">+AA750/BW750</f>
        <v>1192.6612685560053</v>
      </c>
      <c r="AF750" s="50"/>
      <c r="AG750" s="33"/>
      <c r="AH750" s="33"/>
      <c r="AI750" s="213"/>
      <c r="AJ750" s="50"/>
      <c r="AL750" s="23">
        <f t="shared" ref="AL750" si="2015">+AP750-AP749</f>
        <v>202000</v>
      </c>
      <c r="AM750" s="24"/>
      <c r="AN750" s="24"/>
      <c r="AO750" s="24">
        <v>178263</v>
      </c>
      <c r="AP750" s="24">
        <v>65078974</v>
      </c>
      <c r="AQ750" s="24">
        <v>20336656</v>
      </c>
      <c r="AR750" s="461">
        <f t="shared" ref="AR750" si="2016">+AL750/AP749</f>
        <v>3.1135854147574761E-3</v>
      </c>
      <c r="AS750" s="25"/>
      <c r="AT750" s="25"/>
      <c r="AU750" s="24"/>
      <c r="AV750" s="298">
        <f t="shared" ref="AV750" si="2017">+AP750/H750</f>
        <v>0.90718068248997985</v>
      </c>
      <c r="AW750" s="298"/>
      <c r="AX750" s="24">
        <f t="shared" ref="AX750" si="2018">+AP750/BW750</f>
        <v>87825.875843454793</v>
      </c>
      <c r="AY750" s="308"/>
      <c r="BA750" s="65">
        <f t="shared" ref="BA750" si="2019">+BC750-BC749</f>
        <v>1279965</v>
      </c>
      <c r="BB750" s="66"/>
      <c r="BC750" s="66">
        <v>982546778</v>
      </c>
      <c r="BD750" s="66"/>
      <c r="BE750" s="66">
        <f t="shared" ref="BE750" si="2020">+D750</f>
        <v>32194</v>
      </c>
      <c r="BF750" s="66"/>
      <c r="BG750" s="144">
        <f t="shared" ref="BG750" si="2021">+BE750/BA750</f>
        <v>2.5152250256842961E-2</v>
      </c>
      <c r="BH750" s="66"/>
      <c r="BI750" s="170"/>
      <c r="BJ750" s="66"/>
      <c r="BK750" s="66"/>
      <c r="BL750" s="66"/>
      <c r="BM750" s="144"/>
      <c r="BN750" s="65">
        <f t="shared" ref="BN750" si="2022">+BC750/BW750</f>
        <v>1325974.0593792172</v>
      </c>
      <c r="BO750" s="66"/>
      <c r="BP750" s="66">
        <f t="shared" ref="BP750" si="2023">+BP749+BE750</f>
        <v>70830632</v>
      </c>
      <c r="BQ750" s="66"/>
      <c r="BR750" s="435">
        <f t="shared" ref="BR750" si="2024">+BP750/BC750</f>
        <v>7.2088814075781341E-2</v>
      </c>
      <c r="BS750" s="66"/>
      <c r="BT750" s="75"/>
      <c r="BU750" s="170"/>
      <c r="BV750" s="1"/>
      <c r="BW750" s="61">
        <f t="shared" si="1544"/>
        <v>741</v>
      </c>
      <c r="BZ750" s="1"/>
      <c r="CA750" s="61"/>
    </row>
    <row r="751" spans="2:93" x14ac:dyDescent="0.3">
      <c r="B751" s="158">
        <f t="shared" si="1063"/>
        <v>44651</v>
      </c>
      <c r="C751" s="61"/>
      <c r="D751" s="17">
        <v>34561</v>
      </c>
      <c r="E751" s="16"/>
      <c r="F751" s="16"/>
      <c r="G751" s="16"/>
      <c r="H751" s="16">
        <f t="shared" ref="H751" si="2025">+H750+D751</f>
        <v>71772171</v>
      </c>
      <c r="I751" s="16"/>
      <c r="J751" s="436">
        <f t="shared" ref="J751" si="2026">+D751/H750</f>
        <v>4.8176960453519431E-4</v>
      </c>
      <c r="K751" s="16"/>
      <c r="L751" s="16"/>
      <c r="M751" s="16"/>
      <c r="N751" s="16">
        <f t="shared" ref="N751" si="2027">SUM(D745:D751)</f>
        <v>160004</v>
      </c>
      <c r="O751" s="16">
        <f t="shared" ref="O751" si="2028">+H751/BW751</f>
        <v>96727.993261455529</v>
      </c>
      <c r="P751" s="41"/>
      <c r="Q751" s="17">
        <f t="shared" ref="Q751" si="2029">SUM(D745:D751)</f>
        <v>160004</v>
      </c>
      <c r="R751" s="16"/>
      <c r="S751" s="60">
        <f t="shared" ref="S751" si="2030">+(Q751-Q744)/Q744</f>
        <v>3.6127570017807996E-2</v>
      </c>
      <c r="T751" s="16"/>
      <c r="U751" s="41"/>
      <c r="V751" s="10">
        <f t="shared" si="558"/>
        <v>643</v>
      </c>
      <c r="W751" s="34">
        <v>439</v>
      </c>
      <c r="X751" s="33">
        <v>4256</v>
      </c>
      <c r="Y751" s="33"/>
      <c r="Z751" s="33">
        <f t="shared" ref="Z751" si="2031">SUM(W746:W751)</f>
        <v>2374</v>
      </c>
      <c r="AA751" s="33">
        <f t="shared" ref="AA751" si="2032">+AA750+W751</f>
        <v>884201</v>
      </c>
      <c r="AB751" s="33"/>
      <c r="AC751" s="46">
        <f t="shared" ref="AC751" si="2033">+AA751/H751</f>
        <v>1.2319552100493101E-2</v>
      </c>
      <c r="AD751" s="33"/>
      <c r="AE751" s="33">
        <f t="shared" ref="AE751" si="2034">+AA751/BW751</f>
        <v>1191.6455525606468</v>
      </c>
      <c r="AF751" s="50"/>
      <c r="AG751" s="33"/>
      <c r="AH751" s="33"/>
      <c r="AI751" s="213"/>
      <c r="AJ751" s="50"/>
      <c r="AL751" s="23">
        <f t="shared" ref="AL751" si="2035">+AP751-AP750</f>
        <v>157866</v>
      </c>
      <c r="AM751" s="24"/>
      <c r="AN751" s="24"/>
      <c r="AO751" s="24">
        <v>178263</v>
      </c>
      <c r="AP751" s="24">
        <v>65236840</v>
      </c>
      <c r="AQ751" s="24">
        <v>20336656</v>
      </c>
      <c r="AR751" s="461">
        <f t="shared" ref="AR751" si="2036">+AL751/AP750</f>
        <v>2.4257604307037785E-3</v>
      </c>
      <c r="AS751" s="25"/>
      <c r="AT751" s="25"/>
      <c r="AU751" s="24"/>
      <c r="AV751" s="298">
        <f t="shared" ref="AV751" si="2037">+AP751/H751</f>
        <v>0.90894338419831278</v>
      </c>
      <c r="AW751" s="298"/>
      <c r="AX751" s="24">
        <f t="shared" ref="AX751" si="2038">+AP751/BW751</f>
        <v>87920.26954177898</v>
      </c>
      <c r="AY751" s="308"/>
      <c r="BA751" s="65">
        <f t="shared" ref="BA751" si="2039">+BC751-BC750</f>
        <v>1151116</v>
      </c>
      <c r="BB751" s="66"/>
      <c r="BC751" s="66">
        <v>983697894</v>
      </c>
      <c r="BD751" s="66"/>
      <c r="BE751" s="66">
        <f t="shared" ref="BE751" si="2040">+D751</f>
        <v>34561</v>
      </c>
      <c r="BF751" s="66"/>
      <c r="BG751" s="144">
        <f t="shared" ref="BG751" si="2041">+BE751/BA751</f>
        <v>3.002390723437082E-2</v>
      </c>
      <c r="BH751" s="66"/>
      <c r="BI751" s="170"/>
      <c r="BJ751" s="66"/>
      <c r="BK751" s="66"/>
      <c r="BL751" s="66"/>
      <c r="BM751" s="144"/>
      <c r="BN751" s="65">
        <f t="shared" ref="BN751" si="2042">+BC751/BW751</f>
        <v>1325738.4016172506</v>
      </c>
      <c r="BO751" s="66"/>
      <c r="BP751" s="66">
        <f t="shared" ref="BP751" si="2043">+BP750+BE751</f>
        <v>70865193</v>
      </c>
      <c r="BQ751" s="66"/>
      <c r="BR751" s="435">
        <f t="shared" ref="BR751" si="2044">+BP751/BC751</f>
        <v>7.2039590032913089E-2</v>
      </c>
      <c r="BS751" s="66"/>
      <c r="BT751" s="75"/>
      <c r="BU751" s="170"/>
      <c r="BV751" s="1"/>
      <c r="BW751" s="61">
        <f t="shared" si="1544"/>
        <v>742</v>
      </c>
      <c r="BZ751" s="1"/>
      <c r="CA751" s="61"/>
    </row>
    <row r="752" spans="2:93" x14ac:dyDescent="0.3">
      <c r="B752" s="158">
        <f t="shared" si="1063"/>
        <v>44652</v>
      </c>
      <c r="C752" s="61"/>
      <c r="D752" s="17">
        <v>30655</v>
      </c>
      <c r="E752" s="16"/>
      <c r="F752" s="16"/>
      <c r="G752" s="16"/>
      <c r="H752" s="16">
        <f t="shared" ref="H752" si="2045">+H751+D752</f>
        <v>71802826</v>
      </c>
      <c r="I752" s="16"/>
      <c r="J752" s="436">
        <f t="shared" ref="J752" si="2046">+D752/H751</f>
        <v>4.2711540661073216E-4</v>
      </c>
      <c r="K752" s="16"/>
      <c r="L752" s="16"/>
      <c r="M752" s="16"/>
      <c r="N752" s="16">
        <f t="shared" ref="N752" si="2047">SUM(D746:D752)</f>
        <v>158732</v>
      </c>
      <c r="O752" s="16">
        <f t="shared" ref="O752" si="2048">+H752/BW752</f>
        <v>96639.06594885599</v>
      </c>
      <c r="P752" s="41"/>
      <c r="Q752" s="17">
        <f t="shared" ref="Q752" si="2049">SUM(D746:D752)</f>
        <v>158732</v>
      </c>
      <c r="R752" s="16"/>
      <c r="S752" s="60">
        <f t="shared" ref="S752" si="2050">+(Q752-Q745)/Q745</f>
        <v>2.9951465130161697E-2</v>
      </c>
      <c r="T752" s="16"/>
      <c r="U752" s="41"/>
      <c r="V752" s="10">
        <f t="shared" si="558"/>
        <v>644</v>
      </c>
      <c r="W752" s="34">
        <v>498</v>
      </c>
      <c r="X752" s="33">
        <v>4256</v>
      </c>
      <c r="Y752" s="33"/>
      <c r="Z752" s="33">
        <f t="shared" ref="Z752" si="2051">SUM(W747:W752)</f>
        <v>2651</v>
      </c>
      <c r="AA752" s="33">
        <f t="shared" ref="AA752" si="2052">+AA751+W752</f>
        <v>884699</v>
      </c>
      <c r="AB752" s="33"/>
      <c r="AC752" s="46">
        <f t="shared" ref="AC752" si="2053">+AA752/H752</f>
        <v>1.232122813661958E-2</v>
      </c>
      <c r="AD752" s="33"/>
      <c r="AE752" s="33">
        <f t="shared" ref="AE752" si="2054">+AA752/BW752</f>
        <v>1190.7119784656797</v>
      </c>
      <c r="AF752" s="50"/>
      <c r="AG752" s="33"/>
      <c r="AH752" s="33"/>
      <c r="AI752" s="213"/>
      <c r="AJ752" s="50"/>
      <c r="AL752" s="23">
        <f t="shared" ref="AL752" si="2055">+AP752-AP751</f>
        <v>146151</v>
      </c>
      <c r="AM752" s="24"/>
      <c r="AN752" s="24"/>
      <c r="AO752" s="24">
        <v>178263</v>
      </c>
      <c r="AP752" s="24">
        <v>65382991</v>
      </c>
      <c r="AQ752" s="24">
        <v>20336656</v>
      </c>
      <c r="AR752" s="461">
        <f t="shared" ref="AR752" si="2056">+AL752/AP751</f>
        <v>2.2403139085216267E-3</v>
      </c>
      <c r="AS752" s="25"/>
      <c r="AT752" s="25"/>
      <c r="AU752" s="24"/>
      <c r="AV752" s="298">
        <f t="shared" ref="AV752" si="2057">+AP752/H752</f>
        <v>0.91059077535471933</v>
      </c>
      <c r="AW752" s="298"/>
      <c r="AX752" s="24">
        <f t="shared" ref="AX752" si="2058">+AP752/BW752</f>
        <v>87998.641991924625</v>
      </c>
      <c r="AY752" s="308"/>
      <c r="BA752" s="65">
        <f t="shared" ref="BA752" si="2059">+BC752-BC751</f>
        <v>938305</v>
      </c>
      <c r="BB752" s="66"/>
      <c r="BC752" s="66">
        <v>984636199</v>
      </c>
      <c r="BD752" s="66"/>
      <c r="BE752" s="66">
        <f t="shared" ref="BE752" si="2060">+D752</f>
        <v>30655</v>
      </c>
      <c r="BF752" s="66"/>
      <c r="BG752" s="144">
        <f t="shared" ref="BG752" si="2061">+BE752/BA752</f>
        <v>3.2670613499874775E-2</v>
      </c>
      <c r="BH752" s="66"/>
      <c r="BI752" s="170"/>
      <c r="BJ752" s="66"/>
      <c r="BK752" s="66"/>
      <c r="BL752" s="66"/>
      <c r="BM752" s="144"/>
      <c r="BN752" s="65">
        <f t="shared" ref="BN752" si="2062">+BC752/BW752</f>
        <v>1325216.9569313594</v>
      </c>
      <c r="BO752" s="66"/>
      <c r="BP752" s="66">
        <f t="shared" ref="BP752" si="2063">+BP751+BE752</f>
        <v>70895848</v>
      </c>
      <c r="BQ752" s="66"/>
      <c r="BR752" s="435">
        <f t="shared" ref="BR752" si="2064">+BP752/BC752</f>
        <v>7.2002073529291402E-2</v>
      </c>
      <c r="BS752" s="66"/>
      <c r="BT752" s="75"/>
      <c r="BU752" s="170"/>
      <c r="BV752" s="1"/>
      <c r="BW752" s="61">
        <f t="shared" si="1544"/>
        <v>743</v>
      </c>
      <c r="BZ752" s="1"/>
      <c r="CA752" s="61"/>
    </row>
    <row r="753" spans="2:85" x14ac:dyDescent="0.3">
      <c r="B753" s="158">
        <f t="shared" si="1063"/>
        <v>44653</v>
      </c>
      <c r="C753" s="61"/>
      <c r="D753" s="17">
        <v>12661</v>
      </c>
      <c r="E753" s="16"/>
      <c r="F753" s="16"/>
      <c r="G753" s="16"/>
      <c r="H753" s="16">
        <f t="shared" ref="H753" si="2065">+H752+D753</f>
        <v>71815487</v>
      </c>
      <c r="I753" s="16"/>
      <c r="J753" s="436">
        <f t="shared" ref="J753" si="2066">+D753/H752</f>
        <v>1.763301071186251E-4</v>
      </c>
      <c r="K753" s="16"/>
      <c r="L753" s="16"/>
      <c r="M753" s="16"/>
      <c r="N753" s="16">
        <f t="shared" ref="N753" si="2067">SUM(D747:D753)</f>
        <v>155883</v>
      </c>
      <c r="O753" s="16">
        <f t="shared" ref="O753" si="2068">+H753/BW753</f>
        <v>96526.192204301071</v>
      </c>
      <c r="P753" s="41"/>
      <c r="Q753" s="17">
        <f t="shared" ref="Q753" si="2069">SUM(D747:D753)</f>
        <v>155883</v>
      </c>
      <c r="R753" s="16"/>
      <c r="S753" s="60">
        <f t="shared" ref="S753" si="2070">+(Q753-Q746)/Q746</f>
        <v>-8.7814121477261167E-3</v>
      </c>
      <c r="T753" s="16"/>
      <c r="U753" s="41"/>
      <c r="V753" s="10">
        <f t="shared" si="558"/>
        <v>645</v>
      </c>
      <c r="W753" s="34">
        <v>150</v>
      </c>
      <c r="X753" s="33">
        <v>4256</v>
      </c>
      <c r="Y753" s="33"/>
      <c r="Z753" s="33">
        <f t="shared" ref="Z753" si="2071">SUM(W748:W753)</f>
        <v>2759</v>
      </c>
      <c r="AA753" s="33">
        <f t="shared" ref="AA753" si="2072">+AA752+W753</f>
        <v>884849</v>
      </c>
      <c r="AB753" s="33"/>
      <c r="AC753" s="46">
        <f t="shared" ref="AC753" si="2073">+AA753/H753</f>
        <v>1.2321144602138533E-2</v>
      </c>
      <c r="AD753" s="33"/>
      <c r="AE753" s="33">
        <f t="shared" ref="AE753" si="2074">+AA753/BW753</f>
        <v>1189.3131720430108</v>
      </c>
      <c r="AF753" s="50"/>
      <c r="AG753" s="33"/>
      <c r="AH753" s="33"/>
      <c r="AI753" s="213"/>
      <c r="AJ753" s="50"/>
      <c r="AL753" s="23">
        <f t="shared" ref="AL753" si="2075">+AP753-AP752</f>
        <v>142983</v>
      </c>
      <c r="AM753" s="24"/>
      <c r="AN753" s="24"/>
      <c r="AO753" s="24">
        <v>178263</v>
      </c>
      <c r="AP753" s="24">
        <v>65525974</v>
      </c>
      <c r="AQ753" s="24">
        <v>20336656</v>
      </c>
      <c r="AR753" s="461">
        <f t="shared" ref="AR753" si="2076">+AL753/AP752</f>
        <v>2.1868531526800295E-3</v>
      </c>
      <c r="AS753" s="25"/>
      <c r="AT753" s="25"/>
      <c r="AU753" s="24"/>
      <c r="AV753" s="298">
        <f t="shared" ref="AV753" si="2077">+AP753/H753</f>
        <v>0.91242121633179207</v>
      </c>
      <c r="AW753" s="298"/>
      <c r="AX753" s="24">
        <f t="shared" ref="AX753" si="2078">+AP753/BW753</f>
        <v>88072.545698924732</v>
      </c>
      <c r="AY753" s="308"/>
      <c r="BA753" s="65">
        <f t="shared" ref="BA753" si="2079">+BC753-BC752</f>
        <v>273166</v>
      </c>
      <c r="BB753" s="66"/>
      <c r="BC753" s="66">
        <v>984909365</v>
      </c>
      <c r="BD753" s="66"/>
      <c r="BE753" s="66">
        <f t="shared" ref="BE753" si="2080">+D753</f>
        <v>12661</v>
      </c>
      <c r="BF753" s="66"/>
      <c r="BG753" s="144">
        <f t="shared" ref="BG753" si="2081">+BE753/BA753</f>
        <v>4.6349106404164502E-2</v>
      </c>
      <c r="BH753" s="66"/>
      <c r="BI753" s="170"/>
      <c r="BJ753" s="66"/>
      <c r="BK753" s="66"/>
      <c r="BL753" s="66"/>
      <c r="BM753" s="144"/>
      <c r="BN753" s="65">
        <f t="shared" ref="BN753" si="2082">+BC753/BW753</f>
        <v>1323802.9099462365</v>
      </c>
      <c r="BO753" s="66"/>
      <c r="BP753" s="66">
        <f t="shared" ref="BP753" si="2083">+BP752+BE753</f>
        <v>70908509</v>
      </c>
      <c r="BQ753" s="66"/>
      <c r="BR753" s="435">
        <f t="shared" ref="BR753" si="2084">+BP753/BC753</f>
        <v>7.1994958642717349E-2</v>
      </c>
      <c r="BS753" s="66"/>
      <c r="BT753" s="75"/>
      <c r="BU753" s="170"/>
      <c r="BV753" s="1"/>
      <c r="BW753" s="61">
        <f t="shared" si="1544"/>
        <v>744</v>
      </c>
      <c r="BZ753" s="1"/>
      <c r="CA753" s="61"/>
    </row>
    <row r="754" spans="2:85" x14ac:dyDescent="0.3">
      <c r="B754" s="347">
        <f t="shared" si="1063"/>
        <v>44654</v>
      </c>
      <c r="C754" s="61"/>
      <c r="D754" s="17">
        <v>6241</v>
      </c>
      <c r="E754" s="16"/>
      <c r="F754" s="16"/>
      <c r="G754" s="16"/>
      <c r="H754" s="16">
        <f t="shared" ref="H754" si="2085">+H753+D754</f>
        <v>71821728</v>
      </c>
      <c r="I754" s="16"/>
      <c r="J754" s="436">
        <f t="shared" ref="J754" si="2086">+D754/H753</f>
        <v>8.6903260852356267E-5</v>
      </c>
      <c r="K754" s="16"/>
      <c r="L754" s="16"/>
      <c r="M754" s="16"/>
      <c r="N754" s="16">
        <f t="shared" ref="N754" si="2087">SUM(D748:D754)</f>
        <v>157172</v>
      </c>
      <c r="O754" s="16">
        <f t="shared" ref="O754" si="2088">+H754/BW754</f>
        <v>96405.004026845636</v>
      </c>
      <c r="P754" s="41"/>
      <c r="Q754" s="17">
        <f t="shared" ref="Q754" si="2089">SUM(D748:D754)</f>
        <v>157172</v>
      </c>
      <c r="R754" s="16"/>
      <c r="S754" s="60">
        <f t="shared" ref="S754" si="2090">+(Q754-Q747)/Q747</f>
        <v>5.9008000000000003E-3</v>
      </c>
      <c r="T754" s="16"/>
      <c r="U754" s="41"/>
      <c r="V754" s="10">
        <f t="shared" si="558"/>
        <v>646</v>
      </c>
      <c r="W754" s="34">
        <v>39</v>
      </c>
      <c r="X754" s="33">
        <v>4256</v>
      </c>
      <c r="Y754" s="33"/>
      <c r="Z754" s="33">
        <f t="shared" ref="Z754" si="2091">SUM(W749:W754)</f>
        <v>2583</v>
      </c>
      <c r="AA754" s="33">
        <f t="shared" ref="AA754" si="2092">+AA753+W754</f>
        <v>884888</v>
      </c>
      <c r="AB754" s="33"/>
      <c r="AC754" s="46">
        <f t="shared" ref="AC754" si="2093">+AA754/H754</f>
        <v>1.2320616958700854E-2</v>
      </c>
      <c r="AD754" s="33"/>
      <c r="AE754" s="33">
        <f t="shared" ref="AE754" si="2094">+AA754/BW754</f>
        <v>1187.7691275167786</v>
      </c>
      <c r="AF754" s="50"/>
      <c r="AG754" s="33"/>
      <c r="AH754" s="33"/>
      <c r="AI754" s="213"/>
      <c r="AJ754" s="50"/>
      <c r="AL754" s="23">
        <f t="shared" ref="AL754" si="2095">+AP754-AP753</f>
        <v>150540</v>
      </c>
      <c r="AM754" s="24"/>
      <c r="AN754" s="24"/>
      <c r="AO754" s="24">
        <v>178263</v>
      </c>
      <c r="AP754" s="24">
        <v>65676514</v>
      </c>
      <c r="AQ754" s="24">
        <v>20336656</v>
      </c>
      <c r="AR754" s="461">
        <f t="shared" ref="AR754" si="2096">+AL754/AP753</f>
        <v>2.2974095737974074E-3</v>
      </c>
      <c r="AS754" s="25"/>
      <c r="AT754" s="25"/>
      <c r="AU754" s="24"/>
      <c r="AV754" s="298">
        <f t="shared" ref="AV754" si="2097">+AP754/H754</f>
        <v>0.91443795392948501</v>
      </c>
      <c r="AW754" s="298"/>
      <c r="AX754" s="24">
        <f t="shared" ref="AX754" si="2098">+AP754/BW754</f>
        <v>88156.394630872484</v>
      </c>
      <c r="AY754" s="308"/>
      <c r="BA754" s="65">
        <f t="shared" ref="BA754" si="2099">+BC754-BC753</f>
        <v>189874</v>
      </c>
      <c r="BB754" s="66"/>
      <c r="BC754" s="66">
        <v>985099239</v>
      </c>
      <c r="BD754" s="66"/>
      <c r="BE754" s="66">
        <f t="shared" ref="BE754" si="2100">+D754</f>
        <v>6241</v>
      </c>
      <c r="BF754" s="66"/>
      <c r="BG754" s="144">
        <f t="shared" ref="BG754" si="2101">+BE754/BA754</f>
        <v>3.2869165867891341E-2</v>
      </c>
      <c r="BH754" s="66"/>
      <c r="BI754" s="170"/>
      <c r="BJ754" s="66"/>
      <c r="BK754" s="66"/>
      <c r="BL754" s="66"/>
      <c r="BM754" s="144"/>
      <c r="BN754" s="65">
        <f t="shared" ref="BN754" si="2102">+BC754/BW754</f>
        <v>1322280.8577181208</v>
      </c>
      <c r="BO754" s="66"/>
      <c r="BP754" s="66">
        <f t="shared" ref="BP754" si="2103">+BP753+BE754</f>
        <v>70914750</v>
      </c>
      <c r="BQ754" s="66"/>
      <c r="BR754" s="435">
        <f t="shared" ref="BR754" si="2104">+BP754/BC754</f>
        <v>7.1987417300197504E-2</v>
      </c>
      <c r="BS754" s="66"/>
      <c r="BT754" s="75"/>
      <c r="BU754" s="170"/>
      <c r="BV754" s="1"/>
      <c r="BW754" s="61">
        <f t="shared" si="1544"/>
        <v>745</v>
      </c>
      <c r="BZ754" s="1"/>
      <c r="CA754" s="61"/>
    </row>
    <row r="755" spans="2:85" x14ac:dyDescent="0.3">
      <c r="B755" s="158">
        <f t="shared" si="1063"/>
        <v>44655</v>
      </c>
      <c r="C755" s="61"/>
      <c r="D755" s="17">
        <v>19142</v>
      </c>
      <c r="E755" s="16"/>
      <c r="F755" s="16"/>
      <c r="G755" s="16"/>
      <c r="H755" s="16">
        <f t="shared" ref="H755" si="2105">+H754+D755</f>
        <v>71840870</v>
      </c>
      <c r="I755" s="16"/>
      <c r="J755" s="436">
        <f t="shared" ref="J755" si="2106">+D755/H754</f>
        <v>2.6652101714957346E-4</v>
      </c>
      <c r="K755" s="16"/>
      <c r="L755" s="16"/>
      <c r="M755" s="16"/>
      <c r="N755" s="16">
        <f t="shared" ref="N755" si="2107">SUM(D749:D755)</f>
        <v>159428</v>
      </c>
      <c r="O755" s="16">
        <f t="shared" ref="O755" si="2108">+H755/BW755</f>
        <v>96301.434316353887</v>
      </c>
      <c r="P755" s="41"/>
      <c r="Q755" s="17">
        <f t="shared" ref="Q755" si="2109">SUM(D749:D755)</f>
        <v>159428</v>
      </c>
      <c r="R755" s="16"/>
      <c r="S755" s="60">
        <f t="shared" ref="S755" si="2110">+(Q755-Q748)/Q748</f>
        <v>1.7402569224191294E-2</v>
      </c>
      <c r="T755" s="16"/>
      <c r="U755" s="41"/>
      <c r="V755" s="10">
        <f t="shared" si="558"/>
        <v>647</v>
      </c>
      <c r="W755" s="34">
        <v>180</v>
      </c>
      <c r="X755" s="33">
        <v>4256</v>
      </c>
      <c r="Y755" s="33"/>
      <c r="Z755" s="33">
        <f t="shared" ref="Z755" si="2111">SUM(W750:W755)</f>
        <v>2047</v>
      </c>
      <c r="AA755" s="33">
        <f t="shared" ref="AA755" si="2112">+AA754+W755</f>
        <v>885068</v>
      </c>
      <c r="AB755" s="33"/>
      <c r="AC755" s="46">
        <f t="shared" ref="AC755" si="2113">+AA755/H755</f>
        <v>1.2319839667865937E-2</v>
      </c>
      <c r="AD755" s="33"/>
      <c r="AE755" s="33">
        <f t="shared" ref="AE755" si="2114">+AA755/BW755</f>
        <v>1186.4182305630027</v>
      </c>
      <c r="AF755" s="50"/>
      <c r="AG755" s="33"/>
      <c r="AH755" s="33"/>
      <c r="AI755" s="213"/>
      <c r="AJ755" s="50"/>
      <c r="AL755" s="23">
        <f t="shared" ref="AL755" si="2115">+AP755-AP754</f>
        <v>164764</v>
      </c>
      <c r="AM755" s="24"/>
      <c r="AN755" s="24"/>
      <c r="AO755" s="24">
        <v>178263</v>
      </c>
      <c r="AP755" s="24">
        <v>65841278</v>
      </c>
      <c r="AQ755" s="24">
        <v>20336656</v>
      </c>
      <c r="AR755" s="461">
        <f t="shared" ref="AR755" si="2116">+AL755/AP754</f>
        <v>2.5087202405413905E-3</v>
      </c>
      <c r="AS755" s="25"/>
      <c r="AT755" s="25"/>
      <c r="AU755" s="24"/>
      <c r="AV755" s="298">
        <f t="shared" ref="AV755" si="2117">+AP755/H755</f>
        <v>0.9164877596833112</v>
      </c>
      <c r="AW755" s="298"/>
      <c r="AX755" s="24">
        <f t="shared" ref="AX755" si="2118">+AP755/BW755</f>
        <v>88259.085790884725</v>
      </c>
      <c r="AY755" s="308"/>
      <c r="BA755" s="65">
        <f t="shared" ref="BA755" si="2119">+BC755-BC754</f>
        <v>1084973</v>
      </c>
      <c r="BB755" s="66"/>
      <c r="BC755" s="66">
        <v>986184212</v>
      </c>
      <c r="BD755" s="66"/>
      <c r="BE755" s="66">
        <f t="shared" ref="BE755" si="2120">+D755</f>
        <v>19142</v>
      </c>
      <c r="BF755" s="66"/>
      <c r="BG755" s="144">
        <f t="shared" ref="BG755" si="2121">+BE755/BA755</f>
        <v>1.7642835351663128E-2</v>
      </c>
      <c r="BH755" s="66"/>
      <c r="BI755" s="170"/>
      <c r="BJ755" s="66"/>
      <c r="BK755" s="66"/>
      <c r="BL755" s="66"/>
      <c r="BM755" s="144"/>
      <c r="BN755" s="65">
        <f t="shared" ref="BN755" si="2122">+BC755/BW755</f>
        <v>1321962.7506702412</v>
      </c>
      <c r="BO755" s="66"/>
      <c r="BP755" s="66">
        <f t="shared" ref="BP755" si="2123">+BP754+BE755</f>
        <v>70933892</v>
      </c>
      <c r="BQ755" s="66"/>
      <c r="BR755" s="435">
        <f t="shared" ref="BR755" si="2124">+BP755/BC755</f>
        <v>7.1927628871835958E-2</v>
      </c>
      <c r="BS755" s="66"/>
      <c r="BT755" s="75"/>
      <c r="BU755" s="170"/>
      <c r="BV755" s="1"/>
      <c r="BW755" s="61">
        <f t="shared" si="1544"/>
        <v>746</v>
      </c>
      <c r="BZ755" s="1"/>
      <c r="CA755" s="61"/>
    </row>
    <row r="756" spans="2:85" x14ac:dyDescent="0.3">
      <c r="B756" s="158">
        <f t="shared" si="1063"/>
        <v>44656</v>
      </c>
      <c r="C756" s="61"/>
      <c r="D756" s="17">
        <v>25480</v>
      </c>
      <c r="E756" s="16"/>
      <c r="F756" s="16"/>
      <c r="G756" s="16"/>
      <c r="H756" s="16">
        <f t="shared" ref="H756" si="2125">+H755+D756</f>
        <v>71866350</v>
      </c>
      <c r="I756" s="16"/>
      <c r="J756" s="436">
        <f t="shared" ref="J756" si="2126">+D756/H755</f>
        <v>3.5467276495955576E-4</v>
      </c>
      <c r="K756" s="16"/>
      <c r="L756" s="16"/>
      <c r="M756" s="16"/>
      <c r="N756" s="16">
        <f t="shared" ref="N756" si="2127">SUM(D750:D756)</f>
        <v>160934</v>
      </c>
      <c r="O756" s="16">
        <f t="shared" ref="O756" si="2128">+H756/BW756</f>
        <v>96206.626506024098</v>
      </c>
      <c r="P756" s="41"/>
      <c r="Q756" s="17">
        <f t="shared" ref="Q756" si="2129">SUM(D750:D756)</f>
        <v>160934</v>
      </c>
      <c r="R756" s="16"/>
      <c r="S756" s="60">
        <f t="shared" ref="S756" si="2130">+(Q756-Q749)/Q749</f>
        <v>2.4613543178750606E-2</v>
      </c>
      <c r="T756" s="16"/>
      <c r="U756" s="41"/>
      <c r="V756" s="10">
        <f t="shared" si="558"/>
        <v>648</v>
      </c>
      <c r="W756" s="34">
        <v>466</v>
      </c>
      <c r="X756" s="33">
        <v>4256</v>
      </c>
      <c r="Y756" s="33"/>
      <c r="Z756" s="33">
        <f t="shared" ref="Z756" si="2131">SUM(W751:W756)</f>
        <v>1772</v>
      </c>
      <c r="AA756" s="33">
        <f t="shared" ref="AA756" si="2132">+AA755+W756</f>
        <v>885534</v>
      </c>
      <c r="AB756" s="33"/>
      <c r="AC756" s="46">
        <f t="shared" ref="AC756" si="2133">+AA756/H756</f>
        <v>1.2321955964091679E-2</v>
      </c>
      <c r="AD756" s="33"/>
      <c r="AE756" s="33">
        <f t="shared" ref="AE756" si="2134">+AA756/BW756</f>
        <v>1185.4538152610442</v>
      </c>
      <c r="AF756" s="50"/>
      <c r="AG756" s="33"/>
      <c r="AH756" s="33"/>
      <c r="AI756" s="213"/>
      <c r="AJ756" s="50"/>
      <c r="AL756" s="23">
        <f t="shared" ref="AL756" si="2135">+AP756-AP755</f>
        <v>127189</v>
      </c>
      <c r="AM756" s="24"/>
      <c r="AN756" s="24"/>
      <c r="AO756" s="24">
        <v>178263</v>
      </c>
      <c r="AP756" s="24">
        <v>65968467</v>
      </c>
      <c r="AQ756" s="24">
        <v>20336656</v>
      </c>
      <c r="AR756" s="461">
        <f t="shared" ref="AR756" si="2136">+AL756/AP755</f>
        <v>1.931751689267028E-3</v>
      </c>
      <c r="AS756" s="25"/>
      <c r="AT756" s="25"/>
      <c r="AU756" s="24"/>
      <c r="AV756" s="298">
        <f t="shared" ref="AV756" si="2137">+AP756/H756</f>
        <v>0.91793262076062021</v>
      </c>
      <c r="AW756" s="298"/>
      <c r="AX756" s="24">
        <f t="shared" ref="AX756" si="2138">+AP756/BW756</f>
        <v>88311.200803212851</v>
      </c>
      <c r="AY756" s="308"/>
      <c r="BA756" s="65">
        <f t="shared" ref="BA756" si="2139">+BC756-BC755</f>
        <v>1178596</v>
      </c>
      <c r="BB756" s="66"/>
      <c r="BC756" s="66">
        <v>987362808</v>
      </c>
      <c r="BD756" s="66"/>
      <c r="BE756" s="66">
        <f t="shared" ref="BE756" si="2140">+D756</f>
        <v>25480</v>
      </c>
      <c r="BF756" s="66"/>
      <c r="BG756" s="144">
        <f t="shared" ref="BG756" si="2141">+BE756/BA756</f>
        <v>2.1618943217183835E-2</v>
      </c>
      <c r="BH756" s="66"/>
      <c r="BI756" s="170"/>
      <c r="BJ756" s="66"/>
      <c r="BK756" s="66"/>
      <c r="BL756" s="66"/>
      <c r="BM756" s="144"/>
      <c r="BN756" s="65">
        <f t="shared" ref="BN756" si="2142">+BC756/BW756</f>
        <v>1321770.8273092369</v>
      </c>
      <c r="BO756" s="66"/>
      <c r="BP756" s="66">
        <f t="shared" ref="BP756" si="2143">+BP755+BE756</f>
        <v>70959372</v>
      </c>
      <c r="BQ756" s="66"/>
      <c r="BR756" s="435">
        <f t="shared" ref="BR756" si="2144">+BP756/BC756</f>
        <v>7.1867576361049235E-2</v>
      </c>
      <c r="BS756" s="66"/>
      <c r="BT756" s="75"/>
      <c r="BU756" s="170"/>
      <c r="BV756" s="1"/>
      <c r="BW756" s="61">
        <f t="shared" si="1544"/>
        <v>747</v>
      </c>
      <c r="BZ756" s="1"/>
      <c r="CA756" s="61"/>
    </row>
    <row r="757" spans="2:85" x14ac:dyDescent="0.3">
      <c r="B757" s="158">
        <f t="shared" si="1063"/>
        <v>44657</v>
      </c>
      <c r="C757" s="61"/>
      <c r="D757" s="17">
        <v>31118</v>
      </c>
      <c r="E757" s="16"/>
      <c r="F757" s="16"/>
      <c r="G757" s="16"/>
      <c r="H757" s="16">
        <f t="shared" ref="H757" si="2145">+H756+D757</f>
        <v>71897468</v>
      </c>
      <c r="I757" s="16"/>
      <c r="J757" s="436">
        <f t="shared" ref="J757" si="2146">+D757/H756</f>
        <v>4.3299819734827219E-4</v>
      </c>
      <c r="K757" s="16"/>
      <c r="L757" s="16"/>
      <c r="M757" s="16"/>
      <c r="N757" s="16">
        <f t="shared" ref="N757" si="2147">SUM(D751:D757)</f>
        <v>159858</v>
      </c>
      <c r="O757" s="16">
        <f t="shared" ref="O757" si="2148">+H757/BW757</f>
        <v>96119.609625668454</v>
      </c>
      <c r="P757" s="41"/>
      <c r="Q757" s="17">
        <f t="shared" ref="Q757" si="2149">SUM(D751:D757)</f>
        <v>159858</v>
      </c>
      <c r="R757" s="16"/>
      <c r="S757" s="60">
        <f t="shared" ref="S757" si="2150">+(Q757-Q750)/Q750</f>
        <v>1.6656173086829602E-2</v>
      </c>
      <c r="T757" s="16"/>
      <c r="U757" s="41"/>
      <c r="V757" s="10">
        <f t="shared" si="558"/>
        <v>649</v>
      </c>
      <c r="W757" s="34">
        <v>483</v>
      </c>
      <c r="X757" s="33">
        <v>4256</v>
      </c>
      <c r="Y757" s="33"/>
      <c r="Z757" s="33">
        <f t="shared" ref="Z757" si="2151">SUM(W752:W757)</f>
        <v>1816</v>
      </c>
      <c r="AA757" s="33">
        <f t="shared" ref="AA757" si="2152">+AA756+W757</f>
        <v>886017</v>
      </c>
      <c r="AB757" s="33"/>
      <c r="AC757" s="46">
        <f t="shared" ref="AC757" si="2153">+AA757/H757</f>
        <v>1.2323340788579648E-2</v>
      </c>
      <c r="AD757" s="33"/>
      <c r="AE757" s="33">
        <f t="shared" ref="AE757" si="2154">+AA757/BW757</f>
        <v>1184.5147058823529</v>
      </c>
      <c r="AF757" s="50"/>
      <c r="AG757" s="33"/>
      <c r="AH757" s="33"/>
      <c r="AI757" s="213"/>
      <c r="AJ757" s="50"/>
      <c r="AL757" s="23">
        <f t="shared" ref="AL757" si="2155">+AP757-AP756</f>
        <v>119684</v>
      </c>
      <c r="AM757" s="24"/>
      <c r="AN757" s="24"/>
      <c r="AO757" s="24">
        <v>178263</v>
      </c>
      <c r="AP757" s="24">
        <v>66088151</v>
      </c>
      <c r="AQ757" s="24">
        <v>20336656</v>
      </c>
      <c r="AR757" s="461">
        <f t="shared" ref="AR757" si="2156">+AL757/AP756</f>
        <v>1.8142607436974396E-3</v>
      </c>
      <c r="AS757" s="25"/>
      <c r="AT757" s="25"/>
      <c r="AU757" s="24"/>
      <c r="AV757" s="298">
        <f t="shared" ref="AV757" si="2157">+AP757/H757</f>
        <v>0.9191999779463722</v>
      </c>
      <c r="AW757" s="298"/>
      <c r="AX757" s="24">
        <f t="shared" ref="AX757" si="2158">+AP757/BW757</f>
        <v>88353.143048128346</v>
      </c>
      <c r="AY757" s="308"/>
      <c r="BA757" s="65">
        <f t="shared" ref="BA757" si="2159">+BC757-BC756</f>
        <v>929803</v>
      </c>
      <c r="BB757" s="66"/>
      <c r="BC757" s="66">
        <v>988292611</v>
      </c>
      <c r="BD757" s="66"/>
      <c r="BE757" s="66">
        <f t="shared" ref="BE757" si="2160">+D757</f>
        <v>31118</v>
      </c>
      <c r="BF757" s="66"/>
      <c r="BG757" s="144">
        <f t="shared" ref="BG757" si="2161">+BE757/BA757</f>
        <v>3.3467304364472907E-2</v>
      </c>
      <c r="BH757" s="66"/>
      <c r="BI757" s="170"/>
      <c r="BJ757" s="66"/>
      <c r="BK757" s="66"/>
      <c r="BL757" s="66"/>
      <c r="BM757" s="144"/>
      <c r="BN757" s="65">
        <f t="shared" ref="BN757" si="2162">+BC757/BW757</f>
        <v>1321246.8061497326</v>
      </c>
      <c r="BO757" s="66"/>
      <c r="BP757" s="66">
        <f t="shared" ref="BP757" si="2163">+BP756+BE757</f>
        <v>70990490</v>
      </c>
      <c r="BQ757" s="66"/>
      <c r="BR757" s="435">
        <f t="shared" ref="BR757" si="2164">+BP757/BC757</f>
        <v>7.1831448712510917E-2</v>
      </c>
      <c r="BS757" s="66"/>
      <c r="BT757" s="75"/>
      <c r="BU757" s="170"/>
      <c r="BV757" s="1"/>
      <c r="BW757" s="61">
        <f t="shared" si="1544"/>
        <v>748</v>
      </c>
      <c r="BZ757" s="1"/>
      <c r="CA757" s="61"/>
    </row>
    <row r="758" spans="2:85" x14ac:dyDescent="0.3">
      <c r="B758" s="158">
        <f t="shared" si="1063"/>
        <v>44658</v>
      </c>
      <c r="C758" s="61"/>
      <c r="D758" s="17">
        <v>32659</v>
      </c>
      <c r="E758" s="16"/>
      <c r="F758" s="16"/>
      <c r="G758" s="16"/>
      <c r="H758" s="16">
        <f t="shared" ref="H758" si="2165">+H757+D758</f>
        <v>71930127</v>
      </c>
      <c r="I758" s="16"/>
      <c r="J758" s="436">
        <f t="shared" ref="J758" si="2166">+D758/H757</f>
        <v>4.5424409104365121E-4</v>
      </c>
      <c r="K758" s="16"/>
      <c r="L758" s="16"/>
      <c r="M758" s="16"/>
      <c r="N758" s="16">
        <f t="shared" ref="N758" si="2167">SUM(D752:D758)</f>
        <v>157956</v>
      </c>
      <c r="O758" s="16">
        <f t="shared" ref="O758" si="2168">+H758/BW758</f>
        <v>96034.882510013354</v>
      </c>
      <c r="P758" s="41"/>
      <c r="Q758" s="17">
        <f t="shared" ref="Q758" si="2169">SUM(D752:D758)</f>
        <v>157956</v>
      </c>
      <c r="R758" s="16"/>
      <c r="S758" s="60">
        <f t="shared" ref="S758" si="2170">+(Q758-Q751)/Q751</f>
        <v>-1.27996800079998E-2</v>
      </c>
      <c r="T758" s="16"/>
      <c r="U758" s="41"/>
      <c r="V758" s="10">
        <f t="shared" si="558"/>
        <v>650</v>
      </c>
      <c r="W758" s="34">
        <v>409</v>
      </c>
      <c r="X758" s="33">
        <v>4256</v>
      </c>
      <c r="Y758" s="33"/>
      <c r="Z758" s="33">
        <f t="shared" ref="Z758" si="2171">SUM(W753:W758)</f>
        <v>1727</v>
      </c>
      <c r="AA758" s="33">
        <f t="shared" ref="AA758" si="2172">+AA757+W758</f>
        <v>886426</v>
      </c>
      <c r="AB758" s="33"/>
      <c r="AC758" s="46">
        <f t="shared" ref="AC758" si="2173">+AA758/H758</f>
        <v>1.2323431599112845E-2</v>
      </c>
      <c r="AD758" s="33"/>
      <c r="AE758" s="33">
        <f t="shared" ref="AE758" si="2174">+AA758/BW758</f>
        <v>1183.4793057409879</v>
      </c>
      <c r="AF758" s="50"/>
      <c r="AG758" s="33"/>
      <c r="AH758" s="33"/>
      <c r="AI758" s="213"/>
      <c r="AJ758" s="50"/>
      <c r="AL758" s="23">
        <f t="shared" ref="AL758" si="2175">+AP758-AP757</f>
        <v>131345</v>
      </c>
      <c r="AM758" s="24"/>
      <c r="AN758" s="24"/>
      <c r="AO758" s="24">
        <v>178263</v>
      </c>
      <c r="AP758" s="24">
        <v>66219496</v>
      </c>
      <c r="AQ758" s="24">
        <v>20336656</v>
      </c>
      <c r="AR758" s="461">
        <f t="shared" ref="AR758" si="2176">+AL758/AP757</f>
        <v>1.9874213155093414E-3</v>
      </c>
      <c r="AS758" s="25"/>
      <c r="AT758" s="25"/>
      <c r="AU758" s="24"/>
      <c r="AV758" s="298">
        <f t="shared" ref="AV758" si="2177">+AP758/H758</f>
        <v>0.9206086345433534</v>
      </c>
      <c r="AW758" s="298"/>
      <c r="AX758" s="24">
        <f t="shared" ref="AX758" si="2178">+AP758/BW758</f>
        <v>88410.542056074773</v>
      </c>
      <c r="AY758" s="308"/>
      <c r="BA758" s="65">
        <f t="shared" ref="BA758" si="2179">+BC758-BC757</f>
        <v>805767</v>
      </c>
      <c r="BB758" s="66"/>
      <c r="BC758" s="66">
        <v>989098378</v>
      </c>
      <c r="BD758" s="66"/>
      <c r="BE758" s="66">
        <f t="shared" ref="BE758" si="2180">+D758</f>
        <v>32659</v>
      </c>
      <c r="BF758" s="66"/>
      <c r="BG758" s="144">
        <f t="shared" ref="BG758" si="2181">+BE758/BA758</f>
        <v>4.0531568058756441E-2</v>
      </c>
      <c r="BH758" s="66"/>
      <c r="BI758" s="170"/>
      <c r="BJ758" s="66"/>
      <c r="BK758" s="66"/>
      <c r="BL758" s="66"/>
      <c r="BM758" s="144"/>
      <c r="BN758" s="65">
        <f t="shared" ref="BN758" si="2182">+BC758/BW758</f>
        <v>1320558.5821094792</v>
      </c>
      <c r="BO758" s="66"/>
      <c r="BP758" s="66">
        <f t="shared" ref="BP758" si="2183">+BP757+BE758</f>
        <v>71023149</v>
      </c>
      <c r="BQ758" s="66"/>
      <c r="BR758" s="435">
        <f t="shared" ref="BR758" si="2184">+BP758/BC758</f>
        <v>7.1805950327824719E-2</v>
      </c>
      <c r="BS758" s="66"/>
      <c r="BT758" s="75"/>
      <c r="BU758" s="170"/>
      <c r="BV758" s="1"/>
      <c r="BW758" s="61">
        <f t="shared" si="1544"/>
        <v>749</v>
      </c>
      <c r="BZ758" s="1"/>
      <c r="CA758" s="61"/>
    </row>
    <row r="759" spans="2:85" x14ac:dyDescent="0.3">
      <c r="B759" s="158">
        <f t="shared" si="1063"/>
        <v>44659</v>
      </c>
      <c r="C759" s="61"/>
      <c r="D759" s="17">
        <v>35285</v>
      </c>
      <c r="E759" s="16"/>
      <c r="F759" s="16"/>
      <c r="G759" s="16"/>
      <c r="H759" s="16">
        <f t="shared" ref="H759" si="2185">+H758+D759</f>
        <v>71965412</v>
      </c>
      <c r="I759" s="16"/>
      <c r="J759" s="436">
        <f t="shared" ref="J759" si="2186">+D759/H758</f>
        <v>4.9054549841125682E-4</v>
      </c>
      <c r="K759" s="16"/>
      <c r="L759" s="16"/>
      <c r="M759" s="16"/>
      <c r="N759" s="16">
        <f t="shared" ref="N759" si="2187">SUM(D753:D759)</f>
        <v>162586</v>
      </c>
      <c r="O759" s="16">
        <f t="shared" ref="O759" si="2188">+H759/BW759</f>
        <v>95953.882666666672</v>
      </c>
      <c r="P759" s="41"/>
      <c r="Q759" s="17">
        <f t="shared" ref="Q759" si="2189">SUM(D753:D759)</f>
        <v>162586</v>
      </c>
      <c r="R759" s="16"/>
      <c r="S759" s="60">
        <f t="shared" ref="S759" si="2190">+(Q759-Q752)/Q752</f>
        <v>2.4279918352947107E-2</v>
      </c>
      <c r="T759" s="16"/>
      <c r="U759" s="41"/>
      <c r="V759" s="10">
        <f t="shared" si="558"/>
        <v>651</v>
      </c>
      <c r="W759" s="34">
        <v>404</v>
      </c>
      <c r="X759" s="33">
        <v>4256</v>
      </c>
      <c r="Y759" s="33"/>
      <c r="Z759" s="33">
        <f t="shared" ref="Z759" si="2191">SUM(W754:W759)</f>
        <v>1981</v>
      </c>
      <c r="AA759" s="33">
        <f t="shared" ref="AA759" si="2192">+AA758+W759</f>
        <v>886830</v>
      </c>
      <c r="AB759" s="33"/>
      <c r="AC759" s="46">
        <f t="shared" ref="AC759" si="2193">+AA759/H759</f>
        <v>1.2323003167132567E-2</v>
      </c>
      <c r="AD759" s="33"/>
      <c r="AE759" s="33">
        <f t="shared" ref="AE759" si="2194">+AA759/BW759</f>
        <v>1182.44</v>
      </c>
      <c r="AF759" s="50"/>
      <c r="AG759" s="33"/>
      <c r="AH759" s="33"/>
      <c r="AI759" s="213"/>
      <c r="AJ759" s="50"/>
      <c r="AL759" s="23">
        <f t="shared" ref="AL759" si="2195">+AP759-AP758</f>
        <v>92397</v>
      </c>
      <c r="AM759" s="24"/>
      <c r="AN759" s="24"/>
      <c r="AO759" s="24">
        <v>178263</v>
      </c>
      <c r="AP759" s="24">
        <v>66311893</v>
      </c>
      <c r="AQ759" s="24">
        <v>20336656</v>
      </c>
      <c r="AR759" s="461">
        <f t="shared" ref="AR759" si="2196">+AL759/AP758</f>
        <v>1.3953141534027984E-3</v>
      </c>
      <c r="AS759" s="25"/>
      <c r="AT759" s="25"/>
      <c r="AU759" s="24"/>
      <c r="AV759" s="298">
        <f t="shared" ref="AV759" si="2197">+AP759/H759</f>
        <v>0.92144116398583253</v>
      </c>
      <c r="AW759" s="298"/>
      <c r="AX759" s="24">
        <f t="shared" ref="AX759" si="2198">+AP759/BW759</f>
        <v>88415.857333333333</v>
      </c>
      <c r="AY759" s="308"/>
      <c r="BA759" s="65">
        <f t="shared" ref="BA759" si="2199">+BC759-BC758</f>
        <v>1604139</v>
      </c>
      <c r="BB759" s="66"/>
      <c r="BC759" s="66">
        <v>990702517</v>
      </c>
      <c r="BD759" s="66"/>
      <c r="BE759" s="66">
        <f t="shared" ref="BE759" si="2200">+D759</f>
        <v>35285</v>
      </c>
      <c r="BF759" s="66"/>
      <c r="BG759" s="144">
        <f t="shared" ref="BG759" si="2201">+BE759/BA759</f>
        <v>2.1996223519283552E-2</v>
      </c>
      <c r="BH759" s="66"/>
      <c r="BI759" s="170"/>
      <c r="BJ759" s="66"/>
      <c r="BK759" s="66"/>
      <c r="BL759" s="66"/>
      <c r="BM759" s="144"/>
      <c r="BN759" s="65">
        <f t="shared" ref="BN759" si="2202">+BC759/BW759</f>
        <v>1320936.6893333334</v>
      </c>
      <c r="BO759" s="66"/>
      <c r="BP759" s="66">
        <f t="shared" ref="BP759" si="2203">+BP758+BE759</f>
        <v>71058434</v>
      </c>
      <c r="BQ759" s="66"/>
      <c r="BR759" s="435">
        <f t="shared" ref="BR759" si="2204">+BP759/BC759</f>
        <v>7.1725298745758614E-2</v>
      </c>
      <c r="BS759" s="66"/>
      <c r="BT759" s="75"/>
      <c r="BU759" s="170"/>
      <c r="BV759" s="1"/>
      <c r="BW759" s="61">
        <f t="shared" si="1544"/>
        <v>750</v>
      </c>
      <c r="BZ759" s="1"/>
      <c r="CA759" s="61"/>
    </row>
    <row r="760" spans="2:85" x14ac:dyDescent="0.3">
      <c r="B760" s="158">
        <f t="shared" si="1063"/>
        <v>44660</v>
      </c>
      <c r="C760" s="61"/>
      <c r="D760" s="17">
        <v>15572</v>
      </c>
      <c r="E760" s="16"/>
      <c r="F760" s="16"/>
      <c r="G760" s="16"/>
      <c r="H760" s="16">
        <f t="shared" ref="H760" si="2205">+H759+D760</f>
        <v>71980984</v>
      </c>
      <c r="I760" s="16"/>
      <c r="J760" s="436">
        <f t="shared" ref="J760" si="2206">+D760/H759</f>
        <v>2.1638172515430051E-4</v>
      </c>
      <c r="K760" s="16"/>
      <c r="L760" s="16"/>
      <c r="M760" s="16"/>
      <c r="N760" s="16">
        <f t="shared" ref="N760" si="2207">SUM(D754:D760)</f>
        <v>165497</v>
      </c>
      <c r="O760" s="16">
        <f t="shared" ref="O760" si="2208">+H760/BW760</f>
        <v>95846.849533954723</v>
      </c>
      <c r="P760" s="41"/>
      <c r="Q760" s="17">
        <f t="shared" ref="Q760" si="2209">SUM(D754:D760)</f>
        <v>165497</v>
      </c>
      <c r="R760" s="16"/>
      <c r="S760" s="60">
        <f t="shared" ref="S760" si="2210">+(Q760-Q753)/Q753</f>
        <v>6.1674460973935578E-2</v>
      </c>
      <c r="T760" s="16"/>
      <c r="U760" s="41"/>
      <c r="V760" s="10">
        <f t="shared" si="558"/>
        <v>652</v>
      </c>
      <c r="W760" s="34">
        <v>155</v>
      </c>
      <c r="X760" s="33">
        <v>4256</v>
      </c>
      <c r="Y760" s="33"/>
      <c r="Z760" s="33">
        <f t="shared" ref="Z760" si="2211">SUM(W755:W760)</f>
        <v>2097</v>
      </c>
      <c r="AA760" s="33">
        <f t="shared" ref="AA760" si="2212">+AA759+W760</f>
        <v>886985</v>
      </c>
      <c r="AB760" s="33"/>
      <c r="AC760" s="46">
        <f t="shared" ref="AC760" si="2213">+AA760/H760</f>
        <v>1.2322490617799834E-2</v>
      </c>
      <c r="AD760" s="33"/>
      <c r="AE760" s="33">
        <f t="shared" ref="AE760" si="2214">+AA760/BW760</f>
        <v>1181.0719041278296</v>
      </c>
      <c r="AF760" s="50"/>
      <c r="AG760" s="33"/>
      <c r="AH760" s="33"/>
      <c r="AI760" s="213"/>
      <c r="AJ760" s="50"/>
      <c r="AL760" s="23">
        <f t="shared" ref="AL760" si="2215">+AP760-AP759</f>
        <v>9338374</v>
      </c>
      <c r="AM760" s="24"/>
      <c r="AN760" s="24"/>
      <c r="AO760" s="24">
        <v>178263</v>
      </c>
      <c r="AP760" s="24">
        <v>75650267</v>
      </c>
      <c r="AQ760" s="24">
        <v>20336656</v>
      </c>
      <c r="AR760" s="461">
        <f t="shared" ref="AR760" si="2216">+AL760/AP759</f>
        <v>0.14082502515800596</v>
      </c>
      <c r="AS760" s="25"/>
      <c r="AT760" s="25"/>
      <c r="AU760" s="24"/>
      <c r="AV760" s="298">
        <f t="shared" ref="AV760" si="2217">+AP760/H760</f>
        <v>1.0509757271448248</v>
      </c>
      <c r="AW760" s="298"/>
      <c r="AX760" s="24">
        <f t="shared" ref="AX760" si="2218">+AP760/BW760</f>
        <v>100732.71238348869</v>
      </c>
      <c r="AY760" s="308"/>
      <c r="BA760" s="65">
        <f t="shared" ref="BA760" si="2219">+BC760-BC759</f>
        <v>267173</v>
      </c>
      <c r="BB760" s="66"/>
      <c r="BC760" s="66">
        <v>990969690</v>
      </c>
      <c r="BD760" s="66"/>
      <c r="BE760" s="66">
        <f t="shared" ref="BE760" si="2220">+D760</f>
        <v>15572</v>
      </c>
      <c r="BF760" s="66"/>
      <c r="BG760" s="144">
        <f t="shared" ref="BG760" si="2221">+BE760/BA760</f>
        <v>5.8284332623431259E-2</v>
      </c>
      <c r="BH760" s="66"/>
      <c r="BI760" s="170"/>
      <c r="BJ760" s="66"/>
      <c r="BK760" s="66"/>
      <c r="BL760" s="66"/>
      <c r="BM760" s="144"/>
      <c r="BN760" s="65">
        <f t="shared" ref="BN760" si="2222">+BC760/BW760</f>
        <v>1319533.5419440747</v>
      </c>
      <c r="BO760" s="66"/>
      <c r="BP760" s="66">
        <f t="shared" ref="BP760" si="2223">+BP759+BE760</f>
        <v>71074006</v>
      </c>
      <c r="BQ760" s="66"/>
      <c r="BR760" s="435">
        <f t="shared" ref="BR760" si="2224">+BP760/BC760</f>
        <v>7.1721674958595355E-2</v>
      </c>
      <c r="BS760" s="66"/>
      <c r="BT760" s="75"/>
      <c r="BU760" s="170"/>
      <c r="BV760" s="1"/>
      <c r="BW760" s="61">
        <f t="shared" si="1544"/>
        <v>751</v>
      </c>
      <c r="BZ760" s="1"/>
      <c r="CA760" s="61"/>
    </row>
    <row r="761" spans="2:85" x14ac:dyDescent="0.3">
      <c r="B761" s="347">
        <f t="shared" si="1063"/>
        <v>44661</v>
      </c>
      <c r="C761" s="61"/>
      <c r="D761" s="17">
        <v>9747</v>
      </c>
      <c r="E761" s="16"/>
      <c r="F761" s="16"/>
      <c r="G761" s="16"/>
      <c r="H761" s="16">
        <f t="shared" ref="H761" si="2225">+H760+D761</f>
        <v>71990731</v>
      </c>
      <c r="I761" s="16"/>
      <c r="J761" s="436">
        <f t="shared" ref="J761" si="2226">+D761/H760</f>
        <v>1.3541076348720101E-4</v>
      </c>
      <c r="K761" s="16"/>
      <c r="L761" s="16"/>
      <c r="M761" s="16"/>
      <c r="N761" s="16">
        <f t="shared" ref="N761" si="2227">SUM(D755:D761)</f>
        <v>169003</v>
      </c>
      <c r="O761" s="16">
        <f t="shared" ref="O761" si="2228">+H761/BW761</f>
        <v>95732.355053191495</v>
      </c>
      <c r="P761" s="41"/>
      <c r="Q761" s="17">
        <f t="shared" ref="Q761" si="2229">SUM(D755:D761)</f>
        <v>169003</v>
      </c>
      <c r="R761" s="16"/>
      <c r="S761" s="60">
        <f t="shared" ref="S761" si="2230">+(Q761-Q754)/Q754</f>
        <v>7.5274221871580185E-2</v>
      </c>
      <c r="T761" s="16"/>
      <c r="U761" s="41"/>
      <c r="V761" s="10">
        <f t="shared" si="558"/>
        <v>653</v>
      </c>
      <c r="W761" s="34">
        <v>20</v>
      </c>
      <c r="X761" s="33">
        <v>4256</v>
      </c>
      <c r="Y761" s="33"/>
      <c r="Z761" s="33">
        <f t="shared" ref="Z761" si="2231">SUM(W756:W761)</f>
        <v>1937</v>
      </c>
      <c r="AA761" s="33">
        <f t="shared" ref="AA761" si="2232">+AA760+W761</f>
        <v>887005</v>
      </c>
      <c r="AB761" s="33"/>
      <c r="AC761" s="46">
        <f t="shared" ref="AC761" si="2233">+AA761/H761</f>
        <v>1.2321100059395147E-2</v>
      </c>
      <c r="AD761" s="33"/>
      <c r="AE761" s="33">
        <f t="shared" ref="AE761" si="2234">+AA761/BW761</f>
        <v>1179.5279255319149</v>
      </c>
      <c r="AF761" s="50"/>
      <c r="AG761" s="33"/>
      <c r="AH761" s="33"/>
      <c r="AI761" s="213"/>
      <c r="AJ761" s="50"/>
      <c r="AL761" s="23">
        <f t="shared" ref="AL761" si="2235">+AP761-AP760</f>
        <v>4258253</v>
      </c>
      <c r="AM761" s="24"/>
      <c r="AN761" s="24"/>
      <c r="AO761" s="24">
        <v>178263</v>
      </c>
      <c r="AP761" s="24">
        <v>79908520</v>
      </c>
      <c r="AQ761" s="24">
        <v>20336656</v>
      </c>
      <c r="AR761" s="461">
        <f t="shared" ref="AR761" si="2236">+AL761/AP760</f>
        <v>5.6288671129210953E-2</v>
      </c>
      <c r="AS761" s="25"/>
      <c r="AT761" s="25"/>
      <c r="AU761" s="24"/>
      <c r="AV761" s="298">
        <f t="shared" ref="AV761" si="2237">+AP761/H761</f>
        <v>1.1099834505083717</v>
      </c>
      <c r="AW761" s="298"/>
      <c r="AX761" s="24">
        <f t="shared" ref="AX761" si="2238">+AP761/BW761</f>
        <v>106261.32978723405</v>
      </c>
      <c r="AY761" s="308"/>
      <c r="BA761" s="65">
        <f t="shared" ref="BA761" si="2239">+BC761-BC760</f>
        <v>203714</v>
      </c>
      <c r="BB761" s="66"/>
      <c r="BC761" s="66">
        <v>991173404</v>
      </c>
      <c r="BD761" s="66"/>
      <c r="BE761" s="66">
        <f t="shared" ref="BE761" si="2240">+D761</f>
        <v>9747</v>
      </c>
      <c r="BF761" s="66"/>
      <c r="BG761" s="144">
        <f t="shared" ref="BG761" si="2241">+BE761/BA761</f>
        <v>4.7846490668289859E-2</v>
      </c>
      <c r="BH761" s="66"/>
      <c r="BI761" s="170"/>
      <c r="BJ761" s="66"/>
      <c r="BK761" s="66"/>
      <c r="BL761" s="66"/>
      <c r="BM761" s="144"/>
      <c r="BN761" s="65">
        <f t="shared" ref="BN761" si="2242">+BC761/BW761</f>
        <v>1318049.7393617022</v>
      </c>
      <c r="BO761" s="66"/>
      <c r="BP761" s="66">
        <f t="shared" ref="BP761" si="2243">+BP760+BE761</f>
        <v>71083753</v>
      </c>
      <c r="BQ761" s="66"/>
      <c r="BR761" s="435">
        <f t="shared" ref="BR761" si="2244">+BP761/BC761</f>
        <v>7.1716767937005696E-2</v>
      </c>
      <c r="BS761" s="66"/>
      <c r="BT761" s="75"/>
      <c r="BU761" s="170"/>
      <c r="BV761" s="1"/>
      <c r="BW761" s="61">
        <f t="shared" si="1544"/>
        <v>752</v>
      </c>
      <c r="BZ761" s="1"/>
      <c r="CA761" s="61"/>
    </row>
    <row r="762" spans="2:85" x14ac:dyDescent="0.3">
      <c r="B762" s="158">
        <f t="shared" si="1063"/>
        <v>44662</v>
      </c>
      <c r="C762" s="61"/>
      <c r="D762" s="17"/>
      <c r="E762" s="16"/>
      <c r="F762" s="16"/>
      <c r="G762" s="16"/>
      <c r="H762" s="16"/>
      <c r="I762" s="16"/>
      <c r="J762" s="436"/>
      <c r="K762" s="16"/>
      <c r="L762" s="16"/>
      <c r="M762" s="16"/>
      <c r="N762" s="16"/>
      <c r="O762" s="16"/>
      <c r="P762" s="41"/>
      <c r="Q762" s="17"/>
      <c r="R762" s="16"/>
      <c r="S762" s="60"/>
      <c r="T762" s="16"/>
      <c r="U762" s="41"/>
      <c r="V762" s="10"/>
      <c r="W762" s="34"/>
      <c r="X762" s="33"/>
      <c r="Y762" s="33"/>
      <c r="Z762" s="33"/>
      <c r="AA762" s="33"/>
      <c r="AB762" s="33"/>
      <c r="AC762" s="46"/>
      <c r="AD762" s="33"/>
      <c r="AE762" s="33"/>
      <c r="AF762" s="50"/>
      <c r="AG762" s="33"/>
      <c r="AH762" s="33"/>
      <c r="AI762" s="213"/>
      <c r="AJ762" s="50"/>
      <c r="AL762" s="23"/>
      <c r="AM762" s="24"/>
      <c r="AN762" s="24"/>
      <c r="AO762" s="24"/>
      <c r="AP762" s="24"/>
      <c r="AQ762" s="24"/>
      <c r="AR762" s="461"/>
      <c r="AS762" s="25"/>
      <c r="AT762" s="25"/>
      <c r="AU762" s="24"/>
      <c r="AV762" s="298"/>
      <c r="AW762" s="298"/>
      <c r="AX762" s="24"/>
      <c r="AY762" s="308"/>
      <c r="BA762" s="65"/>
      <c r="BB762" s="66"/>
      <c r="BC762" s="66"/>
      <c r="BD762" s="66"/>
      <c r="BE762" s="66"/>
      <c r="BF762" s="66"/>
      <c r="BG762" s="144"/>
      <c r="BH762" s="66"/>
      <c r="BI762" s="170"/>
      <c r="BJ762" s="66"/>
      <c r="BK762" s="66"/>
      <c r="BL762" s="66"/>
      <c r="BM762" s="144"/>
      <c r="BN762" s="65"/>
      <c r="BO762" s="66"/>
      <c r="BP762" s="66"/>
      <c r="BQ762" s="66"/>
      <c r="BR762" s="435"/>
      <c r="BS762" s="66"/>
      <c r="BT762" s="75"/>
      <c r="BU762" s="170"/>
      <c r="BV762" s="1"/>
      <c r="BW762" s="61"/>
      <c r="BZ762" s="1"/>
      <c r="CA762" s="61"/>
    </row>
    <row r="763" spans="2:85" x14ac:dyDescent="0.3">
      <c r="B763" s="158">
        <f t="shared" si="1063"/>
        <v>44663</v>
      </c>
      <c r="C763" s="61"/>
      <c r="D763" s="17"/>
      <c r="E763" s="16"/>
      <c r="F763" s="16"/>
      <c r="G763" s="16"/>
      <c r="H763" s="16"/>
      <c r="I763" s="16"/>
      <c r="J763" s="436"/>
      <c r="K763" s="16"/>
      <c r="L763" s="16"/>
      <c r="M763" s="16"/>
      <c r="N763" s="16"/>
      <c r="O763" s="16"/>
      <c r="P763" s="41"/>
      <c r="Q763" s="17"/>
      <c r="R763" s="16"/>
      <c r="S763" s="60"/>
      <c r="T763" s="16"/>
      <c r="U763" s="41"/>
      <c r="V763" s="10"/>
      <c r="W763" s="34"/>
      <c r="X763" s="33"/>
      <c r="Y763" s="33"/>
      <c r="Z763" s="33"/>
      <c r="AA763" s="33"/>
      <c r="AB763" s="33"/>
      <c r="AC763" s="46"/>
      <c r="AD763" s="33"/>
      <c r="AE763" s="33"/>
      <c r="AF763" s="50"/>
      <c r="AG763" s="33"/>
      <c r="AH763" s="33"/>
      <c r="AI763" s="213"/>
      <c r="AJ763" s="50"/>
      <c r="AL763" s="23"/>
      <c r="AM763" s="24"/>
      <c r="AN763" s="24"/>
      <c r="AO763" s="24"/>
      <c r="AP763" s="24"/>
      <c r="AQ763" s="24"/>
      <c r="AR763" s="461"/>
      <c r="AS763" s="25"/>
      <c r="AT763" s="25"/>
      <c r="AU763" s="24"/>
      <c r="AV763" s="298"/>
      <c r="AW763" s="298"/>
      <c r="AX763" s="24"/>
      <c r="AY763" s="308"/>
      <c r="BA763" s="65"/>
      <c r="BB763" s="66"/>
      <c r="BC763" s="66"/>
      <c r="BD763" s="66"/>
      <c r="BE763" s="66"/>
      <c r="BF763" s="66"/>
      <c r="BG763" s="144"/>
      <c r="BH763" s="66"/>
      <c r="BI763" s="170"/>
      <c r="BJ763" s="66"/>
      <c r="BK763" s="66"/>
      <c r="BL763" s="66"/>
      <c r="BM763" s="144"/>
      <c r="BN763" s="65"/>
      <c r="BO763" s="66"/>
      <c r="BP763" s="66"/>
      <c r="BQ763" s="66"/>
      <c r="BR763" s="435"/>
      <c r="BS763" s="66"/>
      <c r="BT763" s="75"/>
      <c r="BU763" s="170"/>
      <c r="BV763" s="1"/>
      <c r="BW763" s="61"/>
      <c r="BZ763" s="1"/>
      <c r="CA763" s="61"/>
    </row>
    <row r="764" spans="2:85" x14ac:dyDescent="0.3">
      <c r="B764" s="158">
        <f t="shared" si="1063"/>
        <v>44664</v>
      </c>
      <c r="C764" s="61"/>
      <c r="D764" s="17"/>
      <c r="E764" s="16"/>
      <c r="F764" s="16"/>
      <c r="G764" s="16"/>
      <c r="H764" s="16"/>
      <c r="I764" s="16"/>
      <c r="J764" s="436"/>
      <c r="K764" s="16"/>
      <c r="L764" s="16"/>
      <c r="M764" s="16"/>
      <c r="N764" s="16"/>
      <c r="O764" s="16"/>
      <c r="P764" s="41"/>
      <c r="Q764" s="410"/>
      <c r="R764" s="16"/>
      <c r="S764" s="60"/>
      <c r="T764" s="16"/>
      <c r="U764" s="41"/>
      <c r="V764" s="10"/>
      <c r="W764" s="34"/>
      <c r="X764" s="33"/>
      <c r="Y764" s="33"/>
      <c r="Z764" s="33"/>
      <c r="AA764" s="33"/>
      <c r="AB764" s="33"/>
      <c r="AC764" s="46"/>
      <c r="AD764" s="33"/>
      <c r="AE764" s="33"/>
      <c r="AF764" s="50"/>
      <c r="AG764" s="33"/>
      <c r="AH764" s="33"/>
      <c r="AI764" s="213"/>
      <c r="AJ764" s="50"/>
      <c r="AK764" s="10"/>
      <c r="AL764" s="23"/>
      <c r="AM764" s="24"/>
      <c r="AN764" s="24"/>
      <c r="AO764" s="24"/>
      <c r="AP764" s="24"/>
      <c r="AQ764" s="24"/>
      <c r="AR764" s="461"/>
      <c r="AS764" s="25"/>
      <c r="AT764" s="25"/>
      <c r="AU764" s="24"/>
      <c r="AV764" s="298"/>
      <c r="AW764" s="298"/>
      <c r="AX764" s="24"/>
      <c r="AY764" s="308"/>
      <c r="AZ764" s="10"/>
      <c r="BA764" s="65"/>
      <c r="BB764" s="66"/>
      <c r="BC764" s="66"/>
      <c r="BD764" s="66"/>
      <c r="BE764" s="66"/>
      <c r="BF764" s="66"/>
      <c r="BG764" s="144"/>
      <c r="BH764" s="66"/>
      <c r="BI764" s="170"/>
      <c r="BJ764" s="66"/>
      <c r="BK764" s="66"/>
      <c r="BL764" s="66"/>
      <c r="BM764" s="144"/>
      <c r="BN764" s="65"/>
      <c r="BO764" s="66"/>
      <c r="BP764" s="66"/>
      <c r="BQ764" s="66"/>
      <c r="BR764" s="435"/>
      <c r="BS764" s="66"/>
      <c r="BT764" s="75"/>
      <c r="BU764" s="170"/>
      <c r="BV764" s="1"/>
      <c r="BW764" s="61">
        <f>+BW586+1</f>
        <v>578</v>
      </c>
    </row>
    <row r="765" spans="2:85" x14ac:dyDescent="0.3">
      <c r="B765" s="158">
        <f t="shared" si="448"/>
        <v>44665</v>
      </c>
      <c r="D765" s="559"/>
      <c r="E765" s="19"/>
      <c r="F765" s="19"/>
      <c r="G765" s="19"/>
      <c r="H765" s="19"/>
      <c r="I765" s="19"/>
      <c r="J765" s="39"/>
      <c r="K765" s="19"/>
      <c r="L765" s="19"/>
      <c r="M765" s="19"/>
      <c r="N765" s="19"/>
      <c r="O765" s="19"/>
      <c r="P765" s="43"/>
      <c r="Q765" s="18"/>
      <c r="R765" s="19"/>
      <c r="S765" s="19"/>
      <c r="T765" s="19"/>
      <c r="U765" s="43"/>
      <c r="V765" s="1"/>
      <c r="W765" s="35"/>
      <c r="X765" s="36"/>
      <c r="Y765" s="36"/>
      <c r="Z765" s="36"/>
      <c r="AA765" s="36"/>
      <c r="AB765" s="36"/>
      <c r="AC765" s="47"/>
      <c r="AD765" s="36"/>
      <c r="AE765" s="36"/>
      <c r="AF765" s="51"/>
      <c r="AG765" s="36"/>
      <c r="AH765" s="36"/>
      <c r="AI765" s="36"/>
      <c r="AJ765" s="51"/>
      <c r="AK765" s="1"/>
      <c r="AL765" s="26"/>
      <c r="AM765" s="27"/>
      <c r="AN765" s="27"/>
      <c r="AO765" s="27"/>
      <c r="AP765" s="27"/>
      <c r="AQ765" s="27"/>
      <c r="AR765" s="27"/>
      <c r="AS765" s="27"/>
      <c r="AT765" s="27"/>
      <c r="AU765" s="27"/>
      <c r="AV765" s="300"/>
      <c r="AW765" s="300"/>
      <c r="AX765" s="27"/>
      <c r="AY765" s="307"/>
      <c r="AZ765" s="1"/>
      <c r="BA765" s="67"/>
      <c r="BB765" s="68"/>
      <c r="BC765" s="68"/>
      <c r="BD765" s="68"/>
      <c r="BE765" s="68"/>
      <c r="BF765" s="68"/>
      <c r="BG765" s="68"/>
      <c r="BH765" s="68"/>
      <c r="BI765" s="171"/>
      <c r="BJ765" s="68"/>
      <c r="BK765" s="68"/>
      <c r="BL765" s="68"/>
      <c r="BM765" s="68"/>
      <c r="BN765" s="67"/>
      <c r="BO765" s="68"/>
      <c r="BP765" s="68"/>
      <c r="BQ765" s="68"/>
      <c r="BR765" s="70"/>
      <c r="BS765" s="68"/>
      <c r="BT765" s="68"/>
      <c r="BU765" s="171"/>
      <c r="BV765" s="1"/>
      <c r="BW765" s="61">
        <f>+BW764+1</f>
        <v>579</v>
      </c>
    </row>
    <row r="766" spans="2:85" x14ac:dyDescent="0.3">
      <c r="B766" s="56"/>
      <c r="D766" s="1"/>
      <c r="E766" s="1"/>
      <c r="F766" s="1"/>
      <c r="G766" s="1"/>
      <c r="H766" s="59"/>
      <c r="I766" s="1"/>
      <c r="J766" s="59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59"/>
      <c r="X766" s="1"/>
      <c r="Y766" s="1"/>
      <c r="Z766" s="1"/>
      <c r="AA766" s="1"/>
      <c r="AB766" s="1"/>
      <c r="AC766" s="59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59"/>
      <c r="BD766" s="1"/>
      <c r="BE766" s="59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</row>
    <row r="767" spans="2:85" x14ac:dyDescent="0.3">
      <c r="B767" s="166" t="s">
        <v>74</v>
      </c>
      <c r="D767" s="56">
        <f>+D761</f>
        <v>9747</v>
      </c>
      <c r="E767" s="56">
        <f>+E238</f>
        <v>0</v>
      </c>
      <c r="F767" s="56">
        <f>+F238</f>
        <v>0</v>
      </c>
      <c r="G767" s="56">
        <f>+G238</f>
        <v>0</v>
      </c>
      <c r="H767" s="56">
        <f t="shared" ref="H767:BP767" si="2245">+H761</f>
        <v>71990731</v>
      </c>
      <c r="I767" s="56">
        <f t="shared" si="2245"/>
        <v>0</v>
      </c>
      <c r="J767" s="56">
        <f t="shared" si="2245"/>
        <v>1.3541076348720101E-4</v>
      </c>
      <c r="K767" s="56">
        <f t="shared" si="2245"/>
        <v>0</v>
      </c>
      <c r="L767" s="56">
        <f t="shared" si="2245"/>
        <v>0</v>
      </c>
      <c r="M767" s="56">
        <f t="shared" si="2245"/>
        <v>0</v>
      </c>
      <c r="N767" s="56">
        <f t="shared" si="2245"/>
        <v>169003</v>
      </c>
      <c r="O767" s="56">
        <f t="shared" si="2245"/>
        <v>95732.355053191495</v>
      </c>
      <c r="P767" s="56">
        <f t="shared" si="2245"/>
        <v>0</v>
      </c>
      <c r="Q767" s="56">
        <f t="shared" si="2245"/>
        <v>169003</v>
      </c>
      <c r="R767" s="56">
        <f t="shared" si="2245"/>
        <v>0</v>
      </c>
      <c r="S767" s="56">
        <f t="shared" si="2245"/>
        <v>7.5274221871580185E-2</v>
      </c>
      <c r="T767" s="56">
        <f t="shared" si="2245"/>
        <v>0</v>
      </c>
      <c r="U767" s="56">
        <f t="shared" si="2245"/>
        <v>0</v>
      </c>
      <c r="V767" s="56">
        <f t="shared" si="2245"/>
        <v>653</v>
      </c>
      <c r="W767" s="56">
        <f t="shared" si="2245"/>
        <v>20</v>
      </c>
      <c r="X767" s="56">
        <f t="shared" si="2245"/>
        <v>4256</v>
      </c>
      <c r="Y767" s="56">
        <f t="shared" si="2245"/>
        <v>0</v>
      </c>
      <c r="Z767" s="56">
        <f t="shared" si="2245"/>
        <v>1937</v>
      </c>
      <c r="AA767" s="56">
        <f t="shared" si="2245"/>
        <v>887005</v>
      </c>
      <c r="AB767" s="56">
        <f t="shared" si="2245"/>
        <v>0</v>
      </c>
      <c r="AC767" s="56">
        <f t="shared" si="2245"/>
        <v>1.2321100059395147E-2</v>
      </c>
      <c r="AD767" s="56">
        <f t="shared" si="2245"/>
        <v>0</v>
      </c>
      <c r="AE767" s="56">
        <f t="shared" si="2245"/>
        <v>1179.5279255319149</v>
      </c>
      <c r="AF767" s="56">
        <f t="shared" si="2245"/>
        <v>0</v>
      </c>
      <c r="AG767" s="56">
        <f t="shared" si="2245"/>
        <v>0</v>
      </c>
      <c r="AH767" s="56">
        <f t="shared" si="2245"/>
        <v>0</v>
      </c>
      <c r="AI767" s="56">
        <f t="shared" si="2245"/>
        <v>0</v>
      </c>
      <c r="AJ767" s="56">
        <f t="shared" si="2245"/>
        <v>0</v>
      </c>
      <c r="AK767" s="56">
        <f t="shared" si="2245"/>
        <v>0</v>
      </c>
      <c r="AL767" s="56">
        <f t="shared" si="2245"/>
        <v>4258253</v>
      </c>
      <c r="AM767" s="56">
        <f t="shared" si="2245"/>
        <v>0</v>
      </c>
      <c r="AN767" s="56">
        <f t="shared" si="2245"/>
        <v>0</v>
      </c>
      <c r="AO767" s="56">
        <f t="shared" si="2245"/>
        <v>178263</v>
      </c>
      <c r="AP767" s="56">
        <f t="shared" si="2245"/>
        <v>79908520</v>
      </c>
      <c r="AQ767" s="56">
        <f t="shared" si="2245"/>
        <v>20336656</v>
      </c>
      <c r="AR767" s="56">
        <f t="shared" si="2245"/>
        <v>5.6288671129210953E-2</v>
      </c>
      <c r="AS767" s="56">
        <f t="shared" si="2245"/>
        <v>0</v>
      </c>
      <c r="AT767" s="56">
        <f t="shared" si="2245"/>
        <v>0</v>
      </c>
      <c r="AU767" s="56">
        <f t="shared" si="2245"/>
        <v>0</v>
      </c>
      <c r="AV767" s="56">
        <f t="shared" si="2245"/>
        <v>1.1099834505083717</v>
      </c>
      <c r="AW767" s="56">
        <f t="shared" si="2245"/>
        <v>0</v>
      </c>
      <c r="AX767" s="56">
        <f t="shared" si="2245"/>
        <v>106261.32978723405</v>
      </c>
      <c r="AY767" s="56">
        <f t="shared" si="2245"/>
        <v>0</v>
      </c>
      <c r="AZ767" s="56">
        <f t="shared" si="2245"/>
        <v>0</v>
      </c>
      <c r="BA767" s="56">
        <f t="shared" si="2245"/>
        <v>203714</v>
      </c>
      <c r="BB767" s="56">
        <f t="shared" si="2245"/>
        <v>0</v>
      </c>
      <c r="BC767" s="56">
        <f t="shared" si="2245"/>
        <v>991173404</v>
      </c>
      <c r="BD767" s="56">
        <f t="shared" si="2245"/>
        <v>0</v>
      </c>
      <c r="BE767" s="56">
        <f t="shared" si="2245"/>
        <v>9747</v>
      </c>
      <c r="BF767" s="56">
        <f t="shared" si="2245"/>
        <v>0</v>
      </c>
      <c r="BG767" s="56">
        <f t="shared" si="2245"/>
        <v>4.7846490668289859E-2</v>
      </c>
      <c r="BH767" s="56">
        <f t="shared" si="2245"/>
        <v>0</v>
      </c>
      <c r="BI767" s="56">
        <f t="shared" si="2245"/>
        <v>0</v>
      </c>
      <c r="BJ767" s="56">
        <f t="shared" si="2245"/>
        <v>0</v>
      </c>
      <c r="BK767" s="56">
        <f t="shared" si="2245"/>
        <v>0</v>
      </c>
      <c r="BL767" s="56">
        <f t="shared" si="2245"/>
        <v>0</v>
      </c>
      <c r="BM767" s="56">
        <f t="shared" si="2245"/>
        <v>0</v>
      </c>
      <c r="BN767" s="56">
        <f t="shared" si="2245"/>
        <v>1318049.7393617022</v>
      </c>
      <c r="BO767" s="56">
        <f t="shared" si="2245"/>
        <v>0</v>
      </c>
      <c r="BP767" s="56">
        <f t="shared" si="2245"/>
        <v>71083753</v>
      </c>
      <c r="BQ767" s="56">
        <f t="shared" ref="BQ767" si="2246">+BQ731</f>
        <v>0</v>
      </c>
      <c r="BR767" s="56"/>
      <c r="BS767" s="56"/>
      <c r="BT767" s="56"/>
      <c r="BU767" s="56">
        <f>+BU509</f>
        <v>0</v>
      </c>
      <c r="BV767" s="56">
        <f>+BV505</f>
        <v>0</v>
      </c>
      <c r="BW767" s="56"/>
      <c r="BX767" s="56"/>
      <c r="BY767" s="56"/>
      <c r="BZ767" s="56"/>
      <c r="CA767" s="56"/>
      <c r="CB767" s="56"/>
      <c r="CC767" s="56"/>
      <c r="CD767" s="56"/>
      <c r="CE767" s="61"/>
      <c r="CF767" s="61"/>
      <c r="CG767" s="145"/>
    </row>
    <row r="768" spans="2:85" x14ac:dyDescent="0.3">
      <c r="B768" t="s">
        <v>105</v>
      </c>
      <c r="D768" s="56">
        <f>+D760-D767</f>
        <v>5825</v>
      </c>
      <c r="E768" s="56">
        <f>+E237-E767</f>
        <v>0</v>
      </c>
      <c r="F768" s="56">
        <f>+F237-F767</f>
        <v>0</v>
      </c>
      <c r="G768" s="56">
        <f>+G237-G767</f>
        <v>0</v>
      </c>
      <c r="H768" s="56">
        <f t="shared" ref="H768:BP768" si="2247">+H760-H767</f>
        <v>-9747</v>
      </c>
      <c r="I768" s="56">
        <f t="shared" si="2247"/>
        <v>0</v>
      </c>
      <c r="J768" s="56">
        <f t="shared" si="2247"/>
        <v>8.0970961667099501E-5</v>
      </c>
      <c r="K768" s="56">
        <f t="shared" si="2247"/>
        <v>0</v>
      </c>
      <c r="L768" s="56">
        <f t="shared" si="2247"/>
        <v>0</v>
      </c>
      <c r="M768" s="56">
        <f t="shared" si="2247"/>
        <v>0</v>
      </c>
      <c r="N768" s="56">
        <f t="shared" si="2247"/>
        <v>-3506</v>
      </c>
      <c r="O768" s="56">
        <f t="shared" si="2247"/>
        <v>114.49448076322733</v>
      </c>
      <c r="P768" s="56">
        <f t="shared" si="2247"/>
        <v>0</v>
      </c>
      <c r="Q768" s="56">
        <f t="shared" si="2247"/>
        <v>-3506</v>
      </c>
      <c r="R768" s="56">
        <f t="shared" si="2247"/>
        <v>0</v>
      </c>
      <c r="S768" s="56">
        <f t="shared" si="2247"/>
        <v>-1.3599760897644607E-2</v>
      </c>
      <c r="T768" s="56">
        <f t="shared" si="2247"/>
        <v>0</v>
      </c>
      <c r="U768" s="56">
        <f t="shared" si="2247"/>
        <v>0</v>
      </c>
      <c r="V768" s="56">
        <f t="shared" si="2247"/>
        <v>-1</v>
      </c>
      <c r="W768" s="56">
        <f t="shared" si="2247"/>
        <v>135</v>
      </c>
      <c r="X768" s="56">
        <f t="shared" si="2247"/>
        <v>0</v>
      </c>
      <c r="Y768" s="56">
        <f t="shared" si="2247"/>
        <v>0</v>
      </c>
      <c r="Z768" s="56">
        <f t="shared" si="2247"/>
        <v>160</v>
      </c>
      <c r="AA768" s="56">
        <f t="shared" si="2247"/>
        <v>-20</v>
      </c>
      <c r="AB768" s="56">
        <f t="shared" si="2247"/>
        <v>0</v>
      </c>
      <c r="AC768" s="56">
        <f t="shared" si="2247"/>
        <v>1.3905584046874919E-6</v>
      </c>
      <c r="AD768" s="56">
        <f t="shared" si="2247"/>
        <v>0</v>
      </c>
      <c r="AE768" s="56">
        <f t="shared" si="2247"/>
        <v>1.543978595914723</v>
      </c>
      <c r="AF768" s="56">
        <f t="shared" si="2247"/>
        <v>0</v>
      </c>
      <c r="AG768" s="56">
        <f t="shared" si="2247"/>
        <v>0</v>
      </c>
      <c r="AH768" s="56">
        <f t="shared" si="2247"/>
        <v>0</v>
      </c>
      <c r="AI768" s="56">
        <f t="shared" si="2247"/>
        <v>0</v>
      </c>
      <c r="AJ768" s="56">
        <f t="shared" si="2247"/>
        <v>0</v>
      </c>
      <c r="AK768" s="56">
        <f t="shared" si="2247"/>
        <v>0</v>
      </c>
      <c r="AL768" s="56">
        <f t="shared" si="2247"/>
        <v>5080121</v>
      </c>
      <c r="AM768" s="56">
        <f t="shared" si="2247"/>
        <v>0</v>
      </c>
      <c r="AN768" s="56">
        <f t="shared" si="2247"/>
        <v>0</v>
      </c>
      <c r="AO768" s="56">
        <f t="shared" si="2247"/>
        <v>0</v>
      </c>
      <c r="AP768" s="56">
        <f t="shared" si="2247"/>
        <v>-4258253</v>
      </c>
      <c r="AQ768" s="56">
        <f t="shared" si="2247"/>
        <v>0</v>
      </c>
      <c r="AR768" s="56">
        <f t="shared" si="2247"/>
        <v>8.4536354028795002E-2</v>
      </c>
      <c r="AS768" s="56">
        <f t="shared" si="2247"/>
        <v>0</v>
      </c>
      <c r="AT768" s="56">
        <f t="shared" si="2247"/>
        <v>0</v>
      </c>
      <c r="AU768" s="56">
        <f t="shared" si="2247"/>
        <v>0</v>
      </c>
      <c r="AV768" s="56">
        <f t="shared" si="2247"/>
        <v>-5.9007723363546871E-2</v>
      </c>
      <c r="AW768" s="56">
        <f t="shared" si="2247"/>
        <v>0</v>
      </c>
      <c r="AX768" s="56">
        <f t="shared" si="2247"/>
        <v>-5528.6174037453602</v>
      </c>
      <c r="AY768" s="56">
        <f t="shared" si="2247"/>
        <v>0</v>
      </c>
      <c r="AZ768" s="56">
        <f t="shared" si="2247"/>
        <v>0</v>
      </c>
      <c r="BA768" s="56">
        <f t="shared" si="2247"/>
        <v>63459</v>
      </c>
      <c r="BB768" s="56">
        <f t="shared" si="2247"/>
        <v>0</v>
      </c>
      <c r="BC768" s="56">
        <f t="shared" si="2247"/>
        <v>-203714</v>
      </c>
      <c r="BD768" s="56">
        <f t="shared" si="2247"/>
        <v>0</v>
      </c>
      <c r="BE768" s="56">
        <f t="shared" si="2247"/>
        <v>5825</v>
      </c>
      <c r="BF768" s="56">
        <f t="shared" si="2247"/>
        <v>0</v>
      </c>
      <c r="BG768" s="56">
        <f t="shared" si="2247"/>
        <v>1.04378419551414E-2</v>
      </c>
      <c r="BH768" s="56">
        <f t="shared" si="2247"/>
        <v>0</v>
      </c>
      <c r="BI768" s="56">
        <f t="shared" si="2247"/>
        <v>0</v>
      </c>
      <c r="BJ768" s="56">
        <f t="shared" si="2247"/>
        <v>0</v>
      </c>
      <c r="BK768" s="56">
        <f t="shared" si="2247"/>
        <v>0</v>
      </c>
      <c r="BL768" s="56">
        <f t="shared" si="2247"/>
        <v>0</v>
      </c>
      <c r="BM768" s="56">
        <f t="shared" si="2247"/>
        <v>0</v>
      </c>
      <c r="BN768" s="56">
        <f t="shared" si="2247"/>
        <v>1483.8025823724456</v>
      </c>
      <c r="BO768" s="56">
        <f t="shared" si="2247"/>
        <v>0</v>
      </c>
      <c r="BP768" s="56">
        <f t="shared" si="2247"/>
        <v>-9747</v>
      </c>
      <c r="BQ768" s="56">
        <f t="shared" ref="BQ768" si="2248">+BQ730-BQ767</f>
        <v>0</v>
      </c>
      <c r="BR768" s="56"/>
      <c r="BS768" s="56"/>
      <c r="BT768" s="56"/>
      <c r="BU768" s="56">
        <f>+BU508-BU767</f>
        <v>0</v>
      </c>
      <c r="BV768" s="56">
        <f>+BV504-BV767</f>
        <v>0</v>
      </c>
      <c r="BW768" s="56"/>
      <c r="BX768" s="56"/>
      <c r="BY768" s="56"/>
      <c r="BZ768" s="56"/>
      <c r="CA768" s="56"/>
      <c r="CB768" s="56"/>
      <c r="CC768" s="56"/>
      <c r="CD768" s="56"/>
      <c r="CE768" s="61"/>
      <c r="CF768" s="61"/>
      <c r="CG768" s="105"/>
    </row>
    <row r="769" spans="2:84" x14ac:dyDescent="0.3">
      <c r="B769" s="56"/>
      <c r="D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6"/>
      <c r="AD769" s="56"/>
      <c r="AE769" s="56"/>
      <c r="AF769" s="56"/>
      <c r="AG769" s="56"/>
      <c r="AH769" s="56"/>
      <c r="AI769" s="56"/>
      <c r="AJ769" s="56"/>
      <c r="AK769" s="56"/>
      <c r="AL769" s="56"/>
      <c r="AM769" s="56"/>
      <c r="AN769" s="56"/>
      <c r="AO769" s="56"/>
      <c r="AP769" s="56"/>
      <c r="AQ769" s="56"/>
      <c r="AR769" s="56"/>
      <c r="AS769" s="56"/>
      <c r="AT769" s="56"/>
      <c r="AU769" s="56"/>
      <c r="AV769" s="56"/>
      <c r="AW769" s="56"/>
      <c r="AX769" s="56"/>
      <c r="AY769" s="56"/>
      <c r="AZ769" s="56"/>
      <c r="BA769" s="56"/>
      <c r="BB769" s="56"/>
      <c r="BC769" s="56"/>
      <c r="BD769" s="56"/>
      <c r="BE769" s="56"/>
      <c r="BF769" s="56"/>
      <c r="BG769" s="56"/>
      <c r="BH769" s="56"/>
      <c r="BI769" s="56"/>
      <c r="BJ769" s="56"/>
      <c r="BK769" s="56"/>
      <c r="BL769" s="56"/>
      <c r="BM769" s="56"/>
      <c r="BN769" s="56"/>
      <c r="BO769" s="56"/>
      <c r="BP769" s="56"/>
      <c r="BQ769" s="56"/>
      <c r="BR769" s="56"/>
      <c r="BS769" s="10"/>
      <c r="BT769" s="10"/>
      <c r="BU769" s="10"/>
      <c r="BV769" s="10"/>
      <c r="BW769" s="10"/>
      <c r="BX769" s="10"/>
      <c r="BY769" s="10"/>
      <c r="BZ769" s="10"/>
      <c r="CA769" s="10"/>
      <c r="CB769" s="61"/>
      <c r="CC769" s="105"/>
      <c r="CD769" s="105"/>
      <c r="CE769" s="105"/>
      <c r="CF769" s="105"/>
    </row>
    <row r="770" spans="2:84" x14ac:dyDescent="0.3">
      <c r="B770" s="56"/>
      <c r="D770" s="56">
        <f>SUM(D297:D677)</f>
        <v>40188841</v>
      </c>
      <c r="H770" s="1"/>
      <c r="N770" s="145">
        <f>+N684-N712</f>
        <v>3272725</v>
      </c>
      <c r="O770" s="1"/>
      <c r="W770" s="56">
        <f>SUM(W297:W677)</f>
        <v>434376</v>
      </c>
      <c r="AA770" s="59"/>
      <c r="BA770" s="59"/>
      <c r="BC770" s="56"/>
      <c r="BE770" s="59"/>
      <c r="BJ770" s="61"/>
      <c r="BK770" s="10">
        <f>+BK187</f>
        <v>4928581</v>
      </c>
      <c r="BL770" s="61"/>
      <c r="BM770" s="61"/>
      <c r="BN770" s="61"/>
      <c r="BO770" s="61"/>
      <c r="BP770" s="61"/>
      <c r="BQ770" s="61"/>
      <c r="BR770" s="61"/>
      <c r="BS770" s="10"/>
      <c r="BT770" s="10"/>
    </row>
    <row r="771" spans="2:84" x14ac:dyDescent="0.3">
      <c r="B771" s="56"/>
      <c r="D771" s="56"/>
      <c r="H771" s="56"/>
      <c r="N771" s="231"/>
      <c r="W771" s="56"/>
      <c r="AA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56"/>
      <c r="AU771" t="s">
        <v>161</v>
      </c>
      <c r="BC771" s="56"/>
      <c r="BE771" s="59"/>
      <c r="BH771" s="96"/>
      <c r="BI771" s="96"/>
      <c r="BJ771" s="96"/>
      <c r="BK771" s="493"/>
      <c r="BL771" s="96"/>
      <c r="BM771" s="96"/>
      <c r="BN771" s="96"/>
      <c r="BO771" s="96"/>
      <c r="BP771" s="96"/>
      <c r="BQ771" s="96"/>
      <c r="BR771" s="78"/>
      <c r="BS771" s="1"/>
      <c r="BT771" s="1"/>
    </row>
    <row r="772" spans="2:84" x14ac:dyDescent="0.3">
      <c r="D772" s="1"/>
      <c r="E772" s="111" t="s">
        <v>26</v>
      </c>
      <c r="F772" s="112"/>
      <c r="H772" s="112" t="s">
        <v>59</v>
      </c>
      <c r="I772" s="104"/>
      <c r="J772" s="104"/>
      <c r="K772" s="61"/>
      <c r="L772" s="10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BA772" s="56">
        <f>SUM(BA664:BA677)</f>
        <v>44881345</v>
      </c>
      <c r="BC772" s="56"/>
      <c r="BE772" s="56">
        <f>SUM(BE664:BE677)</f>
        <v>9000128</v>
      </c>
      <c r="BG772" s="231">
        <f>+BE772/BA772</f>
        <v>0.20053160171559029</v>
      </c>
      <c r="BH772" s="96"/>
      <c r="BI772" s="96"/>
      <c r="BJ772" s="96"/>
      <c r="BK772" s="493">
        <f>+BK194-BK767</f>
        <v>5763109</v>
      </c>
      <c r="BL772" s="96"/>
      <c r="BM772" s="96"/>
      <c r="BN772" s="96"/>
      <c r="BO772" s="96"/>
      <c r="BP772" s="96"/>
      <c r="BQ772" s="96"/>
      <c r="BR772" s="78"/>
      <c r="BS772" s="1"/>
      <c r="BT772" s="1"/>
    </row>
    <row r="773" spans="2:84" x14ac:dyDescent="0.3">
      <c r="B773" s="56"/>
      <c r="D773" s="1"/>
      <c r="E773" s="111" t="s">
        <v>38</v>
      </c>
      <c r="F773" s="112"/>
      <c r="H773" s="112" t="s">
        <v>40</v>
      </c>
      <c r="I773" s="10"/>
      <c r="J773" s="10"/>
      <c r="K773" s="61"/>
      <c r="L773" s="10"/>
      <c r="AD773" s="1"/>
      <c r="AE773" s="1"/>
      <c r="AF773" s="1"/>
      <c r="AG773" s="1"/>
      <c r="AH773" s="1"/>
      <c r="AI773" s="1">
        <f>SUM(W213:W243)</f>
        <v>25465</v>
      </c>
      <c r="AJ773" s="1"/>
      <c r="AK773" s="1"/>
      <c r="AL773" s="1" t="s">
        <v>17</v>
      </c>
      <c r="AM773" s="1"/>
      <c r="AN773" s="1"/>
      <c r="AO773" s="1"/>
      <c r="BC773" s="56"/>
      <c r="BE773" s="59"/>
      <c r="BH773" s="97"/>
      <c r="BI773" s="97"/>
      <c r="BJ773" s="97"/>
      <c r="BK773" s="493">
        <f>+BK187-BK767</f>
        <v>4928581</v>
      </c>
      <c r="BL773" s="97"/>
      <c r="BM773" s="97"/>
      <c r="BN773" s="97"/>
      <c r="BO773" s="97"/>
      <c r="BP773" s="97"/>
      <c r="BQ773" s="97"/>
      <c r="BR773" s="78"/>
      <c r="BS773" s="1"/>
      <c r="BT773" s="1"/>
    </row>
    <row r="774" spans="2:84" x14ac:dyDescent="0.3">
      <c r="B774" s="231"/>
      <c r="D774" s="1"/>
      <c r="E774" s="111" t="s">
        <v>45</v>
      </c>
      <c r="F774" s="112"/>
      <c r="H774" s="112" t="s">
        <v>55</v>
      </c>
      <c r="I774" s="10"/>
      <c r="J774" s="10"/>
      <c r="K774" s="61"/>
      <c r="L774" s="10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BC774" s="56"/>
      <c r="BE774" s="59"/>
      <c r="BH774" s="97"/>
      <c r="BI774" s="97"/>
      <c r="BJ774" s="97"/>
      <c r="BK774" s="493"/>
      <c r="BL774" s="97"/>
      <c r="BM774" s="97"/>
      <c r="BN774" s="97"/>
      <c r="BO774" s="97"/>
      <c r="BP774" s="97"/>
      <c r="BQ774" s="97"/>
      <c r="BR774" s="78"/>
      <c r="BS774" s="1"/>
      <c r="BT774" s="1"/>
    </row>
    <row r="775" spans="2:84" x14ac:dyDescent="0.3">
      <c r="D775" s="1"/>
      <c r="E775" s="111" t="s">
        <v>60</v>
      </c>
      <c r="F775" s="61"/>
      <c r="H775" s="81" t="s">
        <v>135</v>
      </c>
      <c r="I775" s="61"/>
      <c r="J775" s="61"/>
      <c r="K775" s="61"/>
      <c r="L775" s="6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BH775" s="97"/>
      <c r="BI775" s="97"/>
      <c r="BJ775" s="97"/>
      <c r="BK775" s="496"/>
      <c r="BL775" s="97"/>
      <c r="BM775" s="97"/>
      <c r="BN775" s="97"/>
      <c r="BO775" s="97"/>
      <c r="BP775" s="97"/>
      <c r="BQ775" s="97"/>
      <c r="BR775" s="78"/>
      <c r="BS775" s="1"/>
      <c r="BT775" s="1"/>
    </row>
    <row r="776" spans="2:84" x14ac:dyDescent="0.3">
      <c r="E776" s="111" t="s">
        <v>136</v>
      </c>
      <c r="H776" s="81" t="s">
        <v>137</v>
      </c>
      <c r="AD776" s="1"/>
      <c r="AE776" s="1"/>
      <c r="AF776" s="1"/>
      <c r="AG776" s="1"/>
      <c r="AH776" s="1"/>
      <c r="AI776" s="1"/>
      <c r="BD776" s="78"/>
      <c r="BE776" s="78"/>
      <c r="BF776" s="78"/>
      <c r="BG776" s="78"/>
      <c r="BH776" s="78"/>
      <c r="BI776" s="78"/>
      <c r="BJ776" s="78"/>
      <c r="BK776" s="494"/>
      <c r="BL776" s="78"/>
      <c r="BM776" s="78"/>
      <c r="BN776" s="78"/>
      <c r="BO776" s="78"/>
      <c r="BP776" s="78"/>
      <c r="BQ776" s="78"/>
      <c r="BR776" s="78"/>
      <c r="BS776" s="1"/>
      <c r="BT776" s="1"/>
    </row>
    <row r="777" spans="2:84" x14ac:dyDescent="0.3">
      <c r="B777" s="56"/>
      <c r="AD777" s="1"/>
      <c r="AE777" s="1"/>
      <c r="AF777" s="1"/>
      <c r="AG777" s="1"/>
      <c r="AH777" s="1"/>
      <c r="AI777" s="1"/>
      <c r="BA777" s="545">
        <v>157602857</v>
      </c>
      <c r="BK777" s="495"/>
    </row>
    <row r="778" spans="2:84" ht="15" thickBot="1" x14ac:dyDescent="0.35">
      <c r="D778" s="56">
        <f>SUM(D363:D369)</f>
        <v>378583</v>
      </c>
      <c r="AD778" s="1"/>
      <c r="AE778" s="507"/>
      <c r="AF778" s="547"/>
      <c r="AG778" s="507"/>
      <c r="AH778" s="507"/>
      <c r="AI778" s="507"/>
      <c r="AJ778" s="500"/>
      <c r="AK778" s="500"/>
      <c r="AL778" s="500"/>
      <c r="AM778" s="500"/>
      <c r="AN778" s="500"/>
      <c r="AO778" s="500"/>
      <c r="AP778" s="500"/>
      <c r="AQ778" s="500"/>
      <c r="AR778" s="500"/>
      <c r="AS778" s="500"/>
      <c r="AT778" s="500"/>
      <c r="AU778" s="500"/>
      <c r="AV778" s="500"/>
      <c r="AW778" s="500"/>
      <c r="AX778" s="500"/>
      <c r="AZ778" s="106"/>
      <c r="BA778" s="106"/>
      <c r="BB778" s="106"/>
      <c r="BC778" s="106"/>
      <c r="BK778" s="1"/>
    </row>
    <row r="779" spans="2:84" x14ac:dyDescent="0.3">
      <c r="D779" s="531">
        <f>SUM(D356:D362)</f>
        <v>417052</v>
      </c>
      <c r="J779" s="486"/>
      <c r="V779" s="106"/>
      <c r="AA779" s="56"/>
      <c r="AD779" s="1"/>
      <c r="AE779" s="507"/>
      <c r="AF779" s="546"/>
      <c r="AG779" s="1"/>
      <c r="AH779" s="1"/>
      <c r="AI779" s="485"/>
      <c r="AJ779" s="464"/>
      <c r="AK779" s="465"/>
      <c r="AL779" s="465"/>
      <c r="AM779" s="465"/>
      <c r="AN779" s="465"/>
      <c r="AO779" s="465"/>
      <c r="AP779" s="465"/>
      <c r="AQ779" s="465"/>
      <c r="AR779" s="465"/>
      <c r="AS779" s="465"/>
      <c r="AT779" s="465"/>
      <c r="AU779" s="465"/>
      <c r="AV779" s="465"/>
      <c r="AW779" s="466"/>
      <c r="AX779" s="500"/>
      <c r="AZ779" s="106"/>
      <c r="BA779" s="77"/>
      <c r="BB779" s="106"/>
      <c r="BC779" s="106"/>
      <c r="BK779" s="56"/>
    </row>
    <row r="780" spans="2:84" x14ac:dyDescent="0.3">
      <c r="D780" s="1"/>
      <c r="J780" s="214"/>
      <c r="AD780" s="1"/>
      <c r="AE780" s="507"/>
      <c r="AF780" s="546"/>
      <c r="AG780" s="1"/>
      <c r="AH780" s="1"/>
      <c r="AI780" s="485"/>
      <c r="AJ780" s="467"/>
      <c r="AK780" s="595" t="s">
        <v>142</v>
      </c>
      <c r="AL780" s="595"/>
      <c r="AM780" s="595"/>
      <c r="AN780" s="595"/>
      <c r="AO780" s="595"/>
      <c r="AP780" s="595"/>
      <c r="AQ780" s="595"/>
      <c r="AR780" s="595"/>
      <c r="AS780" s="595"/>
      <c r="AT780" s="595"/>
      <c r="AU780" s="595"/>
      <c r="AV780" s="595"/>
      <c r="AW780" s="468"/>
      <c r="AX780" s="500"/>
      <c r="AZ780" s="106"/>
      <c r="BA780" s="106"/>
      <c r="BB780" s="106"/>
      <c r="BC780" s="106"/>
    </row>
    <row r="781" spans="2:84" ht="15.6" x14ac:dyDescent="0.3">
      <c r="D781" s="1">
        <v>331000000</v>
      </c>
      <c r="H781" s="235">
        <f>+H269/D781</f>
        <v>4.5635842900302113E-2</v>
      </c>
      <c r="J781" s="57"/>
      <c r="AD781" s="1"/>
      <c r="AE781" s="507"/>
      <c r="AF781" s="546"/>
      <c r="AG781" s="1"/>
      <c r="AH781" s="1"/>
      <c r="AI781" s="485"/>
      <c r="AJ781" s="467"/>
      <c r="AK781" s="595" t="s">
        <v>141</v>
      </c>
      <c r="AL781" s="595"/>
      <c r="AM781" s="595"/>
      <c r="AN781" s="595"/>
      <c r="AO781" s="473"/>
      <c r="AP781" s="474" t="s">
        <v>20</v>
      </c>
      <c r="AQ781" s="473"/>
      <c r="AR781" s="474" t="s">
        <v>4</v>
      </c>
      <c r="AS781" s="475"/>
      <c r="AT781" s="475"/>
      <c r="AU781" s="475"/>
      <c r="AV781" s="479" t="s">
        <v>10</v>
      </c>
      <c r="AW781" s="468"/>
      <c r="AX781" s="500"/>
      <c r="AZ781" s="106"/>
      <c r="BA781" s="106"/>
      <c r="BB781" s="106"/>
      <c r="BC781" s="106"/>
    </row>
    <row r="782" spans="2:84" ht="15.6" x14ac:dyDescent="0.3">
      <c r="H782" s="235">
        <f>+AA269/H269</f>
        <v>1.9000541790705667E-2</v>
      </c>
      <c r="AD782" s="1"/>
      <c r="AE782" s="507"/>
      <c r="AF782" s="546"/>
      <c r="AG782" s="1"/>
      <c r="AH782" s="1"/>
      <c r="AI782" s="485"/>
      <c r="AJ782" s="467"/>
      <c r="AK782" s="602" t="s">
        <v>138</v>
      </c>
      <c r="AL782" s="602"/>
      <c r="AM782" s="602"/>
      <c r="AN782" s="602"/>
      <c r="AO782" s="473"/>
      <c r="AP782" s="476">
        <f>+AH50</f>
        <v>898992</v>
      </c>
      <c r="AQ782" s="477"/>
      <c r="AR782" s="476">
        <f>+AH51</f>
        <v>55687</v>
      </c>
      <c r="AS782" s="478"/>
      <c r="AT782" s="478"/>
      <c r="AU782" s="478"/>
      <c r="AV782" s="491">
        <f t="shared" ref="AV782:AV788" si="2249">+AR782/AP782</f>
        <v>6.194382152455194E-2</v>
      </c>
      <c r="AW782" s="468"/>
      <c r="AX782" s="500"/>
      <c r="AZ782" s="106"/>
      <c r="BA782" s="77"/>
      <c r="BB782" s="106"/>
      <c r="BC782" s="106"/>
    </row>
    <row r="783" spans="2:84" ht="15.6" x14ac:dyDescent="0.3">
      <c r="D783" s="235"/>
      <c r="AD783" s="1"/>
      <c r="AE783" s="507"/>
      <c r="AF783" s="546"/>
      <c r="AG783" s="1"/>
      <c r="AH783" s="1"/>
      <c r="AI783" s="485"/>
      <c r="AJ783" s="467"/>
      <c r="AK783" s="622" t="s">
        <v>139</v>
      </c>
      <c r="AL783" s="599"/>
      <c r="AM783" s="599"/>
      <c r="AN783" s="599"/>
      <c r="AO783" s="64"/>
      <c r="AP783" s="469">
        <f>+AG83</f>
        <v>742147</v>
      </c>
      <c r="AQ783" s="64"/>
      <c r="AR783" s="469">
        <f>+AG84</f>
        <v>42339</v>
      </c>
      <c r="AS783" s="64"/>
      <c r="AT783" s="64"/>
      <c r="AU783" s="64"/>
      <c r="AV783" s="489">
        <f t="shared" si="2249"/>
        <v>5.7049344671608188E-2</v>
      </c>
      <c r="AW783" s="468"/>
      <c r="AX783" s="500"/>
      <c r="AZ783" s="106"/>
      <c r="BA783" s="77"/>
      <c r="BB783" s="106"/>
      <c r="BC783" s="106"/>
    </row>
    <row r="784" spans="2:84" ht="15.6" x14ac:dyDescent="0.3">
      <c r="AD784" s="1"/>
      <c r="AE784" s="507"/>
      <c r="AF784" s="546"/>
      <c r="AG784" s="1"/>
      <c r="AH784" s="1"/>
      <c r="AI784" s="485"/>
      <c r="AJ784" s="467"/>
      <c r="AK784" s="599" t="s">
        <v>140</v>
      </c>
      <c r="AL784" s="599"/>
      <c r="AM784" s="599"/>
      <c r="AN784" s="599"/>
      <c r="AO784" s="64"/>
      <c r="AP784" s="469">
        <f>+AH113</f>
        <v>869627</v>
      </c>
      <c r="AQ784" s="64"/>
      <c r="AR784" s="469">
        <f>+AH114</f>
        <v>21252</v>
      </c>
      <c r="AS784" s="64"/>
      <c r="AT784" s="64"/>
      <c r="AU784" s="64"/>
      <c r="AV784" s="489">
        <f t="shared" si="2249"/>
        <v>2.4438063675575852E-2</v>
      </c>
      <c r="AW784" s="468"/>
      <c r="AX784" s="500"/>
      <c r="AZ784" s="106"/>
      <c r="BA784" s="106"/>
      <c r="BB784" s="106"/>
      <c r="BC784" s="106"/>
    </row>
    <row r="785" spans="2:87" ht="15.6" x14ac:dyDescent="0.3">
      <c r="D785" s="428"/>
      <c r="AD785" s="1"/>
      <c r="AE785" s="507"/>
      <c r="AF785" s="546"/>
      <c r="AG785" s="1"/>
      <c r="AH785" s="1"/>
      <c r="AI785" s="485"/>
      <c r="AJ785" s="467"/>
      <c r="AK785" s="599" t="s">
        <v>143</v>
      </c>
      <c r="AL785" s="599"/>
      <c r="AM785" s="599"/>
      <c r="AN785" s="599"/>
      <c r="AO785" s="64"/>
      <c r="AP785" s="469">
        <f>+AG791</f>
        <v>1970617</v>
      </c>
      <c r="AQ785" s="64"/>
      <c r="AR785" s="469">
        <f>+AG793</f>
        <v>25901</v>
      </c>
      <c r="AS785" s="64"/>
      <c r="AT785" s="64"/>
      <c r="AU785" s="64"/>
      <c r="AV785" s="489">
        <f t="shared" si="2249"/>
        <v>1.3143599187462607E-2</v>
      </c>
      <c r="AW785" s="468"/>
      <c r="AX785" s="500"/>
    </row>
    <row r="786" spans="2:87" ht="15.6" x14ac:dyDescent="0.3">
      <c r="D786" s="428"/>
      <c r="AD786" s="1"/>
      <c r="AE786" s="507"/>
      <c r="AF786" s="546"/>
      <c r="AG786" s="1"/>
      <c r="AH786" s="1"/>
      <c r="AI786" s="485"/>
      <c r="AJ786" s="467"/>
      <c r="AK786" s="543"/>
      <c r="AL786" s="543" t="s">
        <v>151</v>
      </c>
      <c r="AM786" s="543"/>
      <c r="AN786" s="543"/>
      <c r="AO786" s="64"/>
      <c r="AP786" s="469">
        <f>SUM(D144:D174)</f>
        <v>1493931</v>
      </c>
      <c r="AQ786" s="64"/>
      <c r="AR786" s="469">
        <f>SUM(W144:W174)</f>
        <v>30354</v>
      </c>
      <c r="AS786" s="64"/>
      <c r="AT786" s="64"/>
      <c r="AU786" s="64"/>
      <c r="AV786" s="489">
        <f t="shared" si="2249"/>
        <v>2.0318207467413155E-2</v>
      </c>
      <c r="AW786" s="468"/>
      <c r="AX786" s="500"/>
    </row>
    <row r="787" spans="2:87" ht="15.6" x14ac:dyDescent="0.3">
      <c r="D787" s="428"/>
      <c r="AD787" s="1"/>
      <c r="AE787" s="507"/>
      <c r="AF787" s="546"/>
      <c r="AG787" s="1"/>
      <c r="AH787" s="1"/>
      <c r="AI787" s="485"/>
      <c r="AJ787" s="467"/>
      <c r="AK787" s="543"/>
      <c r="AL787" s="543" t="s">
        <v>152</v>
      </c>
      <c r="AM787" s="543"/>
      <c r="AN787" s="543"/>
      <c r="AO787" s="64"/>
      <c r="AP787" s="469">
        <f>SUM(D175:D204)</f>
        <v>1202331</v>
      </c>
      <c r="AQ787" s="64"/>
      <c r="AR787" s="544">
        <f>SUM(W175:W204)</f>
        <v>24042</v>
      </c>
      <c r="AS787" s="64"/>
      <c r="AT787" s="64"/>
      <c r="AU787" s="64"/>
      <c r="AV787" s="489">
        <f t="shared" si="2249"/>
        <v>1.9996157464125936E-2</v>
      </c>
      <c r="AW787" s="468"/>
      <c r="AX787" s="500"/>
    </row>
    <row r="788" spans="2:87" ht="15.6" x14ac:dyDescent="0.3">
      <c r="D788" s="428"/>
      <c r="AD788" s="1"/>
      <c r="AE788" s="507"/>
      <c r="AF788" s="546"/>
      <c r="AG788" s="1"/>
      <c r="AH788" s="1"/>
      <c r="AI788" s="485"/>
      <c r="AJ788" s="467"/>
      <c r="AK788" s="543"/>
      <c r="AL788" s="543" t="s">
        <v>153</v>
      </c>
      <c r="AM788" s="543"/>
      <c r="AN788" s="543"/>
      <c r="AO788" s="64"/>
      <c r="AP788" s="469">
        <f>SUM(D205:D230)</f>
        <v>1470960</v>
      </c>
      <c r="AQ788" s="64"/>
      <c r="AR788" s="469">
        <f>SUM(W205:W235)</f>
        <v>24156</v>
      </c>
      <c r="AS788" s="64"/>
      <c r="AT788" s="64"/>
      <c r="AU788" s="64"/>
      <c r="AV788" s="489">
        <f t="shared" si="2249"/>
        <v>1.6421928536465982E-2</v>
      </c>
      <c r="AW788" s="468"/>
      <c r="AX788" s="500"/>
      <c r="BA788" s="486">
        <f>+AV782-AV788</f>
        <v>4.5521892988085955E-2</v>
      </c>
    </row>
    <row r="789" spans="2:87" ht="15" thickBot="1" x14ac:dyDescent="0.35">
      <c r="B789" s="427"/>
      <c r="D789" s="235"/>
      <c r="AD789" s="1"/>
      <c r="AE789" s="507"/>
      <c r="AF789" s="546"/>
      <c r="AG789" s="1"/>
      <c r="AH789" s="1"/>
      <c r="AI789" s="485"/>
      <c r="AJ789" s="467"/>
      <c r="AK789" s="480"/>
      <c r="AL789" s="480"/>
      <c r="AM789" s="480"/>
      <c r="AN789" s="480"/>
      <c r="AO789" s="481"/>
      <c r="AP789" s="482"/>
      <c r="AQ789" s="481"/>
      <c r="AR789" s="482"/>
      <c r="AS789" s="481"/>
      <c r="AT789" s="481"/>
      <c r="AU789" s="481"/>
      <c r="AV789" s="483"/>
      <c r="AW789" s="468"/>
      <c r="AX789" s="500"/>
      <c r="BA789">
        <f>+BA788/AV782</f>
        <v>0.73488996751747038</v>
      </c>
    </row>
    <row r="790" spans="2:87" ht="15.6" x14ac:dyDescent="0.3">
      <c r="B790" s="427"/>
      <c r="D790" s="235"/>
      <c r="AD790" s="1"/>
      <c r="AE790" s="507"/>
      <c r="AF790" s="546"/>
      <c r="AG790" s="1"/>
      <c r="AH790" s="1"/>
      <c r="AI790" s="485"/>
      <c r="AJ790" s="467"/>
      <c r="AK790" s="602" t="s">
        <v>138</v>
      </c>
      <c r="AL790" s="602"/>
      <c r="AM790" s="602"/>
      <c r="AN790" s="602"/>
      <c r="AO790" s="64"/>
      <c r="AP790" s="469"/>
      <c r="AQ790" s="64"/>
      <c r="AR790" s="469">
        <f>+AR782</f>
        <v>55687</v>
      </c>
      <c r="AS790" s="64"/>
      <c r="AT790" s="64"/>
      <c r="AU790" s="64"/>
      <c r="AV790" s="144"/>
      <c r="AW790" s="468"/>
      <c r="AX790" s="500"/>
    </row>
    <row r="791" spans="2:87" ht="15.6" x14ac:dyDescent="0.3">
      <c r="B791" s="427"/>
      <c r="D791" s="235"/>
      <c r="N791" s="61"/>
      <c r="O791" s="61"/>
      <c r="P791" s="61"/>
      <c r="Q791" s="61"/>
      <c r="R791" s="61"/>
      <c r="S791" s="61"/>
      <c r="T791" s="61"/>
      <c r="U791" s="61"/>
      <c r="V791" s="61"/>
      <c r="W791" s="61"/>
      <c r="X791" s="61"/>
      <c r="Y791" s="61"/>
      <c r="Z791" s="61"/>
      <c r="AA791" s="61"/>
      <c r="AB791" s="61"/>
      <c r="AC791" s="61"/>
      <c r="AD791" s="10"/>
      <c r="AE791" s="507"/>
      <c r="AF791" s="546"/>
      <c r="AG791" s="33">
        <f>SUM(D113:D143)</f>
        <v>1970617</v>
      </c>
      <c r="AH791" s="1"/>
      <c r="AI791" s="485"/>
      <c r="AJ791" s="467"/>
      <c r="AK791" s="606" t="s">
        <v>153</v>
      </c>
      <c r="AL791" s="606"/>
      <c r="AM791" s="606"/>
      <c r="AN791" s="606"/>
      <c r="AO791" s="64"/>
      <c r="AP791" s="469"/>
      <c r="AQ791" s="64"/>
      <c r="AR791" s="469">
        <f>+AR788</f>
        <v>24156</v>
      </c>
      <c r="AS791" s="64"/>
      <c r="AT791" s="64"/>
      <c r="AU791" s="64"/>
      <c r="AV791" s="144"/>
      <c r="AW791" s="468"/>
      <c r="AX791" s="500"/>
    </row>
    <row r="792" spans="2:87" ht="15.6" x14ac:dyDescent="0.3">
      <c r="B792" s="427"/>
      <c r="D792" s="235"/>
      <c r="N792" s="61"/>
      <c r="O792" s="61"/>
      <c r="P792" s="61"/>
      <c r="Q792" s="61"/>
      <c r="R792" s="61"/>
      <c r="S792" s="61"/>
      <c r="T792" s="61"/>
      <c r="U792" s="61"/>
      <c r="V792" s="61"/>
      <c r="W792" s="61"/>
      <c r="X792" s="61"/>
      <c r="Y792" s="61"/>
      <c r="Z792" s="61"/>
      <c r="AA792" s="61"/>
      <c r="AB792" s="61"/>
      <c r="AC792" s="61"/>
      <c r="AD792" s="10"/>
      <c r="AE792" s="507"/>
      <c r="AF792" s="546"/>
      <c r="AG792" s="33">
        <f>SUM(W125:W138)</f>
        <v>12117</v>
      </c>
      <c r="AH792" s="1"/>
      <c r="AI792" s="485"/>
      <c r="AJ792" s="467"/>
      <c r="AK792" s="63"/>
      <c r="AL792" s="497" t="s">
        <v>3</v>
      </c>
      <c r="AM792" s="63"/>
      <c r="AN792" s="63"/>
      <c r="AO792" s="64"/>
      <c r="AP792" s="469"/>
      <c r="AQ792" s="64"/>
      <c r="AR792" s="469">
        <f>+AR790-AR791</f>
        <v>31531</v>
      </c>
      <c r="AS792" s="64"/>
      <c r="AT792" s="64"/>
      <c r="AU792" s="64"/>
      <c r="AV792" s="484">
        <f>+AR792/AR790</f>
        <v>0.5662183274372834</v>
      </c>
      <c r="AW792" s="468"/>
      <c r="AX792" s="500"/>
    </row>
    <row r="793" spans="2:87" ht="15" thickBot="1" x14ac:dyDescent="0.35">
      <c r="D793" s="427"/>
      <c r="N793" s="61"/>
      <c r="O793" s="61"/>
      <c r="P793" s="61"/>
      <c r="Q793" s="61"/>
      <c r="R793" s="61"/>
      <c r="S793" s="61"/>
      <c r="T793" s="61"/>
      <c r="U793" s="61"/>
      <c r="V793" s="61"/>
      <c r="W793" s="61"/>
      <c r="X793" s="61"/>
      <c r="Y793" s="61"/>
      <c r="Z793" s="61"/>
      <c r="AA793" s="61"/>
      <c r="AB793" s="61"/>
      <c r="AC793" s="61"/>
      <c r="AD793" s="10"/>
      <c r="AE793" s="507"/>
      <c r="AF793" s="548"/>
      <c r="AG793" s="33">
        <f>SUM(W113:W143)</f>
        <v>25901</v>
      </c>
      <c r="AH793" s="1"/>
      <c r="AI793" s="485"/>
      <c r="AJ793" s="470"/>
      <c r="AK793" s="471"/>
      <c r="AL793" s="471"/>
      <c r="AM793" s="471"/>
      <c r="AN793" s="471"/>
      <c r="AO793" s="471"/>
      <c r="AP793" s="471"/>
      <c r="AQ793" s="471"/>
      <c r="AR793" s="471"/>
      <c r="AS793" s="471"/>
      <c r="AT793" s="471"/>
      <c r="AU793" s="471"/>
      <c r="AV793" s="471"/>
      <c r="AW793" s="472"/>
      <c r="AX793" s="500"/>
      <c r="BD793" s="78"/>
      <c r="BE793" s="78"/>
      <c r="BF793" s="78"/>
      <c r="BG793" s="78"/>
      <c r="BH793" s="78"/>
      <c r="BI793" s="78"/>
      <c r="BJ793" s="78"/>
      <c r="BK793" s="78"/>
      <c r="BL793" s="78"/>
      <c r="BM793" s="78"/>
      <c r="BN793" s="78"/>
      <c r="BO793" s="78"/>
      <c r="BP793" s="78"/>
      <c r="BQ793" s="78"/>
      <c r="BR793" s="78"/>
      <c r="BS793" s="1"/>
      <c r="BT793" s="1"/>
      <c r="BU793" s="1"/>
      <c r="BV793" s="1"/>
      <c r="BW793" s="78"/>
      <c r="BX793" s="78"/>
      <c r="BY793" s="78"/>
      <c r="BZ793" s="78"/>
      <c r="CA793" s="78"/>
      <c r="CB793" s="78"/>
      <c r="CC793" s="78"/>
      <c r="CD793" s="78"/>
      <c r="CE793" s="78"/>
      <c r="CF793" s="78"/>
      <c r="CG793" s="78"/>
      <c r="CH793" s="78"/>
      <c r="CI793" s="78"/>
    </row>
    <row r="794" spans="2:87" x14ac:dyDescent="0.3">
      <c r="N794" s="61"/>
      <c r="O794" s="61"/>
      <c r="P794" s="61"/>
      <c r="Q794" s="61"/>
      <c r="R794" s="61"/>
      <c r="S794" s="61"/>
      <c r="T794" s="61"/>
      <c r="U794" s="61"/>
      <c r="V794" s="61"/>
      <c r="W794" s="61"/>
      <c r="X794" s="61"/>
      <c r="Y794" s="61"/>
      <c r="Z794" s="61"/>
      <c r="AA794" s="61"/>
      <c r="AB794" s="61"/>
      <c r="AC794" s="61"/>
      <c r="AD794" s="10"/>
      <c r="AE794" s="507"/>
      <c r="AF794" s="507"/>
      <c r="AG794" s="507"/>
      <c r="AH794" s="507"/>
      <c r="AI794" s="507"/>
      <c r="AJ794" s="500"/>
      <c r="AK794" s="500"/>
      <c r="AL794" s="500"/>
      <c r="AM794" s="500"/>
      <c r="AN794" s="500"/>
      <c r="AO794" s="500"/>
      <c r="AP794" s="500"/>
      <c r="AQ794" s="500"/>
      <c r="AR794" s="500"/>
      <c r="AS794" s="500"/>
      <c r="AT794" s="500"/>
      <c r="AU794" s="500"/>
      <c r="AV794" s="500"/>
      <c r="AW794" s="500"/>
      <c r="AX794" s="500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77"/>
      <c r="BX794" s="77"/>
      <c r="BY794" s="77"/>
      <c r="BZ794" s="77"/>
      <c r="CA794" s="109"/>
      <c r="CB794" s="1"/>
      <c r="CC794" s="1"/>
      <c r="CD794" s="1"/>
      <c r="CE794" s="1"/>
      <c r="CF794" s="1"/>
      <c r="CG794" s="1"/>
      <c r="CH794" s="1"/>
      <c r="CI794" s="1"/>
    </row>
    <row r="795" spans="2:87" x14ac:dyDescent="0.3">
      <c r="D795">
        <v>10</v>
      </c>
      <c r="N795" s="61"/>
      <c r="O795" s="61"/>
      <c r="P795" s="61"/>
      <c r="Q795" s="61"/>
      <c r="R795" s="61"/>
      <c r="S795" s="61"/>
      <c r="T795" s="61"/>
      <c r="U795" s="61"/>
      <c r="V795" s="61"/>
      <c r="W795" s="61"/>
      <c r="X795" s="61"/>
      <c r="Y795" s="61"/>
      <c r="Z795" s="61"/>
      <c r="AA795" s="61"/>
      <c r="AB795" s="61"/>
      <c r="AC795" s="61"/>
      <c r="AD795" s="10"/>
      <c r="AE795" s="10"/>
      <c r="AF795" s="10"/>
      <c r="AG795" s="10"/>
      <c r="AH795" s="10"/>
      <c r="AI795" s="10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77"/>
      <c r="BX795" s="77"/>
      <c r="BY795" s="77"/>
      <c r="BZ795" s="77"/>
      <c r="CA795" s="77"/>
      <c r="CB795" s="1"/>
      <c r="CC795" s="1"/>
      <c r="CD795" s="1"/>
      <c r="CE795" s="1"/>
      <c r="CF795" s="1"/>
      <c r="CG795" s="1"/>
      <c r="CH795" s="1"/>
      <c r="CI795" s="1"/>
    </row>
    <row r="796" spans="2:87" x14ac:dyDescent="0.3">
      <c r="D796" s="1">
        <v>77000000</v>
      </c>
      <c r="N796" s="61"/>
      <c r="O796" s="61"/>
      <c r="P796" s="61"/>
      <c r="Q796" s="61"/>
      <c r="R796" s="61"/>
      <c r="S796" s="61"/>
      <c r="T796" s="61"/>
      <c r="U796" s="61"/>
      <c r="V796" s="61"/>
      <c r="W796" s="61"/>
      <c r="X796" s="61"/>
      <c r="Y796" s="61"/>
      <c r="Z796" s="61"/>
      <c r="AA796" s="61"/>
      <c r="AB796" s="61"/>
      <c r="AC796" s="61"/>
      <c r="AD796" s="10"/>
      <c r="AE796" s="10"/>
      <c r="AF796" s="10"/>
      <c r="AG796" s="10"/>
      <c r="AH796" s="10"/>
      <c r="AI796" s="10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77"/>
      <c r="BX796" s="77"/>
      <c r="BY796" s="77"/>
      <c r="BZ796" s="77"/>
      <c r="CA796" s="77"/>
      <c r="CB796" s="1"/>
      <c r="CC796" s="1"/>
      <c r="CD796" s="1"/>
      <c r="CE796" s="1"/>
      <c r="CF796" s="1"/>
      <c r="CG796" s="1"/>
    </row>
    <row r="797" spans="2:87" x14ac:dyDescent="0.3">
      <c r="D797" s="57">
        <f>+D796/D799</f>
        <v>0.23262839879154079</v>
      </c>
      <c r="N797" s="61"/>
      <c r="O797" s="61"/>
      <c r="P797" s="61"/>
      <c r="Q797" s="61"/>
      <c r="R797" s="61"/>
      <c r="S797" s="61"/>
      <c r="T797" s="61"/>
      <c r="U797" s="61"/>
      <c r="V797" s="61"/>
      <c r="W797" s="61"/>
      <c r="X797" s="61"/>
      <c r="Y797" s="61"/>
      <c r="Z797" s="61"/>
      <c r="AA797" s="61"/>
      <c r="AB797" s="61"/>
      <c r="AC797" s="61"/>
      <c r="AD797" s="10"/>
      <c r="AE797" s="10"/>
      <c r="AF797" s="10"/>
      <c r="AG797" s="501"/>
      <c r="AH797" s="10"/>
      <c r="AI797" s="10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77"/>
      <c r="BX797" s="77"/>
      <c r="BY797" s="77"/>
      <c r="BZ797" s="77"/>
      <c r="CA797" s="77"/>
      <c r="CB797" s="1"/>
      <c r="CC797" s="1"/>
      <c r="CD797" s="1"/>
      <c r="CE797" s="1"/>
      <c r="CF797" s="1"/>
      <c r="CG797" s="1"/>
    </row>
    <row r="798" spans="2:87" x14ac:dyDescent="0.3">
      <c r="N798" s="61"/>
      <c r="O798" s="61"/>
      <c r="P798" s="61"/>
      <c r="Q798" s="61"/>
      <c r="R798" s="61"/>
      <c r="S798" s="61"/>
      <c r="T798" s="61"/>
      <c r="U798" s="61"/>
      <c r="V798" s="61"/>
      <c r="W798" s="61"/>
      <c r="X798" s="61"/>
      <c r="Y798" s="61"/>
      <c r="Z798" s="61"/>
      <c r="AA798" s="61"/>
      <c r="AB798" s="61"/>
      <c r="AC798" s="61"/>
      <c r="AD798" s="10"/>
      <c r="AE798" s="10"/>
      <c r="AF798" s="507"/>
      <c r="AG798" s="526"/>
      <c r="AH798" s="507"/>
      <c r="AI798" s="507"/>
      <c r="AJ798" s="500"/>
      <c r="AK798" s="500"/>
      <c r="AL798" s="500"/>
      <c r="AM798" s="500"/>
      <c r="AN798" s="500"/>
      <c r="AO798" s="500"/>
      <c r="AP798" s="500"/>
      <c r="AQ798" s="500"/>
      <c r="AR798" s="500"/>
      <c r="AS798" s="500"/>
      <c r="AT798" s="500"/>
      <c r="AU798" s="500"/>
      <c r="AV798" s="500"/>
      <c r="AW798" s="500"/>
      <c r="AX798" s="500"/>
      <c r="AY798" s="500"/>
      <c r="AZ798" s="500"/>
      <c r="BA798" s="500"/>
      <c r="BB798" s="500"/>
      <c r="BC798" s="500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77"/>
      <c r="BX798" s="77"/>
      <c r="BY798" s="110"/>
      <c r="BZ798" s="77"/>
      <c r="CA798" s="77"/>
    </row>
    <row r="799" spans="2:87" x14ac:dyDescent="0.3">
      <c r="D799" s="1">
        <v>331000000</v>
      </c>
      <c r="H799">
        <v>0.13400000000000001</v>
      </c>
      <c r="N799" s="61"/>
      <c r="O799" s="61"/>
      <c r="P799" s="61"/>
      <c r="Q799" s="61"/>
      <c r="R799" s="61"/>
      <c r="S799" s="61"/>
      <c r="T799" s="61"/>
      <c r="U799" s="61"/>
      <c r="V799" s="61"/>
      <c r="W799" s="61"/>
      <c r="X799" s="61"/>
      <c r="Y799" s="61"/>
      <c r="Z799" s="61"/>
      <c r="AA799" s="61"/>
      <c r="AB799" s="61"/>
      <c r="AC799" s="61"/>
      <c r="AD799" s="10"/>
      <c r="AE799" s="10"/>
      <c r="AF799" s="507"/>
      <c r="AG799" s="527"/>
      <c r="AH799" s="507"/>
      <c r="AI799" s="507"/>
      <c r="AJ799" s="524"/>
      <c r="AK799" s="524"/>
      <c r="AL799" s="525"/>
      <c r="AM799" s="525"/>
      <c r="AN799" s="525"/>
      <c r="AO799" s="525"/>
      <c r="AP799" s="525"/>
      <c r="AQ799" s="525"/>
      <c r="AR799" s="525"/>
      <c r="AS799" s="525"/>
      <c r="AT799" s="525"/>
      <c r="AU799" s="525"/>
      <c r="AV799" s="525"/>
      <c r="AW799" s="525"/>
      <c r="AX799" s="525"/>
      <c r="AY799" s="525"/>
      <c r="AZ799" s="525"/>
      <c r="BA799" s="525"/>
      <c r="BB799" s="524"/>
      <c r="BC799" s="524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77"/>
      <c r="BX799" s="77"/>
      <c r="BY799" s="77"/>
      <c r="BZ799" s="77"/>
      <c r="CA799" s="77"/>
    </row>
    <row r="800" spans="2:87" x14ac:dyDescent="0.3">
      <c r="D800" s="1">
        <f>+D799*H799</f>
        <v>44354000</v>
      </c>
      <c r="H800" s="1">
        <f>+D800*0.001</f>
        <v>44354</v>
      </c>
      <c r="N800" s="61"/>
      <c r="O800" s="61"/>
      <c r="P800" s="61"/>
      <c r="Q800" s="61"/>
      <c r="R800" s="61"/>
      <c r="S800" s="61"/>
      <c r="T800" s="61"/>
      <c r="U800" s="61"/>
      <c r="V800" s="61"/>
      <c r="W800" s="61"/>
      <c r="X800" s="61"/>
      <c r="Y800" s="61"/>
      <c r="Z800" s="61"/>
      <c r="AA800" s="61"/>
      <c r="AB800" s="61"/>
      <c r="AC800" s="61"/>
      <c r="AD800" s="10"/>
      <c r="AE800" s="10"/>
      <c r="AF800" s="507"/>
      <c r="AG800" s="526"/>
      <c r="AH800" s="507"/>
      <c r="AI800" s="507"/>
      <c r="AJ800" s="524"/>
      <c r="AK800" s="524"/>
      <c r="AL800" s="138"/>
      <c r="AM800" s="138"/>
      <c r="AN800" s="138"/>
      <c r="AO800" s="138"/>
      <c r="AP800" s="138"/>
      <c r="AQ800" s="138"/>
      <c r="AR800" s="138"/>
      <c r="AS800" s="78"/>
      <c r="AT800" s="78"/>
      <c r="AU800" s="78"/>
      <c r="AV800" s="98"/>
      <c r="AW800" s="98"/>
      <c r="AX800" s="98"/>
      <c r="AY800" s="98"/>
      <c r="AZ800" s="524"/>
      <c r="BA800" s="524"/>
      <c r="BB800" s="530"/>
      <c r="BC800" s="524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77"/>
      <c r="BX800" s="77"/>
      <c r="BY800" s="77"/>
      <c r="BZ800" s="77"/>
      <c r="CA800" s="77"/>
    </row>
    <row r="801" spans="2:79" x14ac:dyDescent="0.3">
      <c r="D801" s="425">
        <v>7.1999999999999995E-2</v>
      </c>
      <c r="H801" s="1">
        <f>+AA204*H799</f>
        <v>28746.886000000002</v>
      </c>
      <c r="N801" s="61"/>
      <c r="O801" s="61"/>
      <c r="P801" s="61"/>
      <c r="Q801" s="61"/>
      <c r="R801" s="61"/>
      <c r="S801" s="61"/>
      <c r="T801" s="61"/>
      <c r="U801" s="61"/>
      <c r="V801" s="61"/>
      <c r="W801" s="61"/>
      <c r="X801" s="61"/>
      <c r="Y801" s="61"/>
      <c r="Z801" s="61"/>
      <c r="AA801" s="61"/>
      <c r="AB801" s="61"/>
      <c r="AC801" s="61"/>
      <c r="AD801" s="10"/>
      <c r="AE801" s="10"/>
      <c r="AF801" s="507"/>
      <c r="AG801" s="526">
        <v>44031</v>
      </c>
      <c r="AH801" s="507"/>
      <c r="AI801" s="507"/>
      <c r="AJ801" s="524"/>
      <c r="AK801" s="524"/>
      <c r="AL801" s="138"/>
      <c r="AM801" s="138"/>
      <c r="AN801" s="138"/>
      <c r="AO801" s="138"/>
      <c r="AP801" s="138"/>
      <c r="AQ801" s="138"/>
      <c r="AR801" s="138"/>
      <c r="AS801" s="138"/>
      <c r="AT801" s="98"/>
      <c r="AU801" s="78"/>
      <c r="AV801" s="98"/>
      <c r="AW801" s="98"/>
      <c r="AX801" s="98"/>
      <c r="AY801" s="98"/>
      <c r="AZ801" s="524"/>
      <c r="BA801" s="524"/>
      <c r="BB801" s="530"/>
      <c r="BC801" s="524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77"/>
      <c r="BX801" s="77"/>
      <c r="BY801" s="77"/>
      <c r="BZ801" s="77"/>
      <c r="CA801" s="77"/>
    </row>
    <row r="802" spans="2:79" x14ac:dyDescent="0.3">
      <c r="N802" s="61"/>
      <c r="O802" s="61"/>
      <c r="P802" s="61"/>
      <c r="Q802" s="61"/>
      <c r="R802" s="61"/>
      <c r="S802" s="61"/>
      <c r="T802" s="61"/>
      <c r="U802" s="61"/>
      <c r="V802" s="61"/>
      <c r="W802" s="61"/>
      <c r="X802" s="61"/>
      <c r="Y802" s="61"/>
      <c r="Z802" s="61"/>
      <c r="AA802" s="61"/>
      <c r="AB802" s="61"/>
      <c r="AC802" s="61"/>
      <c r="AD802" s="10"/>
      <c r="AE802" s="10"/>
      <c r="AF802" s="507"/>
      <c r="AG802" s="526">
        <v>44038</v>
      </c>
      <c r="AH802" s="507"/>
      <c r="AI802" s="507"/>
      <c r="AJ802" s="524"/>
      <c r="AK802" s="524"/>
      <c r="AL802" s="78"/>
      <c r="AM802" s="78"/>
      <c r="AN802" s="139"/>
      <c r="AO802" s="139"/>
      <c r="AP802" s="139"/>
      <c r="AQ802" s="139"/>
      <c r="AR802" s="139"/>
      <c r="AS802" s="78"/>
      <c r="AT802" s="78"/>
      <c r="AU802" s="78"/>
      <c r="AV802" s="98"/>
      <c r="AW802" s="98"/>
      <c r="AX802" s="98"/>
      <c r="AY802" s="98"/>
      <c r="AZ802" s="524"/>
      <c r="BA802" s="524"/>
      <c r="BB802" s="530"/>
      <c r="BC802" s="524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77"/>
      <c r="BX802" s="77"/>
      <c r="BY802" s="77"/>
      <c r="BZ802" s="77"/>
      <c r="CA802" s="77"/>
    </row>
    <row r="803" spans="2:79" x14ac:dyDescent="0.3">
      <c r="D803" s="235">
        <v>4.2000000000000003E-2</v>
      </c>
      <c r="N803" s="61"/>
      <c r="O803" s="61"/>
      <c r="P803" s="61"/>
      <c r="Q803" s="61"/>
      <c r="R803" s="61"/>
      <c r="S803" s="61"/>
      <c r="T803" s="61"/>
      <c r="U803" s="61"/>
      <c r="V803" s="61"/>
      <c r="W803" s="61"/>
      <c r="X803" s="61"/>
      <c r="Y803" s="61"/>
      <c r="Z803" s="61"/>
      <c r="AA803" s="61"/>
      <c r="AB803" s="61"/>
      <c r="AC803" s="61"/>
      <c r="AD803" s="10"/>
      <c r="AE803" s="10"/>
      <c r="AF803" s="507"/>
      <c r="AG803" s="526">
        <v>44045</v>
      </c>
      <c r="AH803" s="507"/>
      <c r="AI803" s="507"/>
      <c r="AJ803" s="524"/>
      <c r="AK803" s="524"/>
      <c r="AL803" s="138"/>
      <c r="AM803" s="138"/>
      <c r="AN803" s="138"/>
      <c r="AO803" s="138"/>
      <c r="AP803" s="138"/>
      <c r="AQ803" s="138"/>
      <c r="AR803" s="138"/>
      <c r="AS803" s="138"/>
      <c r="AT803" s="138"/>
      <c r="AU803" s="138"/>
      <c r="AV803" s="98"/>
      <c r="AW803" s="98"/>
      <c r="AX803" s="98"/>
      <c r="AY803" s="98"/>
      <c r="AZ803" s="524"/>
      <c r="BA803" s="524"/>
      <c r="BB803" s="530"/>
      <c r="BC803" s="524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</row>
    <row r="804" spans="2:79" x14ac:dyDescent="0.3">
      <c r="D804" s="531">
        <f>+D799*D801*D803</f>
        <v>1000944.0000000001</v>
      </c>
      <c r="N804" s="61"/>
      <c r="O804" s="61"/>
      <c r="P804" s="61"/>
      <c r="Q804" s="61"/>
      <c r="R804" s="61"/>
      <c r="S804" s="61"/>
      <c r="T804" s="61"/>
      <c r="U804" s="61"/>
      <c r="V804" s="61"/>
      <c r="W804" s="61"/>
      <c r="X804" s="61"/>
      <c r="Y804" s="61"/>
      <c r="Z804" s="61"/>
      <c r="AA804" s="61"/>
      <c r="AB804" s="61"/>
      <c r="AC804" s="61"/>
      <c r="AD804" s="10"/>
      <c r="AE804" s="10"/>
      <c r="AF804" s="507"/>
      <c r="AG804" s="526">
        <v>44052</v>
      </c>
      <c r="AH804" s="507"/>
      <c r="AI804" s="507"/>
      <c r="AJ804" s="524"/>
      <c r="AK804" s="524"/>
      <c r="AL804" s="78"/>
      <c r="AM804" s="78"/>
      <c r="AN804" s="139"/>
      <c r="AO804" s="139"/>
      <c r="AP804" s="139"/>
      <c r="AQ804" s="139"/>
      <c r="AR804" s="139"/>
      <c r="AS804" s="139"/>
      <c r="AT804" s="139"/>
      <c r="AU804" s="78"/>
      <c r="AV804" s="98"/>
      <c r="AW804" s="98"/>
      <c r="AX804" s="98"/>
      <c r="AY804" s="98"/>
      <c r="AZ804" s="524"/>
      <c r="BA804" s="524"/>
      <c r="BB804" s="530"/>
      <c r="BC804" s="524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</row>
    <row r="805" spans="2:79" x14ac:dyDescent="0.3">
      <c r="N805" s="61"/>
      <c r="O805" s="61"/>
      <c r="P805" s="61"/>
      <c r="Q805" s="61"/>
      <c r="R805" s="61"/>
      <c r="S805" s="61"/>
      <c r="T805" s="61"/>
      <c r="U805" s="61"/>
      <c r="V805" s="61"/>
      <c r="W805" s="61"/>
      <c r="X805" s="61"/>
      <c r="Y805" s="61"/>
      <c r="Z805" s="61"/>
      <c r="AA805" s="61"/>
      <c r="AB805" s="61"/>
      <c r="AC805" s="61"/>
      <c r="AD805" s="10"/>
      <c r="AE805" s="10"/>
      <c r="AF805" s="507"/>
      <c r="AG805" s="526"/>
      <c r="AH805" s="507"/>
      <c r="AI805" s="507"/>
      <c r="AJ805" s="524"/>
      <c r="AK805" s="524"/>
      <c r="AL805" s="78"/>
      <c r="AM805" s="78"/>
      <c r="AN805" s="139"/>
      <c r="AO805" s="139"/>
      <c r="AP805" s="139"/>
      <c r="AQ805" s="139"/>
      <c r="AR805" s="139"/>
      <c r="AS805" s="139"/>
      <c r="AT805" s="139"/>
      <c r="AU805" s="78"/>
      <c r="AV805" s="98"/>
      <c r="AW805" s="98"/>
      <c r="AX805" s="98"/>
      <c r="AY805" s="98"/>
      <c r="AZ805" s="524"/>
      <c r="BA805" s="524"/>
      <c r="BB805" s="530"/>
      <c r="BC805" s="524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</row>
    <row r="806" spans="2:79" x14ac:dyDescent="0.3">
      <c r="N806" s="61"/>
      <c r="O806" s="61"/>
      <c r="P806" s="61"/>
      <c r="Q806" s="61"/>
      <c r="R806" s="61"/>
      <c r="S806" s="61"/>
      <c r="T806" s="61"/>
      <c r="U806" s="61"/>
      <c r="V806" s="61"/>
      <c r="W806" s="61"/>
      <c r="X806" s="61"/>
      <c r="Y806" s="61"/>
      <c r="Z806" s="61"/>
      <c r="AA806" s="61"/>
      <c r="AB806" s="61"/>
      <c r="AC806" s="61"/>
      <c r="AD806" s="10"/>
      <c r="AE806" s="10"/>
      <c r="AF806" s="507"/>
      <c r="AG806" s="526"/>
      <c r="AH806" s="507"/>
      <c r="AI806" s="507"/>
      <c r="AJ806" s="524"/>
      <c r="AK806" s="524"/>
      <c r="AL806" s="78"/>
      <c r="AM806" s="78"/>
      <c r="AN806" s="139"/>
      <c r="AO806" s="139"/>
      <c r="AP806" s="139"/>
      <c r="AQ806" s="139"/>
      <c r="AR806" s="139"/>
      <c r="AS806" s="139"/>
      <c r="AT806" s="139"/>
      <c r="AU806" s="78"/>
      <c r="AV806" s="98"/>
      <c r="AW806" s="98"/>
      <c r="AX806" s="98"/>
      <c r="AY806" s="98"/>
      <c r="AZ806" s="524"/>
      <c r="BA806" s="524"/>
      <c r="BB806" s="530"/>
      <c r="BC806" s="524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</row>
    <row r="807" spans="2:79" x14ac:dyDescent="0.3">
      <c r="N807" s="61"/>
      <c r="O807" s="61"/>
      <c r="P807" s="61"/>
      <c r="Q807" s="61"/>
      <c r="R807" s="61"/>
      <c r="S807" s="61"/>
      <c r="T807" s="61"/>
      <c r="U807" s="61"/>
      <c r="V807" s="61"/>
      <c r="W807" s="61"/>
      <c r="X807" s="61"/>
      <c r="Y807" s="61"/>
      <c r="Z807" s="61"/>
      <c r="AA807" s="61"/>
      <c r="AB807" s="61"/>
      <c r="AC807" s="61"/>
      <c r="AD807" s="10"/>
      <c r="AE807" s="10"/>
      <c r="AF807" s="507"/>
      <c r="AG807" s="528"/>
      <c r="AH807" s="507"/>
      <c r="AI807" s="507"/>
      <c r="AJ807" s="524"/>
      <c r="AK807" s="524"/>
      <c r="AL807" s="78"/>
      <c r="AM807" s="78"/>
      <c r="AN807" s="139"/>
      <c r="AO807" s="139"/>
      <c r="AP807" s="139"/>
      <c r="AQ807" s="139"/>
      <c r="AR807" s="139"/>
      <c r="AS807" s="139"/>
      <c r="AT807" s="139"/>
      <c r="AU807" s="78"/>
      <c r="AV807" s="98"/>
      <c r="AW807" s="98"/>
      <c r="AX807" s="98"/>
      <c r="AY807" s="98"/>
      <c r="AZ807" s="524"/>
      <c r="BA807" s="524"/>
      <c r="BB807" s="530"/>
      <c r="BC807" s="524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</row>
    <row r="808" spans="2:79" x14ac:dyDescent="0.3">
      <c r="N808" s="61"/>
      <c r="O808" s="61"/>
      <c r="P808" s="61"/>
      <c r="Q808" s="61"/>
      <c r="R808" s="61"/>
      <c r="S808" s="61"/>
      <c r="T808" s="61"/>
      <c r="U808" s="61"/>
      <c r="V808" s="61"/>
      <c r="W808" s="61"/>
      <c r="X808" s="61"/>
      <c r="Y808" s="61"/>
      <c r="Z808" s="61"/>
      <c r="AA808" s="61"/>
      <c r="AB808" s="61"/>
      <c r="AC808" s="61"/>
      <c r="AD808" s="10"/>
      <c r="AE808" s="10"/>
      <c r="AF808" s="507"/>
      <c r="AG808" s="507"/>
      <c r="AH808" s="507"/>
      <c r="AI808" s="507"/>
      <c r="AJ808" s="524"/>
      <c r="AK808" s="524"/>
      <c r="AL808" s="78"/>
      <c r="AM808" s="78"/>
      <c r="AN808" s="139"/>
      <c r="AO808" s="139"/>
      <c r="AP808" s="139"/>
      <c r="AQ808" s="139"/>
      <c r="AR808" s="139"/>
      <c r="AS808" s="139"/>
      <c r="AT808" s="139"/>
      <c r="AU808" s="78"/>
      <c r="AV808" s="98"/>
      <c r="AW808" s="98"/>
      <c r="AX808" s="98"/>
      <c r="AY808" s="98"/>
      <c r="AZ808" s="524"/>
      <c r="BA808" s="524"/>
      <c r="BB808" s="530"/>
      <c r="BC808" s="524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</row>
    <row r="809" spans="2:79" x14ac:dyDescent="0.3">
      <c r="N809" s="61"/>
      <c r="O809" s="61"/>
      <c r="P809" s="61"/>
      <c r="Q809" s="61"/>
      <c r="R809" s="61"/>
      <c r="S809" s="61"/>
      <c r="T809" s="61"/>
      <c r="U809" s="61"/>
      <c r="V809" s="61"/>
      <c r="W809" s="61"/>
      <c r="X809" s="61"/>
      <c r="Y809" s="61"/>
      <c r="Z809" s="61"/>
      <c r="AA809" s="61"/>
      <c r="AB809" s="61"/>
      <c r="AC809" s="61"/>
      <c r="AD809" s="10"/>
      <c r="AE809" s="10"/>
      <c r="AF809" s="507"/>
      <c r="AG809" s="507"/>
      <c r="AH809" s="507"/>
      <c r="AI809" s="507"/>
      <c r="AJ809" s="524"/>
      <c r="AK809" s="524"/>
      <c r="AL809" s="138"/>
      <c r="AM809" s="138"/>
      <c r="AN809" s="138"/>
      <c r="AO809" s="138"/>
      <c r="AP809" s="138"/>
      <c r="AQ809" s="138"/>
      <c r="AR809" s="138"/>
      <c r="AS809" s="138"/>
      <c r="AT809" s="138"/>
      <c r="AU809" s="138"/>
      <c r="AV809" s="78"/>
      <c r="AW809" s="78"/>
      <c r="AX809" s="78"/>
      <c r="AY809" s="78"/>
      <c r="AZ809" s="524"/>
      <c r="BA809" s="530"/>
      <c r="BB809" s="530"/>
      <c r="BC809" s="524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</row>
    <row r="810" spans="2:79" x14ac:dyDescent="0.3">
      <c r="AD810" s="10"/>
      <c r="AE810" s="10"/>
      <c r="AF810" s="507"/>
      <c r="AG810" s="507"/>
      <c r="AH810" s="507"/>
      <c r="AI810" s="507"/>
      <c r="AJ810" s="524"/>
      <c r="AK810" s="524"/>
      <c r="AL810" s="138"/>
      <c r="AM810" s="138"/>
      <c r="AN810" s="138"/>
      <c r="AO810" s="138"/>
      <c r="AP810" s="138"/>
      <c r="AQ810" s="138"/>
      <c r="AR810" s="138"/>
      <c r="AS810" s="138"/>
      <c r="AT810" s="138"/>
      <c r="AU810" s="138"/>
      <c r="AV810" s="78"/>
      <c r="AW810" s="78"/>
      <c r="AX810" s="78"/>
      <c r="AY810" s="78"/>
      <c r="AZ810" s="524"/>
      <c r="BA810" s="530"/>
      <c r="BB810" s="530"/>
      <c r="BC810" s="524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</row>
    <row r="811" spans="2:79" ht="15" thickBot="1" x14ac:dyDescent="0.35">
      <c r="B811" s="500"/>
      <c r="C811" s="500"/>
      <c r="D811" s="500"/>
      <c r="E811" s="500"/>
      <c r="F811" s="500"/>
      <c r="G811" s="500"/>
      <c r="H811" s="500"/>
      <c r="I811" s="500"/>
      <c r="J811" s="500"/>
      <c r="K811" s="500"/>
      <c r="L811" s="500"/>
      <c r="M811" s="500"/>
      <c r="N811" s="500"/>
      <c r="O811" s="500"/>
      <c r="P811" s="500"/>
      <c r="Q811" s="500"/>
      <c r="R811" s="500"/>
      <c r="S811" s="500"/>
      <c r="T811" s="500"/>
      <c r="U811" s="500"/>
      <c r="V811" s="500"/>
      <c r="AD811" s="10"/>
      <c r="AE811" s="10"/>
      <c r="AF811" s="507"/>
      <c r="AG811" s="507"/>
      <c r="AH811" s="507"/>
      <c r="AI811" s="507"/>
      <c r="AJ811" s="524"/>
      <c r="AK811" s="524"/>
      <c r="AL811" s="138"/>
      <c r="AM811" s="138"/>
      <c r="AN811" s="138"/>
      <c r="AO811" s="138"/>
      <c r="AP811" s="138"/>
      <c r="AQ811" s="138"/>
      <c r="AR811" s="138"/>
      <c r="AS811" s="138"/>
      <c r="AT811" s="138"/>
      <c r="AU811" s="138"/>
      <c r="AV811" s="78"/>
      <c r="AW811" s="78"/>
      <c r="AX811" s="78"/>
      <c r="AY811" s="78"/>
      <c r="AZ811" s="524"/>
      <c r="BA811" s="530"/>
      <c r="BB811" s="530"/>
      <c r="BC811" s="524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</row>
    <row r="812" spans="2:79" x14ac:dyDescent="0.3">
      <c r="B812" s="500"/>
      <c r="C812" s="510"/>
      <c r="D812" s="357"/>
      <c r="E812" s="357"/>
      <c r="F812" s="357"/>
      <c r="G812" s="357"/>
      <c r="H812" s="357"/>
      <c r="I812" s="357"/>
      <c r="J812" s="357"/>
      <c r="K812" s="357"/>
      <c r="L812" s="357"/>
      <c r="M812" s="357"/>
      <c r="N812" s="357"/>
      <c r="O812" s="357"/>
      <c r="P812" s="511"/>
      <c r="V812" s="500"/>
      <c r="AD812" s="10"/>
      <c r="AE812" s="10"/>
      <c r="AF812" s="507"/>
      <c r="AG812" s="507"/>
      <c r="AH812" s="507"/>
      <c r="AI812" s="507"/>
      <c r="AJ812" s="524"/>
      <c r="AK812" s="524"/>
      <c r="AL812" s="138"/>
      <c r="AM812" s="138"/>
      <c r="AN812" s="138"/>
      <c r="AO812" s="138"/>
      <c r="AP812" s="138"/>
      <c r="AQ812" s="138"/>
      <c r="AR812" s="138"/>
      <c r="AS812" s="138"/>
      <c r="AT812" s="138"/>
      <c r="AU812" s="138"/>
      <c r="AV812" s="78"/>
      <c r="AW812" s="78"/>
      <c r="AX812" s="78"/>
      <c r="AY812" s="78"/>
      <c r="AZ812" s="524"/>
      <c r="BA812" s="530"/>
      <c r="BB812" s="530"/>
      <c r="BC812" s="524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</row>
    <row r="813" spans="2:79" x14ac:dyDescent="0.3">
      <c r="B813" s="500"/>
      <c r="C813" s="512"/>
      <c r="D813" s="502" t="s">
        <v>149</v>
      </c>
      <c r="E813" s="387"/>
      <c r="F813" s="387"/>
      <c r="G813" s="387"/>
      <c r="H813" s="601" t="s">
        <v>20</v>
      </c>
      <c r="I813" s="601"/>
      <c r="J813" s="601"/>
      <c r="K813" s="387"/>
      <c r="L813" s="387"/>
      <c r="M813" s="387"/>
      <c r="N813" s="387"/>
      <c r="O813" s="387"/>
      <c r="P813" s="513"/>
      <c r="V813" s="500"/>
      <c r="AD813" s="10"/>
      <c r="AE813" s="10"/>
      <c r="AF813" s="507"/>
      <c r="AG813" s="507"/>
      <c r="AH813" s="507"/>
      <c r="AI813" s="507"/>
      <c r="AJ813" s="524"/>
      <c r="AK813" s="524"/>
      <c r="AL813" s="138"/>
      <c r="AM813" s="138"/>
      <c r="AN813" s="138"/>
      <c r="AO813" s="138"/>
      <c r="AP813" s="138"/>
      <c r="AQ813" s="138"/>
      <c r="AR813" s="138"/>
      <c r="AS813" s="138"/>
      <c r="AT813" s="138"/>
      <c r="AU813" s="138"/>
      <c r="AV813" s="78"/>
      <c r="AW813" s="78"/>
      <c r="AX813" s="78"/>
      <c r="AY813" s="78"/>
      <c r="AZ813" s="524"/>
      <c r="BA813" s="530"/>
      <c r="BB813" s="530"/>
      <c r="BC813" s="524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</row>
    <row r="814" spans="2:79" x14ac:dyDescent="0.3">
      <c r="B814" s="500"/>
      <c r="C814" s="512"/>
      <c r="D814" s="514" t="s">
        <v>150</v>
      </c>
      <c r="E814" s="387"/>
      <c r="F814" s="387"/>
      <c r="G814" s="387"/>
      <c r="H814" s="515" t="s">
        <v>147</v>
      </c>
      <c r="I814" s="502"/>
      <c r="J814" s="516" t="s">
        <v>148</v>
      </c>
      <c r="K814" s="502"/>
      <c r="L814" s="502"/>
      <c r="M814" s="502"/>
      <c r="N814" s="502"/>
      <c r="O814" s="517" t="s">
        <v>3</v>
      </c>
      <c r="P814" s="513"/>
      <c r="V814" s="500"/>
      <c r="AD814" s="10"/>
      <c r="AE814" s="10"/>
      <c r="AF814" s="507"/>
      <c r="AG814" s="507"/>
      <c r="AH814" s="507"/>
      <c r="AI814" s="507"/>
      <c r="AJ814" s="524"/>
      <c r="AK814" s="524"/>
      <c r="AL814" s="529"/>
      <c r="AM814" s="529"/>
      <c r="AN814" s="529"/>
      <c r="AO814" s="529"/>
      <c r="AP814" s="529"/>
      <c r="AQ814" s="529"/>
      <c r="AR814" s="529"/>
      <c r="AS814" s="529"/>
      <c r="AT814" s="529"/>
      <c r="AU814" s="529"/>
      <c r="AV814" s="524"/>
      <c r="AW814" s="524"/>
      <c r="AX814" s="524"/>
      <c r="AY814" s="524"/>
      <c r="AZ814" s="524"/>
      <c r="BA814" s="530"/>
      <c r="BB814" s="530"/>
      <c r="BC814" s="524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</row>
    <row r="815" spans="2:79" x14ac:dyDescent="0.3">
      <c r="B815" s="500"/>
      <c r="C815" s="512"/>
      <c r="D815" s="503" t="s">
        <v>146</v>
      </c>
      <c r="E815" s="15"/>
      <c r="F815" s="15"/>
      <c r="G815" s="15"/>
      <c r="H815" s="518">
        <f>SUM(D133:D139)</f>
        <v>471981</v>
      </c>
      <c r="I815" s="15"/>
      <c r="J815" s="16">
        <f>+H815/7</f>
        <v>67425.857142857145</v>
      </c>
      <c r="K815" s="15"/>
      <c r="L815" s="15"/>
      <c r="M815" s="15"/>
      <c r="N815" s="15"/>
      <c r="O815" s="15"/>
      <c r="P815" s="513"/>
      <c r="V815" s="500"/>
      <c r="AD815" s="10"/>
      <c r="AE815" s="10"/>
      <c r="AF815" s="507"/>
      <c r="AG815" s="507"/>
      <c r="AH815" s="507"/>
      <c r="AI815" s="507"/>
      <c r="AJ815" s="524"/>
      <c r="AK815" s="524"/>
      <c r="AL815" s="529"/>
      <c r="AM815" s="529"/>
      <c r="AN815" s="529"/>
      <c r="AO815" s="529"/>
      <c r="AP815" s="529"/>
      <c r="AQ815" s="529"/>
      <c r="AR815" s="529"/>
      <c r="AS815" s="529"/>
      <c r="AT815" s="529"/>
      <c r="AU815" s="529"/>
      <c r="AV815" s="529"/>
      <c r="AW815" s="529"/>
      <c r="AX815" s="529"/>
      <c r="AY815" s="529"/>
      <c r="AZ815" s="524"/>
      <c r="BA815" s="524"/>
      <c r="BB815" s="530"/>
      <c r="BC815" s="524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</row>
    <row r="816" spans="2:79" x14ac:dyDescent="0.3">
      <c r="B816" s="500"/>
      <c r="C816" s="512"/>
      <c r="D816" s="503" t="s">
        <v>145</v>
      </c>
      <c r="E816" s="15"/>
      <c r="F816" s="15"/>
      <c r="G816" s="15"/>
      <c r="H816" s="16">
        <f>SUM(D140:D146)</f>
        <v>427527</v>
      </c>
      <c r="I816" s="15"/>
      <c r="J816" s="16">
        <f>+H816/7</f>
        <v>61075.285714285717</v>
      </c>
      <c r="K816" s="15"/>
      <c r="L816" s="15"/>
      <c r="M816" s="15"/>
      <c r="N816" s="15"/>
      <c r="O816" s="15"/>
      <c r="P816" s="513"/>
      <c r="V816" s="500"/>
      <c r="AJ816" s="98"/>
      <c r="AK816" s="98"/>
      <c r="AL816" s="98"/>
      <c r="AM816" s="98"/>
      <c r="AN816" s="98"/>
      <c r="AO816" s="98"/>
      <c r="AP816" s="98"/>
      <c r="AQ816" s="98"/>
      <c r="AR816" s="98"/>
      <c r="AS816" s="98"/>
      <c r="AT816" s="78"/>
      <c r="AU816" s="98"/>
      <c r="AV816" s="140"/>
      <c r="AW816" s="140"/>
      <c r="AX816" s="140"/>
      <c r="AY816" s="140"/>
      <c r="AZ816" s="98"/>
      <c r="BA816" s="98"/>
      <c r="BB816" s="98"/>
      <c r="BC816" s="98"/>
    </row>
    <row r="817" spans="2:61" x14ac:dyDescent="0.3">
      <c r="B817" s="506"/>
      <c r="C817" s="512"/>
      <c r="D817" s="503" t="s">
        <v>144</v>
      </c>
      <c r="E817" s="15"/>
      <c r="F817" s="15"/>
      <c r="G817" s="15"/>
      <c r="H817" s="16">
        <f>SUM(D147:D153)</f>
        <v>383516</v>
      </c>
      <c r="I817" s="15"/>
      <c r="J817" s="16">
        <f>+H817/7</f>
        <v>54788</v>
      </c>
      <c r="K817" s="15"/>
      <c r="L817" s="15"/>
      <c r="M817" s="15"/>
      <c r="N817" s="15"/>
      <c r="O817" s="518">
        <f>+H815-H817</f>
        <v>88465</v>
      </c>
      <c r="P817" s="513"/>
      <c r="V817" s="500"/>
      <c r="AA817">
        <f>+O817/7</f>
        <v>12637.857142857143</v>
      </c>
      <c r="AJ817" s="98"/>
      <c r="AK817" s="98"/>
      <c r="AL817" s="98"/>
      <c r="AM817" s="98"/>
      <c r="AN817" s="98"/>
      <c r="AO817" s="98"/>
      <c r="AP817" s="98"/>
      <c r="AQ817" s="98"/>
      <c r="AR817" s="98"/>
      <c r="AS817" s="98"/>
      <c r="AT817" s="98"/>
      <c r="AU817" s="98"/>
      <c r="AV817" s="78"/>
      <c r="AW817" s="78"/>
      <c r="AX817" s="78"/>
      <c r="AY817" s="78"/>
      <c r="AZ817" s="98"/>
      <c r="BA817" s="141"/>
      <c r="BB817" s="98"/>
      <c r="BC817" s="98"/>
    </row>
    <row r="818" spans="2:61" x14ac:dyDescent="0.3">
      <c r="B818" s="507"/>
      <c r="C818" s="512"/>
      <c r="D818" s="519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60">
        <f>+O817/H815</f>
        <v>0.18743339244588236</v>
      </c>
      <c r="P818" s="513"/>
      <c r="V818" s="500"/>
      <c r="X818" s="61"/>
      <c r="Y818" s="61"/>
      <c r="Z818" s="98"/>
      <c r="AA818" s="98"/>
      <c r="AB818" s="98"/>
      <c r="AC818" s="98"/>
      <c r="AD818" s="98"/>
      <c r="AE818" s="98"/>
      <c r="AF818" s="98"/>
      <c r="AG818" s="98"/>
      <c r="AH818" s="98"/>
      <c r="AI818" s="98"/>
      <c r="AJ818" s="98"/>
      <c r="AK818" s="98"/>
      <c r="AL818" s="98"/>
      <c r="AM818" s="98"/>
      <c r="AN818" s="98"/>
      <c r="AO818" s="98"/>
      <c r="AP818" s="78">
        <v>480454</v>
      </c>
      <c r="AQ818" s="98"/>
      <c r="AR818" s="98"/>
      <c r="AS818" s="98"/>
      <c r="AT818" s="98"/>
      <c r="AU818" s="98"/>
      <c r="AV818" s="98"/>
      <c r="AW818" s="98"/>
      <c r="AX818" s="98"/>
      <c r="AY818" s="98"/>
      <c r="AZ818" s="98"/>
      <c r="BA818" s="98"/>
      <c r="BB818" s="98"/>
      <c r="BC818" s="98"/>
    </row>
    <row r="819" spans="2:61" ht="15" thickBot="1" x14ac:dyDescent="0.35">
      <c r="B819" s="507"/>
      <c r="C819" s="520"/>
      <c r="D819" s="521"/>
      <c r="E819" s="521"/>
      <c r="F819" s="521"/>
      <c r="G819" s="521"/>
      <c r="H819" s="521"/>
      <c r="I819" s="521"/>
      <c r="J819" s="522"/>
      <c r="K819" s="521"/>
      <c r="L819" s="521"/>
      <c r="M819" s="521"/>
      <c r="N819" s="521"/>
      <c r="O819" s="521"/>
      <c r="P819" s="523"/>
      <c r="V819" s="500"/>
      <c r="X819" s="61"/>
      <c r="Y819" s="61"/>
      <c r="Z819" s="98"/>
      <c r="AA819" s="98"/>
      <c r="AB819" s="98"/>
      <c r="AC819" s="98"/>
      <c r="AD819" s="98"/>
      <c r="AE819" s="98"/>
      <c r="AF819" s="98"/>
      <c r="AG819" s="98"/>
      <c r="AH819" s="98"/>
      <c r="AI819" s="98"/>
      <c r="AJ819" s="98"/>
      <c r="AK819" s="98"/>
      <c r="AL819" s="98"/>
      <c r="AM819" s="98"/>
      <c r="AN819" s="98"/>
      <c r="AO819" s="98"/>
      <c r="AP819" s="140">
        <f>+N201</f>
        <v>290088</v>
      </c>
      <c r="AQ819" s="98"/>
      <c r="AR819" s="98"/>
      <c r="AS819" s="98"/>
      <c r="AT819" s="98"/>
      <c r="AU819" s="98"/>
      <c r="AV819" s="98"/>
      <c r="AW819" s="98"/>
      <c r="AX819" s="98"/>
      <c r="AY819" s="98"/>
      <c r="AZ819" s="98"/>
      <c r="BA819" s="98"/>
      <c r="BB819" s="98"/>
      <c r="BC819" s="98"/>
    </row>
    <row r="820" spans="2:61" x14ac:dyDescent="0.3">
      <c r="B820" s="507"/>
      <c r="C820" s="500"/>
      <c r="D820" s="508"/>
      <c r="E820" s="500"/>
      <c r="F820" s="500"/>
      <c r="G820" s="500"/>
      <c r="H820" s="509"/>
      <c r="I820" s="500"/>
      <c r="J820" s="500"/>
      <c r="K820" s="500"/>
      <c r="L820" s="500"/>
      <c r="M820" s="500"/>
      <c r="N820" s="500"/>
      <c r="O820" s="500"/>
      <c r="P820" s="500"/>
      <c r="Q820" s="500"/>
      <c r="R820" s="500"/>
      <c r="S820" s="500"/>
      <c r="T820" s="500"/>
      <c r="U820" s="500"/>
      <c r="V820" s="500"/>
      <c r="X820" s="61"/>
      <c r="Y820" s="61"/>
      <c r="Z820" s="98"/>
      <c r="AA820" s="98"/>
      <c r="AB820" s="98"/>
      <c r="AC820" s="98"/>
      <c r="AD820" s="98"/>
      <c r="AE820" s="98"/>
      <c r="AF820" s="98"/>
      <c r="AG820" s="98"/>
      <c r="AH820" s="98"/>
      <c r="AI820" s="98"/>
      <c r="AJ820" s="98"/>
      <c r="AK820" s="98"/>
      <c r="AL820" s="98"/>
      <c r="AM820" s="98"/>
      <c r="AN820" s="98"/>
      <c r="AO820" s="98"/>
      <c r="AP820" s="140">
        <f>+AP818-AP819</f>
        <v>190366</v>
      </c>
      <c r="AQ820" s="98"/>
      <c r="AR820" s="98"/>
    </row>
    <row r="821" spans="2:61" x14ac:dyDescent="0.3">
      <c r="B821" s="1"/>
      <c r="D821" s="55"/>
      <c r="X821" s="61"/>
      <c r="Y821" s="61"/>
      <c r="Z821" s="98"/>
      <c r="AA821" s="98"/>
      <c r="AB821" s="98"/>
      <c r="AC821" s="98"/>
      <c r="AD821" s="98"/>
      <c r="AE821" s="98"/>
      <c r="AF821" s="98"/>
      <c r="AG821" s="98"/>
      <c r="AH821" s="98"/>
      <c r="AI821" s="98"/>
      <c r="AJ821" s="98"/>
      <c r="AK821" s="98"/>
      <c r="AL821" s="98"/>
      <c r="AM821" s="98"/>
      <c r="AN821" s="98"/>
      <c r="AO821" s="98"/>
      <c r="AP821" s="84">
        <f>+AP820/AP818</f>
        <v>0.3962210742339537</v>
      </c>
      <c r="AQ821" s="98"/>
      <c r="AR821" s="98"/>
    </row>
    <row r="822" spans="2:61" x14ac:dyDescent="0.3">
      <c r="B822" s="55"/>
      <c r="D822" s="55"/>
      <c r="J822" s="56">
        <f>+J815-J817</f>
        <v>12637.857142857145</v>
      </c>
      <c r="X822" s="61"/>
      <c r="Y822" s="61"/>
      <c r="Z822" s="98"/>
      <c r="AA822" s="98"/>
      <c r="AB822" s="98"/>
      <c r="AC822" s="98"/>
      <c r="AD822" s="98"/>
      <c r="AE822" s="98"/>
      <c r="AF822" s="98"/>
      <c r="AG822" s="98"/>
      <c r="AH822" s="98"/>
      <c r="AI822" s="98"/>
      <c r="AJ822" s="98"/>
      <c r="AK822" s="98"/>
      <c r="AL822" s="98"/>
      <c r="AM822" s="98"/>
      <c r="AN822" s="98"/>
      <c r="AO822" s="98"/>
      <c r="AP822" s="98"/>
      <c r="AQ822" s="98"/>
      <c r="AR822" s="98"/>
    </row>
    <row r="823" spans="2:61" x14ac:dyDescent="0.3">
      <c r="B823" s="57"/>
      <c r="D823" s="55"/>
      <c r="X823" s="61"/>
      <c r="Y823" s="61"/>
      <c r="Z823" s="98"/>
      <c r="AA823" s="98"/>
      <c r="AB823" s="98"/>
      <c r="AC823" s="98"/>
      <c r="AD823" s="98"/>
      <c r="AE823" s="98"/>
      <c r="AF823" s="98"/>
      <c r="AG823" s="98"/>
      <c r="AH823" s="98"/>
      <c r="AI823" s="98"/>
      <c r="AJ823" s="98"/>
      <c r="AK823" s="98"/>
      <c r="AL823" s="98"/>
      <c r="AM823" s="98"/>
      <c r="AN823" s="98"/>
      <c r="AO823" s="98"/>
      <c r="AP823" s="98"/>
      <c r="AQ823" s="98"/>
      <c r="AR823" s="98"/>
    </row>
    <row r="824" spans="2:61" x14ac:dyDescent="0.3">
      <c r="B824" s="1"/>
      <c r="D824" s="55"/>
      <c r="X824" s="61"/>
      <c r="Y824" s="61"/>
      <c r="Z824" s="98"/>
      <c r="AA824" s="98"/>
      <c r="AB824" s="98"/>
      <c r="AC824" s="98"/>
      <c r="AD824" s="98"/>
      <c r="AE824" s="98"/>
      <c r="AF824" s="98"/>
      <c r="AG824" s="98"/>
      <c r="AH824" s="98"/>
      <c r="AI824" s="98"/>
      <c r="AJ824" s="98"/>
      <c r="AK824" s="98"/>
      <c r="AL824" s="98"/>
      <c r="AM824" s="98"/>
      <c r="AN824" s="98"/>
      <c r="AO824" s="98"/>
      <c r="AP824" s="98"/>
      <c r="AQ824" s="98"/>
      <c r="AR824" s="98"/>
    </row>
    <row r="825" spans="2:61" x14ac:dyDescent="0.3">
      <c r="B825" s="1"/>
      <c r="D825" s="55"/>
      <c r="Z825" s="106"/>
      <c r="AA825" s="106"/>
      <c r="AB825" s="106"/>
      <c r="AC825" s="106"/>
      <c r="AD825" s="106"/>
      <c r="AE825" s="106"/>
      <c r="AF825" s="106"/>
      <c r="AG825" s="106"/>
      <c r="AH825" s="106"/>
      <c r="AI825" s="106"/>
      <c r="AJ825" s="106"/>
      <c r="AK825" s="106"/>
      <c r="AL825" s="106"/>
      <c r="AM825" s="106"/>
      <c r="AN825" s="106"/>
      <c r="AO825" s="106"/>
      <c r="AP825" s="106"/>
      <c r="AQ825" s="106"/>
      <c r="AR825" s="106"/>
    </row>
    <row r="826" spans="2:61" x14ac:dyDescent="0.3">
      <c r="B826" s="1"/>
      <c r="D826" s="55"/>
      <c r="AT826" s="500"/>
      <c r="AU826" s="500"/>
      <c r="AV826" s="500"/>
      <c r="AW826" s="500"/>
      <c r="AX826" s="500"/>
      <c r="AY826" s="500"/>
      <c r="AZ826" s="500"/>
      <c r="BA826" s="500"/>
      <c r="BB826" s="500"/>
      <c r="BC826" s="500"/>
      <c r="BD826" s="500"/>
      <c r="BE826" s="500"/>
      <c r="BF826" s="500"/>
      <c r="BG826" s="500"/>
      <c r="BH826" s="500"/>
      <c r="BI826" s="500"/>
    </row>
    <row r="827" spans="2:61" ht="15.6" x14ac:dyDescent="0.3">
      <c r="B827" s="1"/>
      <c r="D827" s="55"/>
      <c r="AT827" s="500"/>
      <c r="AU827" s="533"/>
      <c r="AV827" s="534"/>
      <c r="AW827" s="534"/>
      <c r="AX827" s="534"/>
      <c r="AY827" s="534"/>
      <c r="AZ827" s="534"/>
      <c r="BA827" s="534"/>
      <c r="BB827" s="534"/>
      <c r="BC827" s="534"/>
      <c r="BD827" s="534"/>
      <c r="BE827" s="534" t="s">
        <v>156</v>
      </c>
      <c r="BF827" s="534"/>
      <c r="BG827" s="534" t="s">
        <v>2</v>
      </c>
      <c r="BH827" s="533"/>
      <c r="BI827" s="500"/>
    </row>
    <row r="828" spans="2:61" ht="16.2" thickBot="1" x14ac:dyDescent="0.35">
      <c r="B828" s="57" t="e">
        <f>+B827/B826</f>
        <v>#DIV/0!</v>
      </c>
      <c r="D828" s="55"/>
      <c r="AT828" s="500"/>
      <c r="AU828" s="533"/>
      <c r="AV828" s="590" t="s">
        <v>155</v>
      </c>
      <c r="AW828" s="590"/>
      <c r="AX828" s="590"/>
      <c r="AY828" s="534"/>
      <c r="AZ828" s="534"/>
      <c r="BA828" s="535" t="s">
        <v>20</v>
      </c>
      <c r="BB828" s="534"/>
      <c r="BC828" s="535" t="s">
        <v>3</v>
      </c>
      <c r="BD828" s="534"/>
      <c r="BE828" s="535" t="s">
        <v>65</v>
      </c>
      <c r="BF828" s="534"/>
      <c r="BG828" s="535" t="s">
        <v>65</v>
      </c>
      <c r="BH828" s="533"/>
      <c r="BI828" s="500"/>
    </row>
    <row r="829" spans="2:61" ht="21" x14ac:dyDescent="0.4">
      <c r="B829" s="1"/>
      <c r="D829" s="55"/>
      <c r="AT829" s="500"/>
      <c r="AU829" s="533"/>
      <c r="AV829" s="536" t="s">
        <v>143</v>
      </c>
      <c r="AW829" s="533"/>
      <c r="AX829" s="537"/>
      <c r="AY829" s="533"/>
      <c r="AZ829" s="533"/>
      <c r="BA829" s="538">
        <f>+N143</f>
        <v>1970617</v>
      </c>
      <c r="BB829" s="537"/>
      <c r="BC829" s="537"/>
      <c r="BD829" s="537"/>
      <c r="BE829" s="537"/>
      <c r="BF829" s="537"/>
      <c r="BG829" s="537"/>
      <c r="BH829" s="533"/>
      <c r="BI829" s="500"/>
    </row>
    <row r="830" spans="2:61" ht="21" x14ac:dyDescent="0.4">
      <c r="B830" s="1"/>
      <c r="D830" s="55"/>
      <c r="AT830" s="500"/>
      <c r="AU830" s="533"/>
      <c r="AV830" s="536" t="s">
        <v>151</v>
      </c>
      <c r="AW830" s="533"/>
      <c r="AX830" s="537"/>
      <c r="AY830" s="533"/>
      <c r="AZ830" s="533"/>
      <c r="BA830" s="538">
        <f>+N174</f>
        <v>1493931</v>
      </c>
      <c r="BB830" s="537"/>
      <c r="BC830" s="538">
        <f>+BA830-BA829</f>
        <v>-476686</v>
      </c>
      <c r="BD830" s="537"/>
      <c r="BE830" s="539">
        <f>+BC830/BA829</f>
        <v>-0.24189682723735764</v>
      </c>
      <c r="BF830" s="537"/>
      <c r="BG830" s="537"/>
      <c r="BH830" s="533"/>
      <c r="BI830" s="500"/>
    </row>
    <row r="831" spans="2:61" ht="21" x14ac:dyDescent="0.4">
      <c r="B831" s="1">
        <f>+B827*50</f>
        <v>0</v>
      </c>
      <c r="D831" s="55"/>
      <c r="AT831" s="500"/>
      <c r="AU831" s="533"/>
      <c r="AV831" s="536" t="s">
        <v>152</v>
      </c>
      <c r="AW831" s="533"/>
      <c r="AX831" s="537"/>
      <c r="AY831" s="533"/>
      <c r="AZ831" s="533"/>
      <c r="BA831" s="538">
        <f>+N204</f>
        <v>1202331</v>
      </c>
      <c r="BB831" s="537"/>
      <c r="BC831" s="538">
        <f>+BA831-BA830</f>
        <v>-291600</v>
      </c>
      <c r="BD831" s="537"/>
      <c r="BE831" s="539">
        <f>+BC831/BA830</f>
        <v>-0.19518973767864781</v>
      </c>
      <c r="BF831" s="537"/>
      <c r="BG831" s="537"/>
      <c r="BH831" s="533"/>
      <c r="BI831" s="500"/>
    </row>
    <row r="832" spans="2:61" ht="21" x14ac:dyDescent="0.4">
      <c r="B832" s="1"/>
      <c r="D832" s="55"/>
      <c r="AT832" s="500"/>
      <c r="AU832" s="533"/>
      <c r="AV832" s="536" t="s">
        <v>153</v>
      </c>
      <c r="AW832" s="533"/>
      <c r="AX832" s="537"/>
      <c r="AY832" s="533"/>
      <c r="AZ832" s="540" t="s">
        <v>26</v>
      </c>
      <c r="BA832" s="538">
        <f>+N218</f>
        <v>371489</v>
      </c>
      <c r="BB832" s="537"/>
      <c r="BC832" s="538">
        <f>+BA832-BA831</f>
        <v>-830842</v>
      </c>
      <c r="BD832" s="537"/>
      <c r="BE832" s="539">
        <f>+BC832/BA831</f>
        <v>-0.69102601529861574</v>
      </c>
      <c r="BF832" s="537"/>
      <c r="BG832" s="539">
        <f>+(BA832-BA829)/BA829</f>
        <v>-0.81148594577231392</v>
      </c>
      <c r="BH832" s="533"/>
      <c r="BI832" s="500"/>
    </row>
    <row r="833" spans="2:61" x14ac:dyDescent="0.3">
      <c r="B833" s="1"/>
      <c r="D833" s="55"/>
      <c r="AT833" s="500"/>
      <c r="AU833" s="533"/>
      <c r="AV833" s="533"/>
      <c r="AW833" s="533"/>
      <c r="AX833" s="533"/>
      <c r="AY833" s="533"/>
      <c r="AZ833" s="533"/>
      <c r="BA833" s="533"/>
      <c r="BB833" s="533"/>
      <c r="BC833" s="533"/>
      <c r="BD833" s="533"/>
      <c r="BE833" s="533"/>
      <c r="BF833" s="533"/>
      <c r="BG833" s="533"/>
      <c r="BH833" s="533"/>
      <c r="BI833" s="500"/>
    </row>
    <row r="834" spans="2:61" ht="16.2" x14ac:dyDescent="0.3">
      <c r="B834" s="1"/>
      <c r="D834" s="55"/>
      <c r="AT834" s="500"/>
      <c r="AU834" s="533"/>
      <c r="AV834" s="533"/>
      <c r="AW834" s="533"/>
      <c r="AX834" s="541" t="s">
        <v>26</v>
      </c>
      <c r="AY834" s="533"/>
      <c r="AZ834" s="542" t="s">
        <v>154</v>
      </c>
      <c r="BA834" s="533"/>
      <c r="BB834" s="533"/>
      <c r="BC834" s="533"/>
      <c r="BD834" s="533"/>
      <c r="BE834" s="533"/>
      <c r="BF834" s="533"/>
      <c r="BG834" s="533"/>
      <c r="BH834" s="533"/>
      <c r="BI834" s="500"/>
    </row>
    <row r="835" spans="2:61" x14ac:dyDescent="0.3">
      <c r="B835" s="1"/>
      <c r="D835" s="55"/>
      <c r="AT835" s="500"/>
      <c r="AU835" s="533"/>
      <c r="AV835" s="533"/>
      <c r="AW835" s="533"/>
      <c r="AX835" s="533"/>
      <c r="AY835" s="533"/>
      <c r="AZ835" s="533"/>
      <c r="BA835" s="533"/>
      <c r="BB835" s="533"/>
      <c r="BC835" s="533"/>
      <c r="BD835" s="533"/>
      <c r="BE835" s="533"/>
      <c r="BF835" s="533"/>
      <c r="BG835" s="533"/>
      <c r="BH835" s="533"/>
      <c r="BI835" s="500"/>
    </row>
    <row r="836" spans="2:61" x14ac:dyDescent="0.3">
      <c r="B836" s="1"/>
      <c r="D836" s="55"/>
      <c r="AT836" s="532"/>
      <c r="AU836" s="532"/>
      <c r="AV836" s="532"/>
      <c r="AW836" s="532"/>
      <c r="AX836" s="532"/>
      <c r="AY836" s="532"/>
      <c r="AZ836" s="532"/>
      <c r="BA836" s="532"/>
      <c r="BB836" s="532"/>
      <c r="BC836" s="532"/>
      <c r="BD836" s="532"/>
      <c r="BE836" s="532"/>
      <c r="BF836" s="532"/>
      <c r="BG836" s="532"/>
      <c r="BH836" s="532"/>
      <c r="BI836" s="532"/>
    </row>
    <row r="837" spans="2:61" x14ac:dyDescent="0.3">
      <c r="B837" s="1"/>
      <c r="D837" s="55"/>
    </row>
    <row r="838" spans="2:61" x14ac:dyDescent="0.3">
      <c r="B838" s="1"/>
      <c r="D838" s="55"/>
      <c r="AS838" s="61"/>
      <c r="AT838" s="500"/>
      <c r="AU838" s="500"/>
      <c r="AV838" s="500"/>
      <c r="AW838" s="500"/>
      <c r="AX838" s="500"/>
      <c r="AY838" s="500"/>
      <c r="AZ838" s="500"/>
      <c r="BA838" s="500"/>
      <c r="BB838" s="500"/>
      <c r="BC838" s="500"/>
      <c r="BD838" s="500"/>
      <c r="BE838" s="500"/>
      <c r="BF838" s="500"/>
      <c r="BG838" s="500"/>
      <c r="BH838" s="500"/>
      <c r="BI838" s="500"/>
    </row>
    <row r="839" spans="2:61" x14ac:dyDescent="0.3">
      <c r="B839" s="1"/>
      <c r="D839" s="55"/>
      <c r="AT839" s="500"/>
      <c r="AU839" s="550"/>
      <c r="AV839" s="550"/>
      <c r="AW839" s="550"/>
      <c r="AX839" s="550"/>
      <c r="AY839" s="550"/>
      <c r="AZ839" s="550"/>
      <c r="BA839" s="550"/>
      <c r="BB839" s="550"/>
      <c r="BC839" s="550"/>
      <c r="BD839" s="550"/>
      <c r="BE839" s="550"/>
      <c r="BF839" s="550"/>
      <c r="BG839" s="550"/>
      <c r="BH839" s="550"/>
      <c r="BI839" s="500"/>
    </row>
    <row r="840" spans="2:61" ht="15" thickBot="1" x14ac:dyDescent="0.35">
      <c r="B840" s="1"/>
      <c r="D840" s="55"/>
      <c r="AT840" s="500"/>
      <c r="AU840" s="550"/>
      <c r="AV840" s="607" t="s">
        <v>160</v>
      </c>
      <c r="AW840" s="607"/>
      <c r="AX840" s="607"/>
      <c r="AY840" s="551"/>
      <c r="AZ840" s="551"/>
      <c r="BA840" s="552" t="s">
        <v>23</v>
      </c>
      <c r="BB840" s="553"/>
      <c r="BC840" s="552" t="s">
        <v>3</v>
      </c>
      <c r="BD840" s="553"/>
      <c r="BE840" s="552" t="s">
        <v>20</v>
      </c>
      <c r="BF840" s="553"/>
      <c r="BG840" s="552" t="s">
        <v>21</v>
      </c>
      <c r="BH840" s="550"/>
      <c r="BI840" s="500"/>
    </row>
    <row r="841" spans="2:61" x14ac:dyDescent="0.3">
      <c r="B841" s="1"/>
      <c r="AT841" s="500"/>
      <c r="AU841" s="550"/>
      <c r="AV841" s="551" t="s">
        <v>143</v>
      </c>
      <c r="AW841" s="551"/>
      <c r="AX841" s="551"/>
      <c r="AY841" s="551"/>
      <c r="AZ841" s="551"/>
      <c r="BA841" s="554">
        <f>+BK275</f>
        <v>13351981</v>
      </c>
      <c r="BB841" s="551"/>
      <c r="BC841" s="551"/>
      <c r="BD841" s="551"/>
      <c r="BE841" s="555">
        <f>+N143</f>
        <v>1970617</v>
      </c>
      <c r="BF841" s="551"/>
      <c r="BG841" s="556">
        <f>+BE841/BA841</f>
        <v>0.14758985951223269</v>
      </c>
      <c r="BH841" s="550"/>
      <c r="BI841" s="500"/>
    </row>
    <row r="842" spans="2:61" x14ac:dyDescent="0.3">
      <c r="B842" s="1"/>
      <c r="AT842" s="500"/>
      <c r="AU842" s="550"/>
      <c r="AV842" s="551"/>
      <c r="AW842" s="551"/>
      <c r="AX842" s="551"/>
      <c r="AY842" s="551"/>
      <c r="AZ842" s="551"/>
      <c r="BA842" s="554"/>
      <c r="BB842" s="551"/>
      <c r="BC842" s="551"/>
      <c r="BD842" s="551"/>
      <c r="BE842" s="551"/>
      <c r="BF842" s="551"/>
      <c r="BG842" s="556"/>
      <c r="BH842" s="550"/>
      <c r="BI842" s="500"/>
    </row>
    <row r="843" spans="2:61" x14ac:dyDescent="0.3">
      <c r="B843" s="1"/>
      <c r="AT843" s="500"/>
      <c r="AU843" s="550"/>
      <c r="AV843" s="551" t="s">
        <v>159</v>
      </c>
      <c r="AW843" s="551"/>
      <c r="AX843" s="551"/>
      <c r="AY843" s="551"/>
      <c r="AZ843" s="551"/>
      <c r="BA843" s="554">
        <v>52440389</v>
      </c>
      <c r="BB843" s="551"/>
      <c r="BC843" s="556">
        <f>+(BA843-BA841)/BA841</f>
        <v>2.9275362210296736</v>
      </c>
      <c r="BD843" s="551"/>
      <c r="BE843" s="555">
        <f>+N273</f>
        <v>1462688</v>
      </c>
      <c r="BF843" s="551"/>
      <c r="BG843" s="556">
        <f>+BE843/BA843</f>
        <v>2.7892394162064665E-2</v>
      </c>
      <c r="BH843" s="550"/>
      <c r="BI843" s="500"/>
    </row>
    <row r="844" spans="2:61" x14ac:dyDescent="0.3">
      <c r="B844" s="1"/>
      <c r="AT844" s="500"/>
      <c r="AU844" s="550"/>
      <c r="AV844" s="551"/>
      <c r="AW844" s="551"/>
      <c r="AX844" s="551"/>
      <c r="AY844" s="551"/>
      <c r="AZ844" s="551"/>
      <c r="BA844" s="554"/>
      <c r="BB844" s="551"/>
      <c r="BC844" s="551"/>
      <c r="BD844" s="551"/>
      <c r="BE844" s="551"/>
      <c r="BF844" s="551"/>
      <c r="BG844" s="551"/>
      <c r="BH844" s="550"/>
      <c r="BI844" s="500"/>
    </row>
    <row r="845" spans="2:61" x14ac:dyDescent="0.3">
      <c r="B845" s="1"/>
      <c r="AT845" s="500"/>
      <c r="AU845" s="550"/>
      <c r="AV845" s="587" t="s">
        <v>105</v>
      </c>
      <c r="AW845" s="587"/>
      <c r="AX845" s="587"/>
      <c r="AY845" s="587"/>
      <c r="AZ845" s="551"/>
      <c r="BA845" s="555">
        <f>+BA843-BA841</f>
        <v>39088408</v>
      </c>
      <c r="BB845" s="551"/>
      <c r="BC845" s="551"/>
      <c r="BD845" s="551"/>
      <c r="BE845" s="555">
        <f>+BE843-BE841</f>
        <v>-507929</v>
      </c>
      <c r="BF845" s="551"/>
      <c r="BG845" s="558"/>
      <c r="BH845" s="550"/>
      <c r="BI845" s="500"/>
    </row>
    <row r="846" spans="2:61" x14ac:dyDescent="0.3">
      <c r="B846" s="1"/>
      <c r="AT846" s="500"/>
      <c r="AU846" s="550"/>
      <c r="AV846" s="550"/>
      <c r="AW846" s="550"/>
      <c r="AX846" s="550"/>
      <c r="AY846" s="550"/>
      <c r="AZ846" s="550"/>
      <c r="BA846" s="550"/>
      <c r="BB846" s="550"/>
      <c r="BC846" s="550"/>
      <c r="BD846" s="550"/>
      <c r="BE846" s="550"/>
      <c r="BF846" s="550"/>
      <c r="BG846" s="550"/>
      <c r="BH846" s="550"/>
      <c r="BI846" s="500"/>
    </row>
    <row r="847" spans="2:61" x14ac:dyDescent="0.3">
      <c r="B847" s="1"/>
      <c r="AT847" s="500"/>
      <c r="AU847" s="500"/>
      <c r="AV847" s="500"/>
      <c r="AW847" s="500"/>
      <c r="AX847" s="500"/>
      <c r="AY847" s="500"/>
      <c r="AZ847" s="500"/>
      <c r="BA847" s="500"/>
      <c r="BB847" s="500"/>
      <c r="BC847" s="500"/>
      <c r="BD847" s="500"/>
      <c r="BE847" s="557"/>
      <c r="BF847" s="500"/>
      <c r="BG847" s="507"/>
      <c r="BH847" s="500"/>
      <c r="BI847" s="500"/>
    </row>
    <row r="848" spans="2:61" x14ac:dyDescent="0.3">
      <c r="B848" s="1"/>
    </row>
    <row r="849" spans="2:70" x14ac:dyDescent="0.3">
      <c r="B849" s="1"/>
    </row>
    <row r="850" spans="2:70" x14ac:dyDescent="0.3">
      <c r="B850" s="1"/>
      <c r="H850" s="1">
        <v>4000000</v>
      </c>
      <c r="AR850" s="500"/>
      <c r="AS850" s="500"/>
      <c r="AT850" s="500"/>
      <c r="AU850" s="500"/>
      <c r="AV850" s="500"/>
      <c r="AW850" s="500"/>
      <c r="AX850" s="500"/>
      <c r="AY850" s="500"/>
      <c r="AZ850" s="500"/>
      <c r="BA850" s="500"/>
      <c r="BB850" s="500"/>
      <c r="BC850" s="500"/>
      <c r="BD850" s="500"/>
      <c r="BE850" s="500"/>
      <c r="BF850" s="500"/>
      <c r="BG850" s="500"/>
      <c r="BH850" s="500"/>
      <c r="BI850" s="500"/>
    </row>
    <row r="851" spans="2:70" ht="15.6" x14ac:dyDescent="0.3">
      <c r="B851" s="1"/>
      <c r="H851" s="1"/>
      <c r="AR851" s="500"/>
      <c r="AS851" s="600" t="s">
        <v>170</v>
      </c>
      <c r="AT851" s="600"/>
      <c r="AU851" s="600"/>
      <c r="AV851" s="600"/>
      <c r="AW851" s="600"/>
      <c r="AX851" s="600"/>
      <c r="AY851" s="600"/>
      <c r="AZ851" s="600"/>
      <c r="BA851" s="600"/>
      <c r="BB851" s="600"/>
      <c r="BC851" s="600"/>
      <c r="BD851" s="600"/>
      <c r="BE851" s="600"/>
      <c r="BF851" s="600"/>
      <c r="BG851" s="600"/>
      <c r="BH851" s="600"/>
      <c r="BI851" s="500"/>
    </row>
    <row r="852" spans="2:70" x14ac:dyDescent="0.3">
      <c r="H852" s="1">
        <f>+H850/7</f>
        <v>571428.57142857148</v>
      </c>
      <c r="AR852" s="500"/>
      <c r="AS852" s="533"/>
      <c r="AT852" s="561"/>
      <c r="AU852" s="561"/>
      <c r="AV852" s="561"/>
      <c r="AW852" s="561"/>
      <c r="AX852" s="561"/>
      <c r="AY852" s="561"/>
      <c r="AZ852" s="561"/>
      <c r="BA852" s="561"/>
      <c r="BB852" s="561"/>
      <c r="BC852" s="561"/>
      <c r="BD852" s="561"/>
      <c r="BE852" s="588" t="s">
        <v>166</v>
      </c>
      <c r="BF852" s="561"/>
      <c r="BG852" s="596" t="s">
        <v>167</v>
      </c>
      <c r="BH852" s="533"/>
      <c r="BI852" s="500"/>
    </row>
    <row r="853" spans="2:70" x14ac:dyDescent="0.3">
      <c r="AR853" s="500"/>
      <c r="AS853" s="533"/>
      <c r="AT853" s="595" t="s">
        <v>19</v>
      </c>
      <c r="AU853" s="595"/>
      <c r="AV853" s="595"/>
      <c r="AW853" s="595"/>
      <c r="AX853" s="595"/>
      <c r="AY853" s="595"/>
      <c r="AZ853" s="561"/>
      <c r="BA853" s="560" t="s">
        <v>20</v>
      </c>
      <c r="BB853" s="561"/>
      <c r="BC853" s="560" t="s">
        <v>165</v>
      </c>
      <c r="BD853" s="561"/>
      <c r="BE853" s="589"/>
      <c r="BF853" s="561"/>
      <c r="BG853" s="592"/>
      <c r="BH853" s="533"/>
      <c r="BI853" s="500"/>
    </row>
    <row r="854" spans="2:70" x14ac:dyDescent="0.3">
      <c r="H854" t="s">
        <v>168</v>
      </c>
      <c r="J854">
        <v>28</v>
      </c>
      <c r="N854" s="1">
        <f>+H852*J854</f>
        <v>16000000.000000002</v>
      </c>
      <c r="AR854" s="500"/>
      <c r="AS854" s="533"/>
      <c r="AT854" s="594" t="s">
        <v>162</v>
      </c>
      <c r="AU854" s="594"/>
      <c r="AV854" s="594"/>
      <c r="AW854" s="594"/>
      <c r="AX854" s="594"/>
      <c r="AY854" s="561"/>
      <c r="AZ854" s="561"/>
      <c r="BA854" s="562">
        <f>+H174</f>
        <v>6826001</v>
      </c>
      <c r="BB854" s="561"/>
      <c r="BC854" s="561">
        <v>10</v>
      </c>
      <c r="BD854" s="561"/>
      <c r="BE854" s="563">
        <f>+BA854*BC854</f>
        <v>68260010</v>
      </c>
      <c r="BF854" s="561"/>
      <c r="BG854" s="561"/>
      <c r="BH854" s="533"/>
      <c r="BI854" s="500"/>
      <c r="BP854" s="56">
        <f>+BE854-BA854</f>
        <v>61434009</v>
      </c>
    </row>
    <row r="855" spans="2:70" x14ac:dyDescent="0.3">
      <c r="D855" s="56">
        <f>+N854+N855</f>
        <v>33714285.714285716</v>
      </c>
      <c r="H855" t="s">
        <v>169</v>
      </c>
      <c r="J855">
        <v>31</v>
      </c>
      <c r="N855" s="1">
        <f>+J855*H$852</f>
        <v>17714285.714285716</v>
      </c>
      <c r="AR855" s="500"/>
      <c r="AS855" s="533"/>
      <c r="AT855" s="594" t="s">
        <v>171</v>
      </c>
      <c r="AU855" s="594"/>
      <c r="AV855" s="594"/>
      <c r="AW855" s="594"/>
      <c r="AX855" s="594"/>
      <c r="AY855" s="561"/>
      <c r="AZ855" s="561"/>
      <c r="BA855" s="562">
        <f>+BA867-BA854</f>
        <v>3109228</v>
      </c>
      <c r="BB855" s="561"/>
      <c r="BC855" s="561">
        <v>5</v>
      </c>
      <c r="BD855" s="561"/>
      <c r="BE855" s="563">
        <f>+BA855*BC855</f>
        <v>15546140</v>
      </c>
      <c r="BF855" s="561"/>
      <c r="BG855" s="561"/>
      <c r="BH855" s="533"/>
      <c r="BI855" s="500"/>
      <c r="BP855" s="56">
        <f>+BE855-BA855</f>
        <v>12436912</v>
      </c>
    </row>
    <row r="856" spans="2:70" x14ac:dyDescent="0.3">
      <c r="D856" s="56">
        <f>+D855+N856</f>
        <v>50857142.857142866</v>
      </c>
      <c r="H856" t="s">
        <v>138</v>
      </c>
      <c r="J856">
        <v>30</v>
      </c>
      <c r="N856" s="1">
        <f>+J856*H$852</f>
        <v>17142857.142857146</v>
      </c>
      <c r="AR856" s="500"/>
      <c r="AS856" s="533"/>
      <c r="AT856" s="594" t="s">
        <v>163</v>
      </c>
      <c r="AU856" s="594"/>
      <c r="AV856" s="594"/>
      <c r="AW856" s="594"/>
      <c r="AX856" s="594"/>
      <c r="AY856" s="594"/>
      <c r="AZ856" s="594"/>
      <c r="BA856" s="562">
        <f>+BA869-BA867</f>
        <v>16784558</v>
      </c>
      <c r="BB856" s="561"/>
      <c r="BC856" s="561">
        <v>1</v>
      </c>
      <c r="BD856" s="561"/>
      <c r="BE856" s="563">
        <f>+BC856*BA856</f>
        <v>16784558</v>
      </c>
      <c r="BF856" s="561"/>
      <c r="BG856" s="561"/>
      <c r="BH856" s="533"/>
      <c r="BI856" s="500"/>
      <c r="BP856" s="56">
        <f>+BE856-BA856</f>
        <v>0</v>
      </c>
    </row>
    <row r="857" spans="2:70" x14ac:dyDescent="0.3">
      <c r="D857" s="56">
        <f>+D856+N857</f>
        <v>68571428.571428582</v>
      </c>
      <c r="H857" t="s">
        <v>139</v>
      </c>
      <c r="J857">
        <v>31</v>
      </c>
      <c r="N857" s="1">
        <f>+J857*H$852</f>
        <v>17714285.714285716</v>
      </c>
      <c r="AR857" s="500"/>
      <c r="AS857" s="533"/>
      <c r="AT857" s="569" t="s">
        <v>183</v>
      </c>
      <c r="AU857" s="561"/>
      <c r="AV857" s="561"/>
      <c r="AW857" s="561"/>
      <c r="AX857" s="561"/>
      <c r="AY857" s="561"/>
      <c r="AZ857" s="561"/>
      <c r="BA857" s="562">
        <f>SUM(D328:D386)</f>
        <v>4197929</v>
      </c>
      <c r="BB857" s="561"/>
      <c r="BC857" s="561">
        <v>1</v>
      </c>
      <c r="BD857" s="561"/>
      <c r="BE857" s="563">
        <f>+BC857*BA857</f>
        <v>4197929</v>
      </c>
      <c r="BF857" s="561"/>
      <c r="BG857" s="561"/>
      <c r="BH857" s="533"/>
      <c r="BI857" s="500"/>
      <c r="BP857" s="56">
        <f>+BE857-BA857</f>
        <v>0</v>
      </c>
    </row>
    <row r="858" spans="2:70" x14ac:dyDescent="0.3">
      <c r="D858" s="56"/>
      <c r="N858" s="1"/>
      <c r="AR858" s="500"/>
      <c r="AS858" s="533"/>
      <c r="AT858" s="569" t="s">
        <v>188</v>
      </c>
      <c r="AU858" s="561"/>
      <c r="AV858" s="561"/>
      <c r="AW858" s="561"/>
      <c r="AX858" s="561"/>
      <c r="AY858" s="561"/>
      <c r="AZ858" s="561"/>
      <c r="BA858" s="562">
        <f>SUM(D387:D509)</f>
        <v>4225210</v>
      </c>
      <c r="BB858" s="561"/>
      <c r="BC858" s="561">
        <v>1</v>
      </c>
      <c r="BD858" s="561"/>
      <c r="BE858" s="563">
        <f>+BC858*BA858</f>
        <v>4225210</v>
      </c>
      <c r="BF858" s="561"/>
      <c r="BG858" s="561"/>
      <c r="BH858" s="533"/>
      <c r="BI858" s="500"/>
      <c r="BP858" s="56"/>
    </row>
    <row r="859" spans="2:70" x14ac:dyDescent="0.3">
      <c r="AR859" s="500"/>
      <c r="AS859" s="533"/>
      <c r="AT859" s="594" t="s">
        <v>189</v>
      </c>
      <c r="AU859" s="594"/>
      <c r="AV859" s="594"/>
      <c r="AW859" s="594"/>
      <c r="AX859" s="594"/>
      <c r="AY859" s="594"/>
      <c r="AZ859" s="594"/>
      <c r="BA859" s="585">
        <f>SUM(D510:D635)</f>
        <v>11511436</v>
      </c>
      <c r="BB859" s="561"/>
      <c r="BC859" s="561"/>
      <c r="BD859" s="561"/>
      <c r="BE859" s="563"/>
      <c r="BF859" s="561"/>
      <c r="BG859" s="561"/>
      <c r="BH859" s="533"/>
      <c r="BI859" s="500"/>
      <c r="BP859" s="56">
        <f>+BA857-BA858</f>
        <v>-27281</v>
      </c>
    </row>
    <row r="860" spans="2:70" ht="15" thickBot="1" x14ac:dyDescent="0.35">
      <c r="D860" s="56">
        <f>+BE860+D857</f>
        <v>177585275.5714286</v>
      </c>
      <c r="H860" s="59">
        <f>+D860/320000000</f>
        <v>0.55495398616071434</v>
      </c>
      <c r="AR860" s="500"/>
      <c r="AS860" s="533"/>
      <c r="AT860" s="561"/>
      <c r="AU860" s="561"/>
      <c r="AV860" s="561"/>
      <c r="AW860" s="561"/>
      <c r="AX860" s="561"/>
      <c r="AY860" s="561"/>
      <c r="AZ860" s="561"/>
      <c r="BA860" s="564">
        <f>SUM(BA854:BA859)</f>
        <v>46654362</v>
      </c>
      <c r="BB860" s="561"/>
      <c r="BC860" s="561"/>
      <c r="BD860" s="561"/>
      <c r="BE860" s="564">
        <f>SUM(BE854:BE859)</f>
        <v>109013847</v>
      </c>
      <c r="BF860" s="561"/>
      <c r="BG860" s="565">
        <f>+BE860/320000000</f>
        <v>0.34066827187499998</v>
      </c>
      <c r="BH860" s="533"/>
      <c r="BI860" s="500"/>
      <c r="BP860" s="59">
        <f>+BP859/BA857</f>
        <v>-6.4986806589630271E-3</v>
      </c>
    </row>
    <row r="861" spans="2:70" ht="15" thickTop="1" x14ac:dyDescent="0.3">
      <c r="D861" s="56"/>
      <c r="H861" s="59"/>
      <c r="AR861" s="500"/>
      <c r="AS861" s="533"/>
      <c r="AT861" s="575" t="s">
        <v>185</v>
      </c>
      <c r="AU861" s="561"/>
      <c r="AV861" s="561"/>
      <c r="AW861" s="561"/>
      <c r="AX861" s="561"/>
      <c r="AY861" s="561"/>
      <c r="AZ861" s="561"/>
      <c r="BA861" s="484">
        <f>+BY881</f>
        <v>0.61144144144144141</v>
      </c>
      <c r="BB861" s="561"/>
      <c r="BC861" s="561"/>
      <c r="BD861" s="561"/>
      <c r="BE861" s="574"/>
      <c r="BF861" s="561"/>
      <c r="BG861" s="484"/>
      <c r="BH861" s="533"/>
      <c r="BI861" s="500"/>
      <c r="BP861" s="59"/>
    </row>
    <row r="862" spans="2:70" x14ac:dyDescent="0.3">
      <c r="D862" s="56"/>
      <c r="H862" s="59"/>
      <c r="AR862" s="500"/>
      <c r="AS862" s="533"/>
      <c r="AT862" s="575" t="s">
        <v>187</v>
      </c>
      <c r="AU862" s="561"/>
      <c r="AV862" s="561"/>
      <c r="AW862" s="561"/>
      <c r="AX862" s="561"/>
      <c r="AY862" s="561"/>
      <c r="AZ862" s="561"/>
      <c r="BA862" s="576">
        <f>+BA860*BA861</f>
        <v>28526410.350810811</v>
      </c>
      <c r="BB862" s="561"/>
      <c r="BC862" s="561"/>
      <c r="BD862" s="561"/>
      <c r="BE862" s="574"/>
      <c r="BF862" s="561"/>
      <c r="BG862" s="484"/>
      <c r="BH862" s="533"/>
      <c r="BI862" s="500"/>
      <c r="BP862" s="59"/>
    </row>
    <row r="863" spans="2:70" ht="15" thickBot="1" x14ac:dyDescent="0.35">
      <c r="D863" s="56"/>
      <c r="H863" s="59"/>
      <c r="AR863" s="500"/>
      <c r="AS863" s="533"/>
      <c r="AT863" s="575" t="s">
        <v>186</v>
      </c>
      <c r="AU863" s="561"/>
      <c r="AV863" s="561"/>
      <c r="AW863" s="561"/>
      <c r="AX863" s="561"/>
      <c r="AY863" s="561"/>
      <c r="AZ863" s="561"/>
      <c r="BA863" s="564">
        <f>+BA860-BA862</f>
        <v>18127951.649189189</v>
      </c>
      <c r="BB863" s="561"/>
      <c r="BC863" s="561"/>
      <c r="BD863" s="561"/>
      <c r="BE863" s="574"/>
      <c r="BF863" s="561"/>
      <c r="BG863" s="484"/>
      <c r="BH863" s="533"/>
      <c r="BI863" s="500"/>
      <c r="BP863" s="59"/>
    </row>
    <row r="864" spans="2:70" ht="15" thickTop="1" x14ac:dyDescent="0.3">
      <c r="AR864" s="500"/>
      <c r="AS864" s="533"/>
      <c r="AT864" s="561"/>
      <c r="AU864" s="561"/>
      <c r="AV864" s="561"/>
      <c r="AW864" s="561"/>
      <c r="AX864" s="561"/>
      <c r="AY864" s="561"/>
      <c r="AZ864" s="561"/>
      <c r="BA864" s="561"/>
      <c r="BB864" s="561"/>
      <c r="BC864" s="561"/>
      <c r="BD864" s="561"/>
      <c r="BE864" s="561"/>
      <c r="BF864" s="561"/>
      <c r="BG864" s="561"/>
      <c r="BH864" s="533"/>
      <c r="BI864" s="500"/>
      <c r="BP864">
        <v>35761323</v>
      </c>
      <c r="BR864" s="56">
        <f>+BA860-BP864</f>
        <v>10893039</v>
      </c>
    </row>
    <row r="865" spans="44:90" x14ac:dyDescent="0.3">
      <c r="AR865" s="500"/>
      <c r="AS865" s="500"/>
      <c r="AT865" s="500"/>
      <c r="AU865" s="500"/>
      <c r="AV865" s="500"/>
      <c r="AW865" s="500"/>
      <c r="AX865" s="500"/>
      <c r="AY865" s="500"/>
      <c r="AZ865" s="500"/>
      <c r="BA865" s="500"/>
      <c r="BB865" s="500"/>
      <c r="BC865" s="500"/>
      <c r="BD865" s="500"/>
      <c r="BE865" s="500"/>
      <c r="BF865" s="500"/>
      <c r="BG865" s="500"/>
      <c r="BH865" s="500"/>
      <c r="BI865" s="500"/>
    </row>
    <row r="866" spans="44:90" x14ac:dyDescent="0.3">
      <c r="BP866" s="586">
        <v>221538504.58886749</v>
      </c>
      <c r="BQ866" s="597"/>
      <c r="BR866" s="597"/>
      <c r="BS866" s="597"/>
      <c r="BT866" s="597"/>
    </row>
    <row r="867" spans="44:90" x14ac:dyDescent="0.3">
      <c r="AV867" t="s">
        <v>153</v>
      </c>
      <c r="BA867" s="56">
        <f>+H235</f>
        <v>9935229</v>
      </c>
    </row>
    <row r="869" spans="44:90" x14ac:dyDescent="0.3">
      <c r="AV869" t="s">
        <v>164</v>
      </c>
      <c r="BA869" s="56">
        <f>+H327</f>
        <v>26719787</v>
      </c>
    </row>
    <row r="870" spans="44:90" x14ac:dyDescent="0.3">
      <c r="BA870" s="56"/>
    </row>
    <row r="871" spans="44:90" x14ac:dyDescent="0.3">
      <c r="AR871" s="500"/>
      <c r="AS871" s="500"/>
      <c r="AT871" s="500"/>
      <c r="AU871" s="500"/>
      <c r="AV871" s="500"/>
      <c r="AW871" s="500"/>
      <c r="AX871" s="500"/>
      <c r="AY871" s="500"/>
      <c r="AZ871" s="500"/>
      <c r="BA871" s="557"/>
      <c r="BB871" s="500"/>
      <c r="BC871" s="500"/>
      <c r="BD871" s="500"/>
      <c r="BE871" s="500"/>
      <c r="BF871" s="500"/>
      <c r="BG871" s="500"/>
      <c r="BH871" s="500"/>
      <c r="BI871" s="500"/>
      <c r="BJ871" s="500"/>
      <c r="BK871" s="500"/>
      <c r="BL871" s="500"/>
      <c r="BM871" s="500"/>
      <c r="BN871" s="500"/>
      <c r="BO871" s="500"/>
      <c r="BP871" s="500"/>
      <c r="BQ871" s="500"/>
      <c r="BR871" s="500"/>
      <c r="BS871" s="500"/>
      <c r="BT871" s="500"/>
      <c r="BU871" s="500"/>
      <c r="BV871" s="500"/>
      <c r="BW871" s="500"/>
    </row>
    <row r="872" spans="44:90" ht="14.4" customHeight="1" x14ac:dyDescent="0.3">
      <c r="AR872" s="500"/>
      <c r="AS872" s="533"/>
      <c r="AT872" s="595" t="s">
        <v>176</v>
      </c>
      <c r="AU872" s="595"/>
      <c r="AV872" s="595"/>
      <c r="AW872" s="595"/>
      <c r="AX872" s="595"/>
      <c r="AY872" s="595"/>
      <c r="AZ872" s="595"/>
      <c r="BA872" s="595"/>
      <c r="BB872" s="595"/>
      <c r="BC872" s="595"/>
      <c r="BD872" s="595"/>
      <c r="BE872" s="595"/>
      <c r="BF872" s="595"/>
      <c r="BG872" s="595"/>
      <c r="BH872" s="595"/>
      <c r="BI872" s="595"/>
      <c r="BJ872" s="595"/>
      <c r="BK872" s="595"/>
      <c r="BL872" s="595"/>
      <c r="BM872" s="595"/>
      <c r="BN872" s="595"/>
      <c r="BO872" s="595"/>
      <c r="BP872" s="595"/>
      <c r="BQ872" s="595"/>
      <c r="BR872" s="595"/>
      <c r="BS872" s="595"/>
      <c r="BT872" s="595"/>
      <c r="BU872" s="595"/>
      <c r="BV872" s="595"/>
      <c r="BW872" s="500"/>
    </row>
    <row r="873" spans="44:90" ht="14.4" customHeight="1" x14ac:dyDescent="0.3">
      <c r="AR873" s="500"/>
      <c r="AS873" s="533"/>
      <c r="AT873" s="533"/>
      <c r="AU873" s="533"/>
      <c r="AV873" s="533"/>
      <c r="AW873" s="533"/>
      <c r="AX873" s="533"/>
      <c r="AY873" s="533"/>
      <c r="AZ873" s="533"/>
      <c r="BA873" s="603" t="s">
        <v>172</v>
      </c>
      <c r="BB873" s="603"/>
      <c r="BC873" s="603"/>
      <c r="BD873" s="603"/>
      <c r="BE873" s="603"/>
      <c r="BF873" s="561"/>
      <c r="BG873" s="595" t="s">
        <v>180</v>
      </c>
      <c r="BH873" s="595"/>
      <c r="BI873" s="595"/>
      <c r="BJ873" s="595"/>
      <c r="BK873" s="595"/>
      <c r="BL873" s="595"/>
      <c r="BM873" s="595"/>
      <c r="BN873" s="595"/>
      <c r="BO873" s="595"/>
      <c r="BP873" s="595"/>
      <c r="BQ873" s="533"/>
      <c r="BR873" s="591" t="s">
        <v>176</v>
      </c>
      <c r="BS873" s="591"/>
      <c r="BT873" s="591"/>
      <c r="BU873" s="591"/>
      <c r="BV873" s="591"/>
      <c r="BW873" s="500"/>
    </row>
    <row r="874" spans="44:90" x14ac:dyDescent="0.3">
      <c r="AR874" s="500"/>
      <c r="AS874" s="533"/>
      <c r="AT874" s="533"/>
      <c r="AU874" s="533"/>
      <c r="AV874" s="533"/>
      <c r="AW874" s="533"/>
      <c r="AX874" s="533"/>
      <c r="AY874" s="533"/>
      <c r="AZ874" s="533"/>
      <c r="BA874" s="570" t="s">
        <v>177</v>
      </c>
      <c r="BB874" s="571"/>
      <c r="BC874" s="572" t="s">
        <v>182</v>
      </c>
      <c r="BD874" s="571"/>
      <c r="BE874" s="572" t="s">
        <v>178</v>
      </c>
      <c r="BF874" s="561"/>
      <c r="BG874" s="570"/>
      <c r="BH874" s="571"/>
      <c r="BI874" s="605"/>
      <c r="BJ874" s="605"/>
      <c r="BK874" s="605"/>
      <c r="BL874" s="605"/>
      <c r="BM874" s="605"/>
      <c r="BN874" s="605"/>
      <c r="BO874" s="473"/>
      <c r="BP874" s="572"/>
      <c r="BQ874" s="533"/>
      <c r="BR874" s="592"/>
      <c r="BS874" s="592"/>
      <c r="BT874" s="592"/>
      <c r="BU874" s="592"/>
      <c r="BV874" s="592"/>
      <c r="BW874" s="500"/>
    </row>
    <row r="875" spans="44:90" x14ac:dyDescent="0.3">
      <c r="AR875" s="500"/>
      <c r="AS875" s="533"/>
      <c r="AT875" s="533"/>
      <c r="AU875" s="533"/>
      <c r="AV875" s="533"/>
      <c r="AW875" s="533"/>
      <c r="AX875" s="533"/>
      <c r="AY875" s="533"/>
      <c r="AZ875" s="533"/>
      <c r="BA875" s="568" t="s">
        <v>173</v>
      </c>
      <c r="BB875" s="566"/>
      <c r="BC875" s="568" t="s">
        <v>175</v>
      </c>
      <c r="BD875" s="566"/>
      <c r="BE875" s="568" t="s">
        <v>174</v>
      </c>
      <c r="BF875" s="561"/>
      <c r="BG875" s="567" t="s">
        <v>180</v>
      </c>
      <c r="BH875" s="561"/>
      <c r="BI875" s="604" t="s">
        <v>184</v>
      </c>
      <c r="BJ875" s="604"/>
      <c r="BK875" s="604"/>
      <c r="BL875" s="604"/>
      <c r="BM875" s="604"/>
      <c r="BN875" s="604"/>
      <c r="BO875" s="561"/>
      <c r="BP875" s="568" t="s">
        <v>181</v>
      </c>
      <c r="BQ875" s="533"/>
      <c r="BR875" s="593" t="s">
        <v>179</v>
      </c>
      <c r="BS875" s="593"/>
      <c r="BT875" s="593"/>
      <c r="BU875" s="593"/>
      <c r="BV875" s="593"/>
      <c r="BW875" s="500"/>
    </row>
    <row r="876" spans="44:90" x14ac:dyDescent="0.3">
      <c r="AR876" s="500"/>
      <c r="AS876" s="533"/>
      <c r="AT876" s="594" t="s">
        <v>162</v>
      </c>
      <c r="AU876" s="594"/>
      <c r="AV876" s="594"/>
      <c r="AW876" s="594"/>
      <c r="AX876" s="594"/>
      <c r="AY876" s="561"/>
      <c r="AZ876" s="561"/>
      <c r="BA876" s="562">
        <f>+BA854</f>
        <v>6826001</v>
      </c>
      <c r="BB876" s="561"/>
      <c r="BC876" s="562">
        <f>+BE876-BA876</f>
        <v>61434009</v>
      </c>
      <c r="BD876" s="561"/>
      <c r="BE876" s="562">
        <f>+BE854</f>
        <v>68260010</v>
      </c>
      <c r="BF876" s="533"/>
      <c r="BG876" s="563">
        <v>0</v>
      </c>
      <c r="BH876" s="563"/>
      <c r="BI876" s="563"/>
      <c r="BJ876" s="563"/>
      <c r="BK876" s="563"/>
      <c r="BL876" s="563"/>
      <c r="BM876" s="563"/>
      <c r="BN876" s="563">
        <f>+BG876</f>
        <v>0</v>
      </c>
      <c r="BO876" s="563"/>
      <c r="BP876" s="563">
        <f>+BN876*0.5</f>
        <v>0</v>
      </c>
      <c r="BQ876" s="561"/>
      <c r="BR876" s="586">
        <f t="shared" ref="BR876:BR881" si="2250">+BE876+BP876</f>
        <v>68260010</v>
      </c>
      <c r="BS876" s="597"/>
      <c r="BT876" s="597"/>
      <c r="BU876" s="597"/>
      <c r="BV876" s="597"/>
      <c r="BW876" s="500"/>
      <c r="CA876" s="56">
        <f>+BR876</f>
        <v>68260010</v>
      </c>
    </row>
    <row r="877" spans="44:90" x14ac:dyDescent="0.3">
      <c r="AR877" s="500"/>
      <c r="AS877" s="533"/>
      <c r="AT877" s="594" t="s">
        <v>171</v>
      </c>
      <c r="AU877" s="594"/>
      <c r="AV877" s="594"/>
      <c r="AW877" s="594"/>
      <c r="AX877" s="594"/>
      <c r="AY877" s="561"/>
      <c r="AZ877" s="561"/>
      <c r="BA877" s="562">
        <f>+BA876+BA855</f>
        <v>9935229</v>
      </c>
      <c r="BB877" s="561"/>
      <c r="BC877" s="562">
        <f>+BE877-BA877</f>
        <v>73870921</v>
      </c>
      <c r="BD877" s="561"/>
      <c r="BE877" s="562">
        <f>+BE876+BE855</f>
        <v>83806150</v>
      </c>
      <c r="BF877" s="533"/>
      <c r="BG877" s="563">
        <v>0</v>
      </c>
      <c r="BH877" s="563"/>
      <c r="BI877" s="563"/>
      <c r="BJ877" s="563"/>
      <c r="BK877" s="563"/>
      <c r="BL877" s="563"/>
      <c r="BM877" s="563"/>
      <c r="BN877" s="563">
        <f>+BN876+BG877</f>
        <v>0</v>
      </c>
      <c r="BO877" s="563"/>
      <c r="BP877" s="563">
        <f>+BN877*0.5</f>
        <v>0</v>
      </c>
      <c r="BQ877" s="561"/>
      <c r="BR877" s="586">
        <f t="shared" si="2250"/>
        <v>83806150</v>
      </c>
      <c r="BS877" s="597"/>
      <c r="BT877" s="597"/>
      <c r="BU877" s="597"/>
      <c r="BV877" s="597"/>
      <c r="BW877" s="500"/>
    </row>
    <row r="878" spans="44:90" x14ac:dyDescent="0.3">
      <c r="AR878" s="500"/>
      <c r="AS878" s="533"/>
      <c r="AT878" s="594" t="s">
        <v>163</v>
      </c>
      <c r="AU878" s="594"/>
      <c r="AV878" s="594"/>
      <c r="AW878" s="594"/>
      <c r="AX878" s="594"/>
      <c r="AY878" s="594"/>
      <c r="AZ878" s="594"/>
      <c r="BA878" s="562">
        <f>+BA877+BA856</f>
        <v>26719787</v>
      </c>
      <c r="BB878" s="561"/>
      <c r="BC878" s="562">
        <f>(+BE878-BA878)*(1-0.2)</f>
        <v>59096736.800000004</v>
      </c>
      <c r="BD878" s="561"/>
      <c r="BE878" s="562">
        <f>+BE877+BE856</f>
        <v>100590708</v>
      </c>
      <c r="BF878" s="533"/>
      <c r="BG878" s="563">
        <f>13400000+5660000</f>
        <v>19060000</v>
      </c>
      <c r="BH878" s="563"/>
      <c r="BI878" s="598"/>
      <c r="BJ878" s="598"/>
      <c r="BK878" s="598"/>
      <c r="BL878" s="598"/>
      <c r="BM878" s="598"/>
      <c r="BN878" s="598"/>
      <c r="BO878" s="563"/>
      <c r="BP878" s="563">
        <f>+BG878</f>
        <v>19060000</v>
      </c>
      <c r="BQ878" s="561"/>
      <c r="BR878" s="586">
        <f t="shared" si="2250"/>
        <v>119650708</v>
      </c>
      <c r="BS878" s="597"/>
      <c r="BT878" s="597"/>
      <c r="BU878" s="597"/>
      <c r="BV878" s="597"/>
      <c r="BW878" s="500"/>
    </row>
    <row r="879" spans="44:90" x14ac:dyDescent="0.3">
      <c r="AR879" s="500"/>
      <c r="AS879" s="533"/>
      <c r="AT879" s="569" t="s">
        <v>183</v>
      </c>
      <c r="AU879" s="561"/>
      <c r="AV879" s="561"/>
      <c r="AW879" s="561"/>
      <c r="AX879" s="561"/>
      <c r="AY879" s="561"/>
      <c r="AZ879" s="561"/>
      <c r="BA879" s="562">
        <f>+BA878+BA857</f>
        <v>30917716</v>
      </c>
      <c r="BB879" s="561"/>
      <c r="BC879" s="562">
        <f>(+BE879-BA879)*(1-0.34)</f>
        <v>48754807.859999992</v>
      </c>
      <c r="BD879" s="561"/>
      <c r="BE879" s="562">
        <f>+BE878+BE857</f>
        <v>104788637</v>
      </c>
      <c r="BF879" s="533"/>
      <c r="BG879" s="563">
        <f>53420000-BG878</f>
        <v>34360000</v>
      </c>
      <c r="BH879" s="563"/>
      <c r="BI879" s="598"/>
      <c r="BJ879" s="598"/>
      <c r="BK879" s="598"/>
      <c r="BL879" s="598"/>
      <c r="BM879" s="598"/>
      <c r="BN879" s="598"/>
      <c r="BO879" s="563"/>
      <c r="BP879" s="563">
        <f>+BP878+BG879</f>
        <v>53420000</v>
      </c>
      <c r="BQ879" s="561"/>
      <c r="BR879" s="586">
        <f t="shared" si="2250"/>
        <v>158208637</v>
      </c>
      <c r="BS879" s="597"/>
      <c r="BT879" s="597"/>
      <c r="BU879" s="597"/>
      <c r="BV879" s="597"/>
      <c r="BW879" s="500"/>
    </row>
    <row r="880" spans="44:90" x14ac:dyDescent="0.3">
      <c r="AR880" s="500"/>
      <c r="AS880" s="533"/>
      <c r="AT880" s="569" t="s">
        <v>188</v>
      </c>
      <c r="AU880" s="561"/>
      <c r="AV880" s="561"/>
      <c r="AW880" s="561"/>
      <c r="AX880" s="561"/>
      <c r="AY880" s="561"/>
      <c r="AZ880" s="561"/>
      <c r="BA880" s="562">
        <v>17702720</v>
      </c>
      <c r="BB880" s="561"/>
      <c r="BC880" s="562">
        <v>36659557</v>
      </c>
      <c r="BD880" s="561"/>
      <c r="BE880" s="562">
        <f>+BA880+BC880</f>
        <v>54362277</v>
      </c>
      <c r="BF880" s="533"/>
      <c r="BG880" s="563">
        <f>164760000-BP879</f>
        <v>111340000</v>
      </c>
      <c r="BH880" s="563"/>
      <c r="BI880" s="598"/>
      <c r="BJ880" s="598"/>
      <c r="BK880" s="598"/>
      <c r="BL880" s="598"/>
      <c r="BM880" s="598"/>
      <c r="BN880" s="598"/>
      <c r="BO880" s="563"/>
      <c r="BP880" s="563">
        <f>+BP879+BG880</f>
        <v>164760000</v>
      </c>
      <c r="BQ880" s="561"/>
      <c r="BR880" s="586">
        <f t="shared" si="2250"/>
        <v>219122277</v>
      </c>
      <c r="BS880" s="597"/>
      <c r="BT880" s="597"/>
      <c r="BU880" s="597"/>
      <c r="BV880" s="597"/>
      <c r="BW880" s="500"/>
      <c r="CL880" s="1">
        <v>333000000</v>
      </c>
    </row>
    <row r="881" spans="42:90" x14ac:dyDescent="0.3">
      <c r="AR881" s="500"/>
      <c r="AS881" s="533"/>
      <c r="AT881" s="569" t="s">
        <v>189</v>
      </c>
      <c r="AU881" s="561"/>
      <c r="AV881" s="561"/>
      <c r="AW881" s="561"/>
      <c r="AX881" s="561"/>
      <c r="AY881" s="561"/>
      <c r="AZ881" s="561"/>
      <c r="BA881" s="562">
        <f>+BA863</f>
        <v>18127951.649189189</v>
      </c>
      <c r="BB881" s="561"/>
      <c r="BC881" s="562">
        <f>+BC877*BY881</f>
        <v>45167742.416846842</v>
      </c>
      <c r="BD881" s="561"/>
      <c r="BE881" s="562">
        <f>+BA881+BC881</f>
        <v>63295694.066036031</v>
      </c>
      <c r="BF881" s="533"/>
      <c r="BG881" s="563">
        <f>203610000-BP880</f>
        <v>38850000</v>
      </c>
      <c r="BH881" s="563"/>
      <c r="BI881" s="598"/>
      <c r="BJ881" s="598"/>
      <c r="BK881" s="598"/>
      <c r="BL881" s="598"/>
      <c r="BM881" s="598"/>
      <c r="BN881" s="598"/>
      <c r="BO881" s="563"/>
      <c r="BP881" s="563">
        <f>+BP880+BG881</f>
        <v>203610000</v>
      </c>
      <c r="BQ881" s="561"/>
      <c r="BR881" s="586">
        <f t="shared" si="2250"/>
        <v>266905694.06603605</v>
      </c>
      <c r="BS881" s="586"/>
      <c r="BT881" s="586"/>
      <c r="BU881" s="586"/>
      <c r="BV881" s="586"/>
      <c r="BW881" s="500"/>
      <c r="BY881" s="59">
        <f>+BP881/CL880</f>
        <v>0.61144144144144141</v>
      </c>
      <c r="CL881" s="1"/>
    </row>
    <row r="882" spans="42:90" x14ac:dyDescent="0.3">
      <c r="AR882" s="500"/>
      <c r="AS882" s="500"/>
      <c r="AT882" s="500"/>
      <c r="AU882" s="500"/>
      <c r="AV882" s="500"/>
      <c r="AW882" s="500"/>
      <c r="AX882" s="500"/>
      <c r="AY882" s="500"/>
      <c r="AZ882" s="500"/>
      <c r="BA882" s="500"/>
      <c r="BB882" s="500"/>
      <c r="BC882" s="500"/>
      <c r="BD882" s="500"/>
      <c r="BE882" s="500"/>
      <c r="BF882" s="500"/>
      <c r="BG882" s="500"/>
      <c r="BH882" s="500"/>
      <c r="BI882" s="500"/>
      <c r="BJ882" s="500"/>
      <c r="BK882" s="500"/>
      <c r="BL882" s="500"/>
      <c r="BM882" s="500"/>
      <c r="BN882" s="500"/>
      <c r="BO882" s="500"/>
      <c r="BP882" s="500"/>
      <c r="BQ882" s="500"/>
      <c r="BR882" s="500"/>
      <c r="BS882" s="500"/>
      <c r="BT882" s="500"/>
      <c r="BU882" s="500"/>
      <c r="BV882" s="500"/>
      <c r="BW882" s="500"/>
      <c r="CL882" s="59">
        <f>+BR881/CL880</f>
        <v>0.80151860079890702</v>
      </c>
    </row>
    <row r="884" spans="42:90" x14ac:dyDescent="0.3">
      <c r="BA884" s="56">
        <f>+BR880+BA862</f>
        <v>247648687.35081083</v>
      </c>
      <c r="BC884" s="59">
        <f>+BA884/CL880</f>
        <v>0.74368975180423669</v>
      </c>
      <c r="BE884" s="56"/>
      <c r="BG884" s="1">
        <v>202530000</v>
      </c>
      <c r="BP884" s="1">
        <f>+(BP881-BP880)/2</f>
        <v>19425000</v>
      </c>
      <c r="CL884" s="56">
        <f>+CL880-BR880</f>
        <v>113877723</v>
      </c>
    </row>
    <row r="885" spans="42:90" x14ac:dyDescent="0.3">
      <c r="BG885" s="56">
        <f>+BP881-BG884</f>
        <v>1080000</v>
      </c>
      <c r="BP885" s="56">
        <v>1800000</v>
      </c>
    </row>
    <row r="886" spans="42:90" ht="15" thickBot="1" x14ac:dyDescent="0.35">
      <c r="BP886" s="578">
        <f>+BP884-BP885</f>
        <v>17625000</v>
      </c>
    </row>
    <row r="887" spans="42:90" ht="15" thickTop="1" x14ac:dyDescent="0.3">
      <c r="CL887" s="59">
        <f>+BP880/CL880</f>
        <v>0.49477477477477477</v>
      </c>
    </row>
    <row r="889" spans="42:90" x14ac:dyDescent="0.3">
      <c r="BE889" s="500"/>
      <c r="BF889" s="500"/>
      <c r="BG889" s="500"/>
      <c r="BH889" s="500"/>
      <c r="BI889" s="500"/>
      <c r="BJ889" s="500"/>
      <c r="BK889" s="500"/>
      <c r="BL889" s="500"/>
      <c r="BM889" s="500"/>
      <c r="BN889" s="500"/>
      <c r="BO889" s="500"/>
      <c r="BP889" s="500"/>
      <c r="BQ889" s="500"/>
      <c r="BR889" s="500"/>
      <c r="BS889" s="500"/>
      <c r="BT889" s="500"/>
      <c r="BU889" s="500"/>
      <c r="BV889" s="500"/>
      <c r="BW889" s="500"/>
      <c r="BX889" s="500"/>
      <c r="BY889" s="500"/>
    </row>
    <row r="890" spans="42:90" x14ac:dyDescent="0.3">
      <c r="BE890" s="500"/>
      <c r="BF890" s="500"/>
      <c r="BG890" s="500"/>
      <c r="BH890" s="500"/>
      <c r="BI890" s="500"/>
      <c r="BJ890" s="500"/>
      <c r="BK890" s="500"/>
      <c r="BL890" s="500"/>
      <c r="BM890" s="500"/>
      <c r="BN890" s="500"/>
      <c r="BO890" s="500"/>
      <c r="BP890" s="500"/>
      <c r="BQ890" s="500"/>
      <c r="BR890" s="500"/>
      <c r="BS890" s="500"/>
      <c r="BT890" s="500"/>
      <c r="BU890" s="500"/>
      <c r="BV890" s="500"/>
      <c r="BW890" s="500"/>
      <c r="BX890" s="500"/>
      <c r="BY890" s="500"/>
    </row>
    <row r="891" spans="42:90" x14ac:dyDescent="0.3">
      <c r="AP891" s="1">
        <v>1500000</v>
      </c>
      <c r="BE891" s="500"/>
      <c r="BF891" s="500"/>
      <c r="BG891" s="500"/>
      <c r="BH891" s="500"/>
      <c r="BI891" s="500"/>
      <c r="BJ891" s="500"/>
      <c r="BK891" s="500"/>
      <c r="BL891" s="500"/>
      <c r="BM891" s="500"/>
      <c r="BN891" s="500"/>
      <c r="BO891" s="500"/>
      <c r="BP891" s="500"/>
      <c r="BQ891" s="500"/>
      <c r="BR891" s="500"/>
      <c r="BS891" s="500"/>
      <c r="BT891" s="500"/>
      <c r="BU891" s="500"/>
      <c r="BV891" s="500"/>
      <c r="BW891" s="500"/>
      <c r="BX891" s="500"/>
      <c r="BY891" s="500"/>
    </row>
    <row r="892" spans="42:90" x14ac:dyDescent="0.3">
      <c r="AP892">
        <v>7</v>
      </c>
      <c r="BE892" s="500"/>
      <c r="BY892" s="500"/>
      <c r="CL892">
        <v>177090000</v>
      </c>
    </row>
    <row r="893" spans="42:90" x14ac:dyDescent="0.3">
      <c r="AP893" s="1">
        <f>+AP891*AP892</f>
        <v>10500000</v>
      </c>
      <c r="BE893" s="500"/>
      <c r="BY893" s="500"/>
      <c r="CL893" s="231">
        <f>+CL892/CL880</f>
        <v>0.53180180180180181</v>
      </c>
    </row>
    <row r="894" spans="42:90" x14ac:dyDescent="0.3">
      <c r="BE894" s="500"/>
      <c r="BY894" s="500"/>
    </row>
    <row r="895" spans="42:90" x14ac:dyDescent="0.3">
      <c r="BE895" s="500"/>
      <c r="BY895" s="500"/>
    </row>
    <row r="896" spans="42:90" x14ac:dyDescent="0.3">
      <c r="BE896" s="500"/>
      <c r="BY896" s="500"/>
      <c r="CL896" s="56">
        <f>+BR880+27420000</f>
        <v>246542277</v>
      </c>
    </row>
    <row r="897" spans="57:90" x14ac:dyDescent="0.3">
      <c r="BE897" s="500"/>
      <c r="BY897" s="500"/>
    </row>
    <row r="898" spans="57:90" x14ac:dyDescent="0.3">
      <c r="BE898" s="500"/>
      <c r="BY898" s="500"/>
      <c r="CL898" s="59">
        <f>+CL896/CL880</f>
        <v>0.74036719819819818</v>
      </c>
    </row>
    <row r="899" spans="57:90" x14ac:dyDescent="0.3">
      <c r="BE899" s="500"/>
      <c r="BY899" s="500"/>
    </row>
    <row r="900" spans="57:90" x14ac:dyDescent="0.3">
      <c r="BE900" s="500"/>
      <c r="BY900" s="500"/>
    </row>
    <row r="901" spans="57:90" x14ac:dyDescent="0.3">
      <c r="BE901" s="500"/>
      <c r="BY901" s="500"/>
    </row>
    <row r="902" spans="57:90" x14ac:dyDescent="0.3">
      <c r="BE902" s="500"/>
      <c r="BY902" s="500"/>
    </row>
    <row r="903" spans="57:90" x14ac:dyDescent="0.3">
      <c r="BE903" s="500"/>
      <c r="BY903" s="500"/>
    </row>
    <row r="904" spans="57:90" x14ac:dyDescent="0.3">
      <c r="BE904" s="500"/>
      <c r="BY904" s="500"/>
    </row>
    <row r="905" spans="57:90" x14ac:dyDescent="0.3">
      <c r="BE905" s="500"/>
      <c r="BF905" s="500"/>
      <c r="BG905" s="500"/>
      <c r="BH905" s="500"/>
      <c r="BI905" s="500"/>
      <c r="BJ905" s="500"/>
      <c r="BK905" s="500"/>
      <c r="BL905" s="500"/>
      <c r="BM905" s="500"/>
      <c r="BN905" s="500"/>
      <c r="BO905" s="500"/>
      <c r="BP905" s="500"/>
      <c r="BQ905" s="500"/>
      <c r="BR905" s="500"/>
      <c r="BS905" s="500"/>
      <c r="BT905" s="500"/>
      <c r="BU905" s="500"/>
      <c r="BV905" s="500"/>
      <c r="BW905" s="500"/>
      <c r="BX905" s="500"/>
      <c r="BY905" s="500"/>
    </row>
    <row r="906" spans="57:90" x14ac:dyDescent="0.3">
      <c r="BE906" s="500"/>
      <c r="BF906" s="500"/>
      <c r="BG906" s="500"/>
      <c r="BH906" s="500"/>
      <c r="BI906" s="500"/>
      <c r="BJ906" s="500"/>
      <c r="BK906" s="500"/>
      <c r="BL906" s="500"/>
      <c r="BM906" s="500"/>
      <c r="BN906" s="500"/>
      <c r="BO906" s="500"/>
      <c r="BP906" s="500"/>
      <c r="BQ906" s="500"/>
      <c r="BR906" s="500"/>
      <c r="BS906" s="500"/>
      <c r="BT906" s="500"/>
      <c r="BU906" s="500"/>
      <c r="BV906" s="500"/>
      <c r="BW906" s="500"/>
      <c r="BX906" s="500"/>
      <c r="BY906" s="500"/>
    </row>
    <row r="907" spans="57:90" x14ac:dyDescent="0.3">
      <c r="BE907" s="500"/>
      <c r="BF907" s="500"/>
      <c r="BG907" s="500"/>
      <c r="BH907" s="500"/>
      <c r="BI907" s="500"/>
      <c r="BJ907" s="500"/>
      <c r="BK907" s="500"/>
      <c r="BL907" s="500"/>
      <c r="BM907" s="500"/>
      <c r="BN907" s="500"/>
      <c r="BO907" s="500"/>
      <c r="BP907" s="500"/>
      <c r="BQ907" s="500"/>
      <c r="BR907" s="500"/>
      <c r="BS907" s="500"/>
      <c r="BT907" s="500"/>
      <c r="BU907" s="500"/>
      <c r="BV907" s="500"/>
      <c r="BW907" s="500"/>
      <c r="BX907" s="500"/>
      <c r="BY907" s="500"/>
    </row>
    <row r="908" spans="57:90" x14ac:dyDescent="0.3">
      <c r="BE908" s="500"/>
      <c r="BF908" s="500"/>
      <c r="BG908" s="500"/>
      <c r="BH908" s="500"/>
      <c r="BI908" s="500"/>
      <c r="BJ908" s="500"/>
      <c r="BK908" s="500"/>
      <c r="BL908" s="500"/>
      <c r="BM908" s="500"/>
      <c r="BN908" s="500"/>
      <c r="BO908" s="500"/>
      <c r="BP908" s="500"/>
      <c r="BQ908" s="500"/>
      <c r="BR908" s="500"/>
      <c r="BS908" s="500"/>
      <c r="BT908" s="500"/>
      <c r="BU908" s="500"/>
      <c r="BV908" s="500"/>
      <c r="BW908" s="500"/>
      <c r="BX908" s="500"/>
      <c r="BY908" s="500"/>
    </row>
    <row r="909" spans="57:90" x14ac:dyDescent="0.3">
      <c r="BE909" s="500"/>
      <c r="BF909" s="500"/>
      <c r="BG909" s="500"/>
      <c r="BH909" s="500"/>
      <c r="BI909" s="500"/>
      <c r="BJ909" s="500"/>
      <c r="BK909" s="500"/>
      <c r="BL909" s="500"/>
      <c r="BM909" s="500"/>
      <c r="BN909" s="500"/>
      <c r="BO909" s="500"/>
      <c r="BP909" s="500"/>
      <c r="BQ909" s="500"/>
      <c r="BR909" s="500"/>
      <c r="BS909" s="500"/>
      <c r="BT909" s="500"/>
      <c r="BU909" s="500"/>
      <c r="BV909" s="500"/>
      <c r="BW909" s="500"/>
      <c r="BX909" s="500"/>
      <c r="BY909" s="500"/>
    </row>
    <row r="910" spans="57:90" x14ac:dyDescent="0.3">
      <c r="BE910" s="500"/>
      <c r="BF910" s="500"/>
      <c r="BG910" s="500"/>
      <c r="BH910" s="500"/>
      <c r="BI910" s="500"/>
      <c r="BJ910" s="500"/>
      <c r="BK910" s="500"/>
      <c r="BL910" s="500"/>
      <c r="BM910" s="500"/>
      <c r="BN910" s="500"/>
      <c r="BO910" s="500"/>
      <c r="BP910" s="500"/>
      <c r="BQ910" s="500"/>
      <c r="BR910" s="500"/>
      <c r="BS910" s="500"/>
      <c r="BT910" s="500"/>
      <c r="BU910" s="500"/>
      <c r="BV910" s="500"/>
      <c r="BW910" s="500"/>
      <c r="BX910" s="500"/>
      <c r="BY910" s="500"/>
    </row>
    <row r="911" spans="57:90" x14ac:dyDescent="0.3">
      <c r="BE911" s="500"/>
      <c r="BF911" s="500"/>
      <c r="BG911" s="500"/>
      <c r="BH911" s="500"/>
      <c r="BI911" s="500"/>
      <c r="BJ911" s="500"/>
      <c r="BK911" s="500"/>
      <c r="BL911" s="500"/>
      <c r="BM911" s="500"/>
      <c r="BN911" s="500"/>
      <c r="BO911" s="500"/>
      <c r="BP911" s="500"/>
      <c r="BQ911" s="500"/>
      <c r="BR911" s="500"/>
      <c r="BS911" s="500"/>
      <c r="BT911" s="500"/>
      <c r="BU911" s="500"/>
      <c r="BV911" s="500"/>
      <c r="BW911" s="500"/>
      <c r="BX911" s="500"/>
      <c r="BY911" s="500"/>
    </row>
    <row r="912" spans="57:90" x14ac:dyDescent="0.3">
      <c r="BE912" s="500"/>
      <c r="BF912" s="500"/>
      <c r="BG912" s="500"/>
      <c r="BH912" s="500"/>
      <c r="BI912" s="500"/>
      <c r="BJ912" s="500"/>
      <c r="BK912" s="500"/>
      <c r="BL912" s="500"/>
      <c r="BM912" s="500"/>
      <c r="BN912" s="500"/>
      <c r="BO912" s="500"/>
      <c r="BP912" s="500"/>
      <c r="BQ912" s="500"/>
      <c r="BR912" s="500"/>
      <c r="BS912" s="500"/>
      <c r="BT912" s="500"/>
      <c r="BU912" s="500"/>
      <c r="BV912" s="500"/>
      <c r="BW912" s="500"/>
      <c r="BX912" s="500"/>
      <c r="BY912" s="500"/>
    </row>
  </sheetData>
  <mergeCells count="60">
    <mergeCell ref="BR877:BV877"/>
    <mergeCell ref="BR878:BV878"/>
    <mergeCell ref="BR880:BV880"/>
    <mergeCell ref="BI879:BN879"/>
    <mergeCell ref="BR879:BV879"/>
    <mergeCell ref="BI878:BN878"/>
    <mergeCell ref="BA8:BC8"/>
    <mergeCell ref="AL4:BU4"/>
    <mergeCell ref="BE6:BU6"/>
    <mergeCell ref="BA7:BU7"/>
    <mergeCell ref="AL7:AY7"/>
    <mergeCell ref="AL6:AY6"/>
    <mergeCell ref="BA6:BC6"/>
    <mergeCell ref="BE8:BI8"/>
    <mergeCell ref="BN8:BP8"/>
    <mergeCell ref="BJ8:BM8"/>
    <mergeCell ref="AK781:AN781"/>
    <mergeCell ref="AK791:AN791"/>
    <mergeCell ref="AV840:AX840"/>
    <mergeCell ref="B1:D1"/>
    <mergeCell ref="B2:D2"/>
    <mergeCell ref="J4:AC4"/>
    <mergeCell ref="D7:J7"/>
    <mergeCell ref="B3:C3"/>
    <mergeCell ref="F6:L6"/>
    <mergeCell ref="Y6:AJ6"/>
    <mergeCell ref="W7:AJ7"/>
    <mergeCell ref="Q6:U6"/>
    <mergeCell ref="AK780:AV780"/>
    <mergeCell ref="AK782:AN782"/>
    <mergeCell ref="AK783:AN783"/>
    <mergeCell ref="AK784:AN784"/>
    <mergeCell ref="AK785:AN785"/>
    <mergeCell ref="AS851:BH851"/>
    <mergeCell ref="H813:J813"/>
    <mergeCell ref="AK790:AN790"/>
    <mergeCell ref="BI881:BN881"/>
    <mergeCell ref="AT876:AX876"/>
    <mergeCell ref="AT877:AX877"/>
    <mergeCell ref="AT878:AZ878"/>
    <mergeCell ref="BA873:BE873"/>
    <mergeCell ref="BG873:BP873"/>
    <mergeCell ref="BI875:BN875"/>
    <mergeCell ref="BI874:BN874"/>
    <mergeCell ref="BR881:BV881"/>
    <mergeCell ref="AV845:AY845"/>
    <mergeCell ref="BE852:BE853"/>
    <mergeCell ref="AV828:AX828"/>
    <mergeCell ref="BR873:BV874"/>
    <mergeCell ref="BR875:BV875"/>
    <mergeCell ref="AT855:AX855"/>
    <mergeCell ref="AT859:AZ859"/>
    <mergeCell ref="AT853:AY853"/>
    <mergeCell ref="AT856:AZ856"/>
    <mergeCell ref="AT872:BV872"/>
    <mergeCell ref="BG852:BG853"/>
    <mergeCell ref="AT854:AX854"/>
    <mergeCell ref="BP866:BT866"/>
    <mergeCell ref="BI880:BN880"/>
    <mergeCell ref="BR876:BV876"/>
  </mergeCells>
  <printOptions horizontalCentered="1"/>
  <pageMargins left="0.45" right="0.45" top="0.5" bottom="0.5" header="0.3" footer="0.3"/>
  <pageSetup scale="19" orientation="landscape" r:id="rId1"/>
  <headerFooter>
    <oddFooter>&amp;CMAK Table&amp;RAll Rights Reserved</oddFooter>
  </headerFooter>
  <ignoredErrors>
    <ignoredError sqref="AP786:AP788 AR786:AR788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2DB49-02A6-45B3-8E7D-E8503F933704}">
  <dimension ref="C1:AO780"/>
  <sheetViews>
    <sheetView tabSelected="1" topLeftCell="A10" workbookViewId="0">
      <selection activeCell="AF33" sqref="AF33:AF34"/>
    </sheetView>
  </sheetViews>
  <sheetFormatPr defaultRowHeight="14.4" outlineLevelRow="1" x14ac:dyDescent="0.3"/>
  <cols>
    <col min="1" max="2" width="2.109375" customWidth="1"/>
    <col min="3" max="3" width="10.88671875" customWidth="1"/>
    <col min="4" max="4" width="2.77734375" customWidth="1"/>
    <col min="5" max="5" width="11" bestFit="1" customWidth="1"/>
    <col min="6" max="6" width="1.33203125" customWidth="1"/>
    <col min="7" max="7" width="11" bestFit="1" customWidth="1"/>
    <col min="8" max="8" width="1.88671875" customWidth="1"/>
    <col min="9" max="9" width="10" bestFit="1" customWidth="1"/>
    <col min="10" max="10" width="1.88671875" customWidth="1"/>
    <col min="11" max="11" width="10.77734375" customWidth="1"/>
    <col min="12" max="12" width="1.5546875" customWidth="1"/>
    <col min="14" max="14" width="2.109375" customWidth="1"/>
    <col min="15" max="15" width="3.33203125" customWidth="1"/>
    <col min="16" max="16" width="1" customWidth="1"/>
    <col min="17" max="17" width="9.21875" customWidth="1"/>
    <col min="18" max="18" width="2.33203125" customWidth="1"/>
    <col min="20" max="20" width="2.44140625" customWidth="1"/>
    <col min="22" max="22" width="2.33203125" customWidth="1"/>
    <col min="23" max="23" width="5.6640625" customWidth="1"/>
    <col min="24" max="24" width="12.5546875" customWidth="1"/>
    <col min="26" max="26" width="1.88671875" customWidth="1"/>
    <col min="27" max="27" width="2.5546875" customWidth="1"/>
    <col min="28" max="28" width="7.6640625" customWidth="1"/>
    <col min="29" max="29" width="2.44140625" customWidth="1"/>
    <col min="30" max="30" width="12" customWidth="1"/>
    <col min="31" max="31" width="1.6640625" customWidth="1"/>
    <col min="32" max="32" width="11" customWidth="1"/>
    <col min="33" max="33" width="1.88671875" customWidth="1"/>
    <col min="35" max="35" width="1.5546875" customWidth="1"/>
    <col min="37" max="37" width="1.88671875" customWidth="1"/>
    <col min="38" max="38" width="8.88671875" customWidth="1"/>
    <col min="40" max="40" width="8.88671875" customWidth="1"/>
    <col min="41" max="41" width="14.6640625" customWidth="1"/>
  </cols>
  <sheetData>
    <row r="1" spans="3:40" ht="15.6" x14ac:dyDescent="0.3">
      <c r="C1" s="153" t="s">
        <v>5</v>
      </c>
      <c r="D1" s="153"/>
      <c r="E1" s="153"/>
    </row>
    <row r="2" spans="3:40" ht="15.6" x14ac:dyDescent="0.3">
      <c r="C2" s="153" t="s">
        <v>6</v>
      </c>
      <c r="D2" s="153"/>
      <c r="E2" s="153"/>
    </row>
    <row r="3" spans="3:40" x14ac:dyDescent="0.3">
      <c r="C3" s="154" t="s">
        <v>13</v>
      </c>
      <c r="D3" s="154"/>
    </row>
    <row r="4" spans="3:40" x14ac:dyDescent="0.3">
      <c r="D4" s="154"/>
      <c r="E4" s="154"/>
    </row>
    <row r="5" spans="3:40" x14ac:dyDescent="0.3">
      <c r="C5" s="111" t="s">
        <v>38</v>
      </c>
      <c r="D5" s="112"/>
      <c r="E5" s="112" t="s">
        <v>40</v>
      </c>
    </row>
    <row r="6" spans="3:40" ht="15" thickBot="1" x14ac:dyDescent="0.35"/>
    <row r="7" spans="3:40" x14ac:dyDescent="0.3">
      <c r="C7" s="58" t="s">
        <v>70</v>
      </c>
      <c r="E7" s="639" t="s">
        <v>7</v>
      </c>
      <c r="F7" s="640"/>
      <c r="G7" s="644">
        <v>0.7</v>
      </c>
      <c r="H7" s="644"/>
      <c r="I7" s="644"/>
      <c r="J7" s="644"/>
      <c r="K7" s="644"/>
      <c r="L7" s="644"/>
      <c r="M7" s="644"/>
      <c r="N7" s="644"/>
      <c r="O7" s="644"/>
      <c r="P7" s="644"/>
      <c r="Q7" s="644"/>
      <c r="R7" s="644"/>
      <c r="S7" s="644"/>
      <c r="T7" s="644"/>
      <c r="U7" s="645"/>
    </row>
    <row r="8" spans="3:40" x14ac:dyDescent="0.3">
      <c r="E8" s="641" t="s">
        <v>110</v>
      </c>
      <c r="F8" s="642"/>
      <c r="G8" s="642"/>
      <c r="H8" s="642"/>
      <c r="I8" s="642"/>
      <c r="J8" s="642"/>
      <c r="K8" s="642"/>
      <c r="L8" s="642"/>
      <c r="M8" s="642"/>
      <c r="N8" s="642"/>
      <c r="O8" s="642"/>
      <c r="P8" s="642"/>
      <c r="Q8" s="642"/>
      <c r="R8" s="642"/>
      <c r="S8" s="642"/>
      <c r="T8" s="642"/>
      <c r="U8" s="643"/>
    </row>
    <row r="9" spans="3:40" x14ac:dyDescent="0.3">
      <c r="E9" s="659" t="s">
        <v>35</v>
      </c>
      <c r="F9" s="660"/>
      <c r="G9" s="660"/>
      <c r="H9" s="660"/>
      <c r="I9" s="660"/>
      <c r="J9" s="660"/>
      <c r="K9" s="660"/>
      <c r="L9" s="660"/>
      <c r="M9" s="660"/>
      <c r="N9" s="660"/>
      <c r="O9" s="660"/>
      <c r="P9" s="661"/>
      <c r="Q9" s="657" t="s">
        <v>103</v>
      </c>
      <c r="R9" s="5"/>
      <c r="S9" s="654" t="s">
        <v>4</v>
      </c>
      <c r="T9" s="655"/>
      <c r="U9" s="656"/>
      <c r="W9" s="58" t="s">
        <v>18</v>
      </c>
    </row>
    <row r="10" spans="3:40" x14ac:dyDescent="0.3">
      <c r="E10" s="239" t="s">
        <v>8</v>
      </c>
      <c r="F10" s="5"/>
      <c r="G10" s="4" t="s">
        <v>49</v>
      </c>
      <c r="H10" s="5"/>
      <c r="I10" s="4" t="s">
        <v>50</v>
      </c>
      <c r="J10" s="5"/>
      <c r="K10" s="4" t="s">
        <v>9</v>
      </c>
      <c r="L10" s="5"/>
      <c r="M10" s="159" t="s">
        <v>71</v>
      </c>
      <c r="N10" s="107"/>
      <c r="O10" s="108" t="s">
        <v>15</v>
      </c>
      <c r="P10" s="328"/>
      <c r="Q10" s="658"/>
      <c r="R10" s="6"/>
      <c r="S10" s="4" t="s">
        <v>4</v>
      </c>
      <c r="T10" s="6"/>
      <c r="U10" s="240" t="s">
        <v>72</v>
      </c>
    </row>
    <row r="11" spans="3:40" x14ac:dyDescent="0.3">
      <c r="C11" s="157">
        <v>43910</v>
      </c>
      <c r="E11" s="241"/>
      <c r="F11" s="7"/>
      <c r="G11" s="7"/>
      <c r="H11" s="7"/>
      <c r="I11" s="7"/>
      <c r="J11" s="7"/>
      <c r="K11" s="7"/>
      <c r="L11" s="6"/>
      <c r="M11" s="28"/>
      <c r="N11" s="28"/>
      <c r="O11" s="28"/>
      <c r="P11" s="28"/>
      <c r="Q11" s="329"/>
      <c r="R11" s="6"/>
      <c r="S11" s="6"/>
      <c r="T11" s="6"/>
      <c r="U11" s="242"/>
      <c r="W11">
        <v>1</v>
      </c>
      <c r="AL11" s="98"/>
      <c r="AM11" s="98"/>
      <c r="AN11" s="98"/>
    </row>
    <row r="12" spans="3:40" ht="15" thickBot="1" x14ac:dyDescent="0.35">
      <c r="C12" s="157">
        <f>+C11+1</f>
        <v>43911</v>
      </c>
      <c r="E12" s="241"/>
      <c r="F12" s="7"/>
      <c r="G12" s="7"/>
      <c r="H12" s="7"/>
      <c r="I12" s="7"/>
      <c r="J12" s="7"/>
      <c r="K12" s="7"/>
      <c r="L12" s="6"/>
      <c r="M12" s="28"/>
      <c r="N12" s="28"/>
      <c r="O12" s="28"/>
      <c r="P12" s="28"/>
      <c r="Q12" s="329"/>
      <c r="R12" s="6"/>
      <c r="S12" s="6"/>
      <c r="T12" s="6"/>
      <c r="U12" s="242"/>
      <c r="W12">
        <f t="shared" ref="W12:W97" si="0">+W11+1</f>
        <v>2</v>
      </c>
      <c r="Z12" s="10"/>
      <c r="AA12" s="10"/>
      <c r="AB12" s="10"/>
      <c r="AC12" s="10"/>
      <c r="AD12" s="10"/>
      <c r="AE12" s="10"/>
      <c r="AF12" s="10"/>
      <c r="AG12" s="61"/>
      <c r="AH12" s="61"/>
      <c r="AI12" s="61"/>
      <c r="AJ12" s="61"/>
      <c r="AK12" s="61"/>
      <c r="AL12" s="98"/>
      <c r="AM12" s="98"/>
      <c r="AN12" s="98"/>
    </row>
    <row r="13" spans="3:40" ht="15" thickBot="1" x14ac:dyDescent="0.35">
      <c r="C13" s="157">
        <f>+C12+1</f>
        <v>43912</v>
      </c>
      <c r="E13" s="241"/>
      <c r="F13" s="7"/>
      <c r="G13" s="7"/>
      <c r="H13" s="7"/>
      <c r="I13" s="7"/>
      <c r="J13" s="7"/>
      <c r="K13" s="7"/>
      <c r="L13" s="6"/>
      <c r="M13" s="28"/>
      <c r="N13" s="28"/>
      <c r="O13" s="28"/>
      <c r="P13" s="28"/>
      <c r="Q13" s="329"/>
      <c r="R13" s="6"/>
      <c r="S13" s="6"/>
      <c r="T13" s="6"/>
      <c r="U13" s="242"/>
      <c r="W13">
        <f t="shared" si="0"/>
        <v>3</v>
      </c>
      <c r="Z13" s="1"/>
      <c r="AA13" s="1"/>
      <c r="AB13" s="1"/>
      <c r="AC13" s="189" t="s">
        <v>58</v>
      </c>
      <c r="AD13" s="190"/>
      <c r="AE13" s="190"/>
      <c r="AF13" s="190"/>
      <c r="AG13" s="190"/>
      <c r="AH13" s="190"/>
      <c r="AI13" s="190"/>
      <c r="AJ13" s="190"/>
      <c r="AK13" s="191"/>
      <c r="AL13" s="142"/>
      <c r="AM13" s="142"/>
      <c r="AN13" s="98"/>
    </row>
    <row r="14" spans="3:40" ht="15" thickBot="1" x14ac:dyDescent="0.35">
      <c r="C14" s="157">
        <f t="shared" ref="C14:C97" si="1">+C13+1</f>
        <v>43913</v>
      </c>
      <c r="E14" s="241"/>
      <c r="F14" s="7"/>
      <c r="G14" s="7"/>
      <c r="H14" s="7"/>
      <c r="I14" s="7"/>
      <c r="J14" s="7"/>
      <c r="K14" s="7"/>
      <c r="L14" s="6"/>
      <c r="M14" s="28"/>
      <c r="N14" s="28"/>
      <c r="O14" s="28"/>
      <c r="P14" s="28"/>
      <c r="Q14" s="329"/>
      <c r="R14" s="6"/>
      <c r="S14" s="6"/>
      <c r="T14" s="6"/>
      <c r="U14" s="242"/>
      <c r="W14">
        <f t="shared" si="0"/>
        <v>4</v>
      </c>
      <c r="Z14" s="1"/>
      <c r="AA14" s="1"/>
      <c r="AB14" s="1"/>
      <c r="AC14" s="192"/>
      <c r="AD14" s="651" t="s">
        <v>46</v>
      </c>
      <c r="AE14" s="652"/>
      <c r="AF14" s="653"/>
      <c r="AG14" s="193"/>
      <c r="AH14" s="649" t="s">
        <v>30</v>
      </c>
      <c r="AI14" s="194"/>
      <c r="AJ14" s="194"/>
      <c r="AK14" s="195"/>
      <c r="AL14" s="98"/>
      <c r="AM14" s="98"/>
      <c r="AN14" s="98"/>
    </row>
    <row r="15" spans="3:40" ht="15" thickBot="1" x14ac:dyDescent="0.35">
      <c r="C15" s="157">
        <f t="shared" si="1"/>
        <v>43914</v>
      </c>
      <c r="E15" s="241"/>
      <c r="F15" s="7"/>
      <c r="G15" s="7"/>
      <c r="H15" s="7"/>
      <c r="I15" s="7"/>
      <c r="J15" s="7"/>
      <c r="K15" s="7"/>
      <c r="L15" s="6"/>
      <c r="M15" s="28"/>
      <c r="N15" s="28"/>
      <c r="O15" s="28"/>
      <c r="P15" s="28"/>
      <c r="Q15" s="329"/>
      <c r="R15" s="6"/>
      <c r="S15" s="6"/>
      <c r="T15" s="6"/>
      <c r="U15" s="242"/>
      <c r="W15">
        <f t="shared" si="0"/>
        <v>5</v>
      </c>
      <c r="Z15" s="1"/>
      <c r="AA15" s="1"/>
      <c r="AB15" s="1"/>
      <c r="AC15" s="176"/>
      <c r="AD15" s="155"/>
      <c r="AE15" s="155"/>
      <c r="AF15" s="196" t="s">
        <v>20</v>
      </c>
      <c r="AG15" s="197"/>
      <c r="AH15" s="650"/>
      <c r="AI15" s="198"/>
      <c r="AJ15" s="199" t="s">
        <v>4</v>
      </c>
      <c r="AK15" s="200"/>
      <c r="AL15" s="98"/>
      <c r="AM15" s="98"/>
      <c r="AN15" s="98"/>
    </row>
    <row r="16" spans="3:40" x14ac:dyDescent="0.3">
      <c r="C16" s="157">
        <f t="shared" si="1"/>
        <v>43915</v>
      </c>
      <c r="E16" s="241"/>
      <c r="F16" s="7"/>
      <c r="G16" s="7"/>
      <c r="H16" s="7"/>
      <c r="I16" s="7"/>
      <c r="J16" s="7"/>
      <c r="K16" s="7"/>
      <c r="L16" s="6"/>
      <c r="M16" s="28"/>
      <c r="N16" s="28"/>
      <c r="O16" s="28"/>
      <c r="P16" s="28"/>
      <c r="Q16" s="329"/>
      <c r="R16" s="6"/>
      <c r="S16" s="6"/>
      <c r="T16" s="6"/>
      <c r="U16" s="242"/>
      <c r="W16">
        <f t="shared" si="0"/>
        <v>6</v>
      </c>
      <c r="Z16" s="1"/>
      <c r="AA16" s="1"/>
      <c r="AB16" s="1"/>
      <c r="AC16" s="176"/>
      <c r="AD16" s="188" t="s">
        <v>37</v>
      </c>
      <c r="AE16" s="155"/>
      <c r="AF16" s="188">
        <f>+K768</f>
        <v>7988001</v>
      </c>
      <c r="AG16" s="187"/>
      <c r="AH16" s="201">
        <f>+AJ31</f>
        <v>25079.794511513366</v>
      </c>
      <c r="AI16" s="201"/>
      <c r="AJ16" s="202">
        <f>+S768</f>
        <v>112147</v>
      </c>
      <c r="AK16" s="203"/>
      <c r="AL16" s="98"/>
      <c r="AM16" s="98"/>
      <c r="AN16" s="98"/>
    </row>
    <row r="17" spans="3:41" x14ac:dyDescent="0.3">
      <c r="C17" s="157">
        <f t="shared" si="1"/>
        <v>43916</v>
      </c>
      <c r="E17" s="241"/>
      <c r="F17" s="7"/>
      <c r="G17" s="7"/>
      <c r="H17" s="7"/>
      <c r="I17" s="7"/>
      <c r="J17" s="7"/>
      <c r="K17" s="7"/>
      <c r="L17" s="6"/>
      <c r="M17" s="28"/>
      <c r="N17" s="28"/>
      <c r="O17" s="28"/>
      <c r="P17" s="28"/>
      <c r="Q17" s="329"/>
      <c r="R17" s="6"/>
      <c r="S17" s="6"/>
      <c r="T17" s="6"/>
      <c r="U17" s="242"/>
      <c r="W17">
        <f t="shared" si="0"/>
        <v>7</v>
      </c>
      <c r="Z17" s="61"/>
      <c r="AA17" s="61"/>
      <c r="AB17" s="10"/>
      <c r="AC17" s="176"/>
      <c r="AD17" s="204" t="s">
        <v>56</v>
      </c>
      <c r="AE17" s="155"/>
      <c r="AF17" s="148">
        <v>1709900</v>
      </c>
      <c r="AG17" s="188"/>
      <c r="AH17" s="149">
        <v>24808</v>
      </c>
      <c r="AI17" s="201"/>
      <c r="AJ17" s="148">
        <v>20029</v>
      </c>
      <c r="AK17" s="205"/>
      <c r="AL17" s="98"/>
      <c r="AM17" s="78"/>
      <c r="AN17" s="78"/>
    </row>
    <row r="18" spans="3:41" x14ac:dyDescent="0.3">
      <c r="C18" s="157">
        <f t="shared" si="1"/>
        <v>43917</v>
      </c>
      <c r="E18" s="241">
        <v>44870</v>
      </c>
      <c r="F18" s="7"/>
      <c r="G18" s="7">
        <v>8825</v>
      </c>
      <c r="H18" s="7"/>
      <c r="I18" s="7"/>
      <c r="J18" s="7"/>
      <c r="K18" s="7">
        <f t="shared" ref="K18:K29" si="2">SUM(E18:G18)</f>
        <v>53695</v>
      </c>
      <c r="L18" s="6"/>
      <c r="M18" s="29"/>
      <c r="N18" s="29"/>
      <c r="O18" s="29"/>
      <c r="P18" s="29"/>
      <c r="Q18" s="330"/>
      <c r="R18" s="44"/>
      <c r="S18" s="6"/>
      <c r="T18" s="6"/>
      <c r="U18" s="243"/>
      <c r="W18">
        <f t="shared" si="0"/>
        <v>8</v>
      </c>
      <c r="Z18" s="1"/>
      <c r="AA18" s="1"/>
      <c r="AB18" s="1"/>
      <c r="AC18" s="176"/>
      <c r="AD18" s="188" t="s">
        <v>77</v>
      </c>
      <c r="AE18" s="155"/>
      <c r="AF18" s="148">
        <v>2788744</v>
      </c>
      <c r="AG18" s="188"/>
      <c r="AH18" s="149">
        <v>21784</v>
      </c>
      <c r="AI18" s="201"/>
      <c r="AJ18" s="148">
        <v>44417</v>
      </c>
      <c r="AK18" s="205"/>
      <c r="AL18" s="98"/>
      <c r="AM18" s="78"/>
      <c r="AN18" s="78"/>
    </row>
    <row r="19" spans="3:41" ht="15" thickBot="1" x14ac:dyDescent="0.35">
      <c r="C19" s="157">
        <f t="shared" si="1"/>
        <v>43918</v>
      </c>
      <c r="E19" s="241">
        <v>52318</v>
      </c>
      <c r="F19" s="7"/>
      <c r="G19" s="7">
        <v>11124</v>
      </c>
      <c r="H19" s="7"/>
      <c r="I19" s="7"/>
      <c r="J19" s="7"/>
      <c r="K19" s="7">
        <f t="shared" si="2"/>
        <v>63442</v>
      </c>
      <c r="L19" s="6"/>
      <c r="M19" s="29">
        <f t="shared" ref="M19:M30" si="3">+(K19-K18)/K18</f>
        <v>0.1815252816835832</v>
      </c>
      <c r="N19" s="29"/>
      <c r="O19" s="29"/>
      <c r="P19" s="29"/>
      <c r="Q19" s="332">
        <f>+K19-K18</f>
        <v>9747</v>
      </c>
      <c r="R19" s="44"/>
      <c r="S19" s="7">
        <f>728+140</f>
        <v>868</v>
      </c>
      <c r="T19" s="6"/>
      <c r="U19" s="243">
        <f>+S19/K19</f>
        <v>1.3681788089908893E-2</v>
      </c>
      <c r="W19">
        <f t="shared" si="0"/>
        <v>9</v>
      </c>
      <c r="Z19" s="1"/>
      <c r="AA19" s="1"/>
      <c r="AB19" s="10"/>
      <c r="AC19" s="176"/>
      <c r="AD19" s="155"/>
      <c r="AE19" s="155"/>
      <c r="AF19" s="206">
        <f>SUM(AF16:AF18)</f>
        <v>12486645</v>
      </c>
      <c r="AG19" s="188"/>
      <c r="AH19" s="188"/>
      <c r="AI19" s="188"/>
      <c r="AJ19" s="206">
        <f>SUM(AJ16:AJ18)</f>
        <v>176593</v>
      </c>
      <c r="AK19" s="205"/>
      <c r="AL19" s="98"/>
      <c r="AM19" s="78"/>
      <c r="AN19" s="78"/>
    </row>
    <row r="20" spans="3:41" ht="15" thickTop="1" x14ac:dyDescent="0.3">
      <c r="C20" s="157">
        <f t="shared" si="1"/>
        <v>43919</v>
      </c>
      <c r="E20" s="241">
        <v>59513</v>
      </c>
      <c r="F20" s="7"/>
      <c r="G20" s="7">
        <v>13386</v>
      </c>
      <c r="H20" s="7"/>
      <c r="I20" s="7"/>
      <c r="J20" s="7"/>
      <c r="K20" s="7">
        <f t="shared" si="2"/>
        <v>72899</v>
      </c>
      <c r="L20" s="6"/>
      <c r="M20" s="29">
        <f t="shared" si="3"/>
        <v>0.14906528797957189</v>
      </c>
      <c r="N20" s="29"/>
      <c r="O20" s="29"/>
      <c r="P20" s="29"/>
      <c r="Q20" s="332">
        <f t="shared" ref="Q20:Q61" si="4">+K20-K19</f>
        <v>9457</v>
      </c>
      <c r="R20" s="44"/>
      <c r="S20" s="7">
        <f>965+161</f>
        <v>1126</v>
      </c>
      <c r="T20" s="6"/>
      <c r="U20" s="243">
        <f t="shared" ref="U20:U52" si="5">+S20/K20</f>
        <v>1.5446028066228617E-2</v>
      </c>
      <c r="W20">
        <f t="shared" si="0"/>
        <v>10</v>
      </c>
      <c r="Z20" s="1"/>
      <c r="AA20" s="1"/>
      <c r="AB20" s="1"/>
      <c r="AC20" s="176"/>
      <c r="AD20" s="155"/>
      <c r="AE20" s="155"/>
      <c r="AF20" s="188"/>
      <c r="AG20" s="188"/>
      <c r="AH20" s="188"/>
      <c r="AI20" s="188"/>
      <c r="AJ20" s="188"/>
      <c r="AK20" s="205"/>
      <c r="AL20" s="98"/>
      <c r="AM20" s="78"/>
      <c r="AN20" s="78"/>
    </row>
    <row r="21" spans="3:41" ht="15" thickBot="1" x14ac:dyDescent="0.35">
      <c r="C21" s="157">
        <f t="shared" si="1"/>
        <v>43920</v>
      </c>
      <c r="E21" s="241">
        <v>66467</v>
      </c>
      <c r="F21" s="7"/>
      <c r="G21" s="7">
        <v>16636</v>
      </c>
      <c r="H21" s="7"/>
      <c r="I21" s="7"/>
      <c r="J21" s="7"/>
      <c r="K21" s="7">
        <f t="shared" si="2"/>
        <v>83103</v>
      </c>
      <c r="L21" s="6"/>
      <c r="M21" s="29">
        <f t="shared" si="3"/>
        <v>0.13997448524671122</v>
      </c>
      <c r="N21" s="29"/>
      <c r="O21" s="29"/>
      <c r="P21" s="29"/>
      <c r="Q21" s="332">
        <f t="shared" si="4"/>
        <v>10204</v>
      </c>
      <c r="R21" s="44"/>
      <c r="S21" s="7">
        <f>1218+198</f>
        <v>1416</v>
      </c>
      <c r="T21" s="6"/>
      <c r="U21" s="243">
        <f t="shared" si="5"/>
        <v>1.7039096061514023E-2</v>
      </c>
      <c r="W21">
        <f t="shared" si="0"/>
        <v>11</v>
      </c>
      <c r="Z21" s="1"/>
      <c r="AA21" s="1"/>
      <c r="AB21" s="1"/>
      <c r="AC21" s="176"/>
      <c r="AD21" s="207" t="s">
        <v>27</v>
      </c>
      <c r="AE21" s="155"/>
      <c r="AF21" s="208">
        <f>+AF19/'Main Table'!H767</f>
        <v>0.17344795401508009</v>
      </c>
      <c r="AG21" s="188"/>
      <c r="AH21" s="188"/>
      <c r="AI21" s="188"/>
      <c r="AJ21" s="208">
        <f>+AJ19/'Main Table'!AA767</f>
        <v>0.1990890693964521</v>
      </c>
      <c r="AK21" s="205"/>
      <c r="AL21" s="98"/>
      <c r="AM21" s="84"/>
      <c r="AN21" s="78"/>
    </row>
    <row r="22" spans="3:41" ht="15.6" thickTop="1" thickBot="1" x14ac:dyDescent="0.35">
      <c r="C22" s="157">
        <f t="shared" si="1"/>
        <v>43921</v>
      </c>
      <c r="E22" s="241">
        <v>75795</v>
      </c>
      <c r="F22" s="7"/>
      <c r="G22" s="7">
        <v>18696</v>
      </c>
      <c r="H22" s="7"/>
      <c r="I22" s="7"/>
      <c r="J22" s="7"/>
      <c r="K22" s="7">
        <f t="shared" si="2"/>
        <v>94491</v>
      </c>
      <c r="L22" s="6"/>
      <c r="M22" s="29">
        <f t="shared" si="3"/>
        <v>0.13703476408793908</v>
      </c>
      <c r="N22" s="29"/>
      <c r="O22" s="29"/>
      <c r="P22" s="29"/>
      <c r="Q22" s="332">
        <f t="shared" si="4"/>
        <v>11388</v>
      </c>
      <c r="R22" s="6"/>
      <c r="S22" s="7">
        <f>1550+267</f>
        <v>1817</v>
      </c>
      <c r="T22" s="6"/>
      <c r="U22" s="243">
        <f t="shared" si="5"/>
        <v>1.9229344593665005E-2</v>
      </c>
      <c r="W22">
        <f t="shared" si="0"/>
        <v>12</v>
      </c>
      <c r="Z22" s="1"/>
      <c r="AA22" s="1"/>
      <c r="AB22" s="1"/>
      <c r="AC22" s="181"/>
      <c r="AD22" s="209"/>
      <c r="AE22" s="182"/>
      <c r="AF22" s="210"/>
      <c r="AG22" s="211"/>
      <c r="AH22" s="211"/>
      <c r="AI22" s="211"/>
      <c r="AJ22" s="210"/>
      <c r="AK22" s="212"/>
      <c r="AL22" s="98"/>
      <c r="AM22" s="78"/>
      <c r="AN22" s="78"/>
    </row>
    <row r="23" spans="3:41" x14ac:dyDescent="0.3">
      <c r="C23" s="157">
        <f t="shared" si="1"/>
        <v>43922</v>
      </c>
      <c r="E23" s="241">
        <v>83712</v>
      </c>
      <c r="F23" s="7"/>
      <c r="G23" s="7">
        <v>22255</v>
      </c>
      <c r="H23" s="7"/>
      <c r="I23" s="7"/>
      <c r="J23" s="7"/>
      <c r="K23" s="7">
        <f t="shared" si="2"/>
        <v>105967</v>
      </c>
      <c r="L23" s="6"/>
      <c r="M23" s="29">
        <f t="shared" si="3"/>
        <v>0.12145072017440814</v>
      </c>
      <c r="N23" s="29"/>
      <c r="O23" s="29"/>
      <c r="P23" s="29"/>
      <c r="Q23" s="332">
        <f t="shared" si="4"/>
        <v>11476</v>
      </c>
      <c r="R23" s="6"/>
      <c r="S23" s="7">
        <f>1941+355</f>
        <v>2296</v>
      </c>
      <c r="T23" s="6"/>
      <c r="U23" s="243">
        <f t="shared" si="5"/>
        <v>2.1667122783508075E-2</v>
      </c>
      <c r="W23">
        <f t="shared" si="0"/>
        <v>13</v>
      </c>
      <c r="Z23" s="1"/>
      <c r="AA23" s="1"/>
      <c r="AB23" s="78"/>
      <c r="AC23" s="78"/>
      <c r="AD23" s="83"/>
      <c r="AE23" s="78"/>
      <c r="AF23" s="84"/>
      <c r="AG23" s="78"/>
      <c r="AH23" s="78"/>
      <c r="AI23" s="78"/>
      <c r="AJ23" s="78"/>
      <c r="AK23" s="78"/>
      <c r="AL23" s="84"/>
      <c r="AM23" s="78"/>
      <c r="AN23" s="78"/>
    </row>
    <row r="24" spans="3:41" ht="15" thickBot="1" x14ac:dyDescent="0.35">
      <c r="C24" s="157">
        <f t="shared" si="1"/>
        <v>43923</v>
      </c>
      <c r="E24" s="241">
        <v>92506</v>
      </c>
      <c r="F24" s="7"/>
      <c r="G24" s="7">
        <v>25590</v>
      </c>
      <c r="H24" s="7"/>
      <c r="I24" s="7"/>
      <c r="J24" s="7"/>
      <c r="K24" s="7">
        <f t="shared" si="2"/>
        <v>118096</v>
      </c>
      <c r="L24" s="6"/>
      <c r="M24" s="29">
        <f t="shared" si="3"/>
        <v>0.11446016212594487</v>
      </c>
      <c r="N24" s="29"/>
      <c r="O24" s="29"/>
      <c r="P24" s="29"/>
      <c r="Q24" s="332">
        <f t="shared" si="4"/>
        <v>12129</v>
      </c>
      <c r="R24" s="6"/>
      <c r="S24" s="7">
        <f>2373+537</f>
        <v>2910</v>
      </c>
      <c r="T24" s="6"/>
      <c r="U24" s="243">
        <f t="shared" si="5"/>
        <v>2.4640970058257688E-2</v>
      </c>
      <c r="W24">
        <f t="shared" si="0"/>
        <v>14</v>
      </c>
      <c r="Z24" s="1"/>
      <c r="AA24" s="1"/>
      <c r="AB24" s="78"/>
      <c r="AC24" s="78"/>
      <c r="AD24" s="83"/>
      <c r="AE24" s="78"/>
      <c r="AF24" s="78"/>
      <c r="AG24" s="78"/>
      <c r="AH24" s="78"/>
      <c r="AI24" s="78"/>
      <c r="AJ24" s="78"/>
      <c r="AK24" s="78"/>
      <c r="AL24" s="103"/>
      <c r="AN24" s="78"/>
      <c r="AO24" s="106"/>
    </row>
    <row r="25" spans="3:41" ht="15" thickBot="1" x14ac:dyDescent="0.35">
      <c r="C25" s="157">
        <f t="shared" si="1"/>
        <v>43924</v>
      </c>
      <c r="E25" s="241">
        <v>103060</v>
      </c>
      <c r="F25" s="7"/>
      <c r="G25" s="7">
        <v>29895</v>
      </c>
      <c r="H25" s="7"/>
      <c r="I25" s="7"/>
      <c r="J25" s="7"/>
      <c r="K25" s="7">
        <f t="shared" si="2"/>
        <v>132955</v>
      </c>
      <c r="L25" s="6"/>
      <c r="M25" s="29">
        <f t="shared" si="3"/>
        <v>0.12582136566860858</v>
      </c>
      <c r="N25" s="29"/>
      <c r="O25" s="29"/>
      <c r="P25" s="29"/>
      <c r="Q25" s="332">
        <f t="shared" si="4"/>
        <v>14859</v>
      </c>
      <c r="R25" s="6"/>
      <c r="S25" s="7">
        <f>2935+646</f>
        <v>3581</v>
      </c>
      <c r="T25" s="6"/>
      <c r="U25" s="243">
        <f t="shared" si="5"/>
        <v>2.6933925012222179E-2</v>
      </c>
      <c r="W25">
        <f t="shared" si="0"/>
        <v>15</v>
      </c>
      <c r="Z25" s="1"/>
      <c r="AA25" s="651" t="s">
        <v>120</v>
      </c>
      <c r="AB25" s="652"/>
      <c r="AC25" s="652"/>
      <c r="AD25" s="652"/>
      <c r="AE25" s="652"/>
      <c r="AF25" s="652"/>
      <c r="AG25" s="652"/>
      <c r="AH25" s="652"/>
      <c r="AI25" s="652"/>
      <c r="AJ25" s="652"/>
      <c r="AK25" s="653"/>
      <c r="AL25" s="142"/>
      <c r="AM25" s="142"/>
      <c r="AN25" s="78"/>
      <c r="AO25" s="106"/>
    </row>
    <row r="26" spans="3:41" x14ac:dyDescent="0.3">
      <c r="C26" s="157">
        <f t="shared" si="1"/>
        <v>43925</v>
      </c>
      <c r="E26" s="241">
        <v>113833</v>
      </c>
      <c r="F26" s="7"/>
      <c r="G26" s="7">
        <v>34124</v>
      </c>
      <c r="H26" s="7"/>
      <c r="I26" s="7"/>
      <c r="J26" s="7"/>
      <c r="K26" s="7">
        <f t="shared" si="2"/>
        <v>147957</v>
      </c>
      <c r="L26" s="6"/>
      <c r="M26" s="29">
        <f t="shared" si="3"/>
        <v>0.1128351697942913</v>
      </c>
      <c r="N26" s="29"/>
      <c r="O26" s="29"/>
      <c r="P26" s="29"/>
      <c r="Q26" s="332">
        <f t="shared" si="4"/>
        <v>15002</v>
      </c>
      <c r="R26" s="6"/>
      <c r="S26" s="7">
        <f>3565+846</f>
        <v>4411</v>
      </c>
      <c r="T26" s="6"/>
      <c r="U26" s="243">
        <f t="shared" si="5"/>
        <v>2.9812715856634021E-2</v>
      </c>
      <c r="W26">
        <f t="shared" si="0"/>
        <v>16</v>
      </c>
      <c r="Z26" s="1"/>
      <c r="AA26" s="172"/>
      <c r="AB26" s="173" t="s">
        <v>51</v>
      </c>
      <c r="AC26" s="174"/>
      <c r="AD26" s="173" t="s">
        <v>20</v>
      </c>
      <c r="AE26" s="174"/>
      <c r="AF26" s="173" t="s">
        <v>52</v>
      </c>
      <c r="AG26" s="174"/>
      <c r="AH26" s="173" t="s">
        <v>54</v>
      </c>
      <c r="AI26" s="174"/>
      <c r="AJ26" s="173" t="s">
        <v>53</v>
      </c>
      <c r="AK26" s="175"/>
      <c r="AL26" s="106"/>
      <c r="AM26" s="106"/>
      <c r="AN26" s="84"/>
      <c r="AO26" s="106"/>
    </row>
    <row r="27" spans="3:41" x14ac:dyDescent="0.3">
      <c r="C27" s="157">
        <f t="shared" si="1"/>
        <v>43926</v>
      </c>
      <c r="E27" s="241">
        <v>123160</v>
      </c>
      <c r="F27" s="7"/>
      <c r="G27" s="7">
        <v>37505</v>
      </c>
      <c r="H27" s="7"/>
      <c r="I27" s="7"/>
      <c r="J27" s="7"/>
      <c r="K27" s="7">
        <f t="shared" si="2"/>
        <v>160665</v>
      </c>
      <c r="L27" s="6"/>
      <c r="M27" s="29">
        <f t="shared" si="3"/>
        <v>8.5889819339402665E-2</v>
      </c>
      <c r="N27" s="29"/>
      <c r="O27" s="29"/>
      <c r="P27" s="29"/>
      <c r="Q27" s="332">
        <f t="shared" si="4"/>
        <v>12708</v>
      </c>
      <c r="R27" s="6"/>
      <c r="S27" s="7">
        <f>4150+914</f>
        <v>5064</v>
      </c>
      <c r="T27" s="6"/>
      <c r="U27" s="243">
        <f t="shared" si="5"/>
        <v>3.1518999159742322E-2</v>
      </c>
      <c r="W27">
        <f t="shared" si="0"/>
        <v>17</v>
      </c>
      <c r="Z27" s="1"/>
      <c r="AA27" s="176"/>
      <c r="AB27" s="155" t="s">
        <v>48</v>
      </c>
      <c r="AC27" s="155"/>
      <c r="AD27" s="155">
        <f>+E768</f>
        <v>5033233</v>
      </c>
      <c r="AE27" s="155"/>
      <c r="AF27" s="186">
        <v>25873</v>
      </c>
      <c r="AG27" s="155"/>
      <c r="AH27" s="177">
        <f>+AD27/AD$31</f>
        <v>0.5190023078189806</v>
      </c>
      <c r="AI27" s="177"/>
      <c r="AJ27" s="155">
        <f>+AF27*AH27</f>
        <v>13428.146710200484</v>
      </c>
      <c r="AK27" s="178"/>
      <c r="AL27" s="106"/>
      <c r="AM27" s="78"/>
      <c r="AN27" s="78"/>
      <c r="AO27" s="106"/>
    </row>
    <row r="28" spans="3:41" x14ac:dyDescent="0.3">
      <c r="C28" s="157">
        <f t="shared" si="1"/>
        <v>43927</v>
      </c>
      <c r="E28" s="241">
        <v>131560</v>
      </c>
      <c r="F28" s="7"/>
      <c r="G28" s="7">
        <v>41090</v>
      </c>
      <c r="H28" s="7"/>
      <c r="I28" s="7"/>
      <c r="J28" s="7"/>
      <c r="K28" s="7">
        <f t="shared" si="2"/>
        <v>172650</v>
      </c>
      <c r="L28" s="6"/>
      <c r="M28" s="29">
        <f t="shared" si="3"/>
        <v>7.4596209504247973E-2</v>
      </c>
      <c r="N28" s="29"/>
      <c r="O28" s="29"/>
      <c r="P28" s="29"/>
      <c r="Q28" s="332">
        <f t="shared" si="4"/>
        <v>11985</v>
      </c>
      <c r="R28" s="6"/>
      <c r="S28" s="7">
        <f>4758+1003</f>
        <v>5761</v>
      </c>
      <c r="T28" s="6"/>
      <c r="U28" s="243">
        <f t="shared" si="5"/>
        <v>3.3368085722560094E-2</v>
      </c>
      <c r="W28">
        <f t="shared" si="0"/>
        <v>18</v>
      </c>
      <c r="Z28" s="1"/>
      <c r="AA28" s="176"/>
      <c r="AB28" s="155" t="s">
        <v>49</v>
      </c>
      <c r="AC28" s="155"/>
      <c r="AD28" s="155">
        <f>+G768</f>
        <v>2213874</v>
      </c>
      <c r="AE28" s="155"/>
      <c r="AF28" s="186">
        <v>24925</v>
      </c>
      <c r="AG28" s="155"/>
      <c r="AH28" s="177">
        <f>+AD28/AD$31</f>
        <v>0.22828383172812344</v>
      </c>
      <c r="AI28" s="177"/>
      <c r="AJ28" s="155">
        <f>+AF28*AH28</f>
        <v>5689.9745058234766</v>
      </c>
      <c r="AK28" s="178"/>
      <c r="AL28" s="106"/>
      <c r="AM28" s="78"/>
      <c r="AN28" s="78"/>
      <c r="AO28" s="106"/>
    </row>
    <row r="29" spans="3:41" x14ac:dyDescent="0.3">
      <c r="C29" s="157">
        <f t="shared" si="1"/>
        <v>43928</v>
      </c>
      <c r="E29" s="241">
        <v>139876</v>
      </c>
      <c r="F29" s="7"/>
      <c r="G29" s="7">
        <f>44416</f>
        <v>44416</v>
      </c>
      <c r="H29" s="7"/>
      <c r="I29" s="7"/>
      <c r="J29" s="244" t="s">
        <v>38</v>
      </c>
      <c r="K29" s="7">
        <f t="shared" si="2"/>
        <v>184292</v>
      </c>
      <c r="L29" s="6"/>
      <c r="M29" s="29">
        <f t="shared" si="3"/>
        <v>6.7431219229655379E-2</v>
      </c>
      <c r="N29" s="29"/>
      <c r="O29" s="29"/>
      <c r="P29" s="29"/>
      <c r="Q29" s="332">
        <f t="shared" si="4"/>
        <v>11642</v>
      </c>
      <c r="R29" s="6"/>
      <c r="S29" s="7">
        <f>5489+1232+277</f>
        <v>6998</v>
      </c>
      <c r="T29" s="6"/>
      <c r="U29" s="243">
        <f t="shared" si="5"/>
        <v>3.7972348229982855E-2</v>
      </c>
      <c r="W29">
        <f t="shared" si="0"/>
        <v>19</v>
      </c>
      <c r="Z29" s="1"/>
      <c r="AA29" s="176"/>
      <c r="AB29" s="155" t="s">
        <v>50</v>
      </c>
      <c r="AC29" s="155"/>
      <c r="AD29" s="155">
        <f>+I768</f>
        <v>740894</v>
      </c>
      <c r="AE29" s="155"/>
      <c r="AF29" s="186">
        <v>20781</v>
      </c>
      <c r="AG29" s="155"/>
      <c r="AH29" s="177">
        <f>+AD29/AD$31</f>
        <v>7.6397356500133379E-2</v>
      </c>
      <c r="AI29" s="177"/>
      <c r="AJ29" s="155">
        <f>+AF29*AH29</f>
        <v>1587.6134654292719</v>
      </c>
      <c r="AK29" s="178"/>
      <c r="AL29" s="106"/>
      <c r="AM29" s="78"/>
      <c r="AN29" s="78"/>
      <c r="AO29" s="106"/>
    </row>
    <row r="30" spans="3:41" x14ac:dyDescent="0.3">
      <c r="C30" s="157">
        <f t="shared" si="1"/>
        <v>43929</v>
      </c>
      <c r="E30" s="241">
        <v>151069</v>
      </c>
      <c r="F30" s="7"/>
      <c r="G30" s="7">
        <f>47437</f>
        <v>47437</v>
      </c>
      <c r="H30" s="7"/>
      <c r="I30" s="7">
        <v>8781</v>
      </c>
      <c r="J30" s="244"/>
      <c r="K30" s="7">
        <f>SUM(E30:I30)</f>
        <v>207287</v>
      </c>
      <c r="L30" s="6"/>
      <c r="M30" s="29">
        <f t="shared" si="3"/>
        <v>0.12477481388231719</v>
      </c>
      <c r="N30" s="29"/>
      <c r="O30" s="29"/>
      <c r="P30" s="29"/>
      <c r="Q30" s="332">
        <f t="shared" si="4"/>
        <v>22995</v>
      </c>
      <c r="R30" s="6"/>
      <c r="S30" s="7">
        <f>6268+1504+335</f>
        <v>8107</v>
      </c>
      <c r="T30" s="6"/>
      <c r="U30" s="243">
        <f t="shared" si="5"/>
        <v>3.9110026195564605E-2</v>
      </c>
      <c r="W30">
        <f t="shared" si="0"/>
        <v>20</v>
      </c>
      <c r="Z30" s="1"/>
      <c r="AA30" s="172"/>
      <c r="AB30" s="155" t="s">
        <v>92</v>
      </c>
      <c r="AC30" s="237"/>
      <c r="AD30" s="155">
        <f>+AF17</f>
        <v>1709900</v>
      </c>
      <c r="AE30" s="237"/>
      <c r="AF30" s="155">
        <f>+AH17</f>
        <v>24808</v>
      </c>
      <c r="AG30" s="237"/>
      <c r="AH30" s="177">
        <f>+AD30/AD$31</f>
        <v>0.17631650395276255</v>
      </c>
      <c r="AI30" s="237"/>
      <c r="AJ30" s="155">
        <f>+AF30*AH30</f>
        <v>4374.0598300601332</v>
      </c>
      <c r="AK30" s="178"/>
      <c r="AL30" s="106"/>
      <c r="AM30" s="78"/>
      <c r="AN30" s="78"/>
      <c r="AO30" s="106"/>
    </row>
    <row r="31" spans="3:41" ht="15" thickBot="1" x14ac:dyDescent="0.35">
      <c r="C31" s="157">
        <f t="shared" si="1"/>
        <v>43930</v>
      </c>
      <c r="E31" s="241">
        <v>161790</v>
      </c>
      <c r="F31" s="7"/>
      <c r="G31" s="7">
        <f>51027</f>
        <v>51027</v>
      </c>
      <c r="H31" s="7"/>
      <c r="I31" s="7">
        <v>9784</v>
      </c>
      <c r="J31" s="244"/>
      <c r="K31" s="7">
        <f t="shared" ref="K31:K52" si="6">SUM(E31:I31)</f>
        <v>222601</v>
      </c>
      <c r="L31" s="6"/>
      <c r="M31" s="29">
        <f>+(K31-K30)/K30</f>
        <v>7.3878246103228851E-2</v>
      </c>
      <c r="N31" s="29"/>
      <c r="O31" s="29"/>
      <c r="P31" s="29"/>
      <c r="Q31" s="332">
        <f t="shared" si="4"/>
        <v>15314</v>
      </c>
      <c r="R31" s="6"/>
      <c r="S31" s="7">
        <f>7067+1209+380</f>
        <v>8656</v>
      </c>
      <c r="T31" s="6"/>
      <c r="U31" s="243">
        <f t="shared" si="5"/>
        <v>3.8885719291467696E-2</v>
      </c>
      <c r="W31">
        <f t="shared" si="0"/>
        <v>21</v>
      </c>
      <c r="Z31" s="1"/>
      <c r="AA31" s="176"/>
      <c r="AB31" s="155"/>
      <c r="AC31" s="155"/>
      <c r="AD31" s="179">
        <f>SUM(AD27:AD30)</f>
        <v>9697901</v>
      </c>
      <c r="AE31" s="155"/>
      <c r="AF31" s="155"/>
      <c r="AG31" s="155"/>
      <c r="AH31" s="180">
        <f>SUM(AH27:AH30)</f>
        <v>0.99999999999999989</v>
      </c>
      <c r="AI31" s="177"/>
      <c r="AJ31" s="179">
        <f>SUM(AJ27:AJ30)</f>
        <v>25079.794511513366</v>
      </c>
      <c r="AK31" s="178"/>
      <c r="AL31" s="106"/>
      <c r="AM31" s="78"/>
      <c r="AN31" s="78"/>
      <c r="AO31" s="106"/>
    </row>
    <row r="32" spans="3:41" ht="15.6" thickTop="1" thickBot="1" x14ac:dyDescent="0.35">
      <c r="C32" s="157">
        <f t="shared" si="1"/>
        <v>43931</v>
      </c>
      <c r="E32" s="241">
        <v>174481</v>
      </c>
      <c r="F32" s="7"/>
      <c r="G32" s="7">
        <f>54588</f>
        <v>54588</v>
      </c>
      <c r="H32" s="7"/>
      <c r="I32" s="7">
        <v>10538</v>
      </c>
      <c r="J32" s="244"/>
      <c r="K32" s="7">
        <f t="shared" si="6"/>
        <v>239607</v>
      </c>
      <c r="L32" s="6"/>
      <c r="M32" s="29">
        <f t="shared" ref="M32:M52" si="7">+(K32-K31)/K31</f>
        <v>7.6396781685616866E-2</v>
      </c>
      <c r="N32" s="29"/>
      <c r="O32" s="29"/>
      <c r="P32" s="29"/>
      <c r="Q32" s="332">
        <f t="shared" si="4"/>
        <v>17006</v>
      </c>
      <c r="R32" s="6"/>
      <c r="S32" s="7">
        <f>7884+1932+448</f>
        <v>10264</v>
      </c>
      <c r="T32" s="6"/>
      <c r="U32" s="243">
        <f t="shared" si="5"/>
        <v>4.2836811946228619E-2</v>
      </c>
      <c r="W32">
        <f t="shared" si="0"/>
        <v>22</v>
      </c>
      <c r="Z32" s="1"/>
      <c r="AA32" s="181"/>
      <c r="AB32" s="182"/>
      <c r="AC32" s="182"/>
      <c r="AD32" s="182"/>
      <c r="AE32" s="182"/>
      <c r="AF32" s="182"/>
      <c r="AG32" s="182"/>
      <c r="AH32" s="183"/>
      <c r="AI32" s="183"/>
      <c r="AJ32" s="184"/>
      <c r="AK32" s="185"/>
      <c r="AL32" s="106"/>
      <c r="AM32" s="78"/>
      <c r="AN32" s="78"/>
      <c r="AO32" s="106"/>
    </row>
    <row r="33" spans="3:40" x14ac:dyDescent="0.3">
      <c r="C33" s="157">
        <f t="shared" si="1"/>
        <v>43932</v>
      </c>
      <c r="E33" s="241">
        <v>181825</v>
      </c>
      <c r="F33" s="7"/>
      <c r="G33" s="7">
        <f>58151</f>
        <v>58151</v>
      </c>
      <c r="H33" s="7"/>
      <c r="I33" s="7">
        <v>11510</v>
      </c>
      <c r="J33" s="244"/>
      <c r="K33" s="7">
        <f t="shared" si="6"/>
        <v>251486</v>
      </c>
      <c r="L33" s="6"/>
      <c r="M33" s="29">
        <f t="shared" si="7"/>
        <v>4.9577015696536414E-2</v>
      </c>
      <c r="N33" s="29"/>
      <c r="O33" s="29"/>
      <c r="P33" s="29"/>
      <c r="Q33" s="332">
        <f t="shared" si="4"/>
        <v>11879</v>
      </c>
      <c r="R33" s="6"/>
      <c r="S33" s="7">
        <f>8650+2183+494</f>
        <v>11327</v>
      </c>
      <c r="T33" s="6"/>
      <c r="U33" s="243">
        <f t="shared" si="5"/>
        <v>4.5040280572278379E-2</v>
      </c>
      <c r="W33">
        <f t="shared" si="0"/>
        <v>23</v>
      </c>
    </row>
    <row r="34" spans="3:40" x14ac:dyDescent="0.3">
      <c r="C34" s="157">
        <f t="shared" si="1"/>
        <v>43933</v>
      </c>
      <c r="E34" s="241">
        <v>189033</v>
      </c>
      <c r="F34" s="7"/>
      <c r="G34" s="7">
        <f>61850</f>
        <v>61850</v>
      </c>
      <c r="H34" s="7"/>
      <c r="I34" s="7">
        <v>12035</v>
      </c>
      <c r="J34" s="244"/>
      <c r="K34" s="7">
        <f t="shared" si="6"/>
        <v>262918</v>
      </c>
      <c r="L34" s="6"/>
      <c r="M34" s="29">
        <f t="shared" si="7"/>
        <v>4.5457798843673208E-2</v>
      </c>
      <c r="N34" s="29"/>
      <c r="O34" s="29"/>
      <c r="P34" s="29"/>
      <c r="Q34" s="332">
        <f t="shared" si="4"/>
        <v>11432</v>
      </c>
      <c r="R34" s="6"/>
      <c r="S34" s="7">
        <f>9385+2350+554</f>
        <v>12289</v>
      </c>
      <c r="T34" s="6"/>
      <c r="U34" s="243">
        <f t="shared" si="5"/>
        <v>4.674080892141276E-2</v>
      </c>
      <c r="W34">
        <f t="shared" si="0"/>
        <v>24</v>
      </c>
    </row>
    <row r="35" spans="3:40" ht="15" thickBot="1" x14ac:dyDescent="0.35">
      <c r="C35" s="157">
        <f t="shared" si="1"/>
        <v>43934</v>
      </c>
      <c r="E35" s="241">
        <v>195749</v>
      </c>
      <c r="F35" s="7"/>
      <c r="G35" s="7">
        <f>64584</f>
        <v>64584</v>
      </c>
      <c r="H35" s="7"/>
      <c r="I35" s="7">
        <v>13381</v>
      </c>
      <c r="J35" s="244"/>
      <c r="K35" s="7">
        <f t="shared" si="6"/>
        <v>273714</v>
      </c>
      <c r="L35" s="6"/>
      <c r="M35" s="29">
        <f t="shared" si="7"/>
        <v>4.1062232330992932E-2</v>
      </c>
      <c r="N35" s="29"/>
      <c r="O35" s="29"/>
      <c r="P35" s="29"/>
      <c r="Q35" s="332">
        <f t="shared" si="4"/>
        <v>10796</v>
      </c>
      <c r="R35" s="6"/>
      <c r="S35" s="7">
        <f>10058+2443+602</f>
        <v>13103</v>
      </c>
      <c r="T35" s="6"/>
      <c r="U35" s="243">
        <f t="shared" si="5"/>
        <v>4.7871135564859668E-2</v>
      </c>
      <c r="W35">
        <f t="shared" si="0"/>
        <v>25</v>
      </c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78"/>
      <c r="AK35" s="78"/>
      <c r="AL35" s="78"/>
      <c r="AM35" s="78"/>
      <c r="AN35" s="78"/>
    </row>
    <row r="36" spans="3:40" ht="15" thickBot="1" x14ac:dyDescent="0.35">
      <c r="C36" s="157">
        <f t="shared" si="1"/>
        <v>43935</v>
      </c>
      <c r="E36" s="241">
        <v>203020</v>
      </c>
      <c r="F36" s="7"/>
      <c r="G36" s="7">
        <f>68824</f>
        <v>68824</v>
      </c>
      <c r="H36" s="7"/>
      <c r="I36" s="7">
        <v>13989</v>
      </c>
      <c r="J36" s="244"/>
      <c r="K36" s="7">
        <f t="shared" si="6"/>
        <v>285833</v>
      </c>
      <c r="L36" s="6"/>
      <c r="M36" s="29">
        <f t="shared" si="7"/>
        <v>4.4276142250670406E-2</v>
      </c>
      <c r="N36" s="29"/>
      <c r="O36" s="29"/>
      <c r="P36" s="29"/>
      <c r="Q36" s="332">
        <f t="shared" si="4"/>
        <v>12119</v>
      </c>
      <c r="R36" s="6"/>
      <c r="S36" s="7">
        <f>10842+2805+671+3778</f>
        <v>18096</v>
      </c>
      <c r="T36" s="6"/>
      <c r="U36" s="243">
        <f t="shared" si="5"/>
        <v>6.3309694821801543E-2</v>
      </c>
      <c r="W36">
        <f t="shared" si="0"/>
        <v>26</v>
      </c>
      <c r="Z36" s="1"/>
      <c r="AA36" s="646" t="s">
        <v>29</v>
      </c>
      <c r="AB36" s="647"/>
      <c r="AC36" s="647"/>
      <c r="AD36" s="647"/>
      <c r="AE36" s="647"/>
      <c r="AF36" s="647"/>
      <c r="AG36" s="647"/>
      <c r="AH36" s="647"/>
      <c r="AI36" s="648"/>
      <c r="AJ36" s="142"/>
      <c r="AK36" s="142"/>
      <c r="AL36" s="142"/>
      <c r="AM36" s="83"/>
      <c r="AN36" s="83"/>
    </row>
    <row r="37" spans="3:40" x14ac:dyDescent="0.3">
      <c r="C37" s="157">
        <f t="shared" si="1"/>
        <v>43936</v>
      </c>
      <c r="E37" s="241">
        <v>214639</v>
      </c>
      <c r="F37" s="7"/>
      <c r="G37" s="7">
        <f>71030</f>
        <v>71030</v>
      </c>
      <c r="H37" s="7"/>
      <c r="I37" s="7">
        <v>14755</v>
      </c>
      <c r="J37" s="244"/>
      <c r="K37" s="7">
        <f t="shared" si="6"/>
        <v>300424</v>
      </c>
      <c r="L37" s="6"/>
      <c r="M37" s="29">
        <f t="shared" si="7"/>
        <v>5.1047289851066879E-2</v>
      </c>
      <c r="N37" s="29"/>
      <c r="O37" s="29"/>
      <c r="P37" s="29"/>
      <c r="Q37" s="332">
        <f t="shared" si="4"/>
        <v>14591</v>
      </c>
      <c r="R37" s="6"/>
      <c r="S37" s="7">
        <f>11620+3156+868-145</f>
        <v>15499</v>
      </c>
      <c r="T37" s="6"/>
      <c r="U37" s="243">
        <f t="shared" si="5"/>
        <v>5.1590418874657151E-2</v>
      </c>
      <c r="W37">
        <f t="shared" si="0"/>
        <v>27</v>
      </c>
      <c r="Z37" s="1"/>
      <c r="AA37" s="79"/>
      <c r="AB37" s="90"/>
      <c r="AC37" s="90"/>
      <c r="AD37" s="90"/>
      <c r="AE37" s="90"/>
      <c r="AF37" s="163" t="s">
        <v>28</v>
      </c>
      <c r="AG37" s="151"/>
      <c r="AH37" s="87" t="s">
        <v>32</v>
      </c>
      <c r="AI37" s="99"/>
      <c r="AJ37" s="97"/>
      <c r="AK37" s="97"/>
      <c r="AL37" s="98"/>
      <c r="AM37" s="95"/>
      <c r="AN37" s="95"/>
    </row>
    <row r="38" spans="3:40" x14ac:dyDescent="0.3">
      <c r="C38" s="157">
        <f t="shared" si="1"/>
        <v>43937</v>
      </c>
      <c r="E38" s="241">
        <v>223691</v>
      </c>
      <c r="F38" s="7"/>
      <c r="G38" s="7">
        <f>75317</f>
        <v>75317</v>
      </c>
      <c r="H38" s="7"/>
      <c r="I38" s="7">
        <v>15884</v>
      </c>
      <c r="J38" s="244"/>
      <c r="K38" s="7">
        <f t="shared" si="6"/>
        <v>314892</v>
      </c>
      <c r="L38" s="6"/>
      <c r="M38" s="29">
        <f t="shared" si="7"/>
        <v>4.8158602508454718E-2</v>
      </c>
      <c r="N38" s="29"/>
      <c r="O38" s="29"/>
      <c r="P38" s="29"/>
      <c r="Q38" s="332">
        <f t="shared" si="4"/>
        <v>14468</v>
      </c>
      <c r="R38" s="6"/>
      <c r="S38" s="7">
        <f>14832+3518+446</f>
        <v>18796</v>
      </c>
      <c r="T38" s="6"/>
      <c r="U38" s="243">
        <f t="shared" si="5"/>
        <v>5.9690306517790226E-2</v>
      </c>
      <c r="W38">
        <f t="shared" si="0"/>
        <v>28</v>
      </c>
      <c r="Z38" s="1"/>
      <c r="AA38" s="79"/>
      <c r="AB38" s="90" t="s">
        <v>36</v>
      </c>
      <c r="AC38" s="90"/>
      <c r="AD38" s="90"/>
      <c r="AE38" s="90"/>
      <c r="AF38" s="152">
        <v>20100000</v>
      </c>
      <c r="AG38" s="151"/>
      <c r="AH38" s="88">
        <f>+AF38/AF$43</f>
        <v>6.0909090909090906E-2</v>
      </c>
      <c r="AI38" s="99"/>
      <c r="AJ38" s="97"/>
      <c r="AK38" s="97"/>
      <c r="AL38" s="98"/>
      <c r="AM38" s="96"/>
      <c r="AN38" s="96"/>
    </row>
    <row r="39" spans="3:40" x14ac:dyDescent="0.3">
      <c r="C39" s="157">
        <f t="shared" si="1"/>
        <v>43938</v>
      </c>
      <c r="E39" s="241">
        <v>230597</v>
      </c>
      <c r="F39" s="7"/>
      <c r="G39" s="7">
        <f>78467</f>
        <v>78467</v>
      </c>
      <c r="H39" s="7"/>
      <c r="I39" s="7">
        <v>16809</v>
      </c>
      <c r="J39" s="244"/>
      <c r="K39" s="7">
        <f t="shared" si="6"/>
        <v>325873</v>
      </c>
      <c r="L39" s="6"/>
      <c r="M39" s="29">
        <f t="shared" si="7"/>
        <v>3.4872273668432353E-2</v>
      </c>
      <c r="N39" s="29"/>
      <c r="O39" s="29"/>
      <c r="P39" s="29"/>
      <c r="Q39" s="332">
        <f t="shared" si="4"/>
        <v>10981</v>
      </c>
      <c r="R39" s="6"/>
      <c r="S39" s="7">
        <f>17131+3840+1036</f>
        <v>22007</v>
      </c>
      <c r="T39" s="6"/>
      <c r="U39" s="243">
        <f t="shared" si="5"/>
        <v>6.7532443620674315E-2</v>
      </c>
      <c r="W39">
        <f t="shared" si="0"/>
        <v>29</v>
      </c>
      <c r="Z39" s="74"/>
      <c r="AA39" s="79"/>
      <c r="AB39" s="90" t="s">
        <v>56</v>
      </c>
      <c r="AC39" s="90"/>
      <c r="AD39" s="90"/>
      <c r="AE39" s="90"/>
      <c r="AF39" s="151">
        <v>4900000</v>
      </c>
      <c r="AG39" s="151"/>
      <c r="AH39" s="88">
        <f>+AF39/AF$43</f>
        <v>1.4848484848484849E-2</v>
      </c>
      <c r="AI39" s="164"/>
      <c r="AJ39" s="162"/>
      <c r="AK39" s="162"/>
      <c r="AL39" s="98"/>
      <c r="AM39" s="96"/>
      <c r="AN39" s="96"/>
    </row>
    <row r="40" spans="3:40" x14ac:dyDescent="0.3">
      <c r="C40" s="289">
        <f t="shared" si="1"/>
        <v>43939</v>
      </c>
      <c r="D40" s="98"/>
      <c r="E40" s="241">
        <v>238767</v>
      </c>
      <c r="F40" s="7"/>
      <c r="G40" s="7">
        <f>81420</f>
        <v>81420</v>
      </c>
      <c r="H40" s="7"/>
      <c r="I40" s="7">
        <v>17550</v>
      </c>
      <c r="J40" s="244"/>
      <c r="K40" s="7">
        <f t="shared" si="6"/>
        <v>337737</v>
      </c>
      <c r="L40" s="6"/>
      <c r="M40" s="29">
        <f t="shared" si="7"/>
        <v>3.6406821062192937E-2</v>
      </c>
      <c r="N40" s="29"/>
      <c r="O40" s="29"/>
      <c r="P40" s="29"/>
      <c r="Q40" s="332">
        <f t="shared" si="4"/>
        <v>11864</v>
      </c>
      <c r="R40" s="6"/>
      <c r="S40" s="7">
        <f>17671+4070+1086</f>
        <v>22827</v>
      </c>
      <c r="T40" s="6"/>
      <c r="U40" s="243">
        <f t="shared" si="5"/>
        <v>6.7588093694205847E-2</v>
      </c>
      <c r="V40" s="98"/>
      <c r="W40" s="98">
        <f t="shared" si="0"/>
        <v>30</v>
      </c>
      <c r="Z40" s="74"/>
      <c r="AA40" s="79"/>
      <c r="AB40" s="90" t="s">
        <v>78</v>
      </c>
      <c r="AC40" s="90"/>
      <c r="AD40" s="90"/>
      <c r="AE40" s="90"/>
      <c r="AF40" s="151">
        <v>6000000</v>
      </c>
      <c r="AG40" s="151"/>
      <c r="AH40" s="88">
        <f>+AF40/AF$43</f>
        <v>1.8181818181818181E-2</v>
      </c>
      <c r="AI40" s="99"/>
      <c r="AJ40" s="97"/>
      <c r="AK40" s="97"/>
      <c r="AL40" s="98"/>
      <c r="AM40" s="96"/>
      <c r="AN40" s="96"/>
    </row>
    <row r="41" spans="3:40" ht="15" thickBot="1" x14ac:dyDescent="0.35">
      <c r="C41" s="157">
        <f t="shared" si="1"/>
        <v>43940</v>
      </c>
      <c r="E41" s="241">
        <v>242570</v>
      </c>
      <c r="F41" s="7"/>
      <c r="G41" s="7">
        <f>85301</f>
        <v>85301</v>
      </c>
      <c r="H41" s="7"/>
      <c r="I41" s="7">
        <v>17550</v>
      </c>
      <c r="J41" s="244"/>
      <c r="K41" s="7">
        <f t="shared" si="6"/>
        <v>345421</v>
      </c>
      <c r="L41" s="6"/>
      <c r="M41" s="29">
        <f t="shared" si="7"/>
        <v>2.2751430847079236E-2</v>
      </c>
      <c r="N41" s="29"/>
      <c r="O41" s="29"/>
      <c r="P41" s="29"/>
      <c r="Q41" s="332">
        <f t="shared" si="4"/>
        <v>7684</v>
      </c>
      <c r="R41" s="6"/>
      <c r="S41" s="7">
        <f>17428+4362+1086</f>
        <v>22876</v>
      </c>
      <c r="T41" s="6"/>
      <c r="U41" s="243">
        <f t="shared" si="5"/>
        <v>6.6226430935003952E-2</v>
      </c>
      <c r="W41">
        <f t="shared" si="0"/>
        <v>31</v>
      </c>
      <c r="Z41" s="74"/>
      <c r="AA41" s="79"/>
      <c r="AB41" s="151" t="s">
        <v>31</v>
      </c>
      <c r="AC41" s="151"/>
      <c r="AD41" s="151"/>
      <c r="AE41" s="151"/>
      <c r="AF41" s="150">
        <f>SUM(AF38:AG40)</f>
        <v>31000000</v>
      </c>
      <c r="AG41" s="151"/>
      <c r="AH41" s="89">
        <f>+AF41/AF43</f>
        <v>9.3939393939393934E-2</v>
      </c>
      <c r="AI41" s="99"/>
      <c r="AJ41" s="97"/>
      <c r="AK41" s="97"/>
      <c r="AL41" s="98"/>
      <c r="AM41" s="96"/>
      <c r="AN41" s="96"/>
    </row>
    <row r="42" spans="3:40" ht="15" thickTop="1" x14ac:dyDescent="0.3">
      <c r="C42" s="157">
        <f t="shared" si="1"/>
        <v>43941</v>
      </c>
      <c r="E42" s="241">
        <v>253060</v>
      </c>
      <c r="F42" s="7"/>
      <c r="G42" s="7">
        <f>88722</f>
        <v>88722</v>
      </c>
      <c r="H42" s="7"/>
      <c r="I42" s="7">
        <v>19815</v>
      </c>
      <c r="J42" s="244"/>
      <c r="K42" s="7">
        <f t="shared" si="6"/>
        <v>361597</v>
      </c>
      <c r="L42" s="6"/>
      <c r="M42" s="29">
        <f t="shared" si="7"/>
        <v>4.6829810578974645E-2</v>
      </c>
      <c r="N42" s="29"/>
      <c r="O42" s="29"/>
      <c r="P42" s="29"/>
      <c r="Q42" s="332">
        <f t="shared" si="4"/>
        <v>16176</v>
      </c>
      <c r="R42" s="6"/>
      <c r="S42" s="7">
        <f>18611+4496+1331</f>
        <v>24438</v>
      </c>
      <c r="T42" s="6"/>
      <c r="U42" s="243">
        <f t="shared" si="5"/>
        <v>6.7583525305796227E-2</v>
      </c>
      <c r="W42">
        <f t="shared" si="0"/>
        <v>32</v>
      </c>
      <c r="Z42" s="1"/>
      <c r="AA42" s="79"/>
      <c r="AB42" s="90"/>
      <c r="AC42" s="90"/>
      <c r="AD42" s="90"/>
      <c r="AE42" s="90"/>
      <c r="AF42" s="90"/>
      <c r="AG42" s="90"/>
      <c r="AH42" s="90"/>
      <c r="AI42" s="99"/>
      <c r="AJ42" s="97"/>
      <c r="AK42" s="97"/>
      <c r="AL42" s="98"/>
      <c r="AM42" s="97"/>
      <c r="AN42" s="97"/>
    </row>
    <row r="43" spans="3:40" ht="15" thickBot="1" x14ac:dyDescent="0.35">
      <c r="C43" s="158">
        <f t="shared" si="1"/>
        <v>43942</v>
      </c>
      <c r="E43" s="241">
        <v>258361</v>
      </c>
      <c r="F43" s="7"/>
      <c r="G43" s="7">
        <f>92387</f>
        <v>92387</v>
      </c>
      <c r="H43" s="7"/>
      <c r="I43" s="7">
        <v>20360</v>
      </c>
      <c r="J43" s="244"/>
      <c r="K43" s="7">
        <f t="shared" si="6"/>
        <v>371108</v>
      </c>
      <c r="L43" s="6"/>
      <c r="M43" s="29">
        <f t="shared" si="7"/>
        <v>2.6302762467608969E-2</v>
      </c>
      <c r="N43" s="29"/>
      <c r="O43" s="29"/>
      <c r="P43" s="29"/>
      <c r="Q43" s="332">
        <f t="shared" si="4"/>
        <v>9511</v>
      </c>
      <c r="R43" s="6"/>
      <c r="S43" s="7">
        <f>18821+4520+1423</f>
        <v>24764</v>
      </c>
      <c r="T43" s="6"/>
      <c r="U43" s="243">
        <f t="shared" si="5"/>
        <v>6.672990072970672E-2</v>
      </c>
      <c r="W43">
        <f t="shared" si="0"/>
        <v>33</v>
      </c>
      <c r="Z43" s="1"/>
      <c r="AA43" s="79"/>
      <c r="AB43" s="90" t="s">
        <v>39</v>
      </c>
      <c r="AC43" s="90"/>
      <c r="AD43" s="90"/>
      <c r="AE43" s="90"/>
      <c r="AF43" s="150">
        <v>330000000</v>
      </c>
      <c r="AG43" s="151"/>
      <c r="AH43" s="160"/>
      <c r="AI43" s="99"/>
      <c r="AJ43" s="97"/>
      <c r="AK43" s="97"/>
      <c r="AL43" s="97"/>
      <c r="AM43" s="97"/>
      <c r="AN43" s="97"/>
    </row>
    <row r="44" spans="3:40" ht="15.6" thickTop="1" thickBot="1" x14ac:dyDescent="0.35">
      <c r="C44" s="158">
        <f t="shared" si="1"/>
        <v>43943</v>
      </c>
      <c r="E44" s="241">
        <v>263292</v>
      </c>
      <c r="F44" s="7"/>
      <c r="G44" s="7">
        <f>95418</f>
        <v>95418</v>
      </c>
      <c r="H44" s="7"/>
      <c r="I44" s="7">
        <v>22469</v>
      </c>
      <c r="J44" s="244"/>
      <c r="K44" s="7">
        <f t="shared" si="6"/>
        <v>381179</v>
      </c>
      <c r="L44" s="6"/>
      <c r="M44" s="29">
        <f t="shared" si="7"/>
        <v>2.7137652650980306E-2</v>
      </c>
      <c r="N44" s="29"/>
      <c r="O44" s="29"/>
      <c r="P44" s="29"/>
      <c r="Q44" s="332">
        <f t="shared" si="4"/>
        <v>10071</v>
      </c>
      <c r="R44" s="6"/>
      <c r="S44" s="7">
        <f>19413+5129+1544</f>
        <v>26086</v>
      </c>
      <c r="T44" s="6"/>
      <c r="U44" s="243">
        <f t="shared" si="5"/>
        <v>6.8435039705755041E-2</v>
      </c>
      <c r="W44">
        <f t="shared" si="0"/>
        <v>34</v>
      </c>
      <c r="Z44" s="1"/>
      <c r="AA44" s="80"/>
      <c r="AB44" s="91"/>
      <c r="AC44" s="91"/>
      <c r="AD44" s="91"/>
      <c r="AE44" s="91"/>
      <c r="AF44" s="91"/>
      <c r="AG44" s="91"/>
      <c r="AH44" s="165"/>
      <c r="AI44" s="100"/>
      <c r="AJ44" s="97"/>
      <c r="AK44" s="97"/>
      <c r="AL44" s="97"/>
      <c r="AM44" s="97"/>
      <c r="AN44" s="97"/>
    </row>
    <row r="45" spans="3:40" x14ac:dyDescent="0.3">
      <c r="C45" s="158">
        <f t="shared" si="1"/>
        <v>43944</v>
      </c>
      <c r="E45" s="241">
        <v>271145</v>
      </c>
      <c r="F45" s="7"/>
      <c r="G45" s="7">
        <f>99989</f>
        <v>99989</v>
      </c>
      <c r="H45" s="7"/>
      <c r="I45" s="7">
        <v>23128</v>
      </c>
      <c r="J45" s="244"/>
      <c r="K45" s="7">
        <f t="shared" si="6"/>
        <v>394262</v>
      </c>
      <c r="L45" s="6"/>
      <c r="M45" s="29">
        <f t="shared" si="7"/>
        <v>3.4322457428137436E-2</v>
      </c>
      <c r="N45" s="29"/>
      <c r="O45" s="29"/>
      <c r="P45" s="29"/>
      <c r="Q45" s="332">
        <f t="shared" si="4"/>
        <v>13083</v>
      </c>
      <c r="R45" s="6"/>
      <c r="S45" s="7">
        <f>20971+5426+1637</f>
        <v>28034</v>
      </c>
      <c r="T45" s="6"/>
      <c r="U45" s="243">
        <f t="shared" si="5"/>
        <v>7.110500124282837E-2</v>
      </c>
      <c r="W45">
        <f t="shared" si="0"/>
        <v>35</v>
      </c>
      <c r="AG45" s="106"/>
      <c r="AJ45" s="98"/>
      <c r="AK45" s="98"/>
      <c r="AL45" s="98"/>
      <c r="AM45" s="98"/>
      <c r="AN45" s="98"/>
    </row>
    <row r="46" spans="3:40" x14ac:dyDescent="0.3">
      <c r="C46" s="158">
        <f t="shared" si="1"/>
        <v>43945</v>
      </c>
      <c r="E46" s="241">
        <v>271590</v>
      </c>
      <c r="F46" s="7"/>
      <c r="G46" s="7">
        <f>100025</f>
        <v>100025</v>
      </c>
      <c r="H46" s="7"/>
      <c r="I46" s="7">
        <v>23936</v>
      </c>
      <c r="J46" s="244"/>
      <c r="K46" s="7">
        <f t="shared" si="6"/>
        <v>395551</v>
      </c>
      <c r="L46" s="6"/>
      <c r="M46" s="431">
        <f t="shared" si="7"/>
        <v>3.2693995363489254E-3</v>
      </c>
      <c r="N46" s="29"/>
      <c r="O46" s="29"/>
      <c r="P46" s="29"/>
      <c r="Q46" s="332">
        <f t="shared" si="4"/>
        <v>1289</v>
      </c>
      <c r="R46" s="6"/>
      <c r="S46" s="7">
        <f>21349+5426+1767</f>
        <v>28542</v>
      </c>
      <c r="T46" s="6"/>
      <c r="U46" s="243">
        <f t="shared" si="5"/>
        <v>7.2157572601257491E-2</v>
      </c>
      <c r="W46">
        <f t="shared" si="0"/>
        <v>36</v>
      </c>
      <c r="AJ46" s="98"/>
      <c r="AK46" s="98"/>
      <c r="AL46" s="98"/>
      <c r="AM46" s="98"/>
      <c r="AN46" s="98"/>
    </row>
    <row r="47" spans="3:40" x14ac:dyDescent="0.3">
      <c r="C47" s="158">
        <f t="shared" si="1"/>
        <v>43946</v>
      </c>
      <c r="E47" s="241">
        <v>282143</v>
      </c>
      <c r="F47" s="7"/>
      <c r="G47" s="7">
        <f>105498</f>
        <v>105498</v>
      </c>
      <c r="H47" s="7"/>
      <c r="I47" s="7">
        <v>24583</v>
      </c>
      <c r="J47" s="244"/>
      <c r="K47" s="7">
        <f t="shared" si="6"/>
        <v>412224</v>
      </c>
      <c r="L47" s="6"/>
      <c r="M47" s="29">
        <f t="shared" si="7"/>
        <v>4.2151328147318548E-2</v>
      </c>
      <c r="N47" s="29"/>
      <c r="O47" s="29"/>
      <c r="P47" s="29"/>
      <c r="Q47" s="332">
        <f t="shared" si="4"/>
        <v>16673</v>
      </c>
      <c r="R47" s="6"/>
      <c r="S47" s="7">
        <f>22009+5914+1865</f>
        <v>29788</v>
      </c>
      <c r="T47" s="6"/>
      <c r="U47" s="243">
        <f t="shared" si="5"/>
        <v>7.2261682968483149E-2</v>
      </c>
      <c r="W47">
        <f t="shared" si="0"/>
        <v>37</v>
      </c>
    </row>
    <row r="48" spans="3:40" x14ac:dyDescent="0.3">
      <c r="C48" s="158">
        <f t="shared" si="1"/>
        <v>43947</v>
      </c>
      <c r="E48" s="241">
        <v>288045</v>
      </c>
      <c r="F48" s="7"/>
      <c r="G48" s="7">
        <f>109038</f>
        <v>109038</v>
      </c>
      <c r="H48" s="7"/>
      <c r="I48" s="7">
        <v>25269</v>
      </c>
      <c r="J48" s="244"/>
      <c r="K48" s="7">
        <f t="shared" si="6"/>
        <v>422352</v>
      </c>
      <c r="L48" s="6"/>
      <c r="M48" s="29">
        <f t="shared" si="7"/>
        <v>2.456916627852818E-2</v>
      </c>
      <c r="N48" s="29"/>
      <c r="O48" s="29"/>
      <c r="P48" s="29"/>
      <c r="Q48" s="332">
        <f t="shared" si="4"/>
        <v>10128</v>
      </c>
      <c r="R48" s="6"/>
      <c r="S48" s="7">
        <f>22269+5938+1924</f>
        <v>30131</v>
      </c>
      <c r="T48" s="6"/>
      <c r="U48" s="243">
        <f t="shared" si="5"/>
        <v>7.134096677652764E-2</v>
      </c>
      <c r="W48">
        <f t="shared" si="0"/>
        <v>38</v>
      </c>
      <c r="AF48" s="56"/>
    </row>
    <row r="49" spans="3:36" x14ac:dyDescent="0.3">
      <c r="C49" s="158">
        <f t="shared" si="1"/>
        <v>43948</v>
      </c>
      <c r="E49" s="241">
        <v>291996</v>
      </c>
      <c r="F49" s="7"/>
      <c r="G49" s="7">
        <f>111188</f>
        <v>111188</v>
      </c>
      <c r="H49" s="7"/>
      <c r="I49" s="7">
        <v>25269</v>
      </c>
      <c r="J49" s="244"/>
      <c r="K49" s="7">
        <f t="shared" si="6"/>
        <v>428453</v>
      </c>
      <c r="L49" s="6"/>
      <c r="M49" s="29">
        <f t="shared" si="7"/>
        <v>1.4445296814031897E-2</v>
      </c>
      <c r="N49" s="29"/>
      <c r="O49" s="29"/>
      <c r="P49" s="29"/>
      <c r="Q49" s="332">
        <f t="shared" si="4"/>
        <v>6101</v>
      </c>
      <c r="R49" s="6"/>
      <c r="S49" s="7">
        <f>22668+6044+1924</f>
        <v>30636</v>
      </c>
      <c r="T49" s="6"/>
      <c r="U49" s="243">
        <f t="shared" si="5"/>
        <v>7.1503758872034973E-2</v>
      </c>
      <c r="W49">
        <f t="shared" si="0"/>
        <v>39</v>
      </c>
      <c r="AD49" s="1">
        <f>+'Main Table'!AA767</f>
        <v>887005</v>
      </c>
      <c r="AJ49" s="56">
        <f>+AJ19</f>
        <v>176593</v>
      </c>
    </row>
    <row r="50" spans="3:36" x14ac:dyDescent="0.3">
      <c r="C50" s="158">
        <f t="shared" si="1"/>
        <v>43949</v>
      </c>
      <c r="E50" s="241">
        <v>295106</v>
      </c>
      <c r="F50" s="7"/>
      <c r="G50" s="7">
        <f>113856</f>
        <v>113856</v>
      </c>
      <c r="H50" s="7"/>
      <c r="I50" s="7">
        <v>26312</v>
      </c>
      <c r="J50" s="244"/>
      <c r="K50" s="7">
        <f t="shared" si="6"/>
        <v>435274</v>
      </c>
      <c r="L50" s="6"/>
      <c r="M50" s="29">
        <f t="shared" si="7"/>
        <v>1.5920065911546891E-2</v>
      </c>
      <c r="N50" s="29"/>
      <c r="O50" s="29"/>
      <c r="P50" s="29"/>
      <c r="Q50" s="332">
        <f t="shared" si="4"/>
        <v>6821</v>
      </c>
      <c r="R50" s="6"/>
      <c r="S50" s="7">
        <f>22912+6442+2087</f>
        <v>31441</v>
      </c>
      <c r="T50" s="6"/>
      <c r="U50" s="243">
        <f t="shared" si="5"/>
        <v>7.223266264467898E-2</v>
      </c>
      <c r="W50">
        <f t="shared" si="0"/>
        <v>40</v>
      </c>
      <c r="AD50" s="56">
        <f>+AJ19</f>
        <v>176593</v>
      </c>
      <c r="AF50" s="231"/>
    </row>
    <row r="51" spans="3:36" x14ac:dyDescent="0.3">
      <c r="C51" s="157">
        <f t="shared" si="1"/>
        <v>43950</v>
      </c>
      <c r="E51" s="241">
        <v>299691</v>
      </c>
      <c r="F51" s="7"/>
      <c r="G51" s="7">
        <f>116365</f>
        <v>116365</v>
      </c>
      <c r="H51" s="7"/>
      <c r="I51" s="7">
        <v>26751</v>
      </c>
      <c r="J51" s="244"/>
      <c r="K51" s="7">
        <f t="shared" si="6"/>
        <v>442807</v>
      </c>
      <c r="L51" s="6"/>
      <c r="M51" s="29">
        <f t="shared" si="7"/>
        <v>1.7306340374109181E-2</v>
      </c>
      <c r="N51" s="29"/>
      <c r="O51" s="29"/>
      <c r="P51" s="29"/>
      <c r="Q51" s="332">
        <f t="shared" si="4"/>
        <v>7533</v>
      </c>
      <c r="R51" s="6"/>
      <c r="S51" s="7">
        <f>23477+6711+2169</f>
        <v>32357</v>
      </c>
      <c r="T51" s="6"/>
      <c r="U51" s="243">
        <f t="shared" si="5"/>
        <v>7.3072467237419461E-2</v>
      </c>
      <c r="W51">
        <f t="shared" si="0"/>
        <v>41</v>
      </c>
      <c r="AD51" s="56">
        <f>+AD49-AD50</f>
        <v>710412</v>
      </c>
    </row>
    <row r="52" spans="3:36" x14ac:dyDescent="0.3">
      <c r="C52" s="157">
        <f t="shared" si="1"/>
        <v>43951</v>
      </c>
      <c r="E52" s="241">
        <v>304372</v>
      </c>
      <c r="F52" s="7"/>
      <c r="G52" s="7">
        <v>118652</v>
      </c>
      <c r="H52" s="7"/>
      <c r="I52" s="7">
        <v>27700</v>
      </c>
      <c r="J52" s="244"/>
      <c r="K52" s="7">
        <f t="shared" si="6"/>
        <v>450724</v>
      </c>
      <c r="L52" s="6"/>
      <c r="M52" s="29">
        <f t="shared" si="7"/>
        <v>1.7879121152104643E-2</v>
      </c>
      <c r="N52" s="29"/>
      <c r="O52" s="29"/>
      <c r="P52" s="29"/>
      <c r="Q52" s="332">
        <f t="shared" si="4"/>
        <v>7917</v>
      </c>
      <c r="R52" s="6"/>
      <c r="S52" s="7">
        <f>23545+7228+2257</f>
        <v>33030</v>
      </c>
      <c r="T52" s="6"/>
      <c r="U52" s="243">
        <f t="shared" si="5"/>
        <v>7.3282097247983249E-2</v>
      </c>
      <c r="W52">
        <f t="shared" si="0"/>
        <v>42</v>
      </c>
      <c r="AD52">
        <v>0.42</v>
      </c>
    </row>
    <row r="53" spans="3:36" x14ac:dyDescent="0.3">
      <c r="C53" s="157">
        <f t="shared" si="1"/>
        <v>43952</v>
      </c>
      <c r="E53" s="241">
        <v>308314</v>
      </c>
      <c r="F53" s="7"/>
      <c r="G53" s="7">
        <v>121190</v>
      </c>
      <c r="H53" s="7"/>
      <c r="I53" s="7">
        <v>28855</v>
      </c>
      <c r="J53" s="244"/>
      <c r="K53" s="7">
        <f t="shared" ref="K53:K65" si="8">SUM(E53:I53)</f>
        <v>458359</v>
      </c>
      <c r="L53" s="6"/>
      <c r="M53" s="29">
        <f t="shared" ref="M53:M65" si="9">+(K53-K52)/K52</f>
        <v>1.6939413033253164E-2</v>
      </c>
      <c r="N53" s="29"/>
      <c r="O53" s="29"/>
      <c r="P53" s="29"/>
      <c r="Q53" s="332">
        <f t="shared" si="4"/>
        <v>7635</v>
      </c>
      <c r="R53" s="6"/>
      <c r="S53" s="7">
        <f>23981+7538+2341</f>
        <v>33860</v>
      </c>
      <c r="T53" s="6"/>
      <c r="U53" s="243">
        <f t="shared" ref="U53:U65" si="10">+S53/K53</f>
        <v>7.3872226791663304E-2</v>
      </c>
      <c r="W53">
        <f t="shared" si="0"/>
        <v>43</v>
      </c>
      <c r="AD53" s="1">
        <f>+AD51*AD52</f>
        <v>298373.03999999998</v>
      </c>
    </row>
    <row r="54" spans="3:36" x14ac:dyDescent="0.3">
      <c r="C54" s="157">
        <f t="shared" si="1"/>
        <v>43953</v>
      </c>
      <c r="E54" s="241">
        <v>312977</v>
      </c>
      <c r="F54" s="7"/>
      <c r="G54" s="7">
        <v>123717</v>
      </c>
      <c r="H54" s="7"/>
      <c r="I54" s="7">
        <v>29346</v>
      </c>
      <c r="J54" s="244"/>
      <c r="K54" s="7">
        <f t="shared" si="8"/>
        <v>466040</v>
      </c>
      <c r="L54" s="6"/>
      <c r="M54" s="29">
        <f t="shared" si="9"/>
        <v>1.6757607028551856E-2</v>
      </c>
      <c r="N54" s="29"/>
      <c r="O54" s="29"/>
      <c r="P54" s="29"/>
      <c r="Q54" s="332">
        <f t="shared" si="4"/>
        <v>7681</v>
      </c>
      <c r="R54" s="6"/>
      <c r="S54" s="7">
        <f>24198+7742+2437</f>
        <v>34377</v>
      </c>
      <c r="T54" s="6"/>
      <c r="U54" s="243">
        <f t="shared" si="10"/>
        <v>7.3764054587589042E-2</v>
      </c>
      <c r="W54">
        <f t="shared" si="0"/>
        <v>44</v>
      </c>
    </row>
    <row r="55" spans="3:36" x14ac:dyDescent="0.3">
      <c r="C55" s="157">
        <f t="shared" si="1"/>
        <v>43954</v>
      </c>
      <c r="E55" s="241">
        <v>316415</v>
      </c>
      <c r="F55" s="7"/>
      <c r="G55" s="7">
        <v>126744</v>
      </c>
      <c r="H55" s="7"/>
      <c r="I55" s="7">
        <v>29087</v>
      </c>
      <c r="J55" s="244"/>
      <c r="K55" s="7">
        <f t="shared" si="8"/>
        <v>472246</v>
      </c>
      <c r="L55" s="6"/>
      <c r="M55" s="29">
        <f t="shared" si="9"/>
        <v>1.3316453523302721E-2</v>
      </c>
      <c r="N55" s="29"/>
      <c r="O55" s="29"/>
      <c r="P55" s="29"/>
      <c r="Q55" s="332">
        <f t="shared" si="4"/>
        <v>6206</v>
      </c>
      <c r="R55" s="6"/>
      <c r="S55" s="7">
        <f>24708+7871+2436</f>
        <v>35015</v>
      </c>
      <c r="T55" s="6"/>
      <c r="U55" s="243">
        <f t="shared" si="10"/>
        <v>7.4145678311727359E-2</v>
      </c>
      <c r="W55">
        <f t="shared" si="0"/>
        <v>45</v>
      </c>
      <c r="AD55" s="56">
        <f>+AD51-AD53</f>
        <v>412038.96</v>
      </c>
    </row>
    <row r="56" spans="3:36" x14ac:dyDescent="0.3">
      <c r="C56" s="158">
        <f t="shared" si="1"/>
        <v>43955</v>
      </c>
      <c r="E56" s="241">
        <v>318953</v>
      </c>
      <c r="F56" s="7"/>
      <c r="G56" s="7">
        <v>128269</v>
      </c>
      <c r="H56" s="7"/>
      <c r="I56" s="7">
        <v>29973</v>
      </c>
      <c r="J56" s="244"/>
      <c r="K56" s="7">
        <f t="shared" si="8"/>
        <v>477195</v>
      </c>
      <c r="L56" s="6"/>
      <c r="M56" s="29">
        <f t="shared" si="9"/>
        <v>1.0479707610016813E-2</v>
      </c>
      <c r="N56" s="29"/>
      <c r="O56" s="29"/>
      <c r="P56" s="29"/>
      <c r="Q56" s="332">
        <f t="shared" si="4"/>
        <v>4949</v>
      </c>
      <c r="R56" s="6"/>
      <c r="S56" s="7">
        <f>24999+7910+2556</f>
        <v>35465</v>
      </c>
      <c r="T56" s="6"/>
      <c r="U56" s="243">
        <f t="shared" si="10"/>
        <v>7.4319722545290706E-2</v>
      </c>
      <c r="W56">
        <f t="shared" si="0"/>
        <v>46</v>
      </c>
    </row>
    <row r="57" spans="3:36" x14ac:dyDescent="0.3">
      <c r="C57" s="158">
        <f t="shared" si="1"/>
        <v>43956</v>
      </c>
      <c r="E57" s="241">
        <v>321192</v>
      </c>
      <c r="F57" s="7"/>
      <c r="G57" s="7">
        <v>130593</v>
      </c>
      <c r="H57" s="7"/>
      <c r="I57" s="7">
        <v>30621</v>
      </c>
      <c r="J57" s="244"/>
      <c r="K57" s="7">
        <f t="shared" si="8"/>
        <v>482406</v>
      </c>
      <c r="L57" s="6"/>
      <c r="M57" s="29">
        <f t="shared" si="9"/>
        <v>1.0920064124728884E-2</v>
      </c>
      <c r="N57" s="29"/>
      <c r="O57" s="29"/>
      <c r="P57" s="29"/>
      <c r="Q57" s="332">
        <f t="shared" si="4"/>
        <v>5211</v>
      </c>
      <c r="R57" s="6"/>
      <c r="S57" s="7">
        <f>25124+8244+2633</f>
        <v>36001</v>
      </c>
      <c r="T57" s="6"/>
      <c r="U57" s="243">
        <f t="shared" si="10"/>
        <v>7.4628010431047706E-2</v>
      </c>
      <c r="W57">
        <f t="shared" si="0"/>
        <v>47</v>
      </c>
      <c r="AD57" s="231">
        <f>+AD55/AD49</f>
        <v>0.46452833975005781</v>
      </c>
    </row>
    <row r="58" spans="3:36" x14ac:dyDescent="0.3">
      <c r="C58" s="158">
        <f t="shared" si="1"/>
        <v>43957</v>
      </c>
      <c r="E58" s="241">
        <v>323978</v>
      </c>
      <c r="F58" s="7"/>
      <c r="G58" s="7">
        <v>131890</v>
      </c>
      <c r="H58" s="7"/>
      <c r="I58" s="7">
        <v>30995</v>
      </c>
      <c r="J58" s="244"/>
      <c r="K58" s="7">
        <f t="shared" si="8"/>
        <v>486863</v>
      </c>
      <c r="L58" s="6"/>
      <c r="M58" s="29">
        <f t="shared" si="9"/>
        <v>9.2391056495980568E-3</v>
      </c>
      <c r="N58" s="29"/>
      <c r="O58" s="29"/>
      <c r="P58" s="29"/>
      <c r="Q58" s="332">
        <f t="shared" si="4"/>
        <v>4457</v>
      </c>
      <c r="R58" s="6"/>
      <c r="S58" s="7">
        <f>25346+8549+2718</f>
        <v>36613</v>
      </c>
      <c r="T58" s="6"/>
      <c r="U58" s="243">
        <f t="shared" si="10"/>
        <v>7.5201853498828214E-2</v>
      </c>
      <c r="W58">
        <f t="shared" si="0"/>
        <v>48</v>
      </c>
    </row>
    <row r="59" spans="3:36" x14ac:dyDescent="0.3">
      <c r="C59" s="158">
        <f t="shared" si="1"/>
        <v>43958</v>
      </c>
      <c r="E59" s="241">
        <v>327469</v>
      </c>
      <c r="F59" s="7"/>
      <c r="G59" s="7">
        <v>133991</v>
      </c>
      <c r="H59" s="7"/>
      <c r="I59" s="7">
        <v>31784</v>
      </c>
      <c r="J59" s="244"/>
      <c r="K59" s="7">
        <f t="shared" si="8"/>
        <v>493244</v>
      </c>
      <c r="L59" s="6"/>
      <c r="M59" s="29">
        <f t="shared" si="9"/>
        <v>1.310635640827091E-2</v>
      </c>
      <c r="N59" s="29"/>
      <c r="O59" s="29"/>
      <c r="P59" s="29"/>
      <c r="Q59" s="332">
        <f t="shared" si="4"/>
        <v>6381</v>
      </c>
      <c r="R59" s="6"/>
      <c r="S59" s="7">
        <f>26144+8807+2797</f>
        <v>37748</v>
      </c>
      <c r="T59" s="6"/>
      <c r="U59" s="243">
        <f t="shared" si="10"/>
        <v>7.6530074364817416E-2</v>
      </c>
      <c r="W59">
        <f t="shared" si="0"/>
        <v>49</v>
      </c>
    </row>
    <row r="60" spans="3:36" hidden="1" outlineLevel="1" x14ac:dyDescent="0.3">
      <c r="C60" s="158">
        <f t="shared" si="1"/>
        <v>43959</v>
      </c>
      <c r="E60" s="241">
        <v>330407</v>
      </c>
      <c r="F60" s="7"/>
      <c r="G60" s="7">
        <v>135840</v>
      </c>
      <c r="H60" s="7"/>
      <c r="I60" s="7">
        <v>32411</v>
      </c>
      <c r="J60" s="244"/>
      <c r="K60" s="7">
        <f t="shared" si="8"/>
        <v>498658</v>
      </c>
      <c r="L60" s="6"/>
      <c r="M60" s="29">
        <f t="shared" si="9"/>
        <v>1.0976311926754304E-2</v>
      </c>
      <c r="N60" s="29"/>
      <c r="O60" s="29"/>
      <c r="P60" s="29"/>
      <c r="Q60" s="332">
        <f t="shared" si="4"/>
        <v>5414</v>
      </c>
      <c r="R60" s="6"/>
      <c r="S60" s="7">
        <f>26243+8960+2874</f>
        <v>38077</v>
      </c>
      <c r="T60" s="6"/>
      <c r="U60" s="243">
        <f t="shared" si="10"/>
        <v>7.6358947414861489E-2</v>
      </c>
      <c r="W60">
        <f t="shared" si="0"/>
        <v>50</v>
      </c>
    </row>
    <row r="61" spans="3:36" hidden="1" outlineLevel="1" x14ac:dyDescent="0.3">
      <c r="C61" s="158">
        <f t="shared" si="1"/>
        <v>43960</v>
      </c>
      <c r="E61" s="241">
        <v>333122</v>
      </c>
      <c r="F61" s="7"/>
      <c r="G61" s="7">
        <v>137397</v>
      </c>
      <c r="H61" s="7"/>
      <c r="I61" s="7">
        <v>32984</v>
      </c>
      <c r="J61" s="244"/>
      <c r="K61" s="7">
        <f t="shared" si="8"/>
        <v>503503</v>
      </c>
      <c r="L61" s="6"/>
      <c r="M61" s="29">
        <f t="shared" si="9"/>
        <v>9.7160779532264596E-3</v>
      </c>
      <c r="N61" s="29"/>
      <c r="O61" s="29"/>
      <c r="P61" s="29"/>
      <c r="Q61" s="332">
        <f t="shared" si="4"/>
        <v>4845</v>
      </c>
      <c r="R61" s="6"/>
      <c r="S61" s="7">
        <f>26563+9116+2932</f>
        <v>38611</v>
      </c>
      <c r="T61" s="6"/>
      <c r="U61" s="243">
        <f t="shared" si="10"/>
        <v>7.6684746664865952E-2</v>
      </c>
      <c r="W61">
        <f t="shared" si="0"/>
        <v>51</v>
      </c>
    </row>
    <row r="62" spans="3:36" hidden="1" outlineLevel="1" x14ac:dyDescent="0.3">
      <c r="C62" s="158">
        <f t="shared" si="1"/>
        <v>43961</v>
      </c>
      <c r="E62" s="241">
        <v>335395</v>
      </c>
      <c r="F62" s="7"/>
      <c r="G62" s="7">
        <v>138754</v>
      </c>
      <c r="H62" s="7"/>
      <c r="I62" s="7">
        <v>33554</v>
      </c>
      <c r="J62" s="244"/>
      <c r="K62" s="7">
        <f t="shared" si="8"/>
        <v>507703</v>
      </c>
      <c r="L62" s="6"/>
      <c r="M62" s="29">
        <f t="shared" si="9"/>
        <v>8.3415590373840873E-3</v>
      </c>
      <c r="N62" s="29"/>
      <c r="O62" s="29"/>
      <c r="P62" s="29"/>
      <c r="Q62" s="332">
        <f t="shared" ref="Q62:Q97" si="11">+K62-K61</f>
        <v>4200</v>
      </c>
      <c r="R62" s="6"/>
      <c r="S62" s="7">
        <f>26641+9256+2967</f>
        <v>38864</v>
      </c>
      <c r="T62" s="6"/>
      <c r="U62" s="243">
        <f t="shared" si="10"/>
        <v>7.6548690868480193E-2</v>
      </c>
      <c r="W62">
        <f t="shared" si="0"/>
        <v>52</v>
      </c>
    </row>
    <row r="63" spans="3:36" hidden="1" outlineLevel="1" x14ac:dyDescent="0.3">
      <c r="C63" s="158">
        <f t="shared" si="1"/>
        <v>43962</v>
      </c>
      <c r="E63" s="241">
        <v>337055</v>
      </c>
      <c r="F63" s="7"/>
      <c r="G63" s="7">
        <v>140206</v>
      </c>
      <c r="H63" s="7"/>
      <c r="I63" s="7">
        <v>33765</v>
      </c>
      <c r="J63" s="244"/>
      <c r="K63" s="7">
        <f t="shared" si="8"/>
        <v>511026</v>
      </c>
      <c r="L63" s="6"/>
      <c r="M63" s="29">
        <f t="shared" si="9"/>
        <v>6.5451651851574644E-3</v>
      </c>
      <c r="N63" s="29"/>
      <c r="O63" s="29"/>
      <c r="P63" s="29"/>
      <c r="Q63" s="332">
        <f t="shared" si="11"/>
        <v>3323</v>
      </c>
      <c r="R63" s="6"/>
      <c r="S63" s="7">
        <f>26721+9340+3008</f>
        <v>39069</v>
      </c>
      <c r="T63" s="6"/>
      <c r="U63" s="243">
        <f t="shared" si="10"/>
        <v>7.6452078759202069E-2</v>
      </c>
      <c r="W63">
        <f t="shared" si="0"/>
        <v>53</v>
      </c>
    </row>
    <row r="64" spans="3:36" hidden="1" outlineLevel="1" x14ac:dyDescent="0.3">
      <c r="C64" s="157">
        <f t="shared" si="1"/>
        <v>43963</v>
      </c>
      <c r="E64" s="241">
        <v>338485</v>
      </c>
      <c r="F64" s="7"/>
      <c r="G64" s="7">
        <v>140917</v>
      </c>
      <c r="H64" s="7"/>
      <c r="I64" s="7">
        <v>34333</v>
      </c>
      <c r="J64" s="244"/>
      <c r="K64" s="7">
        <f t="shared" si="8"/>
        <v>513735</v>
      </c>
      <c r="L64" s="6"/>
      <c r="M64" s="29">
        <f t="shared" si="9"/>
        <v>5.3011001397189183E-3</v>
      </c>
      <c r="N64" s="29"/>
      <c r="O64" s="29"/>
      <c r="P64" s="29"/>
      <c r="Q64" s="332">
        <f t="shared" si="11"/>
        <v>2709</v>
      </c>
      <c r="R64" s="6"/>
      <c r="S64" s="7">
        <f>27284+9531+3041</f>
        <v>39856</v>
      </c>
      <c r="T64" s="6"/>
      <c r="U64" s="243">
        <f t="shared" si="10"/>
        <v>7.7580853942207553E-2</v>
      </c>
      <c r="W64">
        <f t="shared" si="0"/>
        <v>54</v>
      </c>
    </row>
    <row r="65" spans="3:23" hidden="1" outlineLevel="1" x14ac:dyDescent="0.3">
      <c r="C65" s="157">
        <f t="shared" si="1"/>
        <v>43964</v>
      </c>
      <c r="E65" s="241">
        <v>340661</v>
      </c>
      <c r="F65" s="7"/>
      <c r="G65" s="7">
        <v>141560</v>
      </c>
      <c r="H65" s="7"/>
      <c r="I65" s="7">
        <v>34895</v>
      </c>
      <c r="J65" s="244"/>
      <c r="K65" s="7">
        <f t="shared" si="8"/>
        <v>517116</v>
      </c>
      <c r="L65" s="6"/>
      <c r="M65" s="29">
        <f t="shared" si="9"/>
        <v>6.5812140500452572E-3</v>
      </c>
      <c r="N65" s="29"/>
      <c r="O65" s="29"/>
      <c r="P65" s="29"/>
      <c r="Q65" s="332">
        <f t="shared" si="11"/>
        <v>3381</v>
      </c>
      <c r="R65" s="6"/>
      <c r="S65" s="7">
        <f>27477+9714+3125</f>
        <v>40316</v>
      </c>
      <c r="T65" s="6"/>
      <c r="U65" s="243">
        <f t="shared" si="10"/>
        <v>7.7963164937847607E-2</v>
      </c>
      <c r="W65">
        <f t="shared" si="0"/>
        <v>55</v>
      </c>
    </row>
    <row r="66" spans="3:23" hidden="1" outlineLevel="1" x14ac:dyDescent="0.3">
      <c r="C66" s="157">
        <f t="shared" si="1"/>
        <v>43965</v>
      </c>
      <c r="E66" s="241">
        <v>343051</v>
      </c>
      <c r="F66" s="7"/>
      <c r="G66" s="7">
        <v>142704</v>
      </c>
      <c r="H66" s="7"/>
      <c r="I66" s="7">
        <v>35464</v>
      </c>
      <c r="J66" s="244"/>
      <c r="K66" s="7">
        <f t="shared" ref="K66:K97" si="12">SUM(E66:I66)</f>
        <v>521219</v>
      </c>
      <c r="L66" s="6"/>
      <c r="M66" s="29">
        <f t="shared" ref="M66:M97" si="13">+(K66-K65)/K65</f>
        <v>7.9343899627936487E-3</v>
      </c>
      <c r="N66" s="29"/>
      <c r="O66" s="29"/>
      <c r="P66" s="29"/>
      <c r="Q66" s="332">
        <f t="shared" si="11"/>
        <v>4103</v>
      </c>
      <c r="R66" s="6"/>
      <c r="S66" s="7">
        <f>27607+9946+3219</f>
        <v>40772</v>
      </c>
      <c r="T66" s="6"/>
      <c r="U66" s="243">
        <f t="shared" ref="U66:U97" si="14">+S66/K66</f>
        <v>7.8224316458149076E-2</v>
      </c>
      <c r="W66">
        <f t="shared" si="0"/>
        <v>56</v>
      </c>
    </row>
    <row r="67" spans="3:23" hidden="1" outlineLevel="1" x14ac:dyDescent="0.3">
      <c r="C67" s="157">
        <f t="shared" si="1"/>
        <v>43966</v>
      </c>
      <c r="E67" s="241">
        <v>345813</v>
      </c>
      <c r="F67" s="7"/>
      <c r="G67" s="7">
        <v>143984</v>
      </c>
      <c r="H67" s="7"/>
      <c r="I67" s="7">
        <v>36805</v>
      </c>
      <c r="J67" s="244"/>
      <c r="K67" s="7">
        <f t="shared" si="12"/>
        <v>526602</v>
      </c>
      <c r="L67" s="6"/>
      <c r="M67" s="29">
        <f t="shared" si="13"/>
        <v>1.032771253542177E-2</v>
      </c>
      <c r="N67" s="29"/>
      <c r="O67" s="29"/>
      <c r="P67" s="29"/>
      <c r="Q67" s="332">
        <f t="shared" si="11"/>
        <v>5383</v>
      </c>
      <c r="R67" s="6"/>
      <c r="S67" s="7">
        <f>27607+9946+3219</f>
        <v>40772</v>
      </c>
      <c r="T67" s="6"/>
      <c r="U67" s="243">
        <f t="shared" si="14"/>
        <v>7.7424696450070454E-2</v>
      </c>
      <c r="W67">
        <f t="shared" si="0"/>
        <v>57</v>
      </c>
    </row>
    <row r="68" spans="3:23" hidden="1" outlineLevel="1" x14ac:dyDescent="0.3">
      <c r="C68" s="157">
        <f t="shared" si="1"/>
        <v>43967</v>
      </c>
      <c r="E68" s="241">
        <v>348232</v>
      </c>
      <c r="F68" s="7"/>
      <c r="G68" s="7">
        <v>145089</v>
      </c>
      <c r="H68" s="7"/>
      <c r="I68" s="7">
        <v>36703</v>
      </c>
      <c r="J68" s="244"/>
      <c r="K68" s="7">
        <f t="shared" si="12"/>
        <v>530024</v>
      </c>
      <c r="L68" s="6"/>
      <c r="M68" s="29">
        <f t="shared" si="13"/>
        <v>6.4982662428171561E-3</v>
      </c>
      <c r="N68" s="29"/>
      <c r="O68" s="29"/>
      <c r="P68" s="29"/>
      <c r="Q68" s="332">
        <f t="shared" si="11"/>
        <v>3422</v>
      </c>
      <c r="R68" s="6"/>
      <c r="S68" s="7">
        <f>28049+10261+3339</f>
        <v>41649</v>
      </c>
      <c r="T68" s="6"/>
      <c r="U68" s="243">
        <f t="shared" si="14"/>
        <v>7.8579460552729685E-2</v>
      </c>
      <c r="W68">
        <f t="shared" si="0"/>
        <v>58</v>
      </c>
    </row>
    <row r="69" spans="3:23" hidden="1" outlineLevel="1" x14ac:dyDescent="0.3">
      <c r="C69" s="157">
        <f t="shared" si="1"/>
        <v>43968</v>
      </c>
      <c r="E69" s="241">
        <v>350121</v>
      </c>
      <c r="F69" s="7"/>
      <c r="G69" s="7">
        <v>146504</v>
      </c>
      <c r="H69" s="7"/>
      <c r="I69" s="7">
        <v>37419</v>
      </c>
      <c r="J69" s="244"/>
      <c r="K69" s="7">
        <f t="shared" si="12"/>
        <v>534044</v>
      </c>
      <c r="L69" s="6"/>
      <c r="M69" s="29">
        <f t="shared" si="13"/>
        <v>7.5845622085037659E-3</v>
      </c>
      <c r="N69" s="29"/>
      <c r="O69" s="29"/>
      <c r="P69" s="29"/>
      <c r="Q69" s="332">
        <f t="shared" si="11"/>
        <v>4020</v>
      </c>
      <c r="R69" s="6"/>
      <c r="S69" s="7">
        <f>28232+10363+3408</f>
        <v>42003</v>
      </c>
      <c r="T69" s="6"/>
      <c r="U69" s="243">
        <f t="shared" si="14"/>
        <v>7.8650822778647447E-2</v>
      </c>
      <c r="W69">
        <f t="shared" si="0"/>
        <v>59</v>
      </c>
    </row>
    <row r="70" spans="3:23" hidden="1" outlineLevel="1" x14ac:dyDescent="0.3">
      <c r="C70" s="157">
        <f t="shared" si="1"/>
        <v>43969</v>
      </c>
      <c r="E70" s="241">
        <v>351371</v>
      </c>
      <c r="F70" s="7"/>
      <c r="G70" s="7">
        <v>148240</v>
      </c>
      <c r="H70" s="7"/>
      <c r="I70" s="7">
        <v>38116</v>
      </c>
      <c r="J70" s="244"/>
      <c r="K70" s="7">
        <f t="shared" si="12"/>
        <v>537727</v>
      </c>
      <c r="L70" s="6"/>
      <c r="M70" s="29">
        <f t="shared" si="13"/>
        <v>6.8964354996966541E-3</v>
      </c>
      <c r="N70" s="29"/>
      <c r="O70" s="29"/>
      <c r="P70" s="29"/>
      <c r="Q70" s="332">
        <f t="shared" si="11"/>
        <v>3683</v>
      </c>
      <c r="R70" s="6"/>
      <c r="S70" s="7">
        <f>28339+10439+5862</f>
        <v>44640</v>
      </c>
      <c r="T70" s="6"/>
      <c r="U70" s="243">
        <f t="shared" si="14"/>
        <v>8.3016102966747066E-2</v>
      </c>
      <c r="W70">
        <f t="shared" si="0"/>
        <v>60</v>
      </c>
    </row>
    <row r="71" spans="3:23" hidden="1" outlineLevel="1" x14ac:dyDescent="0.3">
      <c r="C71" s="157">
        <f t="shared" si="1"/>
        <v>43970</v>
      </c>
      <c r="E71" s="241">
        <v>352845</v>
      </c>
      <c r="F71" s="7"/>
      <c r="G71" s="7">
        <v>149356</v>
      </c>
      <c r="H71" s="7"/>
      <c r="I71" s="7">
        <v>38430</v>
      </c>
      <c r="J71" s="244"/>
      <c r="K71" s="7">
        <f t="shared" si="12"/>
        <v>540631</v>
      </c>
      <c r="L71" s="6"/>
      <c r="M71" s="29">
        <f t="shared" si="13"/>
        <v>5.4005099241808572E-3</v>
      </c>
      <c r="N71" s="29"/>
      <c r="O71" s="29"/>
      <c r="P71" s="29"/>
      <c r="Q71" s="332">
        <f t="shared" si="11"/>
        <v>2904</v>
      </c>
      <c r="R71" s="6"/>
      <c r="S71" s="7">
        <f>28558+10587+3472</f>
        <v>42617</v>
      </c>
      <c r="T71" s="6"/>
      <c r="U71" s="243">
        <f t="shared" si="14"/>
        <v>7.8828258091008463E-2</v>
      </c>
      <c r="W71">
        <f t="shared" si="0"/>
        <v>61</v>
      </c>
    </row>
    <row r="72" spans="3:23" hidden="1" outlineLevel="1" x14ac:dyDescent="0.3">
      <c r="C72" s="157">
        <f t="shared" si="1"/>
        <v>43971</v>
      </c>
      <c r="E72" s="241">
        <v>354370</v>
      </c>
      <c r="F72" s="7"/>
      <c r="G72" s="7">
        <v>150776</v>
      </c>
      <c r="H72" s="7"/>
      <c r="I72" s="7">
        <v>39017</v>
      </c>
      <c r="J72" s="244"/>
      <c r="K72" s="7">
        <f t="shared" si="12"/>
        <v>544163</v>
      </c>
      <c r="L72" s="6"/>
      <c r="M72" s="29">
        <f t="shared" si="13"/>
        <v>6.5331066845963331E-3</v>
      </c>
      <c r="N72" s="29"/>
      <c r="O72" s="29"/>
      <c r="P72" s="29"/>
      <c r="Q72" s="332">
        <f t="shared" si="11"/>
        <v>3532</v>
      </c>
      <c r="R72" s="6"/>
      <c r="S72" s="7">
        <f>28636+10749+3529</f>
        <v>42914</v>
      </c>
      <c r="T72" s="6"/>
      <c r="U72" s="243">
        <f t="shared" si="14"/>
        <v>7.8862399685388385E-2</v>
      </c>
      <c r="W72">
        <f t="shared" si="0"/>
        <v>62</v>
      </c>
    </row>
    <row r="73" spans="3:23" hidden="1" outlineLevel="1" x14ac:dyDescent="0.3">
      <c r="C73" s="157">
        <f t="shared" si="1"/>
        <v>43972</v>
      </c>
      <c r="E73" s="241">
        <v>356458</v>
      </c>
      <c r="F73" s="7"/>
      <c r="G73" s="7">
        <v>151586</v>
      </c>
      <c r="H73" s="7"/>
      <c r="I73" s="7">
        <v>39208</v>
      </c>
      <c r="J73" s="244"/>
      <c r="K73" s="7">
        <f t="shared" si="12"/>
        <v>547252</v>
      </c>
      <c r="L73" s="6"/>
      <c r="M73" s="29">
        <f t="shared" si="13"/>
        <v>5.6766079281391785E-3</v>
      </c>
      <c r="N73" s="29"/>
      <c r="O73" s="29"/>
      <c r="P73" s="29"/>
      <c r="Q73" s="332">
        <f t="shared" si="11"/>
        <v>3089</v>
      </c>
      <c r="R73" s="6"/>
      <c r="S73" s="7">
        <f>28743+10846+3583</f>
        <v>43172</v>
      </c>
      <c r="T73" s="6"/>
      <c r="U73" s="243">
        <f t="shared" si="14"/>
        <v>7.888870209702295E-2</v>
      </c>
      <c r="W73">
        <f t="shared" si="0"/>
        <v>63</v>
      </c>
    </row>
    <row r="74" spans="3:23" hidden="1" outlineLevel="1" x14ac:dyDescent="0.3">
      <c r="C74" s="157">
        <f t="shared" si="1"/>
        <v>43973</v>
      </c>
      <c r="E74" s="241">
        <v>358154</v>
      </c>
      <c r="F74" s="7"/>
      <c r="G74" s="7">
        <v>152579</v>
      </c>
      <c r="H74" s="7"/>
      <c r="I74" s="7">
        <v>39640</v>
      </c>
      <c r="J74" s="244"/>
      <c r="K74" s="7">
        <f t="shared" si="12"/>
        <v>550373</v>
      </c>
      <c r="L74" s="6"/>
      <c r="M74" s="29">
        <f t="shared" si="13"/>
        <v>5.7030399157974752E-3</v>
      </c>
      <c r="N74" s="29"/>
      <c r="O74" s="29"/>
      <c r="P74" s="29"/>
      <c r="Q74" s="332">
        <f t="shared" si="11"/>
        <v>3121</v>
      </c>
      <c r="R74" s="6"/>
      <c r="S74" s="7">
        <f>28853+10985+3637</f>
        <v>43475</v>
      </c>
      <c r="T74" s="6"/>
      <c r="U74" s="243">
        <f t="shared" si="14"/>
        <v>7.899188368615466E-2</v>
      </c>
      <c r="W74">
        <f t="shared" si="0"/>
        <v>64</v>
      </c>
    </row>
    <row r="75" spans="3:23" hidden="1" outlineLevel="1" x14ac:dyDescent="0.3">
      <c r="C75" s="157">
        <f t="shared" si="1"/>
        <v>43974</v>
      </c>
      <c r="E75" s="241">
        <v>359926</v>
      </c>
      <c r="F75" s="7"/>
      <c r="G75" s="7">
        <v>153140</v>
      </c>
      <c r="H75" s="7"/>
      <c r="I75" s="7">
        <v>39640</v>
      </c>
      <c r="J75" s="244"/>
      <c r="K75" s="7">
        <f t="shared" si="12"/>
        <v>552706</v>
      </c>
      <c r="L75" s="6"/>
      <c r="M75" s="29">
        <f t="shared" si="13"/>
        <v>4.2389434074709331E-3</v>
      </c>
      <c r="N75" s="29"/>
      <c r="O75" s="29"/>
      <c r="P75" s="29"/>
      <c r="Q75" s="332">
        <f t="shared" si="11"/>
        <v>2333</v>
      </c>
      <c r="R75" s="6"/>
      <c r="S75" s="7">
        <f>28926+11082+3637</f>
        <v>43645</v>
      </c>
      <c r="T75" s="6"/>
      <c r="U75" s="243">
        <f t="shared" si="14"/>
        <v>7.896603257427999E-2</v>
      </c>
      <c r="W75">
        <f t="shared" si="0"/>
        <v>65</v>
      </c>
    </row>
    <row r="76" spans="3:23" hidden="1" outlineLevel="1" x14ac:dyDescent="0.3">
      <c r="C76" s="157">
        <f t="shared" si="1"/>
        <v>43975</v>
      </c>
      <c r="E76" s="241">
        <v>361515</v>
      </c>
      <c r="F76" s="7"/>
      <c r="G76" s="7">
        <v>154154</v>
      </c>
      <c r="H76" s="7"/>
      <c r="I76" s="7">
        <v>40468</v>
      </c>
      <c r="J76" s="244"/>
      <c r="K76" s="7">
        <f t="shared" si="12"/>
        <v>556137</v>
      </c>
      <c r="L76" s="6"/>
      <c r="M76" s="29">
        <f t="shared" si="13"/>
        <v>6.2076402282587846E-3</v>
      </c>
      <c r="N76" s="29"/>
      <c r="O76" s="29"/>
      <c r="P76" s="29"/>
      <c r="Q76" s="332">
        <f t="shared" si="11"/>
        <v>3431</v>
      </c>
      <c r="R76" s="6"/>
      <c r="S76" s="7">
        <f>29141+11138+3696</f>
        <v>43975</v>
      </c>
      <c r="T76" s="6"/>
      <c r="U76" s="243">
        <f t="shared" si="14"/>
        <v>7.9072242990486152E-2</v>
      </c>
      <c r="W76">
        <f t="shared" si="0"/>
        <v>66</v>
      </c>
    </row>
    <row r="77" spans="3:23" hidden="1" outlineLevel="1" x14ac:dyDescent="0.3">
      <c r="C77" s="157">
        <f t="shared" si="1"/>
        <v>43976</v>
      </c>
      <c r="E77" s="241">
        <v>362764</v>
      </c>
      <c r="F77" s="7"/>
      <c r="G77" s="7">
        <v>155092</v>
      </c>
      <c r="H77" s="7"/>
      <c r="I77" s="7">
        <v>40873</v>
      </c>
      <c r="J77" s="244"/>
      <c r="K77" s="7">
        <f t="shared" si="12"/>
        <v>558729</v>
      </c>
      <c r="L77" s="6"/>
      <c r="M77" s="29">
        <f t="shared" si="13"/>
        <v>4.6607220882624242E-3</v>
      </c>
      <c r="N77" s="29"/>
      <c r="O77" s="29"/>
      <c r="P77" s="29"/>
      <c r="Q77" s="332">
        <f t="shared" si="11"/>
        <v>2592</v>
      </c>
      <c r="R77" s="6"/>
      <c r="S77" s="7">
        <f>29229+11147+3742</f>
        <v>44118</v>
      </c>
      <c r="T77" s="6"/>
      <c r="U77" s="243">
        <f t="shared" si="14"/>
        <v>7.8961356936905008E-2</v>
      </c>
      <c r="W77">
        <f t="shared" si="0"/>
        <v>67</v>
      </c>
    </row>
    <row r="78" spans="3:23" hidden="1" outlineLevel="1" x14ac:dyDescent="0.3">
      <c r="C78" s="157">
        <f t="shared" si="1"/>
        <v>43977</v>
      </c>
      <c r="E78" s="241">
        <v>363836</v>
      </c>
      <c r="F78" s="7"/>
      <c r="G78" s="7">
        <v>155764</v>
      </c>
      <c r="H78" s="7"/>
      <c r="I78" s="7">
        <v>41303</v>
      </c>
      <c r="J78" s="244"/>
      <c r="K78" s="7">
        <f t="shared" si="12"/>
        <v>560903</v>
      </c>
      <c r="L78" s="6"/>
      <c r="M78" s="29">
        <f t="shared" si="13"/>
        <v>3.8909739784403529E-3</v>
      </c>
      <c r="N78" s="29"/>
      <c r="O78" s="29"/>
      <c r="P78" s="29"/>
      <c r="Q78" s="332">
        <f t="shared" si="11"/>
        <v>2174</v>
      </c>
      <c r="R78" s="6"/>
      <c r="S78" s="7">
        <f>29302+11194+3769</f>
        <v>44265</v>
      </c>
      <c r="T78" s="6"/>
      <c r="U78" s="243">
        <f t="shared" si="14"/>
        <v>7.8917388568076827E-2</v>
      </c>
      <c r="W78">
        <f t="shared" si="0"/>
        <v>68</v>
      </c>
    </row>
    <row r="79" spans="3:23" hidden="1" outlineLevel="1" x14ac:dyDescent="0.3">
      <c r="C79" s="157">
        <f t="shared" si="1"/>
        <v>43978</v>
      </c>
      <c r="E79" s="241">
        <v>364965</v>
      </c>
      <c r="F79" s="7"/>
      <c r="G79" s="7">
        <v>156628</v>
      </c>
      <c r="H79" s="7"/>
      <c r="I79" s="7">
        <v>41288</v>
      </c>
      <c r="J79" s="244"/>
      <c r="K79" s="7">
        <f t="shared" si="12"/>
        <v>562881</v>
      </c>
      <c r="L79" s="6"/>
      <c r="M79" s="29">
        <f t="shared" si="13"/>
        <v>3.5264564461234831E-3</v>
      </c>
      <c r="N79" s="29"/>
      <c r="O79" s="29"/>
      <c r="P79" s="29"/>
      <c r="Q79" s="332">
        <f t="shared" si="11"/>
        <v>1978</v>
      </c>
      <c r="R79" s="6"/>
      <c r="S79" s="7">
        <f>29484+11339+3803</f>
        <v>44626</v>
      </c>
      <c r="T79" s="6"/>
      <c r="U79" s="243">
        <f t="shared" si="14"/>
        <v>7.9281411168612897E-2</v>
      </c>
      <c r="W79">
        <f t="shared" si="0"/>
        <v>69</v>
      </c>
    </row>
    <row r="80" spans="3:23" hidden="1" outlineLevel="1" x14ac:dyDescent="0.3">
      <c r="C80" s="157">
        <f t="shared" si="1"/>
        <v>43979</v>
      </c>
      <c r="E80" s="241">
        <v>366733</v>
      </c>
      <c r="F80" s="7"/>
      <c r="G80" s="7">
        <v>157185</v>
      </c>
      <c r="H80" s="7"/>
      <c r="I80" s="7">
        <v>41559</v>
      </c>
      <c r="J80" s="244"/>
      <c r="K80" s="7">
        <f t="shared" si="12"/>
        <v>565477</v>
      </c>
      <c r="L80" s="6"/>
      <c r="M80" s="29">
        <f t="shared" si="13"/>
        <v>4.6119872584080828E-3</v>
      </c>
      <c r="N80" s="29"/>
      <c r="O80" s="29"/>
      <c r="P80" s="29"/>
      <c r="Q80" s="332">
        <f t="shared" si="11"/>
        <v>2596</v>
      </c>
      <c r="R80" s="6"/>
      <c r="S80" s="7">
        <f>29484+11339+3803</f>
        <v>44626</v>
      </c>
      <c r="T80" s="6"/>
      <c r="U80" s="243">
        <f t="shared" si="14"/>
        <v>7.8917444918184115E-2</v>
      </c>
      <c r="W80">
        <f t="shared" si="0"/>
        <v>70</v>
      </c>
    </row>
    <row r="81" spans="3:25" hidden="1" outlineLevel="1" x14ac:dyDescent="0.3">
      <c r="C81" s="157">
        <f t="shared" si="1"/>
        <v>43980</v>
      </c>
      <c r="E81" s="241">
        <v>368284</v>
      </c>
      <c r="F81" s="7"/>
      <c r="G81" s="7">
        <v>158844</v>
      </c>
      <c r="H81" s="7"/>
      <c r="I81" s="7">
        <v>41762</v>
      </c>
      <c r="J81" s="244"/>
      <c r="K81" s="7">
        <f t="shared" si="12"/>
        <v>568890</v>
      </c>
      <c r="L81" s="6"/>
      <c r="M81" s="29">
        <f t="shared" si="13"/>
        <v>6.035612412175915E-3</v>
      </c>
      <c r="N81" s="29"/>
      <c r="O81" s="29"/>
      <c r="P81" s="29"/>
      <c r="Q81" s="332">
        <f t="shared" si="11"/>
        <v>3413</v>
      </c>
      <c r="R81" s="6"/>
      <c r="S81" s="7">
        <f>29646+11531+3868</f>
        <v>45045</v>
      </c>
      <c r="T81" s="6"/>
      <c r="U81" s="243">
        <f t="shared" si="14"/>
        <v>7.9180509413067549E-2</v>
      </c>
      <c r="W81">
        <f t="shared" si="0"/>
        <v>71</v>
      </c>
    </row>
    <row r="82" spans="3:25" hidden="1" outlineLevel="1" x14ac:dyDescent="0.3">
      <c r="C82" s="157">
        <f t="shared" si="1"/>
        <v>43981</v>
      </c>
      <c r="E82" s="241">
        <v>369660</v>
      </c>
      <c r="F82" s="7"/>
      <c r="G82" s="7">
        <v>159608</v>
      </c>
      <c r="H82" s="7"/>
      <c r="I82" s="7">
        <v>42022</v>
      </c>
      <c r="J82" s="244"/>
      <c r="K82" s="7">
        <f t="shared" si="12"/>
        <v>571290</v>
      </c>
      <c r="L82" s="6"/>
      <c r="M82" s="29">
        <f t="shared" si="13"/>
        <v>4.2187417602699995E-3</v>
      </c>
      <c r="N82" s="29"/>
      <c r="O82" s="29"/>
      <c r="P82" s="29"/>
      <c r="Q82" s="332">
        <f t="shared" si="11"/>
        <v>2400</v>
      </c>
      <c r="R82" s="6"/>
      <c r="S82" s="7">
        <f>29646+11531+3868</f>
        <v>45045</v>
      </c>
      <c r="T82" s="6"/>
      <c r="U82" s="243">
        <f t="shared" si="14"/>
        <v>7.8847870608622597E-2</v>
      </c>
      <c r="W82">
        <f t="shared" si="0"/>
        <v>72</v>
      </c>
    </row>
    <row r="83" spans="3:25" hidden="1" outlineLevel="1" x14ac:dyDescent="0.3">
      <c r="C83" s="157">
        <f t="shared" si="1"/>
        <v>43982</v>
      </c>
      <c r="E83" s="241">
        <v>370770</v>
      </c>
      <c r="F83" s="7"/>
      <c r="G83" s="7">
        <v>160445</v>
      </c>
      <c r="H83" s="7"/>
      <c r="I83" s="7">
        <v>42201</v>
      </c>
      <c r="J83" s="244"/>
      <c r="K83" s="7">
        <f t="shared" si="12"/>
        <v>573416</v>
      </c>
      <c r="L83" s="6"/>
      <c r="M83" s="29">
        <f t="shared" si="13"/>
        <v>3.7214024400917221E-3</v>
      </c>
      <c r="N83" s="29"/>
      <c r="O83" s="29"/>
      <c r="P83" s="29"/>
      <c r="Q83" s="332">
        <f t="shared" si="11"/>
        <v>2126</v>
      </c>
      <c r="R83" s="6"/>
      <c r="S83" s="7">
        <f>29784+11698+3944</f>
        <v>45426</v>
      </c>
      <c r="T83" s="6"/>
      <c r="U83" s="243">
        <f t="shared" si="14"/>
        <v>7.9219972934135074E-2</v>
      </c>
      <c r="W83">
        <f t="shared" si="0"/>
        <v>73</v>
      </c>
    </row>
    <row r="84" spans="3:25" hidden="1" outlineLevel="1" x14ac:dyDescent="0.3">
      <c r="C84" s="157">
        <f t="shared" si="1"/>
        <v>43983</v>
      </c>
      <c r="E84" s="241">
        <v>371711</v>
      </c>
      <c r="F84" s="7"/>
      <c r="G84" s="7">
        <v>160918</v>
      </c>
      <c r="H84" s="7"/>
      <c r="I84" s="7">
        <v>42201</v>
      </c>
      <c r="J84" s="244"/>
      <c r="K84" s="7">
        <f t="shared" si="12"/>
        <v>574830</v>
      </c>
      <c r="L84" s="6"/>
      <c r="M84" s="29">
        <f t="shared" si="13"/>
        <v>2.4659235180043808E-3</v>
      </c>
      <c r="N84" s="29"/>
      <c r="O84" s="29"/>
      <c r="P84" s="29"/>
      <c r="Q84" s="332">
        <f t="shared" si="11"/>
        <v>1414</v>
      </c>
      <c r="R84" s="6"/>
      <c r="S84" s="7">
        <f>29833+11723+3971</f>
        <v>45527</v>
      </c>
      <c r="T84" s="6"/>
      <c r="U84" s="243">
        <f t="shared" si="14"/>
        <v>7.9200807195170753E-2</v>
      </c>
      <c r="W84">
        <f t="shared" si="0"/>
        <v>74</v>
      </c>
    </row>
    <row r="85" spans="3:25" hidden="1" outlineLevel="1" x14ac:dyDescent="0.3">
      <c r="C85" s="157">
        <f t="shared" si="1"/>
        <v>43984</v>
      </c>
      <c r="E85" s="241">
        <v>373040</v>
      </c>
      <c r="F85" s="7"/>
      <c r="G85" s="7">
        <v>161545</v>
      </c>
      <c r="H85" s="7"/>
      <c r="I85" s="7">
        <v>42979</v>
      </c>
      <c r="J85" s="244"/>
      <c r="K85" s="7">
        <f t="shared" si="12"/>
        <v>577564</v>
      </c>
      <c r="L85" s="6"/>
      <c r="M85" s="29">
        <f t="shared" si="13"/>
        <v>4.7561887862498479E-3</v>
      </c>
      <c r="N85" s="29"/>
      <c r="O85" s="29"/>
      <c r="P85" s="29"/>
      <c r="Q85" s="332">
        <f t="shared" si="11"/>
        <v>2734</v>
      </c>
      <c r="R85" s="6"/>
      <c r="S85" s="7">
        <f>29968+11771+3972</f>
        <v>45711</v>
      </c>
      <c r="T85" s="6"/>
      <c r="U85" s="243">
        <f t="shared" si="14"/>
        <v>7.9144475763724881E-2</v>
      </c>
      <c r="W85">
        <f t="shared" si="0"/>
        <v>75</v>
      </c>
    </row>
    <row r="86" spans="3:25" hidden="1" outlineLevel="1" x14ac:dyDescent="0.3">
      <c r="C86" s="157">
        <f t="shared" si="1"/>
        <v>43985</v>
      </c>
      <c r="E86" s="241">
        <v>374085</v>
      </c>
      <c r="F86" s="7"/>
      <c r="G86" s="7">
        <v>162068</v>
      </c>
      <c r="H86" s="7"/>
      <c r="I86" s="7">
        <v>43091</v>
      </c>
      <c r="J86" s="244"/>
      <c r="K86" s="7">
        <f t="shared" si="12"/>
        <v>579244</v>
      </c>
      <c r="L86" s="6"/>
      <c r="M86" s="29">
        <f t="shared" si="13"/>
        <v>2.9087685520565688E-3</v>
      </c>
      <c r="N86" s="29"/>
      <c r="O86" s="29"/>
      <c r="P86" s="29"/>
      <c r="Q86" s="332">
        <f t="shared" si="11"/>
        <v>1680</v>
      </c>
      <c r="R86" s="6"/>
      <c r="S86" s="7">
        <f>30019+11880+3989</f>
        <v>45888</v>
      </c>
      <c r="T86" s="6"/>
      <c r="U86" s="243">
        <f t="shared" si="14"/>
        <v>7.9220501205018959E-2</v>
      </c>
      <c r="W86">
        <f t="shared" si="0"/>
        <v>76</v>
      </c>
    </row>
    <row r="87" spans="3:25" hidden="1" outlineLevel="1" x14ac:dyDescent="0.3">
      <c r="C87" s="157">
        <f t="shared" si="1"/>
        <v>43986</v>
      </c>
      <c r="E87" s="241">
        <v>375133</v>
      </c>
      <c r="F87" s="7"/>
      <c r="G87" s="7">
        <v>162530</v>
      </c>
      <c r="H87" s="7"/>
      <c r="I87" s="7">
        <v>43239</v>
      </c>
      <c r="J87" s="244"/>
      <c r="K87" s="7">
        <f t="shared" si="12"/>
        <v>580902</v>
      </c>
      <c r="L87" s="6"/>
      <c r="M87" s="29">
        <f t="shared" si="13"/>
        <v>2.8623516169351774E-3</v>
      </c>
      <c r="N87" s="29"/>
      <c r="O87" s="29"/>
      <c r="P87" s="29"/>
      <c r="Q87" s="332">
        <f t="shared" si="11"/>
        <v>1658</v>
      </c>
      <c r="R87" s="6"/>
      <c r="S87" s="7">
        <f>30090+11970+4007</f>
        <v>46067</v>
      </c>
      <c r="T87" s="6"/>
      <c r="U87" s="243">
        <f t="shared" si="14"/>
        <v>7.9302532957366306E-2</v>
      </c>
      <c r="W87">
        <f t="shared" si="0"/>
        <v>77</v>
      </c>
    </row>
    <row r="88" spans="3:25" hidden="1" outlineLevel="1" x14ac:dyDescent="0.3">
      <c r="C88" s="157">
        <f t="shared" si="1"/>
        <v>43987</v>
      </c>
      <c r="E88" s="241">
        <v>376208</v>
      </c>
      <c r="F88" s="7"/>
      <c r="G88" s="7">
        <v>163336</v>
      </c>
      <c r="H88" s="7"/>
      <c r="I88" s="7">
        <v>43460</v>
      </c>
      <c r="J88" s="244"/>
      <c r="K88" s="7">
        <f t="shared" si="12"/>
        <v>583004</v>
      </c>
      <c r="L88" s="6"/>
      <c r="M88" s="29">
        <f t="shared" si="13"/>
        <v>3.6185105232896426E-3</v>
      </c>
      <c r="N88" s="29"/>
      <c r="O88" s="29"/>
      <c r="P88" s="29"/>
      <c r="Q88" s="332">
        <f t="shared" si="11"/>
        <v>2102</v>
      </c>
      <c r="R88" s="6"/>
      <c r="S88" s="7">
        <f>30236+12049+4038</f>
        <v>46323</v>
      </c>
      <c r="T88" s="6"/>
      <c r="U88" s="243">
        <f t="shared" si="14"/>
        <v>7.9455715569704502E-2</v>
      </c>
      <c r="W88">
        <f t="shared" si="0"/>
        <v>78</v>
      </c>
    </row>
    <row r="89" spans="3:25" hidden="1" outlineLevel="1" x14ac:dyDescent="0.3">
      <c r="C89" s="157">
        <f t="shared" si="1"/>
        <v>43988</v>
      </c>
      <c r="E89" s="241">
        <v>377316</v>
      </c>
      <c r="F89" s="7"/>
      <c r="G89" s="7">
        <v>163893</v>
      </c>
      <c r="H89" s="7"/>
      <c r="I89" s="7">
        <v>43818</v>
      </c>
      <c r="J89" s="244"/>
      <c r="K89" s="7">
        <f t="shared" si="12"/>
        <v>585027</v>
      </c>
      <c r="L89" s="6"/>
      <c r="M89" s="29">
        <f t="shared" si="13"/>
        <v>3.4699590397321458E-3</v>
      </c>
      <c r="N89" s="29"/>
      <c r="O89" s="29"/>
      <c r="P89" s="29"/>
      <c r="Q89" s="332">
        <f t="shared" si="11"/>
        <v>2023</v>
      </c>
      <c r="R89" s="6"/>
      <c r="S89" s="7">
        <f>30280+12106+4055</f>
        <v>46441</v>
      </c>
      <c r="T89" s="6"/>
      <c r="U89" s="243">
        <f t="shared" si="14"/>
        <v>7.9382660971203042E-2</v>
      </c>
      <c r="W89">
        <f t="shared" si="0"/>
        <v>79</v>
      </c>
      <c r="X89" s="56"/>
    </row>
    <row r="90" spans="3:25" hidden="1" outlineLevel="1" x14ac:dyDescent="0.3">
      <c r="C90" s="157">
        <f t="shared" si="1"/>
        <v>43989</v>
      </c>
      <c r="E90" s="241">
        <v>378097</v>
      </c>
      <c r="F90" s="7"/>
      <c r="G90" s="7">
        <v>164164</v>
      </c>
      <c r="H90" s="7"/>
      <c r="I90" s="7">
        <v>43968</v>
      </c>
      <c r="J90" s="244"/>
      <c r="K90" s="7">
        <f t="shared" si="12"/>
        <v>586229</v>
      </c>
      <c r="L90" s="6"/>
      <c r="M90" s="29">
        <f t="shared" si="13"/>
        <v>2.0546060267303901E-3</v>
      </c>
      <c r="N90" s="29"/>
      <c r="O90" s="29"/>
      <c r="P90" s="29"/>
      <c r="Q90" s="332">
        <f t="shared" si="11"/>
        <v>1202</v>
      </c>
      <c r="R90" s="6"/>
      <c r="S90" s="7">
        <f>30374+12176+4071</f>
        <v>46621</v>
      </c>
      <c r="T90" s="6"/>
      <c r="U90" s="243">
        <f t="shared" si="14"/>
        <v>7.9526942542931175E-2</v>
      </c>
      <c r="W90">
        <f t="shared" si="0"/>
        <v>80</v>
      </c>
    </row>
    <row r="91" spans="3:25" hidden="1" outlineLevel="1" x14ac:dyDescent="0.3">
      <c r="C91" s="157">
        <f t="shared" si="1"/>
        <v>43990</v>
      </c>
      <c r="E91" s="241">
        <v>378799</v>
      </c>
      <c r="F91" s="7"/>
      <c r="G91" s="7">
        <v>164497</v>
      </c>
      <c r="H91" s="7"/>
      <c r="I91" s="7">
        <v>44093</v>
      </c>
      <c r="J91" s="244"/>
      <c r="K91" s="7">
        <f t="shared" si="12"/>
        <v>587389</v>
      </c>
      <c r="L91" s="6"/>
      <c r="M91" s="29">
        <f t="shared" si="13"/>
        <v>1.978748918937821E-3</v>
      </c>
      <c r="N91" s="29"/>
      <c r="O91" s="29"/>
      <c r="P91" s="29"/>
      <c r="Q91" s="332">
        <f t="shared" si="11"/>
        <v>1160</v>
      </c>
      <c r="R91" s="6"/>
      <c r="S91" s="7">
        <f>30417+12214+4084</f>
        <v>46715</v>
      </c>
      <c r="T91" s="6"/>
      <c r="U91" s="243">
        <f t="shared" si="14"/>
        <v>7.952991969546587E-2</v>
      </c>
      <c r="W91">
        <f t="shared" si="0"/>
        <v>81</v>
      </c>
    </row>
    <row r="92" spans="3:25" hidden="1" outlineLevel="1" x14ac:dyDescent="0.3">
      <c r="C92" s="157">
        <f t="shared" si="1"/>
        <v>43991</v>
      </c>
      <c r="E92" s="241">
        <v>379482</v>
      </c>
      <c r="F92" s="7"/>
      <c r="G92" s="7">
        <v>164796</v>
      </c>
      <c r="H92" s="7"/>
      <c r="I92" s="7">
        <v>44179</v>
      </c>
      <c r="J92" s="244"/>
      <c r="K92" s="7">
        <f t="shared" si="12"/>
        <v>588457</v>
      </c>
      <c r="L92" s="6"/>
      <c r="M92" s="431">
        <f t="shared" si="13"/>
        <v>1.8182158671680947E-3</v>
      </c>
      <c r="N92" s="29"/>
      <c r="O92" s="29"/>
      <c r="P92" s="29"/>
      <c r="Q92" s="332">
        <f t="shared" si="11"/>
        <v>1068</v>
      </c>
      <c r="R92" s="6"/>
      <c r="S92" s="7">
        <f>30458+12303+4097</f>
        <v>46858</v>
      </c>
      <c r="T92" s="6"/>
      <c r="U92" s="243">
        <f t="shared" si="14"/>
        <v>7.9628587985188376E-2</v>
      </c>
      <c r="W92">
        <f t="shared" si="0"/>
        <v>82</v>
      </c>
    </row>
    <row r="93" spans="3:25" hidden="1" outlineLevel="1" x14ac:dyDescent="0.3">
      <c r="C93" s="157">
        <f t="shared" si="1"/>
        <v>43992</v>
      </c>
      <c r="E93" s="241">
        <v>380156</v>
      </c>
      <c r="F93" s="7"/>
      <c r="G93" s="7">
        <v>165346</v>
      </c>
      <c r="H93" s="7"/>
      <c r="I93" s="7">
        <v>44347</v>
      </c>
      <c r="J93" s="244"/>
      <c r="K93" s="7">
        <f t="shared" si="12"/>
        <v>589849</v>
      </c>
      <c r="L93" s="6"/>
      <c r="M93" s="431">
        <f t="shared" si="13"/>
        <v>2.3655084398690133E-3</v>
      </c>
      <c r="N93" s="29"/>
      <c r="O93" s="29"/>
      <c r="P93" s="29"/>
      <c r="Q93" s="332">
        <f t="shared" si="11"/>
        <v>1392</v>
      </c>
      <c r="R93" s="6"/>
      <c r="S93" s="7">
        <f>30458+12303+4097</f>
        <v>46858</v>
      </c>
      <c r="T93" s="6"/>
      <c r="U93" s="243">
        <f t="shared" si="14"/>
        <v>7.9440670408867348E-2</v>
      </c>
      <c r="W93">
        <f t="shared" si="0"/>
        <v>83</v>
      </c>
    </row>
    <row r="94" spans="3:25" hidden="1" outlineLevel="1" x14ac:dyDescent="0.3">
      <c r="C94" s="157">
        <f t="shared" si="1"/>
        <v>43993</v>
      </c>
      <c r="E94" s="241">
        <v>380892</v>
      </c>
      <c r="F94" s="7"/>
      <c r="G94" s="7">
        <v>165816</v>
      </c>
      <c r="H94" s="7"/>
      <c r="I94" s="7">
        <v>44461</v>
      </c>
      <c r="J94" s="244"/>
      <c r="K94" s="7">
        <f t="shared" si="12"/>
        <v>591169</v>
      </c>
      <c r="L94" s="6"/>
      <c r="M94" s="431">
        <f t="shared" si="13"/>
        <v>2.237860876258161E-3</v>
      </c>
      <c r="N94" s="29"/>
      <c r="O94" s="29"/>
      <c r="P94" s="29"/>
      <c r="Q94" s="332">
        <f t="shared" si="11"/>
        <v>1320</v>
      </c>
      <c r="R94" s="6"/>
      <c r="S94" s="7">
        <f>30575+12443+4148</f>
        <v>47166</v>
      </c>
      <c r="T94" s="6"/>
      <c r="U94" s="243">
        <f t="shared" si="14"/>
        <v>7.9784291801498389E-2</v>
      </c>
      <c r="W94">
        <f t="shared" si="0"/>
        <v>84</v>
      </c>
    </row>
    <row r="95" spans="3:25" hidden="1" outlineLevel="1" x14ac:dyDescent="0.3">
      <c r="C95" s="157">
        <f t="shared" si="1"/>
        <v>43994</v>
      </c>
      <c r="E95" s="241">
        <v>381714</v>
      </c>
      <c r="F95" s="7"/>
      <c r="G95" s="7">
        <v>166164</v>
      </c>
      <c r="H95" s="7"/>
      <c r="I95" s="7">
        <v>44689</v>
      </c>
      <c r="J95" s="244"/>
      <c r="K95" s="7">
        <f t="shared" si="12"/>
        <v>592567</v>
      </c>
      <c r="L95" s="6"/>
      <c r="M95" s="431">
        <f t="shared" si="13"/>
        <v>2.3648060030211325E-3</v>
      </c>
      <c r="N95" s="29"/>
      <c r="O95" s="29"/>
      <c r="P95" s="29"/>
      <c r="Q95" s="332">
        <f t="shared" si="11"/>
        <v>1398</v>
      </c>
      <c r="R95" s="6"/>
      <c r="S95" s="7">
        <f>30758+12489+4159</f>
        <v>47406</v>
      </c>
      <c r="T95" s="6"/>
      <c r="U95" s="243">
        <f t="shared" si="14"/>
        <v>8.000108004664451E-2</v>
      </c>
      <c r="W95">
        <f t="shared" si="0"/>
        <v>85</v>
      </c>
    </row>
    <row r="96" spans="3:25" hidden="1" outlineLevel="1" x14ac:dyDescent="0.3">
      <c r="C96" s="157">
        <f t="shared" si="1"/>
        <v>43995</v>
      </c>
      <c r="E96" s="241">
        <v>382630</v>
      </c>
      <c r="F96" s="7"/>
      <c r="G96" s="7">
        <v>166605</v>
      </c>
      <c r="H96" s="7"/>
      <c r="I96" s="7">
        <v>44994</v>
      </c>
      <c r="J96" s="244"/>
      <c r="K96" s="7">
        <f t="shared" si="12"/>
        <v>594229</v>
      </c>
      <c r="L96" s="6"/>
      <c r="M96" s="431">
        <f t="shared" si="13"/>
        <v>2.804746129973488E-3</v>
      </c>
      <c r="N96" s="29"/>
      <c r="O96" s="29"/>
      <c r="P96" s="29"/>
      <c r="Q96" s="332">
        <f t="shared" si="11"/>
        <v>1662</v>
      </c>
      <c r="R96" s="6"/>
      <c r="S96" s="7">
        <f>30795+12621+4186</f>
        <v>47602</v>
      </c>
      <c r="T96" s="6"/>
      <c r="U96" s="243">
        <f t="shared" si="14"/>
        <v>8.010716407310986E-2</v>
      </c>
      <c r="W96">
        <f t="shared" si="0"/>
        <v>86</v>
      </c>
      <c r="Y96" s="56"/>
    </row>
    <row r="97" spans="3:25" hidden="1" outlineLevel="1" x14ac:dyDescent="0.3">
      <c r="C97" s="157">
        <f t="shared" si="1"/>
        <v>43996</v>
      </c>
      <c r="E97" s="241">
        <v>383324</v>
      </c>
      <c r="F97" s="7"/>
      <c r="G97" s="7">
        <v>166881</v>
      </c>
      <c r="H97" s="7"/>
      <c r="I97" s="7">
        <v>45088</v>
      </c>
      <c r="J97" s="244"/>
      <c r="K97" s="7">
        <f t="shared" si="12"/>
        <v>595293</v>
      </c>
      <c r="L97" s="6"/>
      <c r="M97" s="431">
        <f t="shared" si="13"/>
        <v>1.7905554929160308E-3</v>
      </c>
      <c r="N97" s="29"/>
      <c r="O97" s="29"/>
      <c r="P97" s="29"/>
      <c r="Q97" s="332">
        <f t="shared" si="11"/>
        <v>1064</v>
      </c>
      <c r="R97" s="6"/>
      <c r="S97" s="7">
        <f>30825+12659+4201</f>
        <v>47685</v>
      </c>
      <c r="T97" s="6"/>
      <c r="U97" s="243">
        <f t="shared" si="14"/>
        <v>8.010341126134525E-2</v>
      </c>
      <c r="W97">
        <f t="shared" si="0"/>
        <v>87</v>
      </c>
      <c r="Y97" s="56"/>
    </row>
    <row r="98" spans="3:25" hidden="1" outlineLevel="1" x14ac:dyDescent="0.3">
      <c r="C98" s="157">
        <f t="shared" ref="C98:C347" si="15">+C97+1</f>
        <v>43997</v>
      </c>
      <c r="E98" s="241">
        <v>383944</v>
      </c>
      <c r="F98" s="7"/>
      <c r="G98" s="7">
        <v>167106</v>
      </c>
      <c r="H98" s="7"/>
      <c r="I98" s="7">
        <v>45235</v>
      </c>
      <c r="J98" s="244"/>
      <c r="K98" s="7">
        <f t="shared" ref="K98:K109" si="16">SUM(E98:I98)</f>
        <v>596285</v>
      </c>
      <c r="L98" s="6"/>
      <c r="M98" s="431">
        <f t="shared" ref="M98:M109" si="17">+(K98-K97)/K97</f>
        <v>1.6664062906837473E-3</v>
      </c>
      <c r="N98" s="29"/>
      <c r="O98" s="29"/>
      <c r="P98" s="29"/>
      <c r="Q98" s="332">
        <f t="shared" ref="Q98:Q109" si="18">+K98-K97</f>
        <v>992</v>
      </c>
      <c r="R98" s="6"/>
      <c r="S98" s="7">
        <f>30856+12708+4204</f>
        <v>47768</v>
      </c>
      <c r="T98" s="6"/>
      <c r="U98" s="243">
        <f t="shared" ref="U98:U109" si="19">+S98/K98</f>
        <v>8.0109343686324497E-2</v>
      </c>
      <c r="W98">
        <f t="shared" ref="W98:W337" si="20">+W97+1</f>
        <v>88</v>
      </c>
      <c r="Y98" s="56"/>
    </row>
    <row r="99" spans="3:25" hidden="1" outlineLevel="1" x14ac:dyDescent="0.3">
      <c r="C99" s="157">
        <f t="shared" si="15"/>
        <v>43998</v>
      </c>
      <c r="E99" s="241">
        <v>384475</v>
      </c>
      <c r="F99" s="7"/>
      <c r="G99" s="7">
        <v>167426</v>
      </c>
      <c r="H99" s="7"/>
      <c r="I99" s="7">
        <v>45349</v>
      </c>
      <c r="J99" s="244"/>
      <c r="K99" s="7">
        <f t="shared" si="16"/>
        <v>597250</v>
      </c>
      <c r="L99" s="6"/>
      <c r="M99" s="431">
        <f t="shared" si="17"/>
        <v>1.6183536396186388E-3</v>
      </c>
      <c r="N99" s="29"/>
      <c r="O99" s="29"/>
      <c r="P99" s="29"/>
      <c r="Q99" s="332">
        <f t="shared" si="18"/>
        <v>965</v>
      </c>
      <c r="R99" s="6"/>
      <c r="S99" s="7">
        <f>30882+12792+4210</f>
        <v>47884</v>
      </c>
      <c r="T99" s="6"/>
      <c r="U99" s="243">
        <f t="shared" si="19"/>
        <v>8.017413143574717E-2</v>
      </c>
      <c r="W99">
        <f t="shared" si="20"/>
        <v>89</v>
      </c>
      <c r="Y99" s="56"/>
    </row>
    <row r="100" spans="3:25" hidden="1" outlineLevel="1" x14ac:dyDescent="0.3">
      <c r="C100" s="157">
        <f t="shared" si="15"/>
        <v>43999</v>
      </c>
      <c r="E100" s="241">
        <v>385042</v>
      </c>
      <c r="F100" s="7"/>
      <c r="G100" s="7">
        <v>167703</v>
      </c>
      <c r="H100" s="7"/>
      <c r="I100" s="7">
        <v>45429</v>
      </c>
      <c r="J100" s="244"/>
      <c r="K100" s="7">
        <f t="shared" si="16"/>
        <v>598174</v>
      </c>
      <c r="L100" s="6"/>
      <c r="M100" s="431">
        <f t="shared" si="17"/>
        <v>1.5470908329845124E-3</v>
      </c>
      <c r="N100" s="29"/>
      <c r="O100" s="29"/>
      <c r="P100" s="29"/>
      <c r="Q100" s="332">
        <f t="shared" si="18"/>
        <v>924</v>
      </c>
      <c r="R100" s="6"/>
      <c r="S100" s="7">
        <f>30939+12835+4219</f>
        <v>47993</v>
      </c>
      <c r="T100" s="6"/>
      <c r="U100" s="243">
        <f t="shared" si="19"/>
        <v>8.0232507598123629E-2</v>
      </c>
      <c r="W100">
        <f t="shared" si="20"/>
        <v>90</v>
      </c>
      <c r="Y100" s="56"/>
    </row>
    <row r="101" spans="3:25" hidden="1" outlineLevel="1" x14ac:dyDescent="0.3">
      <c r="C101" s="157">
        <f t="shared" si="15"/>
        <v>44000</v>
      </c>
      <c r="E101" s="241">
        <v>385560</v>
      </c>
      <c r="F101" s="7"/>
      <c r="G101" s="7">
        <v>168067</v>
      </c>
      <c r="H101" s="7"/>
      <c r="I101" s="7">
        <v>45440</v>
      </c>
      <c r="J101" s="244"/>
      <c r="K101" s="7">
        <f t="shared" si="16"/>
        <v>599067</v>
      </c>
      <c r="L101" s="6"/>
      <c r="M101" s="431">
        <f t="shared" si="17"/>
        <v>1.4928766546188901E-3</v>
      </c>
      <c r="N101" s="29"/>
      <c r="O101" s="29"/>
      <c r="P101" s="29"/>
      <c r="Q101" s="332">
        <f t="shared" si="18"/>
        <v>893</v>
      </c>
      <c r="R101" s="6"/>
      <c r="S101" s="7">
        <f>30974+12869+4226</f>
        <v>48069</v>
      </c>
      <c r="T101" s="6"/>
      <c r="U101" s="243">
        <f t="shared" si="19"/>
        <v>8.0239772846776733E-2</v>
      </c>
      <c r="W101">
        <f t="shared" si="20"/>
        <v>91</v>
      </c>
      <c r="Y101" s="56"/>
    </row>
    <row r="102" spans="3:25" hidden="1" outlineLevel="1" x14ac:dyDescent="0.3">
      <c r="C102" s="157">
        <f t="shared" si="15"/>
        <v>44001</v>
      </c>
      <c r="E102" s="241">
        <v>386556</v>
      </c>
      <c r="F102" s="7"/>
      <c r="G102" s="7">
        <v>168496</v>
      </c>
      <c r="H102" s="7"/>
      <c r="I102" s="7">
        <v>45557</v>
      </c>
      <c r="J102" s="244"/>
      <c r="K102" s="7">
        <f t="shared" si="16"/>
        <v>600609</v>
      </c>
      <c r="L102" s="6"/>
      <c r="M102" s="431">
        <f t="shared" si="17"/>
        <v>2.5740025740025739E-3</v>
      </c>
      <c r="N102" s="29"/>
      <c r="O102" s="29"/>
      <c r="P102" s="29"/>
      <c r="Q102" s="332">
        <f t="shared" si="18"/>
        <v>1542</v>
      </c>
      <c r="R102" s="6"/>
      <c r="S102" s="7">
        <f>31015+12902+4238</f>
        <v>48155</v>
      </c>
      <c r="T102" s="6"/>
      <c r="U102" s="243">
        <f t="shared" si="19"/>
        <v>8.0176953725302147E-2</v>
      </c>
      <c r="W102">
        <f t="shared" si="20"/>
        <v>92</v>
      </c>
      <c r="Y102" s="56"/>
    </row>
    <row r="103" spans="3:25" hidden="1" outlineLevel="1" x14ac:dyDescent="0.3">
      <c r="C103" s="157">
        <f t="shared" si="15"/>
        <v>44002</v>
      </c>
      <c r="E103" s="241">
        <v>387272</v>
      </c>
      <c r="F103" s="7"/>
      <c r="G103" s="7">
        <v>168834</v>
      </c>
      <c r="H103" s="7"/>
      <c r="I103" s="7">
        <v>45715</v>
      </c>
      <c r="J103" s="244"/>
      <c r="K103" s="7">
        <f t="shared" si="16"/>
        <v>601821</v>
      </c>
      <c r="L103" s="6"/>
      <c r="M103" s="431">
        <f t="shared" si="17"/>
        <v>2.0179517789443713E-3</v>
      </c>
      <c r="N103" s="29"/>
      <c r="O103" s="29"/>
      <c r="P103" s="29"/>
      <c r="Q103" s="332">
        <f t="shared" si="18"/>
        <v>1212</v>
      </c>
      <c r="R103" s="6"/>
      <c r="S103" s="7">
        <f>31083+12924+4251</f>
        <v>48258</v>
      </c>
      <c r="T103" s="6"/>
      <c r="U103" s="243">
        <f t="shared" si="19"/>
        <v>8.0186633567123786E-2</v>
      </c>
      <c r="W103">
        <f t="shared" si="20"/>
        <v>93</v>
      </c>
      <c r="Y103" s="56"/>
    </row>
    <row r="104" spans="3:25" hidden="1" outlineLevel="1" x14ac:dyDescent="0.3">
      <c r="C104" s="157">
        <f t="shared" si="15"/>
        <v>44003</v>
      </c>
      <c r="E104" s="241">
        <v>387936</v>
      </c>
      <c r="F104" s="7"/>
      <c r="G104" s="7">
        <v>169142</v>
      </c>
      <c r="H104" s="7"/>
      <c r="I104" s="7">
        <v>45755</v>
      </c>
      <c r="J104" s="244"/>
      <c r="K104" s="7">
        <f t="shared" si="16"/>
        <v>602833</v>
      </c>
      <c r="L104" s="6"/>
      <c r="M104" s="431">
        <f t="shared" si="17"/>
        <v>1.6815631225896072E-3</v>
      </c>
      <c r="N104" s="29"/>
      <c r="O104" s="29"/>
      <c r="P104" s="29"/>
      <c r="Q104" s="332">
        <f t="shared" si="18"/>
        <v>1012</v>
      </c>
      <c r="R104" s="6"/>
      <c r="S104" s="7">
        <f>31083+12924+4251</f>
        <v>48258</v>
      </c>
      <c r="T104" s="6"/>
      <c r="U104" s="243">
        <f t="shared" si="19"/>
        <v>8.0052021040653051E-2</v>
      </c>
      <c r="W104">
        <f t="shared" si="20"/>
        <v>94</v>
      </c>
      <c r="Y104" s="56"/>
    </row>
    <row r="105" spans="3:25" hidden="1" outlineLevel="1" x14ac:dyDescent="0.3">
      <c r="C105" s="157">
        <f t="shared" si="15"/>
        <v>44004</v>
      </c>
      <c r="E105" s="241">
        <v>388488</v>
      </c>
      <c r="F105" s="7"/>
      <c r="G105" s="7">
        <v>169415</v>
      </c>
      <c r="H105" s="7"/>
      <c r="I105" s="7">
        <v>45782</v>
      </c>
      <c r="J105" s="244"/>
      <c r="K105" s="7">
        <f t="shared" si="16"/>
        <v>603685</v>
      </c>
      <c r="L105" s="6"/>
      <c r="M105" s="431">
        <f t="shared" si="17"/>
        <v>1.4133267422320941E-3</v>
      </c>
      <c r="N105" s="29"/>
      <c r="O105" s="29"/>
      <c r="P105" s="29"/>
      <c r="Q105" s="332">
        <f t="shared" si="18"/>
        <v>852</v>
      </c>
      <c r="R105" s="6"/>
      <c r="S105" s="7">
        <f>31125+12939+4260</f>
        <v>48324</v>
      </c>
      <c r="T105" s="6"/>
      <c r="U105" s="243">
        <f t="shared" si="19"/>
        <v>8.0048369596726773E-2</v>
      </c>
      <c r="W105">
        <f t="shared" si="20"/>
        <v>95</v>
      </c>
      <c r="Y105" s="56"/>
    </row>
    <row r="106" spans="3:25" hidden="1" outlineLevel="1" x14ac:dyDescent="0.3">
      <c r="C106" s="157">
        <f t="shared" si="15"/>
        <v>44005</v>
      </c>
      <c r="E106" s="241">
        <v>389085</v>
      </c>
      <c r="F106" s="7"/>
      <c r="G106" s="7">
        <v>169734</v>
      </c>
      <c r="H106" s="7"/>
      <c r="I106" s="7">
        <v>45899</v>
      </c>
      <c r="J106" s="244"/>
      <c r="K106" s="7">
        <f t="shared" si="16"/>
        <v>604718</v>
      </c>
      <c r="L106" s="6"/>
      <c r="M106" s="431">
        <f t="shared" si="17"/>
        <v>1.7111573088614096E-3</v>
      </c>
      <c r="N106" s="29"/>
      <c r="O106" s="29"/>
      <c r="P106" s="29"/>
      <c r="Q106" s="332">
        <f t="shared" si="18"/>
        <v>1033</v>
      </c>
      <c r="R106" s="6"/>
      <c r="S106" s="7">
        <f>31232+13025+4277</f>
        <v>48534</v>
      </c>
      <c r="T106" s="6"/>
      <c r="U106" s="243">
        <f t="shared" si="19"/>
        <v>8.025889753571086E-2</v>
      </c>
      <c r="W106">
        <f t="shared" si="20"/>
        <v>96</v>
      </c>
      <c r="Y106" s="56"/>
    </row>
    <row r="107" spans="3:25" hidden="1" outlineLevel="1" x14ac:dyDescent="0.3">
      <c r="C107" s="157">
        <f t="shared" si="15"/>
        <v>44006</v>
      </c>
      <c r="E107" s="241">
        <v>389666</v>
      </c>
      <c r="F107" s="7"/>
      <c r="G107" s="7">
        <v>169892</v>
      </c>
      <c r="H107" s="7"/>
      <c r="I107" s="7">
        <v>45913</v>
      </c>
      <c r="J107" s="244"/>
      <c r="K107" s="7">
        <f t="shared" si="16"/>
        <v>605471</v>
      </c>
      <c r="L107" s="6"/>
      <c r="M107" s="431">
        <f t="shared" si="17"/>
        <v>1.2452085104131183E-3</v>
      </c>
      <c r="N107" s="29"/>
      <c r="O107" s="29"/>
      <c r="P107" s="29"/>
      <c r="Q107" s="332">
        <f t="shared" si="18"/>
        <v>753</v>
      </c>
      <c r="R107" s="6"/>
      <c r="S107" s="7">
        <f>31257+13076+4287</f>
        <v>48620</v>
      </c>
      <c r="T107" s="6"/>
      <c r="U107" s="243">
        <f t="shared" si="19"/>
        <v>8.0301120945511839E-2</v>
      </c>
      <c r="W107">
        <f t="shared" si="20"/>
        <v>97</v>
      </c>
      <c r="Y107" s="56"/>
    </row>
    <row r="108" spans="3:25" hidden="1" outlineLevel="1" x14ac:dyDescent="0.3">
      <c r="C108" s="157">
        <f t="shared" si="15"/>
        <v>44007</v>
      </c>
      <c r="E108" s="241">
        <v>390415</v>
      </c>
      <c r="F108" s="7"/>
      <c r="G108" s="7">
        <v>170186</v>
      </c>
      <c r="H108" s="7"/>
      <c r="I108" s="7">
        <v>45994</v>
      </c>
      <c r="J108" s="244"/>
      <c r="K108" s="7">
        <f t="shared" si="16"/>
        <v>606595</v>
      </c>
      <c r="L108" s="6"/>
      <c r="M108" s="431">
        <f t="shared" si="17"/>
        <v>1.8564060045815573E-3</v>
      </c>
      <c r="N108" s="29"/>
      <c r="O108" s="29"/>
      <c r="P108" s="29"/>
      <c r="Q108" s="332">
        <f t="shared" si="18"/>
        <v>1124</v>
      </c>
      <c r="R108" s="6"/>
      <c r="S108" s="7">
        <f>31301+14872+4208</f>
        <v>50381</v>
      </c>
      <c r="T108" s="6"/>
      <c r="U108" s="243">
        <f t="shared" si="19"/>
        <v>8.30554158870416E-2</v>
      </c>
      <c r="W108">
        <f t="shared" si="20"/>
        <v>98</v>
      </c>
      <c r="Y108" s="56"/>
    </row>
    <row r="109" spans="3:25" hidden="1" outlineLevel="1" x14ac:dyDescent="0.3">
      <c r="C109" s="157">
        <f t="shared" si="15"/>
        <v>44008</v>
      </c>
      <c r="E109" s="241">
        <v>391220</v>
      </c>
      <c r="F109" s="7"/>
      <c r="G109" s="7">
        <v>170584</v>
      </c>
      <c r="H109" s="7"/>
      <c r="I109" s="7">
        <v>46059</v>
      </c>
      <c r="J109" s="244"/>
      <c r="K109" s="7">
        <f t="shared" si="16"/>
        <v>607863</v>
      </c>
      <c r="L109" s="6"/>
      <c r="M109" s="431">
        <f t="shared" si="17"/>
        <v>2.0903568278670282E-3</v>
      </c>
      <c r="N109" s="29"/>
      <c r="O109" s="29"/>
      <c r="P109" s="29"/>
      <c r="Q109" s="332">
        <f t="shared" si="18"/>
        <v>1268</v>
      </c>
      <c r="R109" s="6"/>
      <c r="S109" s="7">
        <f>31342+14915+4307</f>
        <v>50564</v>
      </c>
      <c r="T109" s="6"/>
      <c r="U109" s="243">
        <f t="shared" si="19"/>
        <v>8.3183217270996923E-2</v>
      </c>
      <c r="W109">
        <f t="shared" si="20"/>
        <v>99</v>
      </c>
      <c r="Y109" s="56"/>
    </row>
    <row r="110" spans="3:25" hidden="1" outlineLevel="1" x14ac:dyDescent="0.3">
      <c r="C110" s="157">
        <f t="shared" si="15"/>
        <v>44009</v>
      </c>
      <c r="E110" s="241">
        <v>391323</v>
      </c>
      <c r="F110" s="7"/>
      <c r="G110" s="7">
        <v>170873</v>
      </c>
      <c r="H110" s="7"/>
      <c r="I110" s="7">
        <v>46206</v>
      </c>
      <c r="J110" s="244"/>
      <c r="K110" s="7">
        <f t="shared" ref="K110:K127" si="21">SUM(E110:I110)</f>
        <v>608402</v>
      </c>
      <c r="L110" s="6"/>
      <c r="M110" s="431">
        <f t="shared" ref="M110:M127" si="22">+(K110-K109)/K109</f>
        <v>8.8671295999262988E-4</v>
      </c>
      <c r="N110" s="29"/>
      <c r="O110" s="29"/>
      <c r="P110" s="29"/>
      <c r="Q110" s="332">
        <f t="shared" ref="Q110:Q127" si="23">+K110-K109</f>
        <v>539</v>
      </c>
      <c r="R110" s="6"/>
      <c r="S110" s="7">
        <f>31368+14984+4311</f>
        <v>50663</v>
      </c>
      <c r="T110" s="6"/>
      <c r="U110" s="243">
        <f t="shared" ref="U110:U127" si="24">+S110/K110</f>
        <v>8.3272244338447279E-2</v>
      </c>
      <c r="W110">
        <f t="shared" si="20"/>
        <v>100</v>
      </c>
      <c r="Y110" s="56"/>
    </row>
    <row r="111" spans="3:25" hidden="1" outlineLevel="1" x14ac:dyDescent="0.3">
      <c r="C111" s="157">
        <f t="shared" si="15"/>
        <v>44010</v>
      </c>
      <c r="E111" s="241">
        <v>392539</v>
      </c>
      <c r="F111" s="7"/>
      <c r="G111" s="7">
        <v>171182</v>
      </c>
      <c r="H111" s="7"/>
      <c r="I111" s="7">
        <v>46303</v>
      </c>
      <c r="J111" s="244"/>
      <c r="K111" s="7">
        <f t="shared" si="21"/>
        <v>610024</v>
      </c>
      <c r="L111" s="6"/>
      <c r="M111" s="438">
        <f t="shared" si="22"/>
        <v>2.6660004404982234E-3</v>
      </c>
      <c r="N111" s="29"/>
      <c r="O111" s="29"/>
      <c r="P111" s="29"/>
      <c r="Q111" s="332">
        <f t="shared" si="23"/>
        <v>1622</v>
      </c>
      <c r="R111" s="6"/>
      <c r="S111" s="7">
        <f>31397+14975+4316</f>
        <v>50688</v>
      </c>
      <c r="T111" s="6"/>
      <c r="U111" s="243">
        <f t="shared" si="24"/>
        <v>8.3091812781136476E-2</v>
      </c>
      <c r="W111">
        <f t="shared" si="20"/>
        <v>101</v>
      </c>
      <c r="Y111" s="56"/>
    </row>
    <row r="112" spans="3:25" hidden="1" outlineLevel="1" x14ac:dyDescent="0.3">
      <c r="C112" s="157">
        <f t="shared" si="15"/>
        <v>44011</v>
      </c>
      <c r="E112" s="241">
        <v>393069</v>
      </c>
      <c r="F112" s="7"/>
      <c r="G112" s="7">
        <v>171272</v>
      </c>
      <c r="H112" s="7"/>
      <c r="I112" s="7">
        <v>46362</v>
      </c>
      <c r="J112" s="244"/>
      <c r="K112" s="7">
        <f t="shared" si="21"/>
        <v>610703</v>
      </c>
      <c r="L112" s="6"/>
      <c r="M112" s="438">
        <f t="shared" si="22"/>
        <v>1.1130709611425124E-3</v>
      </c>
      <c r="N112" s="29"/>
      <c r="O112" s="29"/>
      <c r="P112" s="29"/>
      <c r="Q112" s="332">
        <f t="shared" si="23"/>
        <v>679</v>
      </c>
      <c r="R112" s="6"/>
      <c r="S112" s="7">
        <f>31403+14992+4320</f>
        <v>50715</v>
      </c>
      <c r="T112" s="6"/>
      <c r="U112" s="243">
        <f t="shared" si="24"/>
        <v>8.3043639870771888E-2</v>
      </c>
      <c r="W112">
        <f t="shared" si="20"/>
        <v>102</v>
      </c>
      <c r="Y112" s="56"/>
    </row>
    <row r="113" spans="3:25" hidden="1" outlineLevel="1" x14ac:dyDescent="0.3">
      <c r="C113" s="157">
        <f t="shared" si="15"/>
        <v>44012</v>
      </c>
      <c r="E113" s="241">
        <v>393254</v>
      </c>
      <c r="F113" s="7"/>
      <c r="G113" s="7">
        <v>171617</v>
      </c>
      <c r="H113" s="7"/>
      <c r="I113" s="7">
        <v>46474</v>
      </c>
      <c r="J113" s="244"/>
      <c r="K113" s="7">
        <f t="shared" si="21"/>
        <v>611345</v>
      </c>
      <c r="L113" s="6"/>
      <c r="M113" s="438">
        <f t="shared" si="22"/>
        <v>1.0512474967373667E-3</v>
      </c>
      <c r="N113" s="29"/>
      <c r="O113" s="29"/>
      <c r="P113" s="29"/>
      <c r="Q113" s="332">
        <f t="shared" si="23"/>
        <v>642</v>
      </c>
      <c r="R113" s="6"/>
      <c r="S113" s="7">
        <f>32032+15035+4322</f>
        <v>51389</v>
      </c>
      <c r="T113" s="6"/>
      <c r="U113" s="243">
        <f t="shared" si="24"/>
        <v>8.4058919268170995E-2</v>
      </c>
      <c r="W113">
        <f t="shared" si="20"/>
        <v>103</v>
      </c>
      <c r="Y113" s="56"/>
    </row>
    <row r="114" spans="3:25" hidden="1" outlineLevel="1" x14ac:dyDescent="0.3">
      <c r="C114" s="157">
        <f t="shared" si="15"/>
        <v>44013</v>
      </c>
      <c r="E114" s="241">
        <v>394079</v>
      </c>
      <c r="F114" s="7"/>
      <c r="G114" s="7">
        <v>171928</v>
      </c>
      <c r="H114" s="7"/>
      <c r="I114" s="7">
        <v>46572</v>
      </c>
      <c r="J114" s="244"/>
      <c r="K114" s="7">
        <f t="shared" si="21"/>
        <v>612579</v>
      </c>
      <c r="L114" s="6"/>
      <c r="M114" s="438">
        <f t="shared" si="22"/>
        <v>2.0185001921991675E-3</v>
      </c>
      <c r="N114" s="29"/>
      <c r="O114" s="29"/>
      <c r="P114" s="29"/>
      <c r="Q114" s="332">
        <f t="shared" si="23"/>
        <v>1234</v>
      </c>
      <c r="R114" s="6"/>
      <c r="S114" s="7">
        <f>32043+15078+4324</f>
        <v>51445</v>
      </c>
      <c r="T114" s="6"/>
      <c r="U114" s="243">
        <f t="shared" si="24"/>
        <v>8.3981004898959974E-2</v>
      </c>
      <c r="W114">
        <f t="shared" si="20"/>
        <v>104</v>
      </c>
      <c r="Y114" s="56"/>
    </row>
    <row r="115" spans="3:25" hidden="1" outlineLevel="1" x14ac:dyDescent="0.3">
      <c r="C115" s="157">
        <f t="shared" si="15"/>
        <v>44014</v>
      </c>
      <c r="E115" s="241">
        <v>394954</v>
      </c>
      <c r="F115" s="7"/>
      <c r="G115" s="7">
        <v>172356</v>
      </c>
      <c r="H115" s="7"/>
      <c r="I115" s="7">
        <v>46646</v>
      </c>
      <c r="J115" s="244"/>
      <c r="K115" s="7">
        <f t="shared" si="21"/>
        <v>613956</v>
      </c>
      <c r="L115" s="6"/>
      <c r="M115" s="438">
        <f t="shared" si="22"/>
        <v>2.2478733355208065E-3</v>
      </c>
      <c r="N115" s="29"/>
      <c r="O115" s="29"/>
      <c r="P115" s="29"/>
      <c r="Q115" s="332">
        <f t="shared" si="23"/>
        <v>1377</v>
      </c>
      <c r="R115" s="6"/>
      <c r="S115" s="7">
        <f>32064+15107+4328</f>
        <v>51499</v>
      </c>
      <c r="T115" s="6"/>
      <c r="U115" s="243">
        <f t="shared" si="24"/>
        <v>8.3880603821772245E-2</v>
      </c>
      <c r="W115">
        <f t="shared" si="20"/>
        <v>105</v>
      </c>
      <c r="Y115" s="56"/>
    </row>
    <row r="116" spans="3:25" hidden="1" outlineLevel="1" x14ac:dyDescent="0.3">
      <c r="C116" s="157">
        <f t="shared" si="15"/>
        <v>44015</v>
      </c>
      <c r="E116" s="241">
        <v>395872</v>
      </c>
      <c r="F116" s="7"/>
      <c r="G116" s="7">
        <v>172742</v>
      </c>
      <c r="H116" s="7"/>
      <c r="I116" s="7">
        <v>46717</v>
      </c>
      <c r="J116" s="244"/>
      <c r="K116" s="7">
        <f t="shared" si="21"/>
        <v>615331</v>
      </c>
      <c r="L116" s="6"/>
      <c r="M116" s="438">
        <f t="shared" si="22"/>
        <v>2.2395741714389956E-3</v>
      </c>
      <c r="N116" s="29"/>
      <c r="O116" s="29"/>
      <c r="P116" s="29"/>
      <c r="Q116" s="332">
        <f t="shared" si="23"/>
        <v>1375</v>
      </c>
      <c r="R116" s="6"/>
      <c r="S116" s="7">
        <f>32081+15164+4335</f>
        <v>51580</v>
      </c>
      <c r="T116" s="6"/>
      <c r="U116" s="243">
        <f t="shared" si="24"/>
        <v>8.3824803235981932E-2</v>
      </c>
      <c r="W116">
        <f t="shared" si="20"/>
        <v>106</v>
      </c>
      <c r="Y116" s="56"/>
    </row>
    <row r="117" spans="3:25" hidden="1" outlineLevel="1" x14ac:dyDescent="0.3">
      <c r="C117" s="157">
        <f t="shared" si="15"/>
        <v>44016</v>
      </c>
      <c r="E117" s="241">
        <v>395598</v>
      </c>
      <c r="F117" s="7"/>
      <c r="G117" s="7">
        <v>173033</v>
      </c>
      <c r="H117" s="7"/>
      <c r="I117" s="7">
        <v>46717</v>
      </c>
      <c r="J117" s="244"/>
      <c r="K117" s="7">
        <f t="shared" si="21"/>
        <v>615348</v>
      </c>
      <c r="L117" s="6"/>
      <c r="M117" s="438">
        <f t="shared" si="22"/>
        <v>2.7627407037838173E-5</v>
      </c>
      <c r="N117" s="29"/>
      <c r="O117" s="29"/>
      <c r="P117" s="29"/>
      <c r="Q117" s="332">
        <f t="shared" si="23"/>
        <v>17</v>
      </c>
      <c r="R117" s="6"/>
      <c r="S117" s="7">
        <f>32157+15189+4355</f>
        <v>51701</v>
      </c>
      <c r="T117" s="6"/>
      <c r="U117" s="243">
        <f t="shared" si="24"/>
        <v>8.4019124137886203E-2</v>
      </c>
      <c r="W117">
        <f t="shared" si="20"/>
        <v>107</v>
      </c>
      <c r="Y117" s="56"/>
    </row>
    <row r="118" spans="3:25" hidden="1" outlineLevel="1" x14ac:dyDescent="0.3">
      <c r="C118" s="157">
        <f t="shared" si="15"/>
        <v>44017</v>
      </c>
      <c r="E118" s="241">
        <v>397131</v>
      </c>
      <c r="F118" s="7"/>
      <c r="G118" s="7">
        <v>173402</v>
      </c>
      <c r="H118" s="7"/>
      <c r="I118" s="7">
        <v>46717</v>
      </c>
      <c r="J118" s="244"/>
      <c r="K118" s="7">
        <f t="shared" si="21"/>
        <v>617250</v>
      </c>
      <c r="L118" s="6"/>
      <c r="M118" s="438">
        <f t="shared" si="22"/>
        <v>3.0909339105676787E-3</v>
      </c>
      <c r="N118" s="29"/>
      <c r="O118" s="29"/>
      <c r="P118" s="29"/>
      <c r="Q118" s="332">
        <f t="shared" si="23"/>
        <v>1902</v>
      </c>
      <c r="R118" s="6"/>
      <c r="S118" s="7">
        <f>32189+15211+4335</f>
        <v>51735</v>
      </c>
      <c r="T118" s="6"/>
      <c r="U118" s="243">
        <f t="shared" si="24"/>
        <v>8.3815309842041316E-2</v>
      </c>
      <c r="W118">
        <f t="shared" si="20"/>
        <v>108</v>
      </c>
      <c r="Y118" s="56"/>
    </row>
    <row r="119" spans="3:25" hidden="1" outlineLevel="1" x14ac:dyDescent="0.3">
      <c r="C119" s="157">
        <f t="shared" si="15"/>
        <v>44018</v>
      </c>
      <c r="E119" s="241">
        <v>397649</v>
      </c>
      <c r="F119" s="7"/>
      <c r="G119" s="7">
        <v>173611</v>
      </c>
      <c r="H119" s="7"/>
      <c r="I119" s="7">
        <v>46976</v>
      </c>
      <c r="J119" s="244"/>
      <c r="K119" s="7">
        <f t="shared" si="21"/>
        <v>618236</v>
      </c>
      <c r="L119" s="6"/>
      <c r="M119" s="438">
        <f t="shared" si="22"/>
        <v>1.5974078574321588E-3</v>
      </c>
      <c r="N119" s="29"/>
      <c r="O119" s="29"/>
      <c r="P119" s="29"/>
      <c r="Q119" s="332">
        <f t="shared" si="23"/>
        <v>986</v>
      </c>
      <c r="R119" s="6"/>
      <c r="S119" s="7">
        <f>32219+15229+4388</f>
        <v>51836</v>
      </c>
      <c r="T119" s="6"/>
      <c r="U119" s="243">
        <f t="shared" si="24"/>
        <v>8.3845004173163651E-2</v>
      </c>
      <c r="W119">
        <f t="shared" si="20"/>
        <v>109</v>
      </c>
      <c r="Y119" s="56"/>
    </row>
    <row r="120" spans="3:25" hidden="1" outlineLevel="1" x14ac:dyDescent="0.3">
      <c r="C120" s="157">
        <f t="shared" si="15"/>
        <v>44019</v>
      </c>
      <c r="E120" s="241">
        <v>398237</v>
      </c>
      <c r="F120" s="7"/>
      <c r="G120" s="7">
        <v>173878</v>
      </c>
      <c r="H120" s="7"/>
      <c r="I120" s="7">
        <v>47033</v>
      </c>
      <c r="J120" s="244"/>
      <c r="K120" s="7">
        <f t="shared" si="21"/>
        <v>619148</v>
      </c>
      <c r="L120" s="6"/>
      <c r="M120" s="438">
        <f t="shared" si="22"/>
        <v>1.4751648237889738E-3</v>
      </c>
      <c r="N120" s="29"/>
      <c r="O120" s="29"/>
      <c r="P120" s="29"/>
      <c r="Q120" s="332">
        <f t="shared" si="23"/>
        <v>912</v>
      </c>
      <c r="R120" s="6"/>
      <c r="S120" s="7">
        <f>32243+15281+4338</f>
        <v>51862</v>
      </c>
      <c r="T120" s="6"/>
      <c r="U120" s="243">
        <f t="shared" si="24"/>
        <v>8.3763494350300741E-2</v>
      </c>
      <c r="W120">
        <f t="shared" si="20"/>
        <v>110</v>
      </c>
      <c r="Y120" s="56"/>
    </row>
    <row r="121" spans="3:25" hidden="1" outlineLevel="1" x14ac:dyDescent="0.3">
      <c r="C121" s="157">
        <f t="shared" si="15"/>
        <v>44020</v>
      </c>
      <c r="E121" s="241">
        <f>398909</f>
        <v>398909</v>
      </c>
      <c r="F121" s="7"/>
      <c r="G121" s="7">
        <v>174039</v>
      </c>
      <c r="H121" s="7"/>
      <c r="I121" s="7">
        <v>47108</v>
      </c>
      <c r="J121" s="244"/>
      <c r="K121" s="7">
        <f t="shared" si="21"/>
        <v>620056</v>
      </c>
      <c r="L121" s="6"/>
      <c r="M121" s="438">
        <f t="shared" si="22"/>
        <v>1.4665314270578278E-3</v>
      </c>
      <c r="N121" s="29"/>
      <c r="O121" s="29"/>
      <c r="P121" s="29"/>
      <c r="Q121" s="332">
        <f t="shared" si="23"/>
        <v>908</v>
      </c>
      <c r="R121" s="6"/>
      <c r="S121" s="7">
        <f>32251+15332+4343</f>
        <v>51926</v>
      </c>
      <c r="T121" s="6"/>
      <c r="U121" s="243">
        <f t="shared" si="24"/>
        <v>8.3744048924613262E-2</v>
      </c>
      <c r="W121">
        <f t="shared" si="20"/>
        <v>111</v>
      </c>
      <c r="Y121" s="56"/>
    </row>
    <row r="122" spans="3:25" hidden="1" outlineLevel="1" x14ac:dyDescent="0.3">
      <c r="C122" s="157">
        <f t="shared" si="15"/>
        <v>44021</v>
      </c>
      <c r="E122" s="241">
        <v>399477</v>
      </c>
      <c r="F122" s="7"/>
      <c r="G122" s="7">
        <v>174270</v>
      </c>
      <c r="H122" s="7"/>
      <c r="I122" s="7">
        <v>47209</v>
      </c>
      <c r="J122" s="244"/>
      <c r="K122" s="7">
        <f t="shared" si="21"/>
        <v>620956</v>
      </c>
      <c r="L122" s="6"/>
      <c r="M122" s="438">
        <f t="shared" si="22"/>
        <v>1.4514818016437224E-3</v>
      </c>
      <c r="N122" s="29"/>
      <c r="O122" s="29"/>
      <c r="P122" s="29"/>
      <c r="Q122" s="332">
        <f t="shared" si="23"/>
        <v>900</v>
      </c>
      <c r="R122" s="6"/>
      <c r="S122" s="7">
        <f>32283+15448+4348</f>
        <v>52079</v>
      </c>
      <c r="T122" s="6"/>
      <c r="U122" s="243">
        <f t="shared" si="24"/>
        <v>8.3869066407281673E-2</v>
      </c>
      <c r="W122">
        <f t="shared" si="20"/>
        <v>112</v>
      </c>
      <c r="Y122" s="56"/>
    </row>
    <row r="123" spans="3:25" hidden="1" outlineLevel="1" x14ac:dyDescent="0.3">
      <c r="C123" s="157">
        <f t="shared" si="15"/>
        <v>44022</v>
      </c>
      <c r="E123" s="241">
        <v>400299</v>
      </c>
      <c r="F123" s="7"/>
      <c r="G123" s="7">
        <v>174628</v>
      </c>
      <c r="H123" s="7"/>
      <c r="I123" s="7">
        <v>47287</v>
      </c>
      <c r="J123" s="244"/>
      <c r="K123" s="7">
        <f t="shared" si="21"/>
        <v>622214</v>
      </c>
      <c r="L123" s="6"/>
      <c r="M123" s="438">
        <f t="shared" si="22"/>
        <v>2.0259084379569566E-3</v>
      </c>
      <c r="N123" s="29"/>
      <c r="O123" s="29"/>
      <c r="P123" s="29"/>
      <c r="Q123" s="332">
        <f t="shared" si="23"/>
        <v>1258</v>
      </c>
      <c r="R123" s="6"/>
      <c r="S123" s="7">
        <f>32307+15479+4348</f>
        <v>52134</v>
      </c>
      <c r="T123" s="6"/>
      <c r="U123" s="243">
        <f t="shared" si="24"/>
        <v>8.378789291144205E-2</v>
      </c>
      <c r="W123">
        <f t="shared" si="20"/>
        <v>113</v>
      </c>
      <c r="Y123" s="56"/>
    </row>
    <row r="124" spans="3:25" hidden="1" outlineLevel="1" x14ac:dyDescent="0.3">
      <c r="C124" s="157">
        <f t="shared" si="15"/>
        <v>44023</v>
      </c>
      <c r="E124" s="241">
        <v>401029</v>
      </c>
      <c r="F124" s="7"/>
      <c r="G124" s="7">
        <v>174959</v>
      </c>
      <c r="H124" s="7"/>
      <c r="I124" s="7">
        <v>47237</v>
      </c>
      <c r="J124" s="244"/>
      <c r="K124" s="7">
        <f t="shared" si="21"/>
        <v>623225</v>
      </c>
      <c r="L124" s="6"/>
      <c r="M124" s="438">
        <f t="shared" si="22"/>
        <v>1.6248428997097462E-3</v>
      </c>
      <c r="N124" s="29"/>
      <c r="O124" s="29"/>
      <c r="P124" s="29"/>
      <c r="Q124" s="332">
        <f t="shared" si="23"/>
        <v>1011</v>
      </c>
      <c r="R124" s="6"/>
      <c r="S124" s="7">
        <f>32343+15525+4348</f>
        <v>52216</v>
      </c>
      <c r="T124" s="6"/>
      <c r="U124" s="243">
        <f t="shared" si="24"/>
        <v>8.3783545268562715E-2</v>
      </c>
      <c r="W124">
        <f t="shared" si="20"/>
        <v>114</v>
      </c>
      <c r="Y124" s="56"/>
    </row>
    <row r="125" spans="3:25" hidden="1" outlineLevel="1" x14ac:dyDescent="0.3">
      <c r="C125" s="157">
        <f t="shared" si="15"/>
        <v>44024</v>
      </c>
      <c r="E125" s="241">
        <v>401556</v>
      </c>
      <c r="F125" s="7"/>
      <c r="G125" s="7">
        <v>175298</v>
      </c>
      <c r="H125" s="7"/>
      <c r="I125" s="7">
        <v>47287</v>
      </c>
      <c r="J125" s="244"/>
      <c r="K125" s="7">
        <f t="shared" si="21"/>
        <v>624141</v>
      </c>
      <c r="L125" s="6"/>
      <c r="M125" s="438">
        <f t="shared" si="22"/>
        <v>1.4697741586104536E-3</v>
      </c>
      <c r="N125" s="29"/>
      <c r="O125" s="29"/>
      <c r="P125" s="29"/>
      <c r="Q125" s="332">
        <f t="shared" si="23"/>
        <v>916</v>
      </c>
      <c r="R125" s="6"/>
      <c r="S125" s="7">
        <f>32350+15525+4348</f>
        <v>52223</v>
      </c>
      <c r="T125" s="6"/>
      <c r="U125" s="243">
        <f t="shared" si="24"/>
        <v>8.3671798519885737E-2</v>
      </c>
      <c r="W125">
        <f t="shared" si="20"/>
        <v>115</v>
      </c>
      <c r="Y125" s="56"/>
    </row>
    <row r="126" spans="3:25" hidden="1" outlineLevel="1" x14ac:dyDescent="0.3">
      <c r="C126" s="157">
        <f t="shared" si="15"/>
        <v>44025</v>
      </c>
      <c r="E126" s="241">
        <v>402263</v>
      </c>
      <c r="F126" s="7"/>
      <c r="G126" s="7">
        <v>175522</v>
      </c>
      <c r="H126" s="7"/>
      <c r="I126" s="7">
        <v>47510</v>
      </c>
      <c r="J126" s="244"/>
      <c r="K126" s="7">
        <f t="shared" si="21"/>
        <v>625295</v>
      </c>
      <c r="L126" s="6"/>
      <c r="M126" s="438">
        <f t="shared" si="22"/>
        <v>1.8489411847643401E-3</v>
      </c>
      <c r="N126" s="29"/>
      <c r="O126" s="29"/>
      <c r="P126" s="29"/>
      <c r="Q126" s="332">
        <f t="shared" si="23"/>
        <v>1154</v>
      </c>
      <c r="R126" s="6"/>
      <c r="S126" s="7">
        <f>32395+15560+4371</f>
        <v>52326</v>
      </c>
      <c r="T126" s="6"/>
      <c r="U126" s="243">
        <f t="shared" si="24"/>
        <v>8.3682102047833426E-2</v>
      </c>
      <c r="W126">
        <f t="shared" si="20"/>
        <v>116</v>
      </c>
      <c r="Y126" s="56"/>
    </row>
    <row r="127" spans="3:25" hidden="1" outlineLevel="1" x14ac:dyDescent="0.3">
      <c r="C127" s="157">
        <f t="shared" si="15"/>
        <v>44026</v>
      </c>
      <c r="E127" s="241">
        <v>403175</v>
      </c>
      <c r="F127" s="7"/>
      <c r="G127" s="7">
        <v>175915</v>
      </c>
      <c r="H127" s="7"/>
      <c r="I127" s="7">
        <v>47531</v>
      </c>
      <c r="J127" s="244"/>
      <c r="K127" s="7">
        <f t="shared" si="21"/>
        <v>626621</v>
      </c>
      <c r="L127" s="6"/>
      <c r="M127" s="438">
        <f t="shared" si="22"/>
        <v>2.1205990772355447E-3</v>
      </c>
      <c r="N127" s="29"/>
      <c r="O127" s="29"/>
      <c r="P127" s="29"/>
      <c r="Q127" s="332">
        <f t="shared" si="23"/>
        <v>1326</v>
      </c>
      <c r="R127" s="6"/>
      <c r="S127" s="7">
        <f>32408+15582+4374</f>
        <v>52364</v>
      </c>
      <c r="T127" s="6"/>
      <c r="U127" s="243">
        <f t="shared" si="24"/>
        <v>8.3565664093606815E-2</v>
      </c>
      <c r="W127">
        <f t="shared" si="20"/>
        <v>117</v>
      </c>
      <c r="Y127" s="56"/>
    </row>
    <row r="128" spans="3:25" hidden="1" outlineLevel="1" x14ac:dyDescent="0.3">
      <c r="C128" s="157">
        <f t="shared" si="15"/>
        <v>44027</v>
      </c>
      <c r="E128" s="241">
        <v>403600</v>
      </c>
      <c r="F128" s="7"/>
      <c r="G128" s="7">
        <v>176110</v>
      </c>
      <c r="H128" s="7"/>
      <c r="I128" s="7">
        <v>47620</v>
      </c>
      <c r="J128" s="244"/>
      <c r="K128" s="7">
        <f>SUM(E128:I128)</f>
        <v>627330</v>
      </c>
      <c r="L128" s="6"/>
      <c r="M128" s="438">
        <f t="shared" ref="M128:M136" si="25">+(K128-K127)/K127</f>
        <v>1.1314654312574906E-3</v>
      </c>
      <c r="N128" s="29"/>
      <c r="O128" s="29"/>
      <c r="P128" s="29"/>
      <c r="Q128" s="332">
        <f t="shared" ref="Q128:Q136" si="26">+K128-K127</f>
        <v>709</v>
      </c>
      <c r="R128" s="6"/>
      <c r="S128" s="7">
        <f>32427+15634+4380</f>
        <v>52441</v>
      </c>
      <c r="T128" s="6"/>
      <c r="U128" s="243">
        <f t="shared" ref="U128:U136" si="27">+S128/K128</f>
        <v>8.3593961710742348E-2</v>
      </c>
      <c r="W128">
        <f t="shared" si="20"/>
        <v>118</v>
      </c>
      <c r="Y128" s="56"/>
    </row>
    <row r="129" spans="3:25" hidden="1" outlineLevel="1" x14ac:dyDescent="0.3">
      <c r="C129" s="157">
        <f t="shared" si="15"/>
        <v>44028</v>
      </c>
      <c r="E129" s="241">
        <v>404775</v>
      </c>
      <c r="F129" s="7"/>
      <c r="G129" s="7">
        <v>176501</v>
      </c>
      <c r="H129" s="7"/>
      <c r="I129" s="7">
        <v>47750</v>
      </c>
      <c r="J129" s="244"/>
      <c r="K129" s="7">
        <f>SUM(E129:I129)</f>
        <v>629026</v>
      </c>
      <c r="L129" s="6"/>
      <c r="M129" s="438">
        <f t="shared" si="25"/>
        <v>2.7035212726953914E-3</v>
      </c>
      <c r="N129" s="29"/>
      <c r="O129" s="29"/>
      <c r="P129" s="29"/>
      <c r="Q129" s="332">
        <f t="shared" si="26"/>
        <v>1696</v>
      </c>
      <c r="R129" s="6"/>
      <c r="S129" s="7">
        <f>32446+15665+4389</f>
        <v>52500</v>
      </c>
      <c r="T129" s="6"/>
      <c r="U129" s="243">
        <f t="shared" si="27"/>
        <v>8.3462368805105033E-2</v>
      </c>
      <c r="W129">
        <f t="shared" si="20"/>
        <v>119</v>
      </c>
      <c r="Y129" s="56"/>
    </row>
    <row r="130" spans="3:25" hidden="1" outlineLevel="1" x14ac:dyDescent="0.3">
      <c r="C130" s="157">
        <f t="shared" si="15"/>
        <v>44029</v>
      </c>
      <c r="E130" s="241">
        <v>405551</v>
      </c>
      <c r="F130" s="7"/>
      <c r="G130" s="7">
        <v>176551</v>
      </c>
      <c r="H130" s="7"/>
      <c r="I130" s="7">
        <v>47893</v>
      </c>
      <c r="J130" s="244"/>
      <c r="K130" s="7">
        <f t="shared" ref="K130:K135" si="28">SUM(E130:I130)</f>
        <v>629995</v>
      </c>
      <c r="L130" s="6"/>
      <c r="M130" s="438">
        <f t="shared" si="25"/>
        <v>1.5404768642313673E-3</v>
      </c>
      <c r="N130" s="29"/>
      <c r="O130" s="29"/>
      <c r="P130" s="29"/>
      <c r="Q130" s="332">
        <f t="shared" si="26"/>
        <v>969</v>
      </c>
      <c r="R130" s="6"/>
      <c r="S130" s="7">
        <v>52728</v>
      </c>
      <c r="T130" s="6"/>
      <c r="U130" s="243">
        <f t="shared" si="27"/>
        <v>8.3695902348431342E-2</v>
      </c>
      <c r="W130">
        <f t="shared" si="20"/>
        <v>120</v>
      </c>
      <c r="Y130" s="56"/>
    </row>
    <row r="131" spans="3:25" hidden="1" outlineLevel="1" x14ac:dyDescent="0.3">
      <c r="C131" s="157">
        <f t="shared" si="15"/>
        <v>44030</v>
      </c>
      <c r="E131" s="241">
        <v>406750</v>
      </c>
      <c r="F131" s="7"/>
      <c r="G131" s="7">
        <v>176703</v>
      </c>
      <c r="H131" s="7"/>
      <c r="I131" s="7">
        <v>47929</v>
      </c>
      <c r="J131" s="244"/>
      <c r="K131" s="7">
        <f t="shared" si="28"/>
        <v>631382</v>
      </c>
      <c r="L131" s="6"/>
      <c r="M131" s="438">
        <f t="shared" si="25"/>
        <v>2.2016047746410685E-3</v>
      </c>
      <c r="N131" s="29"/>
      <c r="O131" s="29"/>
      <c r="P131" s="29"/>
      <c r="Q131" s="332">
        <f t="shared" si="26"/>
        <v>1387</v>
      </c>
      <c r="R131" s="6"/>
      <c r="S131" s="7">
        <v>53361</v>
      </c>
      <c r="T131" s="6"/>
      <c r="U131" s="243">
        <f t="shared" si="27"/>
        <v>8.4514604470827481E-2</v>
      </c>
      <c r="W131">
        <f t="shared" si="20"/>
        <v>121</v>
      </c>
      <c r="Y131" s="56"/>
    </row>
    <row r="132" spans="3:25" hidden="1" outlineLevel="1" x14ac:dyDescent="0.3">
      <c r="C132" s="157">
        <f t="shared" si="15"/>
        <v>44031</v>
      </c>
      <c r="E132" s="241">
        <v>406807</v>
      </c>
      <c r="F132" s="7"/>
      <c r="G132" s="7">
        <v>176783</v>
      </c>
      <c r="H132" s="7"/>
      <c r="I132" s="7">
        <v>47893</v>
      </c>
      <c r="J132" s="244"/>
      <c r="K132" s="7">
        <f t="shared" si="28"/>
        <v>631483</v>
      </c>
      <c r="L132" s="6"/>
      <c r="M132" s="438">
        <f t="shared" si="25"/>
        <v>1.599665495690406E-4</v>
      </c>
      <c r="N132" s="29"/>
      <c r="O132" s="29"/>
      <c r="P132" s="29"/>
      <c r="Q132" s="332">
        <f t="shared" si="26"/>
        <v>101</v>
      </c>
      <c r="R132" s="6"/>
      <c r="S132" s="7">
        <f>32463+16684+4396</f>
        <v>53543</v>
      </c>
      <c r="T132" s="6"/>
      <c r="U132" s="243">
        <f t="shared" si="27"/>
        <v>8.4789297574123138E-2</v>
      </c>
      <c r="W132">
        <f t="shared" si="20"/>
        <v>122</v>
      </c>
      <c r="Y132" s="56"/>
    </row>
    <row r="133" spans="3:25" hidden="1" outlineLevel="1" x14ac:dyDescent="0.3">
      <c r="C133" s="157">
        <f t="shared" si="15"/>
        <v>44032</v>
      </c>
      <c r="E133" s="241">
        <v>407326</v>
      </c>
      <c r="F133" s="7"/>
      <c r="G133" s="7">
        <v>176963</v>
      </c>
      <c r="H133" s="7"/>
      <c r="I133" s="7">
        <v>48055</v>
      </c>
      <c r="J133" s="244"/>
      <c r="K133" s="7">
        <f t="shared" si="28"/>
        <v>632344</v>
      </c>
      <c r="L133" s="6"/>
      <c r="M133" s="438">
        <f t="shared" si="25"/>
        <v>1.3634571318626154E-3</v>
      </c>
      <c r="N133" s="29"/>
      <c r="O133" s="29"/>
      <c r="P133" s="29"/>
      <c r="Q133" s="332">
        <f t="shared" si="26"/>
        <v>861</v>
      </c>
      <c r="R133" s="6"/>
      <c r="S133" s="7">
        <f>32506+15715+4406</f>
        <v>52627</v>
      </c>
      <c r="T133" s="6"/>
      <c r="U133" s="243">
        <f t="shared" si="27"/>
        <v>8.3225269789861209E-2</v>
      </c>
      <c r="W133">
        <f t="shared" si="20"/>
        <v>123</v>
      </c>
      <c r="Y133" s="56"/>
    </row>
    <row r="134" spans="3:25" hidden="1" outlineLevel="1" x14ac:dyDescent="0.3">
      <c r="C134" s="157">
        <f t="shared" si="15"/>
        <v>44033</v>
      </c>
      <c r="E134" s="241">
        <v>407941</v>
      </c>
      <c r="F134" s="7"/>
      <c r="G134" s="7">
        <v>177156</v>
      </c>
      <c r="H134" s="7"/>
      <c r="I134" s="7">
        <v>48096</v>
      </c>
      <c r="J134" s="244"/>
      <c r="K134" s="7">
        <f t="shared" si="28"/>
        <v>633193</v>
      </c>
      <c r="L134" s="6"/>
      <c r="M134" s="438">
        <f t="shared" si="25"/>
        <v>1.3426236352365169E-3</v>
      </c>
      <c r="N134" s="29"/>
      <c r="O134" s="29"/>
      <c r="P134" s="29"/>
      <c r="Q134" s="332">
        <f t="shared" si="26"/>
        <v>849</v>
      </c>
      <c r="R134" s="6"/>
      <c r="S134" s="7">
        <f>32520+15737+4406</f>
        <v>52663</v>
      </c>
      <c r="T134" s="6"/>
      <c r="U134" s="243">
        <f t="shared" si="27"/>
        <v>8.3170534102556412E-2</v>
      </c>
      <c r="W134">
        <f t="shared" si="20"/>
        <v>124</v>
      </c>
      <c r="Y134" s="56"/>
    </row>
    <row r="135" spans="3:25" hidden="1" outlineLevel="1" x14ac:dyDescent="0.3">
      <c r="C135" s="157">
        <f t="shared" si="15"/>
        <v>44034</v>
      </c>
      <c r="E135" s="241">
        <v>408886</v>
      </c>
      <c r="F135" s="7"/>
      <c r="G135" s="7">
        <v>177645</v>
      </c>
      <c r="H135" s="7"/>
      <c r="I135" s="7">
        <v>48223</v>
      </c>
      <c r="J135" s="244"/>
      <c r="K135" s="7">
        <f t="shared" si="28"/>
        <v>634754</v>
      </c>
      <c r="L135" s="6"/>
      <c r="M135" s="438">
        <f t="shared" si="25"/>
        <v>2.465283096938848E-3</v>
      </c>
      <c r="N135" s="29"/>
      <c r="O135" s="29"/>
      <c r="P135" s="29"/>
      <c r="Q135" s="332">
        <f t="shared" si="26"/>
        <v>1561</v>
      </c>
      <c r="R135" s="6"/>
      <c r="S135" s="7">
        <f>32526+15707+4406</f>
        <v>52639</v>
      </c>
      <c r="T135" s="6"/>
      <c r="U135" s="243">
        <f t="shared" si="27"/>
        <v>8.2928189503335151E-2</v>
      </c>
      <c r="W135">
        <f t="shared" si="20"/>
        <v>125</v>
      </c>
      <c r="Y135" s="56"/>
    </row>
    <row r="136" spans="3:25" hidden="1" outlineLevel="1" x14ac:dyDescent="0.3">
      <c r="C136" s="157">
        <f t="shared" si="15"/>
        <v>44035</v>
      </c>
      <c r="E136" s="241">
        <v>409697</v>
      </c>
      <c r="F136" s="7"/>
      <c r="G136" s="7">
        <v>177887</v>
      </c>
      <c r="H136" s="7"/>
      <c r="I136" s="7">
        <v>48232</v>
      </c>
      <c r="J136" s="244"/>
      <c r="K136" s="7">
        <f>SUM(E136:I136)</f>
        <v>635816</v>
      </c>
      <c r="L136" s="6"/>
      <c r="M136" s="438">
        <f t="shared" si="25"/>
        <v>1.6730891022348816E-3</v>
      </c>
      <c r="N136" s="29"/>
      <c r="O136" s="29"/>
      <c r="P136" s="29"/>
      <c r="Q136" s="332">
        <f t="shared" si="26"/>
        <v>1062</v>
      </c>
      <c r="R136" s="6"/>
      <c r="S136" s="7">
        <f>32594+15730+4410</f>
        <v>52734</v>
      </c>
      <c r="T136" s="6"/>
      <c r="U136" s="243">
        <f t="shared" si="27"/>
        <v>8.2939089296274388E-2</v>
      </c>
      <c r="W136">
        <f t="shared" si="20"/>
        <v>126</v>
      </c>
      <c r="Y136" s="56"/>
    </row>
    <row r="137" spans="3:25" hidden="1" outlineLevel="1" x14ac:dyDescent="0.3">
      <c r="C137" s="157">
        <f t="shared" si="15"/>
        <v>44036</v>
      </c>
      <c r="E137" s="241">
        <v>410450</v>
      </c>
      <c r="F137" s="7"/>
      <c r="G137" s="7">
        <v>178345</v>
      </c>
      <c r="H137" s="7"/>
      <c r="I137" s="7">
        <v>48776</v>
      </c>
      <c r="J137" s="244"/>
      <c r="K137" s="7">
        <v>637571</v>
      </c>
      <c r="L137" s="6"/>
      <c r="M137" s="438">
        <v>2.7602325201001548E-3</v>
      </c>
      <c r="N137" s="29"/>
      <c r="O137" s="29"/>
      <c r="P137" s="29"/>
      <c r="Q137" s="332">
        <v>1755</v>
      </c>
      <c r="R137" s="6"/>
      <c r="S137" s="7">
        <v>52774</v>
      </c>
      <c r="T137" s="6"/>
      <c r="U137" s="243">
        <v>8.2773526399412767E-2</v>
      </c>
      <c r="W137">
        <f t="shared" si="20"/>
        <v>127</v>
      </c>
      <c r="Y137" s="56"/>
    </row>
    <row r="138" spans="3:25" hidden="1" outlineLevel="1" x14ac:dyDescent="0.3">
      <c r="C138" s="157">
        <f t="shared" si="15"/>
        <v>44037</v>
      </c>
      <c r="E138" s="241">
        <v>411200</v>
      </c>
      <c r="F138" s="7"/>
      <c r="G138" s="7">
        <v>178858</v>
      </c>
      <c r="H138" s="7"/>
      <c r="I138" s="7">
        <v>48776</v>
      </c>
      <c r="J138" s="244"/>
      <c r="K138" s="7">
        <f t="shared" ref="K138:K165" si="29">SUM(E138:I138)</f>
        <v>638834</v>
      </c>
      <c r="L138" s="6"/>
      <c r="M138" s="438">
        <f t="shared" ref="M138:M165" si="30">+(K138-K137)/K137</f>
        <v>1.9809558464861168E-3</v>
      </c>
      <c r="N138" s="29"/>
      <c r="O138" s="29"/>
      <c r="P138" s="29"/>
      <c r="Q138" s="332">
        <f t="shared" ref="Q138:Q165" si="31">+K138-K137</f>
        <v>1263</v>
      </c>
      <c r="R138" s="6"/>
      <c r="S138" s="7">
        <f>32608+15776+4413</f>
        <v>52797</v>
      </c>
      <c r="T138" s="6"/>
      <c r="U138" s="243">
        <f t="shared" ref="U138:U165" si="32">+S138/K138</f>
        <v>8.264588296803238E-2</v>
      </c>
      <c r="W138">
        <f t="shared" si="20"/>
        <v>128</v>
      </c>
      <c r="Y138" s="56"/>
    </row>
    <row r="139" spans="3:25" hidden="1" outlineLevel="1" x14ac:dyDescent="0.3">
      <c r="C139" s="157">
        <f t="shared" si="15"/>
        <v>44038</v>
      </c>
      <c r="E139" s="241">
        <v>411736</v>
      </c>
      <c r="F139" s="7"/>
      <c r="G139" s="7">
        <v>179363</v>
      </c>
      <c r="H139" s="7"/>
      <c r="I139" s="7">
        <v>48776</v>
      </c>
      <c r="J139" s="244"/>
      <c r="K139" s="7">
        <f t="shared" si="29"/>
        <v>639875</v>
      </c>
      <c r="L139" s="6"/>
      <c r="M139" s="438">
        <f t="shared" si="30"/>
        <v>1.6295313023414533E-3</v>
      </c>
      <c r="N139" s="29"/>
      <c r="O139" s="29"/>
      <c r="P139" s="29"/>
      <c r="Q139" s="332">
        <f t="shared" si="31"/>
        <v>1041</v>
      </c>
      <c r="R139" s="6"/>
      <c r="S139" s="7">
        <f>32630+15787+4413</f>
        <v>52830</v>
      </c>
      <c r="T139" s="6"/>
      <c r="U139" s="243">
        <f t="shared" si="32"/>
        <v>8.2563000586051968E-2</v>
      </c>
      <c r="W139">
        <f t="shared" si="20"/>
        <v>129</v>
      </c>
      <c r="Y139" s="56"/>
    </row>
    <row r="140" spans="3:25" hidden="1" outlineLevel="1" x14ac:dyDescent="0.3">
      <c r="C140" s="157">
        <f t="shared" si="15"/>
        <v>44039</v>
      </c>
      <c r="E140" s="241">
        <v>412344</v>
      </c>
      <c r="F140" s="7"/>
      <c r="G140" s="7">
        <v>179812</v>
      </c>
      <c r="H140" s="7"/>
      <c r="I140" s="7">
        <v>48983</v>
      </c>
      <c r="J140" s="244"/>
      <c r="K140" s="7">
        <f t="shared" si="29"/>
        <v>641139</v>
      </c>
      <c r="L140" s="6"/>
      <c r="M140" s="438">
        <f t="shared" si="30"/>
        <v>1.9753858175424886E-3</v>
      </c>
      <c r="N140" s="29"/>
      <c r="O140" s="29"/>
      <c r="P140" s="29"/>
      <c r="Q140" s="332">
        <f t="shared" si="31"/>
        <v>1264</v>
      </c>
      <c r="R140" s="6"/>
      <c r="S140" s="7">
        <f>32645+15604+4418</f>
        <v>52667</v>
      </c>
      <c r="T140" s="6"/>
      <c r="U140" s="243">
        <f t="shared" si="32"/>
        <v>8.2145993302544379E-2</v>
      </c>
      <c r="W140">
        <f t="shared" si="20"/>
        <v>130</v>
      </c>
      <c r="Y140" s="56"/>
    </row>
    <row r="141" spans="3:25" hidden="1" outlineLevel="1" x14ac:dyDescent="0.3">
      <c r="C141" s="157">
        <f t="shared" si="15"/>
        <v>44040</v>
      </c>
      <c r="E141" s="241">
        <v>412878</v>
      </c>
      <c r="F141" s="7"/>
      <c r="G141" s="7">
        <v>180295</v>
      </c>
      <c r="H141" s="7"/>
      <c r="I141" s="7">
        <v>49077</v>
      </c>
      <c r="J141" s="244"/>
      <c r="K141" s="7">
        <f t="shared" si="29"/>
        <v>642250</v>
      </c>
      <c r="L141" s="6"/>
      <c r="M141" s="438">
        <f t="shared" si="30"/>
        <v>1.7328535621760647E-3</v>
      </c>
      <c r="N141" s="29"/>
      <c r="O141" s="29"/>
      <c r="P141" s="29"/>
      <c r="Q141" s="332">
        <f t="shared" si="31"/>
        <v>1111</v>
      </c>
      <c r="R141" s="6"/>
      <c r="S141" s="7">
        <f>32653+15826+4423</f>
        <v>52902</v>
      </c>
      <c r="T141" s="6"/>
      <c r="U141" s="243">
        <f t="shared" si="32"/>
        <v>8.2369793694044374E-2</v>
      </c>
      <c r="W141">
        <f t="shared" si="20"/>
        <v>131</v>
      </c>
      <c r="Y141" s="56"/>
    </row>
    <row r="142" spans="3:25" hidden="1" outlineLevel="1" x14ac:dyDescent="0.3">
      <c r="C142" s="157">
        <f t="shared" si="15"/>
        <v>44041</v>
      </c>
      <c r="E142" s="241">
        <v>413593</v>
      </c>
      <c r="F142" s="7"/>
      <c r="G142" s="7">
        <v>180600</v>
      </c>
      <c r="H142" s="7"/>
      <c r="I142" s="7">
        <v>49540</v>
      </c>
      <c r="J142" s="244"/>
      <c r="K142" s="7">
        <f t="shared" si="29"/>
        <v>643733</v>
      </c>
      <c r="L142" s="6"/>
      <c r="M142" s="438">
        <f t="shared" si="30"/>
        <v>2.3090696769170883E-3</v>
      </c>
      <c r="N142" s="29"/>
      <c r="O142" s="29"/>
      <c r="P142" s="29"/>
      <c r="Q142" s="332">
        <f t="shared" si="31"/>
        <v>1483</v>
      </c>
      <c r="R142" s="6"/>
      <c r="S142" s="7">
        <f>32658+15798+4425</f>
        <v>52881</v>
      </c>
      <c r="T142" s="6"/>
      <c r="U142" s="243">
        <f t="shared" si="32"/>
        <v>8.2147412048162824E-2</v>
      </c>
      <c r="W142">
        <f t="shared" si="20"/>
        <v>132</v>
      </c>
      <c r="Y142" s="56"/>
    </row>
    <row r="143" spans="3:25" hidden="1" outlineLevel="1" x14ac:dyDescent="0.3">
      <c r="C143" s="157">
        <f t="shared" si="15"/>
        <v>44042</v>
      </c>
      <c r="E143" s="241">
        <v>414370</v>
      </c>
      <c r="F143" s="7"/>
      <c r="G143" s="7">
        <v>180970</v>
      </c>
      <c r="H143" s="7"/>
      <c r="I143" s="7">
        <v>49670</v>
      </c>
      <c r="J143" s="244"/>
      <c r="K143" s="7">
        <f t="shared" si="29"/>
        <v>645010</v>
      </c>
      <c r="L143" s="6"/>
      <c r="M143" s="438">
        <f t="shared" si="30"/>
        <v>1.9837417065771057E-3</v>
      </c>
      <c r="N143" s="29"/>
      <c r="O143" s="29"/>
      <c r="P143" s="29"/>
      <c r="Q143" s="332">
        <f t="shared" si="31"/>
        <v>1277</v>
      </c>
      <c r="R143" s="6"/>
      <c r="S143" s="7">
        <f>32683+15809+4431</f>
        <v>52923</v>
      </c>
      <c r="T143" s="6"/>
      <c r="U143" s="243">
        <f t="shared" si="32"/>
        <v>8.2049890699369007E-2</v>
      </c>
      <c r="W143">
        <f t="shared" si="20"/>
        <v>133</v>
      </c>
      <c r="Y143" s="56"/>
    </row>
    <row r="144" spans="3:25" hidden="1" outlineLevel="1" x14ac:dyDescent="0.3">
      <c r="C144" s="157">
        <f t="shared" si="15"/>
        <v>44043</v>
      </c>
      <c r="E144" s="241">
        <v>415014</v>
      </c>
      <c r="F144" s="7"/>
      <c r="G144" s="7">
        <v>181660</v>
      </c>
      <c r="H144" s="7"/>
      <c r="I144" s="7">
        <v>49810</v>
      </c>
      <c r="J144" s="244"/>
      <c r="K144" s="7">
        <f t="shared" si="29"/>
        <v>646484</v>
      </c>
      <c r="L144" s="6"/>
      <c r="M144" s="438">
        <f t="shared" si="30"/>
        <v>2.285235887815693E-3</v>
      </c>
      <c r="N144" s="29"/>
      <c r="O144" s="29"/>
      <c r="P144" s="29"/>
      <c r="Q144" s="332">
        <f t="shared" si="31"/>
        <v>1474</v>
      </c>
      <c r="R144" s="6"/>
      <c r="S144" s="7">
        <f>32689+15819+4432</f>
        <v>52940</v>
      </c>
      <c r="T144" s="6"/>
      <c r="U144" s="243">
        <f t="shared" si="32"/>
        <v>8.1889110944741092E-2</v>
      </c>
      <c r="W144">
        <f t="shared" si="20"/>
        <v>134</v>
      </c>
      <c r="Y144" s="56"/>
    </row>
    <row r="145" spans="3:25" hidden="1" outlineLevel="1" x14ac:dyDescent="0.3">
      <c r="C145" s="157">
        <f t="shared" si="15"/>
        <v>44044</v>
      </c>
      <c r="E145" s="241">
        <v>415767</v>
      </c>
      <c r="F145" s="7"/>
      <c r="G145" s="7">
        <v>181754</v>
      </c>
      <c r="H145" s="7"/>
      <c r="I145" s="7">
        <v>49810</v>
      </c>
      <c r="J145" s="244"/>
      <c r="K145" s="7">
        <f t="shared" si="29"/>
        <v>647331</v>
      </c>
      <c r="L145" s="6"/>
      <c r="M145" s="438">
        <f t="shared" si="30"/>
        <v>1.3101639019681849E-3</v>
      </c>
      <c r="N145" s="29"/>
      <c r="O145" s="29"/>
      <c r="P145" s="29"/>
      <c r="Q145" s="332">
        <f t="shared" si="31"/>
        <v>847</v>
      </c>
      <c r="R145" s="6"/>
      <c r="S145" s="7">
        <f>32689+15819+4432</f>
        <v>52940</v>
      </c>
      <c r="T145" s="6"/>
      <c r="U145" s="243">
        <f t="shared" si="32"/>
        <v>8.1781963168765279E-2</v>
      </c>
      <c r="W145">
        <f t="shared" si="20"/>
        <v>135</v>
      </c>
      <c r="Y145" s="56"/>
    </row>
    <row r="146" spans="3:25" hidden="1" outlineLevel="1" x14ac:dyDescent="0.3">
      <c r="C146" s="157">
        <f t="shared" si="15"/>
        <v>44045</v>
      </c>
      <c r="E146" s="241">
        <v>416298</v>
      </c>
      <c r="F146" s="7"/>
      <c r="G146" s="7">
        <v>182350</v>
      </c>
      <c r="H146" s="7"/>
      <c r="I146" s="7">
        <v>49810</v>
      </c>
      <c r="J146" s="244"/>
      <c r="K146" s="7">
        <f t="shared" si="29"/>
        <v>648458</v>
      </c>
      <c r="L146" s="6"/>
      <c r="M146" s="438">
        <f t="shared" si="30"/>
        <v>1.7409949469436811E-3</v>
      </c>
      <c r="N146" s="29"/>
      <c r="O146" s="29"/>
      <c r="P146" s="29"/>
      <c r="Q146" s="332">
        <f t="shared" si="31"/>
        <v>1127</v>
      </c>
      <c r="R146" s="6"/>
      <c r="S146" s="7">
        <f>32689+15819+4432</f>
        <v>52940</v>
      </c>
      <c r="T146" s="6"/>
      <c r="U146" s="243">
        <f t="shared" si="32"/>
        <v>8.1639828639634329E-2</v>
      </c>
      <c r="W146">
        <f t="shared" si="20"/>
        <v>136</v>
      </c>
      <c r="Y146" s="56"/>
    </row>
    <row r="147" spans="3:25" hidden="1" outlineLevel="1" x14ac:dyDescent="0.3">
      <c r="C147" s="157">
        <f t="shared" si="15"/>
        <v>44046</v>
      </c>
      <c r="E147" s="241">
        <v>416843</v>
      </c>
      <c r="F147" s="7"/>
      <c r="G147" s="7">
        <v>182614</v>
      </c>
      <c r="H147" s="7"/>
      <c r="I147" s="7">
        <v>50062</v>
      </c>
      <c r="J147" s="244"/>
      <c r="K147" s="7">
        <f t="shared" si="29"/>
        <v>649519</v>
      </c>
      <c r="L147" s="6"/>
      <c r="M147" s="438">
        <f t="shared" si="30"/>
        <v>1.6361892366197966E-3</v>
      </c>
      <c r="N147" s="29"/>
      <c r="O147" s="29"/>
      <c r="P147" s="29"/>
      <c r="Q147" s="332">
        <f t="shared" si="31"/>
        <v>1061</v>
      </c>
      <c r="R147" s="6"/>
      <c r="S147" s="7">
        <f>32719+15846+4437</f>
        <v>53002</v>
      </c>
      <c r="T147" s="6"/>
      <c r="U147" s="243">
        <f t="shared" si="32"/>
        <v>8.160192388521352E-2</v>
      </c>
      <c r="W147">
        <f t="shared" si="20"/>
        <v>137</v>
      </c>
      <c r="Y147" s="56"/>
    </row>
    <row r="148" spans="3:25" hidden="1" outlineLevel="1" x14ac:dyDescent="0.3">
      <c r="C148" s="157">
        <f t="shared" si="15"/>
        <v>44047</v>
      </c>
      <c r="E148" s="241">
        <v>417689</v>
      </c>
      <c r="F148" s="7"/>
      <c r="G148" s="7">
        <v>182586</v>
      </c>
      <c r="H148" s="7"/>
      <c r="I148" s="7">
        <v>50110</v>
      </c>
      <c r="J148" s="244"/>
      <c r="K148" s="7">
        <f t="shared" si="29"/>
        <v>650385</v>
      </c>
      <c r="L148" s="6"/>
      <c r="M148" s="438">
        <f t="shared" si="30"/>
        <v>1.3332943301119751E-3</v>
      </c>
      <c r="N148" s="29"/>
      <c r="O148" s="29"/>
      <c r="P148" s="29"/>
      <c r="Q148" s="332">
        <f t="shared" si="31"/>
        <v>866</v>
      </c>
      <c r="R148" s="6"/>
      <c r="S148" s="7">
        <f>32725+15846+4437</f>
        <v>53008</v>
      </c>
      <c r="T148" s="6"/>
      <c r="U148" s="243">
        <f t="shared" si="32"/>
        <v>8.1502494676230233E-2</v>
      </c>
      <c r="W148">
        <f t="shared" si="20"/>
        <v>138</v>
      </c>
      <c r="Y148" s="56"/>
    </row>
    <row r="149" spans="3:25" hidden="1" outlineLevel="1" x14ac:dyDescent="0.3">
      <c r="C149" s="157">
        <f t="shared" si="15"/>
        <v>44048</v>
      </c>
      <c r="E149" s="241">
        <v>418225</v>
      </c>
      <c r="F149" s="7"/>
      <c r="G149" s="7">
        <v>183327</v>
      </c>
      <c r="H149" s="7"/>
      <c r="I149" s="7">
        <v>50225</v>
      </c>
      <c r="J149" s="244"/>
      <c r="K149" s="7">
        <f t="shared" si="29"/>
        <v>651777</v>
      </c>
      <c r="L149" s="6"/>
      <c r="M149" s="438">
        <f t="shared" si="30"/>
        <v>2.1402707627020917E-3</v>
      </c>
      <c r="N149" s="29"/>
      <c r="O149" s="29"/>
      <c r="P149" s="29"/>
      <c r="Q149" s="332">
        <f t="shared" si="31"/>
        <v>1392</v>
      </c>
      <c r="R149" s="6"/>
      <c r="S149" s="7">
        <f>32754+15842+4437</f>
        <v>53033</v>
      </c>
      <c r="T149" s="6"/>
      <c r="U149" s="243">
        <f t="shared" si="32"/>
        <v>8.1366786492926266E-2</v>
      </c>
      <c r="W149">
        <f t="shared" si="20"/>
        <v>139</v>
      </c>
      <c r="Y149" s="56"/>
    </row>
    <row r="150" spans="3:25" hidden="1" outlineLevel="1" x14ac:dyDescent="0.3">
      <c r="C150" s="157">
        <f t="shared" si="15"/>
        <v>44049</v>
      </c>
      <c r="E150" s="241">
        <v>418928</v>
      </c>
      <c r="F150" s="7"/>
      <c r="G150" s="7">
        <v>183701</v>
      </c>
      <c r="H150" s="7"/>
      <c r="I150" s="7">
        <v>50246</v>
      </c>
      <c r="J150" s="244"/>
      <c r="K150" s="7">
        <f t="shared" si="29"/>
        <v>652875</v>
      </c>
      <c r="L150" s="6"/>
      <c r="M150" s="438">
        <f t="shared" si="30"/>
        <v>1.6846252629350222E-3</v>
      </c>
      <c r="N150" s="29"/>
      <c r="O150" s="29"/>
      <c r="P150" s="29"/>
      <c r="Q150" s="332">
        <f t="shared" si="31"/>
        <v>1098</v>
      </c>
      <c r="R150" s="6"/>
      <c r="S150" s="7">
        <f>32756+15849+4437</f>
        <v>53042</v>
      </c>
      <c r="T150" s="6"/>
      <c r="U150" s="243">
        <f t="shared" si="32"/>
        <v>8.1243729657285088E-2</v>
      </c>
      <c r="W150">
        <f t="shared" si="20"/>
        <v>140</v>
      </c>
      <c r="Y150" s="56"/>
    </row>
    <row r="151" spans="3:25" hidden="1" outlineLevel="1" x14ac:dyDescent="0.3">
      <c r="C151" s="157">
        <f t="shared" si="15"/>
        <v>44050</v>
      </c>
      <c r="E151" s="241">
        <v>419642</v>
      </c>
      <c r="F151" s="7"/>
      <c r="G151" s="7">
        <v>184061</v>
      </c>
      <c r="H151" s="7"/>
      <c r="I151" s="7">
        <v>50320</v>
      </c>
      <c r="J151" s="244"/>
      <c r="K151" s="7">
        <f t="shared" si="29"/>
        <v>654023</v>
      </c>
      <c r="L151" s="6"/>
      <c r="M151" s="438">
        <f t="shared" si="30"/>
        <v>1.7583764120237412E-3</v>
      </c>
      <c r="N151" s="29"/>
      <c r="O151" s="29"/>
      <c r="P151" s="29"/>
      <c r="Q151" s="332">
        <f t="shared" si="31"/>
        <v>1148</v>
      </c>
      <c r="R151" s="6"/>
      <c r="S151" s="7">
        <f>32760+15849+4441</f>
        <v>53050</v>
      </c>
      <c r="T151" s="6"/>
      <c r="U151" s="243">
        <f t="shared" si="32"/>
        <v>8.1113355340714316E-2</v>
      </c>
      <c r="W151">
        <f t="shared" si="20"/>
        <v>141</v>
      </c>
      <c r="Y151" s="56"/>
    </row>
    <row r="152" spans="3:25" hidden="1" outlineLevel="1" x14ac:dyDescent="0.3">
      <c r="C152" s="157">
        <f t="shared" si="15"/>
        <v>44051</v>
      </c>
      <c r="E152" s="241">
        <v>420345</v>
      </c>
      <c r="F152" s="7"/>
      <c r="G152" s="7">
        <v>184429</v>
      </c>
      <c r="H152" s="7"/>
      <c r="I152" s="7">
        <v>50320</v>
      </c>
      <c r="J152" s="244"/>
      <c r="K152" s="7">
        <f t="shared" si="29"/>
        <v>655094</v>
      </c>
      <c r="L152" s="6"/>
      <c r="M152" s="438">
        <f t="shared" si="30"/>
        <v>1.6375570889708771E-3</v>
      </c>
      <c r="N152" s="29"/>
      <c r="O152" s="29"/>
      <c r="P152" s="29"/>
      <c r="Q152" s="332">
        <f t="shared" si="31"/>
        <v>1071</v>
      </c>
      <c r="R152" s="6"/>
      <c r="S152" s="7">
        <f>32760+15849+4441</f>
        <v>53050</v>
      </c>
      <c r="T152" s="6"/>
      <c r="U152" s="243">
        <f t="shared" si="32"/>
        <v>8.0980744748081951E-2</v>
      </c>
      <c r="W152">
        <f t="shared" si="20"/>
        <v>142</v>
      </c>
      <c r="Y152" s="56"/>
    </row>
    <row r="153" spans="3:25" hidden="1" outlineLevel="1" x14ac:dyDescent="0.3">
      <c r="C153" s="157">
        <f t="shared" si="15"/>
        <v>44052</v>
      </c>
      <c r="E153" s="241">
        <v>420860</v>
      </c>
      <c r="F153" s="7"/>
      <c r="G153" s="7">
        <v>184773</v>
      </c>
      <c r="H153" s="7"/>
      <c r="I153" s="7">
        <v>50320</v>
      </c>
      <c r="J153" s="244"/>
      <c r="K153" s="7">
        <f t="shared" si="29"/>
        <v>655953</v>
      </c>
      <c r="L153" s="6"/>
      <c r="M153" s="438">
        <f t="shared" si="30"/>
        <v>1.3112622005391592E-3</v>
      </c>
      <c r="N153" s="29"/>
      <c r="O153" s="29"/>
      <c r="P153" s="29"/>
      <c r="Q153" s="332">
        <f t="shared" si="31"/>
        <v>859</v>
      </c>
      <c r="R153" s="6"/>
      <c r="S153" s="7">
        <f>32774+15874+4441</f>
        <v>53089</v>
      </c>
      <c r="T153" s="6"/>
      <c r="U153" s="243">
        <f t="shared" si="32"/>
        <v>8.093415229444792E-2</v>
      </c>
      <c r="W153">
        <f t="shared" si="20"/>
        <v>143</v>
      </c>
      <c r="Y153" s="56"/>
    </row>
    <row r="154" spans="3:25" hidden="1" outlineLevel="1" x14ac:dyDescent="0.3">
      <c r="C154" s="157">
        <f t="shared" si="15"/>
        <v>44053</v>
      </c>
      <c r="E154" s="241">
        <v>421336</v>
      </c>
      <c r="F154" s="7"/>
      <c r="G154" s="7">
        <v>185031</v>
      </c>
      <c r="H154" s="7"/>
      <c r="I154" s="7">
        <v>50657</v>
      </c>
      <c r="J154" s="244"/>
      <c r="K154" s="7">
        <f t="shared" si="29"/>
        <v>657024</v>
      </c>
      <c r="L154" s="6"/>
      <c r="M154" s="438">
        <f t="shared" si="30"/>
        <v>1.6327389309904825E-3</v>
      </c>
      <c r="N154" s="29"/>
      <c r="O154" s="29"/>
      <c r="P154" s="29"/>
      <c r="Q154" s="332">
        <f t="shared" si="31"/>
        <v>1071</v>
      </c>
      <c r="R154" s="6"/>
      <c r="S154" s="7">
        <f>32781+15878+4444</f>
        <v>53103</v>
      </c>
      <c r="T154" s="6"/>
      <c r="U154" s="243">
        <f t="shared" si="32"/>
        <v>8.0823531560490935E-2</v>
      </c>
      <c r="W154">
        <f t="shared" si="20"/>
        <v>144</v>
      </c>
      <c r="Y154" s="56"/>
    </row>
    <row r="155" spans="3:25" hidden="1" outlineLevel="1" x14ac:dyDescent="0.3">
      <c r="C155" s="157">
        <f t="shared" si="15"/>
        <v>44054</v>
      </c>
      <c r="E155" s="241">
        <v>422003</v>
      </c>
      <c r="F155" s="7"/>
      <c r="G155" s="7">
        <v>185475</v>
      </c>
      <c r="H155" s="7"/>
      <c r="I155" s="7">
        <v>50684</v>
      </c>
      <c r="J155" s="244"/>
      <c r="K155" s="7">
        <f t="shared" si="29"/>
        <v>658162</v>
      </c>
      <c r="L155" s="6"/>
      <c r="M155" s="438">
        <f t="shared" si="30"/>
        <v>1.7320524060003895E-3</v>
      </c>
      <c r="N155" s="29"/>
      <c r="O155" s="29"/>
      <c r="P155" s="29"/>
      <c r="Q155" s="332">
        <f t="shared" si="31"/>
        <v>1138</v>
      </c>
      <c r="R155" s="6"/>
      <c r="S155" s="7">
        <f>32787+15890+4444</f>
        <v>53121</v>
      </c>
      <c r="T155" s="6"/>
      <c r="U155" s="243">
        <f t="shared" si="32"/>
        <v>8.0711131909772971E-2</v>
      </c>
      <c r="W155">
        <f t="shared" si="20"/>
        <v>145</v>
      </c>
      <c r="Y155" s="56"/>
    </row>
    <row r="156" spans="3:25" hidden="1" outlineLevel="1" x14ac:dyDescent="0.3">
      <c r="C156" s="157">
        <f t="shared" si="15"/>
        <v>44055</v>
      </c>
      <c r="E156" s="241">
        <v>422703</v>
      </c>
      <c r="F156" s="7"/>
      <c r="G156" s="7">
        <v>185938</v>
      </c>
      <c r="H156" s="7"/>
      <c r="I156" s="7">
        <v>50706</v>
      </c>
      <c r="J156" s="244"/>
      <c r="K156" s="7">
        <f t="shared" si="29"/>
        <v>659347</v>
      </c>
      <c r="L156" s="6"/>
      <c r="M156" s="438">
        <f t="shared" si="30"/>
        <v>1.8004685776450175E-3</v>
      </c>
      <c r="N156" s="29"/>
      <c r="O156" s="29"/>
      <c r="P156" s="29"/>
      <c r="Q156" s="332">
        <f t="shared" si="31"/>
        <v>1185</v>
      </c>
      <c r="R156" s="6"/>
      <c r="S156" s="7">
        <f>32787+15890+4444</f>
        <v>53121</v>
      </c>
      <c r="T156" s="6"/>
      <c r="U156" s="243">
        <f t="shared" si="32"/>
        <v>8.0566075222909941E-2</v>
      </c>
      <c r="W156">
        <f t="shared" si="20"/>
        <v>146</v>
      </c>
      <c r="Y156" s="56"/>
    </row>
    <row r="157" spans="3:25" hidden="1" outlineLevel="1" x14ac:dyDescent="0.3">
      <c r="C157" s="157">
        <f t="shared" si="15"/>
        <v>44056</v>
      </c>
      <c r="E157" s="241">
        <v>423440</v>
      </c>
      <c r="F157" s="7"/>
      <c r="G157" s="7">
        <v>185594</v>
      </c>
      <c r="H157" s="7"/>
      <c r="I157" s="7">
        <v>50782</v>
      </c>
      <c r="J157" s="244"/>
      <c r="K157" s="7">
        <f t="shared" si="29"/>
        <v>659816</v>
      </c>
      <c r="L157" s="6"/>
      <c r="M157" s="438">
        <f t="shared" si="30"/>
        <v>7.1130982623717105E-4</v>
      </c>
      <c r="N157" s="29"/>
      <c r="O157" s="29"/>
      <c r="P157" s="29"/>
      <c r="Q157" s="332">
        <f t="shared" si="31"/>
        <v>469</v>
      </c>
      <c r="R157" s="6"/>
      <c r="S157" s="7">
        <f>32806+15893+4450</f>
        <v>53149</v>
      </c>
      <c r="T157" s="6"/>
      <c r="U157" s="243">
        <f t="shared" si="32"/>
        <v>8.0551244589400675E-2</v>
      </c>
      <c r="W157">
        <f t="shared" si="20"/>
        <v>147</v>
      </c>
      <c r="Y157" s="56"/>
    </row>
    <row r="158" spans="3:25" hidden="1" outlineLevel="1" x14ac:dyDescent="0.3">
      <c r="C158" s="157">
        <f t="shared" si="15"/>
        <v>44057</v>
      </c>
      <c r="E158" s="241">
        <v>424167</v>
      </c>
      <c r="F158" s="7"/>
      <c r="G158" s="7">
        <v>187164</v>
      </c>
      <c r="H158" s="7"/>
      <c r="I158" s="7">
        <v>50897</v>
      </c>
      <c r="J158" s="244"/>
      <c r="K158" s="7">
        <f t="shared" si="29"/>
        <v>662228</v>
      </c>
      <c r="L158" s="6"/>
      <c r="M158" s="438">
        <f t="shared" si="30"/>
        <v>3.6555645816409425E-3</v>
      </c>
      <c r="N158" s="29"/>
      <c r="O158" s="29"/>
      <c r="P158" s="29"/>
      <c r="Q158" s="332">
        <f t="shared" si="31"/>
        <v>2412</v>
      </c>
      <c r="R158" s="6"/>
      <c r="S158" s="7">
        <f>32827+15903+4453</f>
        <v>53183</v>
      </c>
      <c r="T158" s="6"/>
      <c r="U158" s="243">
        <f t="shared" si="32"/>
        <v>8.0309198644575586E-2</v>
      </c>
      <c r="W158">
        <f t="shared" si="20"/>
        <v>148</v>
      </c>
      <c r="Y158" s="56"/>
    </row>
    <row r="159" spans="3:25" hidden="1" outlineLevel="1" x14ac:dyDescent="0.3">
      <c r="C159" s="157">
        <f t="shared" si="15"/>
        <v>44058</v>
      </c>
      <c r="E159" s="241">
        <v>424901</v>
      </c>
      <c r="F159" s="7"/>
      <c r="G159" s="7">
        <v>187442</v>
      </c>
      <c r="H159" s="7"/>
      <c r="I159" s="7">
        <v>50897</v>
      </c>
      <c r="J159" s="244"/>
      <c r="K159" s="7">
        <f t="shared" si="29"/>
        <v>663240</v>
      </c>
      <c r="L159" s="6"/>
      <c r="M159" s="438">
        <f t="shared" si="30"/>
        <v>1.528174586396226E-3</v>
      </c>
      <c r="N159" s="29"/>
      <c r="O159" s="29"/>
      <c r="P159" s="29"/>
      <c r="Q159" s="332">
        <f t="shared" si="31"/>
        <v>1012</v>
      </c>
      <c r="R159" s="6"/>
      <c r="S159" s="7">
        <f>32833+15910+4453</f>
        <v>53196</v>
      </c>
      <c r="T159" s="6"/>
      <c r="U159" s="243">
        <f t="shared" si="32"/>
        <v>8.0206260177311375E-2</v>
      </c>
      <c r="W159">
        <f t="shared" si="20"/>
        <v>149</v>
      </c>
      <c r="Y159" s="56"/>
    </row>
    <row r="160" spans="3:25" hidden="1" outlineLevel="1" x14ac:dyDescent="0.3">
      <c r="C160" s="157">
        <f t="shared" si="15"/>
        <v>44059</v>
      </c>
      <c r="E160" s="241">
        <v>425508</v>
      </c>
      <c r="F160" s="7"/>
      <c r="G160" s="7">
        <v>187455</v>
      </c>
      <c r="H160" s="7"/>
      <c r="I160" s="7">
        <v>50897</v>
      </c>
      <c r="J160" s="244"/>
      <c r="K160" s="7">
        <f t="shared" si="29"/>
        <v>663860</v>
      </c>
      <c r="L160" s="6"/>
      <c r="M160" s="438">
        <f t="shared" si="30"/>
        <v>9.3480489717146127E-4</v>
      </c>
      <c r="N160" s="29"/>
      <c r="O160" s="29"/>
      <c r="P160" s="29"/>
      <c r="Q160" s="332">
        <f t="shared" si="31"/>
        <v>620</v>
      </c>
      <c r="R160" s="6"/>
      <c r="S160" s="7">
        <f>32840+15912+4453</f>
        <v>53205</v>
      </c>
      <c r="T160" s="6"/>
      <c r="U160" s="243">
        <f t="shared" si="32"/>
        <v>8.0144910071400594E-2</v>
      </c>
      <c r="W160">
        <f t="shared" si="20"/>
        <v>150</v>
      </c>
      <c r="Y160" s="56"/>
    </row>
    <row r="161" spans="3:25" hidden="1" outlineLevel="1" x14ac:dyDescent="0.3">
      <c r="C161" s="157">
        <f t="shared" si="15"/>
        <v>44060</v>
      </c>
      <c r="E161" s="241">
        <v>425916</v>
      </c>
      <c r="F161" s="7"/>
      <c r="G161" s="7">
        <v>187767</v>
      </c>
      <c r="H161" s="7"/>
      <c r="I161" s="7">
        <v>51267</v>
      </c>
      <c r="J161" s="244"/>
      <c r="K161" s="7">
        <f t="shared" si="29"/>
        <v>664950</v>
      </c>
      <c r="L161" s="6"/>
      <c r="M161" s="438">
        <f t="shared" si="30"/>
        <v>1.6419124514204801E-3</v>
      </c>
      <c r="N161" s="29"/>
      <c r="O161" s="29"/>
      <c r="P161" s="29"/>
      <c r="Q161" s="332">
        <f t="shared" si="31"/>
        <v>1090</v>
      </c>
      <c r="R161" s="6"/>
      <c r="S161" s="7">
        <f>32846+15916+4456</f>
        <v>53218</v>
      </c>
      <c r="T161" s="6"/>
      <c r="U161" s="243">
        <f t="shared" si="32"/>
        <v>8.0033085194375519E-2</v>
      </c>
      <c r="W161">
        <f t="shared" si="20"/>
        <v>151</v>
      </c>
      <c r="Y161" s="56"/>
    </row>
    <row r="162" spans="3:25" hidden="1" outlineLevel="1" x14ac:dyDescent="0.3">
      <c r="C162" s="157">
        <f t="shared" si="15"/>
        <v>44061</v>
      </c>
      <c r="E162" s="241">
        <v>426571</v>
      </c>
      <c r="F162" s="7"/>
      <c r="G162" s="7">
        <v>188098</v>
      </c>
      <c r="H162" s="7"/>
      <c r="I162" s="7">
        <v>51255</v>
      </c>
      <c r="J162" s="244"/>
      <c r="K162" s="7">
        <f t="shared" si="29"/>
        <v>665924</v>
      </c>
      <c r="L162" s="6"/>
      <c r="M162" s="438">
        <f t="shared" si="30"/>
        <v>1.4647717873524325E-3</v>
      </c>
      <c r="N162" s="29"/>
      <c r="O162" s="29"/>
      <c r="P162" s="29"/>
      <c r="Q162" s="332">
        <f t="shared" si="31"/>
        <v>974</v>
      </c>
      <c r="R162" s="6"/>
      <c r="S162" s="7">
        <f>32857+15925+4456</f>
        <v>53238</v>
      </c>
      <c r="T162" s="6"/>
      <c r="U162" s="243">
        <f t="shared" si="32"/>
        <v>7.9946059910740566E-2</v>
      </c>
      <c r="W162">
        <f t="shared" si="20"/>
        <v>152</v>
      </c>
      <c r="Y162" s="56"/>
    </row>
    <row r="163" spans="3:25" hidden="1" outlineLevel="1" x14ac:dyDescent="0.3">
      <c r="C163" s="157">
        <f t="shared" si="15"/>
        <v>44062</v>
      </c>
      <c r="E163" s="241">
        <v>427202</v>
      </c>
      <c r="F163" s="7"/>
      <c r="G163" s="7">
        <v>188427</v>
      </c>
      <c r="H163" s="7"/>
      <c r="I163" s="7">
        <v>51314</v>
      </c>
      <c r="J163" s="244"/>
      <c r="K163" s="7">
        <f t="shared" si="29"/>
        <v>666943</v>
      </c>
      <c r="L163" s="6"/>
      <c r="M163" s="438">
        <f t="shared" si="30"/>
        <v>1.5302046479778472E-3</v>
      </c>
      <c r="N163" s="29"/>
      <c r="O163" s="29"/>
      <c r="P163" s="29"/>
      <c r="Q163" s="332">
        <f t="shared" si="31"/>
        <v>1019</v>
      </c>
      <c r="R163" s="6"/>
      <c r="S163" s="7">
        <f>32865+15926+4457</f>
        <v>53248</v>
      </c>
      <c r="T163" s="6"/>
      <c r="U163" s="243">
        <f t="shared" si="32"/>
        <v>7.9838906773142537E-2</v>
      </c>
      <c r="W163">
        <f t="shared" si="20"/>
        <v>153</v>
      </c>
      <c r="Y163" s="56"/>
    </row>
    <row r="164" spans="3:25" hidden="1" outlineLevel="1" x14ac:dyDescent="0.3">
      <c r="C164" s="157">
        <f t="shared" si="15"/>
        <v>44063</v>
      </c>
      <c r="E164" s="241">
        <v>427803</v>
      </c>
      <c r="F164" s="7"/>
      <c r="G164" s="7">
        <v>188527</v>
      </c>
      <c r="H164" s="7"/>
      <c r="I164" s="7">
        <v>51432</v>
      </c>
      <c r="J164" s="244"/>
      <c r="K164" s="7">
        <f t="shared" si="29"/>
        <v>667762</v>
      </c>
      <c r="L164" s="6"/>
      <c r="M164" s="438">
        <f t="shared" si="30"/>
        <v>1.2279909977314404E-3</v>
      </c>
      <c r="N164" s="29"/>
      <c r="O164" s="29"/>
      <c r="P164" s="29"/>
      <c r="Q164" s="332">
        <f t="shared" si="31"/>
        <v>819</v>
      </c>
      <c r="R164" s="6"/>
      <c r="S164" s="7">
        <f>32861+15932+4458</f>
        <v>53251</v>
      </c>
      <c r="T164" s="6"/>
      <c r="U164" s="243">
        <f t="shared" si="32"/>
        <v>7.974547817935132E-2</v>
      </c>
      <c r="W164">
        <f t="shared" si="20"/>
        <v>154</v>
      </c>
      <c r="Y164" s="56"/>
    </row>
    <row r="165" spans="3:25" hidden="1" outlineLevel="1" x14ac:dyDescent="0.3">
      <c r="C165" s="157">
        <f t="shared" si="15"/>
        <v>44064</v>
      </c>
      <c r="E165" s="241">
        <v>429165</v>
      </c>
      <c r="F165" s="7"/>
      <c r="G165" s="7">
        <v>189346</v>
      </c>
      <c r="H165" s="7"/>
      <c r="I165" s="7">
        <v>51519</v>
      </c>
      <c r="J165" s="244"/>
      <c r="K165" s="7">
        <f t="shared" si="29"/>
        <v>670030</v>
      </c>
      <c r="L165" s="6"/>
      <c r="M165" s="438">
        <f t="shared" si="30"/>
        <v>3.3964196824617155E-3</v>
      </c>
      <c r="N165" s="29"/>
      <c r="O165" s="29"/>
      <c r="P165" s="29"/>
      <c r="Q165" s="332">
        <f t="shared" si="31"/>
        <v>2268</v>
      </c>
      <c r="R165" s="6"/>
      <c r="S165" s="7">
        <f>32871+15943+4450</f>
        <v>53264</v>
      </c>
      <c r="T165" s="6"/>
      <c r="U165" s="243">
        <f t="shared" si="32"/>
        <v>7.9494947987403544E-2</v>
      </c>
      <c r="W165">
        <f t="shared" si="20"/>
        <v>155</v>
      </c>
      <c r="Y165" s="56"/>
    </row>
    <row r="166" spans="3:25" hidden="1" outlineLevel="1" x14ac:dyDescent="0.3">
      <c r="C166" s="157">
        <f t="shared" si="15"/>
        <v>44065</v>
      </c>
      <c r="E166" s="241">
        <v>429737</v>
      </c>
      <c r="F166" s="7"/>
      <c r="G166" s="7">
        <v>189494</v>
      </c>
      <c r="H166" s="7"/>
      <c r="I166" s="7">
        <v>51519</v>
      </c>
      <c r="J166" s="244"/>
      <c r="K166" s="7">
        <f t="shared" ref="K166:K183" si="33">SUM(E166:I166)</f>
        <v>670750</v>
      </c>
      <c r="L166" s="6"/>
      <c r="M166" s="438">
        <f t="shared" ref="M166:M183" si="34">+(K166-K165)/K165</f>
        <v>1.0745787502052147E-3</v>
      </c>
      <c r="N166" s="29"/>
      <c r="O166" s="29"/>
      <c r="P166" s="29"/>
      <c r="Q166" s="332">
        <f t="shared" ref="Q166:Q183" si="35">+K166-K165</f>
        <v>720</v>
      </c>
      <c r="R166" s="6"/>
      <c r="S166" s="7">
        <f>32883+15946+4460</f>
        <v>53289</v>
      </c>
      <c r="T166" s="6"/>
      <c r="U166" s="243">
        <f t="shared" ref="U166:U183" si="36">+S166/K166</f>
        <v>7.9446887812150577E-2</v>
      </c>
      <c r="W166">
        <f t="shared" si="20"/>
        <v>156</v>
      </c>
      <c r="Y166" s="56"/>
    </row>
    <row r="167" spans="3:25" hidden="1" outlineLevel="1" x14ac:dyDescent="0.3">
      <c r="C167" s="157">
        <f t="shared" si="15"/>
        <v>44066</v>
      </c>
      <c r="E167" s="241">
        <v>430146</v>
      </c>
      <c r="F167" s="7"/>
      <c r="G167" s="7">
        <v>189719</v>
      </c>
      <c r="H167" s="7"/>
      <c r="I167" s="7">
        <v>52011</v>
      </c>
      <c r="J167" s="244"/>
      <c r="K167" s="7">
        <f t="shared" si="33"/>
        <v>671876</v>
      </c>
      <c r="L167" s="6"/>
      <c r="M167" s="438">
        <f t="shared" si="34"/>
        <v>1.6787178531494596E-3</v>
      </c>
      <c r="N167" s="29"/>
      <c r="O167" s="29"/>
      <c r="P167" s="29"/>
      <c r="Q167" s="332">
        <f t="shared" si="35"/>
        <v>1126</v>
      </c>
      <c r="R167" s="6"/>
      <c r="S167" s="7">
        <f>32887+15946+4460</f>
        <v>53293</v>
      </c>
      <c r="T167" s="6"/>
      <c r="U167" s="243">
        <f t="shared" si="36"/>
        <v>7.931969589626657E-2</v>
      </c>
      <c r="W167">
        <f t="shared" si="20"/>
        <v>157</v>
      </c>
      <c r="Y167" s="56"/>
    </row>
    <row r="168" spans="3:25" hidden="1" outlineLevel="1" x14ac:dyDescent="0.3">
      <c r="C168" s="157">
        <f t="shared" si="15"/>
        <v>44067</v>
      </c>
      <c r="E168" s="241">
        <v>430774</v>
      </c>
      <c r="F168" s="7"/>
      <c r="G168" s="7">
        <v>190021</v>
      </c>
      <c r="H168" s="7"/>
      <c r="I168" s="7">
        <v>52040</v>
      </c>
      <c r="J168" s="244"/>
      <c r="K168" s="7">
        <f t="shared" si="33"/>
        <v>672835</v>
      </c>
      <c r="L168" s="6"/>
      <c r="M168" s="438">
        <f t="shared" si="34"/>
        <v>1.427346712786288E-3</v>
      </c>
      <c r="N168" s="29"/>
      <c r="O168" s="29"/>
      <c r="P168" s="29"/>
      <c r="Q168" s="332">
        <f t="shared" si="35"/>
        <v>959</v>
      </c>
      <c r="R168" s="6"/>
      <c r="S168" s="7">
        <f>32918+15953+4463</f>
        <v>53334</v>
      </c>
      <c r="T168" s="6"/>
      <c r="U168" s="243">
        <f t="shared" si="36"/>
        <v>7.9267576746156185E-2</v>
      </c>
      <c r="W168">
        <f t="shared" si="20"/>
        <v>158</v>
      </c>
      <c r="Y168" s="56"/>
    </row>
    <row r="169" spans="3:25" hidden="1" outlineLevel="1" x14ac:dyDescent="0.3">
      <c r="C169" s="157">
        <f t="shared" si="15"/>
        <v>44068</v>
      </c>
      <c r="E169" s="241">
        <v>431340</v>
      </c>
      <c r="F169" s="7"/>
      <c r="G169" s="7">
        <v>190306</v>
      </c>
      <c r="H169" s="7"/>
      <c r="I169" s="7">
        <v>52220</v>
      </c>
      <c r="J169" s="244"/>
      <c r="K169" s="7">
        <f t="shared" si="33"/>
        <v>673866</v>
      </c>
      <c r="L169" s="6"/>
      <c r="M169" s="438">
        <f t="shared" si="34"/>
        <v>1.5323221889467699E-3</v>
      </c>
      <c r="N169" s="29"/>
      <c r="O169" s="29"/>
      <c r="P169" s="29"/>
      <c r="Q169" s="332">
        <f t="shared" si="35"/>
        <v>1031</v>
      </c>
      <c r="R169" s="6"/>
      <c r="S169" s="7">
        <f>32921+15914+4463</f>
        <v>53298</v>
      </c>
      <c r="T169" s="6"/>
      <c r="U169" s="243">
        <f t="shared" si="36"/>
        <v>7.9092876031733317E-2</v>
      </c>
      <c r="W169">
        <f t="shared" si="20"/>
        <v>159</v>
      </c>
      <c r="Y169" s="56"/>
    </row>
    <row r="170" spans="3:25" hidden="1" outlineLevel="1" x14ac:dyDescent="0.3">
      <c r="C170" s="157">
        <f t="shared" si="15"/>
        <v>44069</v>
      </c>
      <c r="E170" s="241">
        <v>431750</v>
      </c>
      <c r="F170" s="7"/>
      <c r="G170" s="7">
        <v>190422</v>
      </c>
      <c r="H170" s="7"/>
      <c r="I170" s="7">
        <v>52280</v>
      </c>
      <c r="J170" s="244"/>
      <c r="K170" s="7">
        <f t="shared" si="33"/>
        <v>674452</v>
      </c>
      <c r="L170" s="6"/>
      <c r="M170" s="438">
        <f t="shared" si="34"/>
        <v>8.6960909142173664E-4</v>
      </c>
      <c r="N170" s="29"/>
      <c r="O170" s="29"/>
      <c r="P170" s="29"/>
      <c r="Q170" s="332">
        <f t="shared" si="35"/>
        <v>586</v>
      </c>
      <c r="R170" s="6"/>
      <c r="S170" s="7">
        <f>32921+15914+4463</f>
        <v>53298</v>
      </c>
      <c r="T170" s="6"/>
      <c r="U170" s="243">
        <f t="shared" si="36"/>
        <v>7.9024155907314389E-2</v>
      </c>
      <c r="W170">
        <f t="shared" si="20"/>
        <v>160</v>
      </c>
      <c r="Y170" s="56"/>
    </row>
    <row r="171" spans="3:25" hidden="1" outlineLevel="1" x14ac:dyDescent="0.3">
      <c r="C171" s="157">
        <f t="shared" si="15"/>
        <v>44070</v>
      </c>
      <c r="E171" s="241">
        <v>432131</v>
      </c>
      <c r="F171" s="7"/>
      <c r="G171" s="7">
        <v>190613</v>
      </c>
      <c r="H171" s="7"/>
      <c r="I171" s="7">
        <v>52350</v>
      </c>
      <c r="J171" s="244"/>
      <c r="K171" s="7">
        <f t="shared" si="33"/>
        <v>675094</v>
      </c>
      <c r="L171" s="6"/>
      <c r="M171" s="438">
        <f t="shared" si="34"/>
        <v>9.5188389981792627E-4</v>
      </c>
      <c r="N171" s="29"/>
      <c r="O171" s="29"/>
      <c r="P171" s="29"/>
      <c r="Q171" s="332">
        <f t="shared" si="35"/>
        <v>642</v>
      </c>
      <c r="R171" s="6"/>
      <c r="S171" s="7">
        <f>32926+15921+4465</f>
        <v>53312</v>
      </c>
      <c r="T171" s="6"/>
      <c r="U171" s="243">
        <f t="shared" si="36"/>
        <v>7.8969743472760826E-2</v>
      </c>
      <c r="W171">
        <f t="shared" si="20"/>
        <v>161</v>
      </c>
      <c r="Y171" s="56"/>
    </row>
    <row r="172" spans="3:25" hidden="1" outlineLevel="1" x14ac:dyDescent="0.3">
      <c r="C172" s="157">
        <f t="shared" si="15"/>
        <v>44071</v>
      </c>
      <c r="E172" s="241">
        <v>432767</v>
      </c>
      <c r="F172" s="7"/>
      <c r="G172" s="7">
        <v>190971</v>
      </c>
      <c r="H172" s="7"/>
      <c r="I172" s="7">
        <v>52495</v>
      </c>
      <c r="J172" s="244"/>
      <c r="K172" s="7">
        <f t="shared" si="33"/>
        <v>676233</v>
      </c>
      <c r="L172" s="6"/>
      <c r="M172" s="438">
        <f t="shared" si="34"/>
        <v>1.687172453021357E-3</v>
      </c>
      <c r="N172" s="29"/>
      <c r="O172" s="29"/>
      <c r="P172" s="29"/>
      <c r="Q172" s="332">
        <f t="shared" si="35"/>
        <v>1139</v>
      </c>
      <c r="R172" s="6"/>
      <c r="S172" s="7">
        <f>32934+15930+4465</f>
        <v>53329</v>
      </c>
      <c r="T172" s="6"/>
      <c r="U172" s="243">
        <f t="shared" si="36"/>
        <v>7.8861871573851022E-2</v>
      </c>
      <c r="W172">
        <f t="shared" si="20"/>
        <v>162</v>
      </c>
      <c r="Y172" s="56"/>
    </row>
    <row r="173" spans="3:25" hidden="1" outlineLevel="1" x14ac:dyDescent="0.3">
      <c r="C173" s="157">
        <f t="shared" si="15"/>
        <v>44072</v>
      </c>
      <c r="E173" s="241">
        <v>433402</v>
      </c>
      <c r="F173" s="7"/>
      <c r="G173" s="7">
        <v>191420</v>
      </c>
      <c r="H173" s="7"/>
      <c r="I173" s="7">
        <v>52495</v>
      </c>
      <c r="J173" s="244"/>
      <c r="K173" s="7">
        <f t="shared" si="33"/>
        <v>677317</v>
      </c>
      <c r="L173" s="6"/>
      <c r="M173" s="438">
        <f t="shared" si="34"/>
        <v>1.6029977833084158E-3</v>
      </c>
      <c r="N173" s="29"/>
      <c r="O173" s="29"/>
      <c r="P173" s="29"/>
      <c r="Q173" s="332">
        <f t="shared" si="35"/>
        <v>1084</v>
      </c>
      <c r="R173" s="6"/>
      <c r="S173" s="7">
        <f>32938+15933+4465</f>
        <v>53336</v>
      </c>
      <c r="T173" s="6"/>
      <c r="U173" s="243">
        <f t="shared" si="36"/>
        <v>7.8745993382714444E-2</v>
      </c>
      <c r="W173">
        <f t="shared" si="20"/>
        <v>163</v>
      </c>
      <c r="Y173" s="56"/>
    </row>
    <row r="174" spans="3:25" hidden="1" outlineLevel="1" x14ac:dyDescent="0.3">
      <c r="C174" s="157">
        <f t="shared" si="15"/>
        <v>44073</v>
      </c>
      <c r="E174" s="241">
        <v>434100</v>
      </c>
      <c r="F174" s="7"/>
      <c r="G174" s="7">
        <v>191611</v>
      </c>
      <c r="H174" s="7"/>
      <c r="I174" s="7">
        <v>52495</v>
      </c>
      <c r="J174" s="244"/>
      <c r="K174" s="7">
        <f t="shared" si="33"/>
        <v>678206</v>
      </c>
      <c r="L174" s="6"/>
      <c r="M174" s="438">
        <f t="shared" si="34"/>
        <v>1.3125316506155907E-3</v>
      </c>
      <c r="N174" s="29"/>
      <c r="O174" s="29"/>
      <c r="P174" s="29"/>
      <c r="Q174" s="332">
        <f t="shared" si="35"/>
        <v>889</v>
      </c>
      <c r="R174" s="6"/>
      <c r="S174" s="7">
        <f>32948+15934+4465</f>
        <v>53347</v>
      </c>
      <c r="T174" s="6"/>
      <c r="U174" s="243">
        <f t="shared" si="36"/>
        <v>7.8658991515852122E-2</v>
      </c>
      <c r="W174">
        <f t="shared" si="20"/>
        <v>164</v>
      </c>
      <c r="Y174" s="56"/>
    </row>
    <row r="175" spans="3:25" hidden="1" outlineLevel="1" x14ac:dyDescent="0.3">
      <c r="C175" s="157">
        <f t="shared" si="15"/>
        <v>44074</v>
      </c>
      <c r="E175" s="241">
        <v>434756</v>
      </c>
      <c r="F175" s="7"/>
      <c r="G175" s="7">
        <v>191960</v>
      </c>
      <c r="H175" s="7"/>
      <c r="I175" s="7">
        <v>52879</v>
      </c>
      <c r="J175" s="244"/>
      <c r="K175" s="7">
        <f t="shared" si="33"/>
        <v>679595</v>
      </c>
      <c r="L175" s="6"/>
      <c r="M175" s="438">
        <f t="shared" si="34"/>
        <v>2.0480502974022643E-3</v>
      </c>
      <c r="N175" s="29"/>
      <c r="O175" s="29"/>
      <c r="P175" s="29"/>
      <c r="Q175" s="332">
        <f t="shared" si="35"/>
        <v>1389</v>
      </c>
      <c r="R175" s="6"/>
      <c r="S175" s="7">
        <f>32957+15945+4465</f>
        <v>53367</v>
      </c>
      <c r="T175" s="6"/>
      <c r="U175" s="243">
        <f t="shared" si="36"/>
        <v>7.8527652498914802E-2</v>
      </c>
      <c r="W175">
        <f t="shared" si="20"/>
        <v>165</v>
      </c>
      <c r="Y175" s="56"/>
    </row>
    <row r="176" spans="3:25" hidden="1" outlineLevel="1" x14ac:dyDescent="0.3">
      <c r="C176" s="157">
        <f t="shared" si="15"/>
        <v>44075</v>
      </c>
      <c r="E176" s="241">
        <v>435510</v>
      </c>
      <c r="F176" s="7"/>
      <c r="G176" s="7">
        <v>192290</v>
      </c>
      <c r="H176" s="7"/>
      <c r="I176" s="7">
        <v>53006</v>
      </c>
      <c r="J176" s="244"/>
      <c r="K176" s="7">
        <f t="shared" si="33"/>
        <v>680806</v>
      </c>
      <c r="L176" s="6"/>
      <c r="M176" s="438">
        <f t="shared" si="34"/>
        <v>1.7819436576196118E-3</v>
      </c>
      <c r="N176" s="29"/>
      <c r="O176" s="29"/>
      <c r="P176" s="29"/>
      <c r="Q176" s="332">
        <f t="shared" si="35"/>
        <v>1211</v>
      </c>
      <c r="R176" s="6"/>
      <c r="S176" s="7">
        <f>32966+15950+4466</f>
        <v>53382</v>
      </c>
      <c r="T176" s="6"/>
      <c r="U176" s="243">
        <f t="shared" si="36"/>
        <v>7.8410002262024714E-2</v>
      </c>
      <c r="W176">
        <f t="shared" si="20"/>
        <v>166</v>
      </c>
      <c r="Y176" s="56"/>
    </row>
    <row r="177" spans="3:25" hidden="1" outlineLevel="1" x14ac:dyDescent="0.3">
      <c r="C177" s="157">
        <f t="shared" si="15"/>
        <v>44076</v>
      </c>
      <c r="E177" s="241">
        <v>436218</v>
      </c>
      <c r="F177" s="7"/>
      <c r="G177" s="7">
        <v>192595</v>
      </c>
      <c r="H177" s="7"/>
      <c r="I177" s="7">
        <v>53108</v>
      </c>
      <c r="J177" s="244"/>
      <c r="K177" s="7">
        <f t="shared" si="33"/>
        <v>681921</v>
      </c>
      <c r="L177" s="6"/>
      <c r="M177" s="438">
        <f t="shared" si="34"/>
        <v>1.6377646495477419E-3</v>
      </c>
      <c r="N177" s="29"/>
      <c r="O177" s="29"/>
      <c r="P177" s="29"/>
      <c r="Q177" s="332">
        <f t="shared" si="35"/>
        <v>1115</v>
      </c>
      <c r="R177" s="6"/>
      <c r="S177" s="7">
        <f>32972+15964+4467</f>
        <v>53403</v>
      </c>
      <c r="T177" s="6"/>
      <c r="U177" s="243">
        <f t="shared" si="36"/>
        <v>7.8312590461358425E-2</v>
      </c>
      <c r="W177">
        <f t="shared" si="20"/>
        <v>167</v>
      </c>
      <c r="Y177" s="56"/>
    </row>
    <row r="178" spans="3:25" hidden="1" outlineLevel="1" x14ac:dyDescent="0.3">
      <c r="C178" s="157">
        <f t="shared" si="15"/>
        <v>44077</v>
      </c>
      <c r="E178" s="241">
        <v>437107</v>
      </c>
      <c r="F178" s="7"/>
      <c r="G178" s="7">
        <v>192973</v>
      </c>
      <c r="H178" s="7"/>
      <c r="I178" s="7">
        <v>53209</v>
      </c>
      <c r="J178" s="244"/>
      <c r="K178" s="7">
        <f t="shared" si="33"/>
        <v>683289</v>
      </c>
      <c r="L178" s="6"/>
      <c r="M178" s="438">
        <f t="shared" si="34"/>
        <v>2.0060974804999407E-3</v>
      </c>
      <c r="N178" s="29"/>
      <c r="O178" s="29"/>
      <c r="P178" s="29"/>
      <c r="Q178" s="332">
        <f t="shared" si="35"/>
        <v>1368</v>
      </c>
      <c r="R178" s="6"/>
      <c r="S178" s="7">
        <f>32976+15971+4468</f>
        <v>53415</v>
      </c>
      <c r="T178" s="6"/>
      <c r="U178" s="243">
        <f t="shared" si="36"/>
        <v>7.8173364418276894E-2</v>
      </c>
      <c r="W178">
        <f t="shared" si="20"/>
        <v>168</v>
      </c>
      <c r="Y178" s="56"/>
    </row>
    <row r="179" spans="3:25" hidden="1" outlineLevel="1" x14ac:dyDescent="0.3">
      <c r="C179" s="157">
        <f t="shared" si="15"/>
        <v>44078</v>
      </c>
      <c r="E179" s="241">
        <v>437562</v>
      </c>
      <c r="F179" s="7"/>
      <c r="G179" s="7">
        <v>193488</v>
      </c>
      <c r="H179" s="7"/>
      <c r="I179" s="7">
        <v>53274</v>
      </c>
      <c r="J179" s="244"/>
      <c r="K179" s="7">
        <f t="shared" si="33"/>
        <v>684324</v>
      </c>
      <c r="L179" s="6"/>
      <c r="M179" s="438">
        <f t="shared" si="34"/>
        <v>1.5147324192252474E-3</v>
      </c>
      <c r="N179" s="29"/>
      <c r="O179" s="29"/>
      <c r="P179" s="29"/>
      <c r="Q179" s="332">
        <f t="shared" si="35"/>
        <v>1035</v>
      </c>
      <c r="R179" s="6"/>
      <c r="S179" s="7">
        <f>32987+15985+4468</f>
        <v>53440</v>
      </c>
      <c r="T179" s="6"/>
      <c r="U179" s="243">
        <f t="shared" si="36"/>
        <v>7.8091664182463272E-2</v>
      </c>
      <c r="W179">
        <f t="shared" si="20"/>
        <v>169</v>
      </c>
      <c r="Y179" s="56"/>
    </row>
    <row r="180" spans="3:25" hidden="1" outlineLevel="1" x14ac:dyDescent="0.3">
      <c r="C180" s="157">
        <f t="shared" si="15"/>
        <v>44079</v>
      </c>
      <c r="E180" s="241">
        <v>438772</v>
      </c>
      <c r="F180" s="7"/>
      <c r="G180" s="7">
        <v>193747</v>
      </c>
      <c r="H180" s="7"/>
      <c r="I180" s="7">
        <v>53365</v>
      </c>
      <c r="J180" s="244"/>
      <c r="K180" s="7">
        <f t="shared" si="33"/>
        <v>685884</v>
      </c>
      <c r="L180" s="6"/>
      <c r="M180" s="438">
        <f t="shared" si="34"/>
        <v>2.2796219334701106E-3</v>
      </c>
      <c r="N180" s="29"/>
      <c r="O180" s="29"/>
      <c r="P180" s="29"/>
      <c r="Q180" s="332">
        <f t="shared" si="35"/>
        <v>1560</v>
      </c>
      <c r="R180" s="6"/>
      <c r="S180" s="7">
        <f>32987+15985+4468</f>
        <v>53440</v>
      </c>
      <c r="T180" s="6"/>
      <c r="U180" s="243">
        <f t="shared" si="36"/>
        <v>7.791404960605583E-2</v>
      </c>
      <c r="W180">
        <f t="shared" si="20"/>
        <v>170</v>
      </c>
      <c r="Y180" s="56"/>
    </row>
    <row r="181" spans="3:25" hidden="1" outlineLevel="1" x14ac:dyDescent="0.3">
      <c r="C181" s="157">
        <f t="shared" si="15"/>
        <v>44080</v>
      </c>
      <c r="E181" s="241">
        <v>439501</v>
      </c>
      <c r="F181" s="7"/>
      <c r="G181" s="7">
        <v>194058</v>
      </c>
      <c r="H181" s="7"/>
      <c r="I181" s="7">
        <v>53365</v>
      </c>
      <c r="J181" s="244"/>
      <c r="K181" s="7">
        <f t="shared" si="33"/>
        <v>686924</v>
      </c>
      <c r="L181" s="6"/>
      <c r="M181" s="438">
        <f t="shared" si="34"/>
        <v>1.5162913845489909E-3</v>
      </c>
      <c r="N181" s="29"/>
      <c r="O181" s="29"/>
      <c r="P181" s="29"/>
      <c r="Q181" s="332">
        <f t="shared" si="35"/>
        <v>1040</v>
      </c>
      <c r="R181" s="6"/>
      <c r="S181" s="7">
        <f>32987+15985+4468</f>
        <v>53440</v>
      </c>
      <c r="T181" s="6"/>
      <c r="U181" s="243">
        <f t="shared" si="36"/>
        <v>7.7796088067966757E-2</v>
      </c>
      <c r="W181">
        <f t="shared" si="20"/>
        <v>171</v>
      </c>
      <c r="Y181" s="56"/>
    </row>
    <row r="182" spans="3:25" hidden="1" outlineLevel="1" x14ac:dyDescent="0.3">
      <c r="C182" s="157">
        <f t="shared" si="15"/>
        <v>44081</v>
      </c>
      <c r="E182" s="241">
        <v>440021</v>
      </c>
      <c r="F182" s="7"/>
      <c r="G182" s="7">
        <v>194390</v>
      </c>
      <c r="H182" s="7"/>
      <c r="I182" s="7">
        <v>53365</v>
      </c>
      <c r="J182" s="244"/>
      <c r="K182" s="7">
        <f t="shared" si="33"/>
        <v>687776</v>
      </c>
      <c r="L182" s="6"/>
      <c r="M182" s="438">
        <f t="shared" si="34"/>
        <v>1.24031188311953E-3</v>
      </c>
      <c r="N182" s="29"/>
      <c r="O182" s="29"/>
      <c r="P182" s="29"/>
      <c r="Q182" s="332">
        <f t="shared" si="35"/>
        <v>852</v>
      </c>
      <c r="R182" s="6"/>
      <c r="S182" s="7">
        <f>32987+15985+4468</f>
        <v>53440</v>
      </c>
      <c r="T182" s="6"/>
      <c r="U182" s="243">
        <f t="shared" si="36"/>
        <v>7.7699716186665421E-2</v>
      </c>
      <c r="W182">
        <f t="shared" si="20"/>
        <v>172</v>
      </c>
      <c r="Y182" s="56"/>
    </row>
    <row r="183" spans="3:25" hidden="1" outlineLevel="1" x14ac:dyDescent="0.3">
      <c r="C183" s="157">
        <f t="shared" si="15"/>
        <v>44082</v>
      </c>
      <c r="E183" s="241">
        <v>440578</v>
      </c>
      <c r="F183" s="7"/>
      <c r="G183" s="7">
        <v>194667</v>
      </c>
      <c r="H183" s="7"/>
      <c r="I183" s="7">
        <v>53782</v>
      </c>
      <c r="J183" s="244"/>
      <c r="K183" s="7">
        <f t="shared" si="33"/>
        <v>689027</v>
      </c>
      <c r="L183" s="6"/>
      <c r="M183" s="438">
        <f t="shared" si="34"/>
        <v>1.818906155492486E-3</v>
      </c>
      <c r="N183" s="29"/>
      <c r="O183" s="29"/>
      <c r="P183" s="29"/>
      <c r="Q183" s="332">
        <f t="shared" si="35"/>
        <v>1251</v>
      </c>
      <c r="R183" s="6"/>
      <c r="S183" s="7">
        <f>33010+15996+4474</f>
        <v>53480</v>
      </c>
      <c r="T183" s="6"/>
      <c r="U183" s="243">
        <f t="shared" si="36"/>
        <v>7.7616697168616036E-2</v>
      </c>
      <c r="W183">
        <f t="shared" si="20"/>
        <v>173</v>
      </c>
      <c r="Y183" s="56"/>
    </row>
    <row r="184" spans="3:25" hidden="1" outlineLevel="1" x14ac:dyDescent="0.3">
      <c r="C184" s="157">
        <f t="shared" si="15"/>
        <v>44083</v>
      </c>
      <c r="E184" s="241">
        <v>441154</v>
      </c>
      <c r="F184" s="7"/>
      <c r="G184" s="7">
        <v>194994</v>
      </c>
      <c r="H184" s="7"/>
      <c r="I184" s="7">
        <v>53871</v>
      </c>
      <c r="J184" s="244"/>
      <c r="K184" s="7">
        <f t="shared" ref="K184:K213" si="37">SUM(E184:I184)</f>
        <v>690019</v>
      </c>
      <c r="L184" s="6"/>
      <c r="M184" s="438">
        <f t="shared" ref="M184:M213" si="38">+(K184-K183)/K183</f>
        <v>1.4397113610932519E-3</v>
      </c>
      <c r="N184" s="29"/>
      <c r="O184" s="29"/>
      <c r="P184" s="29"/>
      <c r="Q184" s="332">
        <f t="shared" ref="Q184:Q213" si="39">+K184-K183</f>
        <v>992</v>
      </c>
      <c r="R184" s="6"/>
      <c r="S184" s="7">
        <f>33019+16008+4474</f>
        <v>53501</v>
      </c>
      <c r="T184" s="6"/>
      <c r="U184" s="243">
        <f t="shared" ref="U184:U213" si="40">+S184/K184</f>
        <v>7.7535546122643004E-2</v>
      </c>
      <c r="W184">
        <f t="shared" si="20"/>
        <v>174</v>
      </c>
      <c r="Y184" s="56"/>
    </row>
    <row r="185" spans="3:25" hidden="1" outlineLevel="1" x14ac:dyDescent="0.3">
      <c r="C185" s="157">
        <f t="shared" si="15"/>
        <v>44084</v>
      </c>
      <c r="E185" s="241">
        <v>441911</v>
      </c>
      <c r="F185" s="7"/>
      <c r="G185" s="7">
        <v>195414</v>
      </c>
      <c r="H185" s="7"/>
      <c r="I185" s="7">
        <v>54093</v>
      </c>
      <c r="J185" s="244"/>
      <c r="K185" s="7">
        <f t="shared" si="37"/>
        <v>691418</v>
      </c>
      <c r="L185" s="6"/>
      <c r="M185" s="438">
        <f t="shared" si="38"/>
        <v>2.0274804027135486E-3</v>
      </c>
      <c r="N185" s="29"/>
      <c r="O185" s="29"/>
      <c r="P185" s="29"/>
      <c r="Q185" s="332">
        <f t="shared" si="39"/>
        <v>1399</v>
      </c>
      <c r="R185" s="6"/>
      <c r="S185" s="7">
        <f>33019+16008+4474</f>
        <v>53501</v>
      </c>
      <c r="T185" s="6"/>
      <c r="U185" s="243">
        <f t="shared" si="40"/>
        <v>7.7378662401036705E-2</v>
      </c>
      <c r="W185">
        <f t="shared" si="20"/>
        <v>175</v>
      </c>
      <c r="Y185" s="56"/>
    </row>
    <row r="186" spans="3:25" hidden="1" outlineLevel="1" x14ac:dyDescent="0.3">
      <c r="C186" s="157">
        <f t="shared" si="15"/>
        <v>44085</v>
      </c>
      <c r="E186" s="241">
        <v>442791</v>
      </c>
      <c r="F186" s="7"/>
      <c r="G186" s="7">
        <v>195888</v>
      </c>
      <c r="H186" s="7"/>
      <c r="I186" s="7">
        <v>54326</v>
      </c>
      <c r="J186" s="244"/>
      <c r="K186" s="7">
        <f t="shared" si="37"/>
        <v>693005</v>
      </c>
      <c r="L186" s="6"/>
      <c r="M186" s="438">
        <f t="shared" si="38"/>
        <v>2.2952830270545461E-3</v>
      </c>
      <c r="N186" s="29"/>
      <c r="O186" s="29"/>
      <c r="P186" s="29"/>
      <c r="Q186" s="332">
        <f t="shared" si="39"/>
        <v>1587</v>
      </c>
      <c r="R186" s="6"/>
      <c r="S186" s="7">
        <f>33019+16008+4474</f>
        <v>53501</v>
      </c>
      <c r="T186" s="6"/>
      <c r="U186" s="243">
        <f t="shared" si="40"/>
        <v>7.7201463192906258E-2</v>
      </c>
      <c r="W186">
        <f t="shared" si="20"/>
        <v>176</v>
      </c>
      <c r="Y186" s="56"/>
    </row>
    <row r="187" spans="3:25" hidden="1" outlineLevel="1" x14ac:dyDescent="0.3">
      <c r="C187" s="157">
        <f t="shared" si="15"/>
        <v>44086</v>
      </c>
      <c r="E187" s="241">
        <v>443640</v>
      </c>
      <c r="F187" s="7"/>
      <c r="G187" s="7">
        <v>196337</v>
      </c>
      <c r="H187" s="7"/>
      <c r="I187" s="7">
        <v>54326</v>
      </c>
      <c r="J187" s="244"/>
      <c r="K187" s="7">
        <f t="shared" si="37"/>
        <v>694303</v>
      </c>
      <c r="L187" s="6"/>
      <c r="M187" s="438">
        <f t="shared" si="38"/>
        <v>1.873002359290337E-3</v>
      </c>
      <c r="N187" s="29"/>
      <c r="O187" s="29"/>
      <c r="P187" s="29"/>
      <c r="Q187" s="332">
        <f t="shared" si="39"/>
        <v>1298</v>
      </c>
      <c r="R187" s="6"/>
      <c r="S187" s="7">
        <f>33023+16027+4480</f>
        <v>53530</v>
      </c>
      <c r="T187" s="6"/>
      <c r="U187" s="243">
        <f t="shared" si="40"/>
        <v>7.7098903504665833E-2</v>
      </c>
      <c r="W187">
        <f t="shared" si="20"/>
        <v>177</v>
      </c>
      <c r="Y187" s="56"/>
    </row>
    <row r="188" spans="3:25" hidden="1" outlineLevel="1" x14ac:dyDescent="0.3">
      <c r="C188" s="157">
        <f t="shared" si="15"/>
        <v>44087</v>
      </c>
      <c r="E188" s="241">
        <v>444366</v>
      </c>
      <c r="F188" s="7"/>
      <c r="G188" s="7">
        <v>196634</v>
      </c>
      <c r="H188" s="7"/>
      <c r="I188" s="7">
        <v>54326</v>
      </c>
      <c r="J188" s="244"/>
      <c r="K188" s="7">
        <f t="shared" si="37"/>
        <v>695326</v>
      </c>
      <c r="L188" s="6"/>
      <c r="M188" s="438">
        <f t="shared" si="38"/>
        <v>1.4734201062072323E-3</v>
      </c>
      <c r="N188" s="29"/>
      <c r="O188" s="29"/>
      <c r="P188" s="29"/>
      <c r="Q188" s="332">
        <f t="shared" si="39"/>
        <v>1023</v>
      </c>
      <c r="R188" s="6"/>
      <c r="S188" s="7">
        <f>33023+16027+4480</f>
        <v>53530</v>
      </c>
      <c r="T188" s="6"/>
      <c r="U188" s="243">
        <f t="shared" si="40"/>
        <v>7.6985471562979094E-2</v>
      </c>
      <c r="W188">
        <f t="shared" si="20"/>
        <v>178</v>
      </c>
      <c r="Y188" s="56"/>
    </row>
    <row r="189" spans="3:25" hidden="1" outlineLevel="1" x14ac:dyDescent="0.3">
      <c r="C189" s="157">
        <f t="shared" si="15"/>
        <v>44088</v>
      </c>
      <c r="E189" s="241">
        <v>444946</v>
      </c>
      <c r="F189" s="7"/>
      <c r="G189" s="7">
        <v>196968</v>
      </c>
      <c r="H189" s="7"/>
      <c r="I189" s="7">
        <v>54895</v>
      </c>
      <c r="J189" s="244"/>
      <c r="K189" s="7">
        <f t="shared" si="37"/>
        <v>696809</v>
      </c>
      <c r="L189" s="6"/>
      <c r="M189" s="438">
        <f t="shared" si="38"/>
        <v>2.1328125224714736E-3</v>
      </c>
      <c r="N189" s="29"/>
      <c r="O189" s="29"/>
      <c r="P189" s="29"/>
      <c r="Q189" s="332">
        <f t="shared" si="39"/>
        <v>1483</v>
      </c>
      <c r="R189" s="6"/>
      <c r="S189" s="7">
        <f>33030+16034+4485</f>
        <v>53549</v>
      </c>
      <c r="T189" s="6"/>
      <c r="U189" s="243">
        <f t="shared" si="40"/>
        <v>7.6848892594670856E-2</v>
      </c>
      <c r="W189">
        <f t="shared" si="20"/>
        <v>179</v>
      </c>
      <c r="Y189" s="56"/>
    </row>
    <row r="190" spans="3:25" hidden="1" outlineLevel="1" x14ac:dyDescent="0.3">
      <c r="C190" s="157">
        <f t="shared" si="15"/>
        <v>44089</v>
      </c>
      <c r="E190" s="241">
        <v>445714</v>
      </c>
      <c r="F190" s="7"/>
      <c r="G190" s="7">
        <v>197404</v>
      </c>
      <c r="H190" s="7"/>
      <c r="I190" s="7">
        <v>55031</v>
      </c>
      <c r="J190" s="244"/>
      <c r="K190" s="7">
        <f t="shared" si="37"/>
        <v>698149</v>
      </c>
      <c r="L190" s="6"/>
      <c r="M190" s="438">
        <f t="shared" si="38"/>
        <v>1.9230520845741085E-3</v>
      </c>
      <c r="N190" s="29"/>
      <c r="O190" s="29"/>
      <c r="P190" s="29"/>
      <c r="Q190" s="332">
        <f t="shared" si="39"/>
        <v>1340</v>
      </c>
      <c r="R190" s="6"/>
      <c r="S190" s="7">
        <f>33038+16043+4485</f>
        <v>53566</v>
      </c>
      <c r="T190" s="6"/>
      <c r="U190" s="243">
        <f t="shared" si="40"/>
        <v>7.6725741926150434E-2</v>
      </c>
      <c r="W190">
        <f t="shared" si="20"/>
        <v>180</v>
      </c>
      <c r="Y190" s="56"/>
    </row>
    <row r="191" spans="3:25" hidden="1" outlineLevel="1" x14ac:dyDescent="0.3">
      <c r="C191" s="157">
        <f t="shared" si="15"/>
        <v>44090</v>
      </c>
      <c r="E191" s="241">
        <v>446366</v>
      </c>
      <c r="F191" s="7"/>
      <c r="G191" s="7">
        <v>197792</v>
      </c>
      <c r="H191" s="7"/>
      <c r="I191" s="7">
        <v>55166</v>
      </c>
      <c r="J191" s="244"/>
      <c r="K191" s="7">
        <f t="shared" si="37"/>
        <v>699324</v>
      </c>
      <c r="L191" s="6"/>
      <c r="M191" s="438">
        <f t="shared" si="38"/>
        <v>1.6830218191245707E-3</v>
      </c>
      <c r="N191" s="29"/>
      <c r="O191" s="29"/>
      <c r="P191" s="29"/>
      <c r="Q191" s="332">
        <f t="shared" si="39"/>
        <v>1175</v>
      </c>
      <c r="R191" s="6"/>
      <c r="S191" s="7">
        <f>33038+16043+4485</f>
        <v>53566</v>
      </c>
      <c r="T191" s="6"/>
      <c r="U191" s="243">
        <f t="shared" si="40"/>
        <v>7.6596827793697919E-2</v>
      </c>
      <c r="W191">
        <f t="shared" si="20"/>
        <v>181</v>
      </c>
      <c r="Y191" s="56"/>
    </row>
    <row r="192" spans="3:25" hidden="1" outlineLevel="1" x14ac:dyDescent="0.3">
      <c r="C192" s="157">
        <f t="shared" si="15"/>
        <v>44091</v>
      </c>
      <c r="E192" s="241">
        <v>447262</v>
      </c>
      <c r="F192" s="7"/>
      <c r="G192" s="7">
        <v>198361</v>
      </c>
      <c r="H192" s="7"/>
      <c r="I192" s="7">
        <v>55386</v>
      </c>
      <c r="J192" s="244"/>
      <c r="K192" s="7">
        <f t="shared" si="37"/>
        <v>701009</v>
      </c>
      <c r="L192" s="6"/>
      <c r="M192" s="438">
        <f t="shared" si="38"/>
        <v>2.4094697164690473E-3</v>
      </c>
      <c r="N192" s="29"/>
      <c r="O192" s="29"/>
      <c r="P192" s="29"/>
      <c r="Q192" s="332">
        <f t="shared" si="39"/>
        <v>1685</v>
      </c>
      <c r="R192" s="6"/>
      <c r="S192" s="7">
        <f>33070+16057+4488</f>
        <v>53615</v>
      </c>
      <c r="T192" s="6"/>
      <c r="U192" s="243">
        <f t="shared" si="40"/>
        <v>7.6482612919377635E-2</v>
      </c>
      <c r="W192">
        <f t="shared" si="20"/>
        <v>182</v>
      </c>
      <c r="Y192" s="56"/>
    </row>
    <row r="193" spans="3:25" hidden="1" outlineLevel="1" x14ac:dyDescent="0.3">
      <c r="C193" s="157">
        <f t="shared" si="15"/>
        <v>44092</v>
      </c>
      <c r="E193" s="241">
        <v>448052</v>
      </c>
      <c r="F193" s="7"/>
      <c r="G193" s="7">
        <v>198848</v>
      </c>
      <c r="H193" s="7"/>
      <c r="I193" s="7">
        <v>55527</v>
      </c>
      <c r="J193" s="244"/>
      <c r="K193" s="7">
        <f t="shared" si="37"/>
        <v>702427</v>
      </c>
      <c r="L193" s="6"/>
      <c r="M193" s="438">
        <f t="shared" si="38"/>
        <v>2.0227985660669122E-3</v>
      </c>
      <c r="N193" s="29"/>
      <c r="O193" s="29"/>
      <c r="P193" s="29"/>
      <c r="Q193" s="332">
        <f t="shared" si="39"/>
        <v>1418</v>
      </c>
      <c r="R193" s="6"/>
      <c r="S193" s="7">
        <f>33085+16061+4492</f>
        <v>53638</v>
      </c>
      <c r="T193" s="6"/>
      <c r="U193" s="243">
        <f t="shared" si="40"/>
        <v>7.6360959928932118E-2</v>
      </c>
      <c r="W193">
        <f t="shared" si="20"/>
        <v>183</v>
      </c>
      <c r="Y193" s="56"/>
    </row>
    <row r="194" spans="3:25" hidden="1" outlineLevel="1" x14ac:dyDescent="0.3">
      <c r="C194" s="157">
        <f t="shared" si="15"/>
        <v>44093</v>
      </c>
      <c r="E194" s="241">
        <v>449039</v>
      </c>
      <c r="F194" s="7"/>
      <c r="G194" s="7">
        <v>199309</v>
      </c>
      <c r="H194" s="7"/>
      <c r="I194" s="7">
        <v>55527</v>
      </c>
      <c r="J194" s="244"/>
      <c r="K194" s="7">
        <f t="shared" si="37"/>
        <v>703875</v>
      </c>
      <c r="L194" s="6"/>
      <c r="M194" s="438">
        <f t="shared" si="38"/>
        <v>2.0614241764624649E-3</v>
      </c>
      <c r="N194" s="29"/>
      <c r="O194" s="29"/>
      <c r="P194" s="29"/>
      <c r="Q194" s="332">
        <f t="shared" si="39"/>
        <v>1448</v>
      </c>
      <c r="R194" s="6"/>
      <c r="S194" s="7">
        <f>33081+16064+4492</f>
        <v>53637</v>
      </c>
      <c r="T194" s="6"/>
      <c r="U194" s="243">
        <f t="shared" si="40"/>
        <v>7.6202450719232817E-2</v>
      </c>
      <c r="W194">
        <f t="shared" si="20"/>
        <v>184</v>
      </c>
      <c r="Y194" s="56"/>
    </row>
    <row r="195" spans="3:25" hidden="1" outlineLevel="1" x14ac:dyDescent="0.3">
      <c r="C195" s="157">
        <f t="shared" si="15"/>
        <v>44094</v>
      </c>
      <c r="E195" s="241">
        <v>449900</v>
      </c>
      <c r="F195" s="7"/>
      <c r="G195" s="7">
        <v>199762</v>
      </c>
      <c r="H195" s="7"/>
      <c r="I195" s="7">
        <v>55527</v>
      </c>
      <c r="J195" s="244"/>
      <c r="K195" s="7">
        <f t="shared" si="37"/>
        <v>705189</v>
      </c>
      <c r="L195" s="6"/>
      <c r="M195" s="438">
        <f t="shared" si="38"/>
        <v>1.86680873734683E-3</v>
      </c>
      <c r="N195" s="29"/>
      <c r="O195" s="29"/>
      <c r="P195" s="29"/>
      <c r="Q195" s="332">
        <f t="shared" si="39"/>
        <v>1314</v>
      </c>
      <c r="R195" s="6"/>
      <c r="S195" s="7">
        <f>33087+16067+4492</f>
        <v>53646</v>
      </c>
      <c r="T195" s="6"/>
      <c r="U195" s="243">
        <f t="shared" si="40"/>
        <v>7.6073222923216333E-2</v>
      </c>
      <c r="W195">
        <f t="shared" si="20"/>
        <v>185</v>
      </c>
      <c r="Y195" s="56"/>
    </row>
    <row r="196" spans="3:25" hidden="1" outlineLevel="1" x14ac:dyDescent="0.3">
      <c r="C196" s="157">
        <f t="shared" si="15"/>
        <v>44095</v>
      </c>
      <c r="E196" s="241">
        <v>450473</v>
      </c>
      <c r="F196" s="7"/>
      <c r="G196" s="7">
        <v>200154</v>
      </c>
      <c r="H196" s="7"/>
      <c r="I196" s="7">
        <v>56024</v>
      </c>
      <c r="J196" s="244"/>
      <c r="K196" s="7">
        <f t="shared" si="37"/>
        <v>706651</v>
      </c>
      <c r="L196" s="6"/>
      <c r="M196" s="438">
        <f t="shared" si="38"/>
        <v>2.0732030703825501E-3</v>
      </c>
      <c r="N196" s="29"/>
      <c r="O196" s="29"/>
      <c r="P196" s="29"/>
      <c r="Q196" s="332">
        <f t="shared" si="39"/>
        <v>1462</v>
      </c>
      <c r="R196" s="6"/>
      <c r="S196" s="7">
        <f>33092+16069+4495</f>
        <v>53656</v>
      </c>
      <c r="T196" s="6"/>
      <c r="U196" s="243">
        <f t="shared" si="40"/>
        <v>7.592998524023882E-2</v>
      </c>
      <c r="W196">
        <f t="shared" si="20"/>
        <v>186</v>
      </c>
      <c r="Y196" s="56"/>
    </row>
    <row r="197" spans="3:25" hidden="1" outlineLevel="1" x14ac:dyDescent="0.3">
      <c r="C197" s="157">
        <f t="shared" si="15"/>
        <v>44096</v>
      </c>
      <c r="E197" s="241">
        <v>451227</v>
      </c>
      <c r="F197" s="7"/>
      <c r="G197" s="7">
        <v>200580</v>
      </c>
      <c r="H197" s="7"/>
      <c r="I197" s="7">
        <v>56160</v>
      </c>
      <c r="J197" s="244"/>
      <c r="K197" s="7">
        <f t="shared" si="37"/>
        <v>707967</v>
      </c>
      <c r="L197" s="6"/>
      <c r="M197" s="438">
        <f t="shared" si="38"/>
        <v>1.8623054379035761E-3</v>
      </c>
      <c r="N197" s="29"/>
      <c r="O197" s="29"/>
      <c r="P197" s="29"/>
      <c r="Q197" s="332">
        <f t="shared" si="39"/>
        <v>1316</v>
      </c>
      <c r="R197" s="6"/>
      <c r="S197" s="7">
        <f>33092+16069+4495</f>
        <v>53656</v>
      </c>
      <c r="T197" s="6"/>
      <c r="U197" s="243">
        <f t="shared" si="40"/>
        <v>7.5788843265293435E-2</v>
      </c>
      <c r="W197">
        <f t="shared" si="20"/>
        <v>187</v>
      </c>
      <c r="Y197" s="56"/>
    </row>
    <row r="198" spans="3:25" hidden="1" outlineLevel="1" x14ac:dyDescent="0.3">
      <c r="C198" s="157">
        <f t="shared" si="15"/>
        <v>44097</v>
      </c>
      <c r="E198" s="241">
        <v>451892</v>
      </c>
      <c r="F198" s="7"/>
      <c r="G198" s="7">
        <v>200988</v>
      </c>
      <c r="H198" s="7"/>
      <c r="I198" s="7">
        <v>56315</v>
      </c>
      <c r="J198" s="244"/>
      <c r="K198" s="7">
        <f t="shared" si="37"/>
        <v>709195</v>
      </c>
      <c r="L198" s="6"/>
      <c r="M198" s="438">
        <f t="shared" si="38"/>
        <v>1.7345441242317791E-3</v>
      </c>
      <c r="N198" s="29"/>
      <c r="O198" s="29"/>
      <c r="P198" s="29"/>
      <c r="Q198" s="332">
        <f t="shared" si="39"/>
        <v>1228</v>
      </c>
      <c r="R198" s="6"/>
      <c r="S198" s="7">
        <f>33090+16082+4497</f>
        <v>53669</v>
      </c>
      <c r="T198" s="6"/>
      <c r="U198" s="243">
        <f t="shared" si="40"/>
        <v>7.5675942441782579E-2</v>
      </c>
      <c r="W198">
        <f t="shared" si="20"/>
        <v>188</v>
      </c>
      <c r="Y198" s="56"/>
    </row>
    <row r="199" spans="3:25" hidden="1" outlineLevel="1" x14ac:dyDescent="0.3">
      <c r="C199" s="157">
        <f t="shared" si="15"/>
        <v>44098</v>
      </c>
      <c r="E199" s="241">
        <v>452847</v>
      </c>
      <c r="F199" s="7"/>
      <c r="G199" s="7">
        <v>201216</v>
      </c>
      <c r="H199" s="7"/>
      <c r="I199" s="7">
        <v>56472</v>
      </c>
      <c r="J199" s="244"/>
      <c r="K199" s="7">
        <f t="shared" si="37"/>
        <v>710535</v>
      </c>
      <c r="L199" s="6"/>
      <c r="M199" s="438">
        <f t="shared" si="38"/>
        <v>1.8894662257912141E-3</v>
      </c>
      <c r="N199" s="29"/>
      <c r="O199" s="29"/>
      <c r="P199" s="29"/>
      <c r="Q199" s="332">
        <f t="shared" si="39"/>
        <v>1340</v>
      </c>
      <c r="R199" s="6"/>
      <c r="S199" s="7">
        <f>33096+16091+4499</f>
        <v>53686</v>
      </c>
      <c r="T199" s="6"/>
      <c r="U199" s="243">
        <f t="shared" si="40"/>
        <v>7.5557150597788988E-2</v>
      </c>
      <c r="W199">
        <f t="shared" si="20"/>
        <v>189</v>
      </c>
      <c r="Y199" s="56"/>
    </row>
    <row r="200" spans="3:25" hidden="1" outlineLevel="1" x14ac:dyDescent="0.3">
      <c r="C200" s="157">
        <f t="shared" si="15"/>
        <v>44099</v>
      </c>
      <c r="E200" s="241">
        <v>453756</v>
      </c>
      <c r="F200" s="7"/>
      <c r="G200" s="7">
        <v>202100</v>
      </c>
      <c r="H200" s="7"/>
      <c r="I200" s="7">
        <v>56587</v>
      </c>
      <c r="J200" s="244"/>
      <c r="K200" s="7">
        <f t="shared" si="37"/>
        <v>712443</v>
      </c>
      <c r="L200" s="6"/>
      <c r="M200" s="438">
        <f t="shared" si="38"/>
        <v>2.6853005129937302E-3</v>
      </c>
      <c r="N200" s="29"/>
      <c r="O200" s="29"/>
      <c r="P200" s="29"/>
      <c r="Q200" s="332">
        <f t="shared" si="39"/>
        <v>1908</v>
      </c>
      <c r="R200" s="6"/>
      <c r="S200" s="7">
        <f>33102+16097+4501</f>
        <v>53700</v>
      </c>
      <c r="T200" s="6"/>
      <c r="U200" s="243">
        <f t="shared" si="40"/>
        <v>7.5374451008712276E-2</v>
      </c>
      <c r="W200">
        <f t="shared" si="20"/>
        <v>190</v>
      </c>
      <c r="Y200" s="56"/>
    </row>
    <row r="201" spans="3:25" hidden="1" outlineLevel="1" x14ac:dyDescent="0.3">
      <c r="C201" s="157">
        <f t="shared" si="15"/>
        <v>44100</v>
      </c>
      <c r="E201" s="241">
        <v>454760</v>
      </c>
      <c r="F201" s="7"/>
      <c r="G201" s="7">
        <v>202850</v>
      </c>
      <c r="H201" s="7"/>
      <c r="I201" s="7">
        <v>56587</v>
      </c>
      <c r="J201" s="244"/>
      <c r="K201" s="7">
        <f t="shared" si="37"/>
        <v>714197</v>
      </c>
      <c r="L201" s="6"/>
      <c r="M201" s="438">
        <f t="shared" si="38"/>
        <v>2.461951342072278E-3</v>
      </c>
      <c r="N201" s="29"/>
      <c r="O201" s="29"/>
      <c r="P201" s="29"/>
      <c r="Q201" s="332">
        <f t="shared" si="39"/>
        <v>1754</v>
      </c>
      <c r="R201" s="6"/>
      <c r="S201" s="7">
        <f>33126+16103+4501</f>
        <v>53730</v>
      </c>
      <c r="T201" s="6"/>
      <c r="U201" s="243">
        <f t="shared" si="40"/>
        <v>7.5231343732891628E-2</v>
      </c>
      <c r="W201">
        <f t="shared" si="20"/>
        <v>191</v>
      </c>
      <c r="Y201" s="56"/>
    </row>
    <row r="202" spans="3:25" hidden="1" outlineLevel="1" x14ac:dyDescent="0.3">
      <c r="C202" s="157">
        <f t="shared" si="15"/>
        <v>44101</v>
      </c>
      <c r="E202" s="241">
        <v>455626</v>
      </c>
      <c r="F202" s="7"/>
      <c r="G202" s="7">
        <v>202850</v>
      </c>
      <c r="H202" s="7"/>
      <c r="I202" s="7">
        <v>56587</v>
      </c>
      <c r="J202" s="244"/>
      <c r="K202" s="7">
        <f t="shared" si="37"/>
        <v>715063</v>
      </c>
      <c r="L202" s="6"/>
      <c r="M202" s="438">
        <f t="shared" si="38"/>
        <v>1.212550598784369E-3</v>
      </c>
      <c r="N202" s="29"/>
      <c r="O202" s="29"/>
      <c r="P202" s="29"/>
      <c r="Q202" s="332">
        <f t="shared" si="39"/>
        <v>866</v>
      </c>
      <c r="R202" s="6"/>
      <c r="S202" s="7">
        <f>33131+16103+4501</f>
        <v>53735</v>
      </c>
      <c r="T202" s="6"/>
      <c r="U202" s="243">
        <f t="shared" si="40"/>
        <v>7.5147224789983535E-2</v>
      </c>
      <c r="W202">
        <f t="shared" si="20"/>
        <v>192</v>
      </c>
      <c r="Y202" s="56"/>
    </row>
    <row r="203" spans="3:25" hidden="1" outlineLevel="1" x14ac:dyDescent="0.3">
      <c r="C203" s="157">
        <f t="shared" si="15"/>
        <v>44102</v>
      </c>
      <c r="E203" s="241">
        <v>456460</v>
      </c>
      <c r="F203" s="7"/>
      <c r="G203" s="7">
        <v>204107</v>
      </c>
      <c r="H203" s="7"/>
      <c r="I203" s="7">
        <v>57147</v>
      </c>
      <c r="J203" s="244"/>
      <c r="K203" s="7">
        <f t="shared" si="37"/>
        <v>717714</v>
      </c>
      <c r="L203" s="6"/>
      <c r="M203" s="438">
        <f t="shared" si="38"/>
        <v>3.7073656447054316E-3</v>
      </c>
      <c r="N203" s="29"/>
      <c r="O203" s="29"/>
      <c r="P203" s="29"/>
      <c r="Q203" s="332">
        <f t="shared" si="39"/>
        <v>2651</v>
      </c>
      <c r="R203" s="6"/>
      <c r="S203" s="7">
        <f>33140+16107+4503</f>
        <v>53750</v>
      </c>
      <c r="T203" s="6"/>
      <c r="U203" s="243">
        <f t="shared" si="40"/>
        <v>7.4890555290826152E-2</v>
      </c>
      <c r="W203">
        <f t="shared" si="20"/>
        <v>193</v>
      </c>
      <c r="Y203" s="56"/>
    </row>
    <row r="204" spans="3:25" hidden="1" outlineLevel="1" x14ac:dyDescent="0.3">
      <c r="C204" s="157">
        <f t="shared" si="15"/>
        <v>44103</v>
      </c>
      <c r="E204" s="241">
        <v>457649</v>
      </c>
      <c r="F204" s="7"/>
      <c r="G204" s="7">
        <v>204563</v>
      </c>
      <c r="H204" s="7"/>
      <c r="I204" s="7">
        <v>57329</v>
      </c>
      <c r="J204" s="244"/>
      <c r="K204" s="7">
        <f t="shared" si="37"/>
        <v>719541</v>
      </c>
      <c r="L204" s="6"/>
      <c r="M204" s="438">
        <f t="shared" si="38"/>
        <v>2.5455822235598024E-3</v>
      </c>
      <c r="N204" s="29"/>
      <c r="O204" s="29"/>
      <c r="P204" s="29"/>
      <c r="Q204" s="332">
        <f t="shared" si="39"/>
        <v>1827</v>
      </c>
      <c r="R204" s="6"/>
      <c r="S204" s="7">
        <f>33144+16117+4506</f>
        <v>53767</v>
      </c>
      <c r="T204" s="6"/>
      <c r="U204" s="243">
        <f t="shared" si="40"/>
        <v>7.4724025455116527E-2</v>
      </c>
      <c r="W204">
        <f t="shared" si="20"/>
        <v>194</v>
      </c>
      <c r="Y204" s="56"/>
    </row>
    <row r="205" spans="3:25" hidden="1" outlineLevel="1" x14ac:dyDescent="0.3">
      <c r="C205" s="157">
        <f t="shared" si="15"/>
        <v>44104</v>
      </c>
      <c r="E205" s="241">
        <v>458649</v>
      </c>
      <c r="F205" s="7"/>
      <c r="G205" s="7">
        <v>205275</v>
      </c>
      <c r="H205" s="7"/>
      <c r="I205" s="7">
        <v>57550</v>
      </c>
      <c r="J205" s="244"/>
      <c r="K205" s="7">
        <f t="shared" si="37"/>
        <v>721474</v>
      </c>
      <c r="L205" s="6"/>
      <c r="M205" s="438">
        <f t="shared" si="38"/>
        <v>2.6864348244227919E-3</v>
      </c>
      <c r="N205" s="29"/>
      <c r="O205" s="29"/>
      <c r="P205" s="29"/>
      <c r="Q205" s="332">
        <f t="shared" si="39"/>
        <v>1933</v>
      </c>
      <c r="R205" s="6"/>
      <c r="S205" s="7">
        <f>33153+16122+4508</f>
        <v>53783</v>
      </c>
      <c r="T205" s="6"/>
      <c r="U205" s="243">
        <f t="shared" si="40"/>
        <v>7.4545998885614723E-2</v>
      </c>
      <c r="W205">
        <f t="shared" si="20"/>
        <v>195</v>
      </c>
      <c r="Y205" s="56"/>
    </row>
    <row r="206" spans="3:25" hidden="1" outlineLevel="1" x14ac:dyDescent="0.3">
      <c r="C206" s="157">
        <f t="shared" si="15"/>
        <v>44105</v>
      </c>
      <c r="E206" s="241">
        <v>460031</v>
      </c>
      <c r="F206" s="7"/>
      <c r="G206" s="7">
        <v>205889</v>
      </c>
      <c r="H206" s="7"/>
      <c r="I206" s="7">
        <v>57742</v>
      </c>
      <c r="J206" s="244"/>
      <c r="K206" s="7">
        <f t="shared" si="37"/>
        <v>723662</v>
      </c>
      <c r="L206" s="6"/>
      <c r="M206" s="438">
        <f t="shared" si="38"/>
        <v>3.0326803183482703E-3</v>
      </c>
      <c r="N206" s="29"/>
      <c r="O206" s="29"/>
      <c r="P206" s="29"/>
      <c r="Q206" s="332">
        <f t="shared" si="39"/>
        <v>2188</v>
      </c>
      <c r="R206" s="6"/>
      <c r="S206" s="7">
        <f>33159+16140+4511</f>
        <v>53810</v>
      </c>
      <c r="T206" s="6"/>
      <c r="U206" s="243">
        <f t="shared" si="40"/>
        <v>7.4357918475752488E-2</v>
      </c>
      <c r="W206">
        <f t="shared" si="20"/>
        <v>196</v>
      </c>
      <c r="Y206" s="56"/>
    </row>
    <row r="207" spans="3:25" hidden="1" outlineLevel="1" x14ac:dyDescent="0.3">
      <c r="C207" s="157">
        <f t="shared" si="15"/>
        <v>44106</v>
      </c>
      <c r="E207" s="241">
        <v>461629</v>
      </c>
      <c r="F207" s="7"/>
      <c r="G207" s="7">
        <v>206629</v>
      </c>
      <c r="H207" s="7"/>
      <c r="I207" s="7">
        <v>58297</v>
      </c>
      <c r="J207" s="244"/>
      <c r="K207" s="7">
        <f t="shared" si="37"/>
        <v>726555</v>
      </c>
      <c r="L207" s="6"/>
      <c r="M207" s="438">
        <f t="shared" si="38"/>
        <v>3.9977226937437643E-3</v>
      </c>
      <c r="N207" s="29"/>
      <c r="O207" s="29"/>
      <c r="P207" s="29"/>
      <c r="Q207" s="332">
        <f t="shared" si="39"/>
        <v>2893</v>
      </c>
      <c r="R207" s="6"/>
      <c r="S207" s="7">
        <f>33199+16131+4513</f>
        <v>53843</v>
      </c>
      <c r="T207" s="6"/>
      <c r="U207" s="243">
        <f t="shared" si="40"/>
        <v>7.4107259601819547E-2</v>
      </c>
      <c r="W207">
        <f t="shared" si="20"/>
        <v>197</v>
      </c>
      <c r="Y207" s="56"/>
    </row>
    <row r="208" spans="3:25" hidden="1" outlineLevel="1" x14ac:dyDescent="0.3">
      <c r="C208" s="157">
        <f t="shared" si="15"/>
        <v>44107</v>
      </c>
      <c r="E208" s="241">
        <v>463360</v>
      </c>
      <c r="F208" s="7"/>
      <c r="G208" s="7">
        <v>207576</v>
      </c>
      <c r="H208" s="7"/>
      <c r="I208" s="7">
        <v>58297</v>
      </c>
      <c r="J208" s="244"/>
      <c r="K208" s="7">
        <f t="shared" si="37"/>
        <v>729233</v>
      </c>
      <c r="L208" s="6"/>
      <c r="M208" s="438">
        <f t="shared" si="38"/>
        <v>3.6858875102366647E-3</v>
      </c>
      <c r="N208" s="29"/>
      <c r="O208" s="29"/>
      <c r="P208" s="29"/>
      <c r="Q208" s="332">
        <f t="shared" si="39"/>
        <v>2678</v>
      </c>
      <c r="R208" s="6"/>
      <c r="S208" s="7">
        <f>33197+16135+4513</f>
        <v>53845</v>
      </c>
      <c r="T208" s="6"/>
      <c r="U208" s="243">
        <f t="shared" si="40"/>
        <v>7.3837854293483704E-2</v>
      </c>
      <c r="W208">
        <f t="shared" si="20"/>
        <v>198</v>
      </c>
      <c r="Y208" s="56"/>
    </row>
    <row r="209" spans="3:25" hidden="1" outlineLevel="1" x14ac:dyDescent="0.3">
      <c r="C209" s="157">
        <f t="shared" si="15"/>
        <v>44108</v>
      </c>
      <c r="E209" s="241">
        <v>464582</v>
      </c>
      <c r="F209" s="7"/>
      <c r="G209" s="7">
        <v>208202</v>
      </c>
      <c r="H209" s="7"/>
      <c r="I209" s="7">
        <v>58297</v>
      </c>
      <c r="J209" s="244"/>
      <c r="K209" s="7">
        <f t="shared" si="37"/>
        <v>731081</v>
      </c>
      <c r="L209" s="6"/>
      <c r="M209" s="438">
        <f t="shared" si="38"/>
        <v>2.5341694629837101E-3</v>
      </c>
      <c r="N209" s="29"/>
      <c r="O209" s="29"/>
      <c r="P209" s="29"/>
      <c r="Q209" s="332">
        <f t="shared" si="39"/>
        <v>1848</v>
      </c>
      <c r="R209" s="6"/>
      <c r="S209" s="7">
        <f>33206+16136+4513</f>
        <v>53855</v>
      </c>
      <c r="T209" s="6"/>
      <c r="U209" s="243">
        <f t="shared" si="40"/>
        <v>7.3664888021983885E-2</v>
      </c>
      <c r="W209">
        <f t="shared" si="20"/>
        <v>199</v>
      </c>
      <c r="Y209" s="56"/>
    </row>
    <row r="210" spans="3:25" hidden="1" outlineLevel="1" x14ac:dyDescent="0.3">
      <c r="C210" s="157">
        <f t="shared" si="15"/>
        <v>44109</v>
      </c>
      <c r="E210" s="241">
        <v>465212</v>
      </c>
      <c r="F210" s="7"/>
      <c r="G210" s="7">
        <v>208159</v>
      </c>
      <c r="H210" s="7"/>
      <c r="I210" s="7">
        <v>59120</v>
      </c>
      <c r="J210" s="244"/>
      <c r="K210" s="7">
        <f t="shared" si="37"/>
        <v>732491</v>
      </c>
      <c r="L210" s="6"/>
      <c r="M210" s="438">
        <f t="shared" si="38"/>
        <v>1.9286508608485243E-3</v>
      </c>
      <c r="N210" s="29"/>
      <c r="O210" s="29"/>
      <c r="P210" s="29"/>
      <c r="Q210" s="332">
        <f t="shared" si="39"/>
        <v>1410</v>
      </c>
      <c r="R210" s="6"/>
      <c r="S210" s="7">
        <v>53862</v>
      </c>
      <c r="T210" s="6"/>
      <c r="U210" s="243">
        <f t="shared" si="40"/>
        <v>7.353264408709459E-2</v>
      </c>
      <c r="W210">
        <f t="shared" si="20"/>
        <v>200</v>
      </c>
      <c r="Y210" s="56"/>
    </row>
    <row r="211" spans="3:25" hidden="1" outlineLevel="1" x14ac:dyDescent="0.3">
      <c r="C211" s="157">
        <f t="shared" si="15"/>
        <v>44110</v>
      </c>
      <c r="E211" s="241">
        <v>466908</v>
      </c>
      <c r="F211" s="7"/>
      <c r="G211" s="7">
        <v>209342</v>
      </c>
      <c r="H211" s="7"/>
      <c r="I211" s="7">
        <v>59241</v>
      </c>
      <c r="J211" s="244"/>
      <c r="K211" s="7">
        <f t="shared" si="37"/>
        <v>735491</v>
      </c>
      <c r="L211" s="6"/>
      <c r="M211" s="438">
        <f t="shared" si="38"/>
        <v>4.0956134614623255E-3</v>
      </c>
      <c r="N211" s="29"/>
      <c r="O211" s="29"/>
      <c r="P211" s="29"/>
      <c r="Q211" s="332">
        <f t="shared" si="39"/>
        <v>3000</v>
      </c>
      <c r="R211" s="6"/>
      <c r="S211" s="7">
        <f>33219+16147+4521</f>
        <v>53887</v>
      </c>
      <c r="T211" s="6"/>
      <c r="U211" s="243">
        <f t="shared" si="40"/>
        <v>7.3266702107843598E-2</v>
      </c>
      <c r="W211">
        <f t="shared" si="20"/>
        <v>201</v>
      </c>
      <c r="Y211" s="56"/>
    </row>
    <row r="212" spans="3:25" hidden="1" outlineLevel="1" x14ac:dyDescent="0.3">
      <c r="C212" s="157">
        <f t="shared" si="15"/>
        <v>44111</v>
      </c>
      <c r="E212" s="241">
        <v>468268</v>
      </c>
      <c r="F212" s="7"/>
      <c r="G212" s="7">
        <v>209850</v>
      </c>
      <c r="H212" s="7"/>
      <c r="I212" s="7">
        <v>59364</v>
      </c>
      <c r="J212" s="244"/>
      <c r="K212" s="7">
        <f t="shared" si="37"/>
        <v>737482</v>
      </c>
      <c r="L212" s="6"/>
      <c r="M212" s="438">
        <f t="shared" si="38"/>
        <v>2.7070351642644167E-3</v>
      </c>
      <c r="N212" s="29"/>
      <c r="O212" s="29"/>
      <c r="P212" s="29"/>
      <c r="Q212" s="332">
        <f t="shared" si="39"/>
        <v>1991</v>
      </c>
      <c r="R212" s="6"/>
      <c r="S212" s="7">
        <f>33226+16152+4522</f>
        <v>53900</v>
      </c>
      <c r="T212" s="6"/>
      <c r="U212" s="243">
        <f t="shared" si="40"/>
        <v>7.308652956953525E-2</v>
      </c>
      <c r="W212">
        <f t="shared" si="20"/>
        <v>202</v>
      </c>
      <c r="Y212" s="56"/>
    </row>
    <row r="213" spans="3:25" hidden="1" outlineLevel="1" x14ac:dyDescent="0.3">
      <c r="C213" s="157">
        <f t="shared" si="15"/>
        <v>44112</v>
      </c>
      <c r="E213" s="241">
        <v>470104</v>
      </c>
      <c r="F213" s="7"/>
      <c r="G213" s="7">
        <v>211148</v>
      </c>
      <c r="H213" s="7"/>
      <c r="I213" s="7">
        <v>59748</v>
      </c>
      <c r="J213" s="244"/>
      <c r="K213" s="7">
        <f t="shared" si="37"/>
        <v>741000</v>
      </c>
      <c r="L213" s="6"/>
      <c r="M213" s="438">
        <f t="shared" si="38"/>
        <v>4.7702859188427649E-3</v>
      </c>
      <c r="N213" s="29"/>
      <c r="O213" s="29"/>
      <c r="P213" s="29"/>
      <c r="Q213" s="332">
        <f t="shared" si="39"/>
        <v>3518</v>
      </c>
      <c r="R213" s="6"/>
      <c r="S213" s="7">
        <f>33227+16161+4527</f>
        <v>53915</v>
      </c>
      <c r="T213" s="6"/>
      <c r="U213" s="243">
        <f t="shared" si="40"/>
        <v>7.2759784075573555E-2</v>
      </c>
      <c r="W213">
        <f t="shared" si="20"/>
        <v>203</v>
      </c>
      <c r="Y213" s="56"/>
    </row>
    <row r="214" spans="3:25" hidden="1" outlineLevel="1" x14ac:dyDescent="0.3">
      <c r="C214" s="157">
        <f t="shared" si="15"/>
        <v>44113</v>
      </c>
      <c r="E214" s="241">
        <v>471696</v>
      </c>
      <c r="F214" s="7"/>
      <c r="G214" s="7">
        <v>212013</v>
      </c>
      <c r="H214" s="7"/>
      <c r="I214" s="7">
        <v>60038</v>
      </c>
      <c r="J214" s="244"/>
      <c r="K214" s="7">
        <f t="shared" ref="K214:K223" si="41">SUM(E214:I214)</f>
        <v>743747</v>
      </c>
      <c r="L214" s="6"/>
      <c r="M214" s="438">
        <f t="shared" ref="M214:M223" si="42">+(K214-K213)/K213</f>
        <v>3.7071524966261807E-3</v>
      </c>
      <c r="N214" s="29"/>
      <c r="O214" s="29"/>
      <c r="P214" s="29"/>
      <c r="Q214" s="332">
        <f t="shared" ref="Q214:Q223" si="43">+K214-K213</f>
        <v>2747</v>
      </c>
      <c r="R214" s="6"/>
      <c r="S214" s="7">
        <f>33290+16164+4530</f>
        <v>53984</v>
      </c>
      <c r="T214" s="6"/>
      <c r="U214" s="243">
        <f t="shared" ref="U214:U223" si="44">+S214/K214</f>
        <v>7.2583822186845795E-2</v>
      </c>
      <c r="W214">
        <f t="shared" si="20"/>
        <v>204</v>
      </c>
      <c r="Y214" s="56"/>
    </row>
    <row r="215" spans="3:25" collapsed="1" x14ac:dyDescent="0.3">
      <c r="C215" s="157">
        <f t="shared" si="15"/>
        <v>44114</v>
      </c>
      <c r="E215" s="241">
        <v>473143</v>
      </c>
      <c r="F215" s="7"/>
      <c r="G215" s="7">
        <v>212844</v>
      </c>
      <c r="H215" s="7"/>
      <c r="I215" s="7">
        <v>60038</v>
      </c>
      <c r="J215" s="244"/>
      <c r="K215" s="7">
        <f t="shared" si="41"/>
        <v>746025</v>
      </c>
      <c r="L215" s="6"/>
      <c r="M215" s="438">
        <f t="shared" si="42"/>
        <v>3.0628694972887286E-3</v>
      </c>
      <c r="N215" s="29"/>
      <c r="O215" s="29"/>
      <c r="P215" s="29"/>
      <c r="Q215" s="332">
        <f t="shared" si="43"/>
        <v>2278</v>
      </c>
      <c r="R215" s="6"/>
      <c r="S215" s="7">
        <f>33290+16164+4530</f>
        <v>53984</v>
      </c>
      <c r="T215" s="6"/>
      <c r="U215" s="243">
        <f t="shared" si="44"/>
        <v>7.2362186253811869E-2</v>
      </c>
      <c r="W215">
        <f t="shared" si="20"/>
        <v>205</v>
      </c>
      <c r="Y215" s="56"/>
    </row>
    <row r="216" spans="3:25" x14ac:dyDescent="0.3">
      <c r="C216" s="157">
        <f t="shared" si="15"/>
        <v>44115</v>
      </c>
      <c r="E216" s="241">
        <v>474286</v>
      </c>
      <c r="F216" s="7"/>
      <c r="G216" s="7">
        <v>213628</v>
      </c>
      <c r="H216" s="7"/>
      <c r="I216" s="7">
        <v>60638</v>
      </c>
      <c r="J216" s="244"/>
      <c r="K216" s="7">
        <f t="shared" si="41"/>
        <v>748552</v>
      </c>
      <c r="L216" s="6"/>
      <c r="M216" s="438">
        <f t="shared" si="42"/>
        <v>3.3872859488623037E-3</v>
      </c>
      <c r="N216" s="29"/>
      <c r="O216" s="29"/>
      <c r="P216" s="29"/>
      <c r="Q216" s="332">
        <f t="shared" si="43"/>
        <v>2527</v>
      </c>
      <c r="R216" s="6"/>
      <c r="S216" s="7">
        <f>33290+16164+4530</f>
        <v>53984</v>
      </c>
      <c r="T216" s="6"/>
      <c r="U216" s="243">
        <f t="shared" si="44"/>
        <v>7.2117902296700828E-2</v>
      </c>
      <c r="W216">
        <f t="shared" si="20"/>
        <v>206</v>
      </c>
      <c r="Y216" s="56"/>
    </row>
    <row r="217" spans="3:25" x14ac:dyDescent="0.3">
      <c r="C217" s="157">
        <f t="shared" si="15"/>
        <v>44116</v>
      </c>
      <c r="E217" s="241">
        <v>475315</v>
      </c>
      <c r="F217" s="7"/>
      <c r="G217" s="7">
        <v>214097</v>
      </c>
      <c r="H217" s="7"/>
      <c r="I217" s="7">
        <v>61377</v>
      </c>
      <c r="J217" s="244"/>
      <c r="K217" s="7">
        <f t="shared" si="41"/>
        <v>750789</v>
      </c>
      <c r="L217" s="6"/>
      <c r="M217" s="438">
        <f t="shared" si="42"/>
        <v>2.9884363410958756E-3</v>
      </c>
      <c r="N217" s="29"/>
      <c r="O217" s="29"/>
      <c r="P217" s="29"/>
      <c r="Q217" s="332">
        <f t="shared" si="43"/>
        <v>2237</v>
      </c>
      <c r="R217" s="6"/>
      <c r="S217" s="7">
        <f>33301+16175+4532</f>
        <v>54008</v>
      </c>
      <c r="T217" s="6"/>
      <c r="U217" s="243">
        <f t="shared" si="44"/>
        <v>7.1934991056075676E-2</v>
      </c>
      <c r="W217">
        <f t="shared" si="20"/>
        <v>207</v>
      </c>
      <c r="Y217" s="56"/>
    </row>
    <row r="218" spans="3:25" x14ac:dyDescent="0.3">
      <c r="C218" s="157">
        <f t="shared" si="15"/>
        <v>44117</v>
      </c>
      <c r="E218" s="241">
        <v>476708</v>
      </c>
      <c r="F218" s="7"/>
      <c r="G218" s="7">
        <v>215085</v>
      </c>
      <c r="H218" s="7"/>
      <c r="I218" s="7">
        <v>61697</v>
      </c>
      <c r="J218" s="244"/>
      <c r="K218" s="7">
        <f t="shared" si="41"/>
        <v>753490</v>
      </c>
      <c r="L218" s="6"/>
      <c r="M218" s="438">
        <f t="shared" si="42"/>
        <v>3.5975487120882164E-3</v>
      </c>
      <c r="N218" s="29"/>
      <c r="O218" s="29"/>
      <c r="P218" s="29"/>
      <c r="Q218" s="332">
        <f t="shared" si="43"/>
        <v>2701</v>
      </c>
      <c r="R218" s="6"/>
      <c r="S218" s="7">
        <f>33306+16182+4533</f>
        <v>54021</v>
      </c>
      <c r="T218" s="6"/>
      <c r="U218" s="243">
        <f t="shared" si="44"/>
        <v>7.1694382141766974E-2</v>
      </c>
      <c r="W218">
        <f t="shared" si="20"/>
        <v>208</v>
      </c>
      <c r="Y218" s="56"/>
    </row>
    <row r="219" spans="3:25" x14ac:dyDescent="0.3">
      <c r="C219" s="157">
        <f t="shared" si="15"/>
        <v>44118</v>
      </c>
      <c r="E219" s="241">
        <v>477940</v>
      </c>
      <c r="F219" s="7"/>
      <c r="G219" s="7">
        <v>216023</v>
      </c>
      <c r="H219" s="7"/>
      <c r="I219" s="7">
        <v>61861</v>
      </c>
      <c r="J219" s="244"/>
      <c r="K219" s="7">
        <f t="shared" si="41"/>
        <v>755824</v>
      </c>
      <c r="L219" s="6"/>
      <c r="M219" s="438">
        <f t="shared" si="42"/>
        <v>3.097585900277376E-3</v>
      </c>
      <c r="N219" s="29"/>
      <c r="O219" s="29"/>
      <c r="P219" s="29"/>
      <c r="Q219" s="332">
        <f t="shared" si="43"/>
        <v>2334</v>
      </c>
      <c r="R219" s="6"/>
      <c r="S219" s="7">
        <f>33316+16191+4537</f>
        <v>54044</v>
      </c>
      <c r="T219" s="6"/>
      <c r="U219" s="243">
        <f t="shared" si="44"/>
        <v>7.1503418785325679E-2</v>
      </c>
      <c r="W219">
        <f t="shared" si="20"/>
        <v>209</v>
      </c>
      <c r="Y219" s="56"/>
    </row>
    <row r="220" spans="3:25" x14ac:dyDescent="0.3">
      <c r="C220" s="157">
        <f t="shared" si="15"/>
        <v>44119</v>
      </c>
      <c r="E220" s="241">
        <v>479400</v>
      </c>
      <c r="F220" s="7"/>
      <c r="G220" s="7">
        <v>216994</v>
      </c>
      <c r="H220" s="7"/>
      <c r="I220" s="7">
        <v>62028</v>
      </c>
      <c r="J220" s="244"/>
      <c r="K220" s="7">
        <f t="shared" si="41"/>
        <v>758422</v>
      </c>
      <c r="L220" s="6"/>
      <c r="M220" s="438">
        <f t="shared" si="42"/>
        <v>3.4373081563961981E-3</v>
      </c>
      <c r="N220" s="29"/>
      <c r="O220" s="29"/>
      <c r="P220" s="29"/>
      <c r="Q220" s="332">
        <f t="shared" si="43"/>
        <v>2598</v>
      </c>
      <c r="R220" s="6"/>
      <c r="S220" s="7">
        <f>33316+16191+4537</f>
        <v>54044</v>
      </c>
      <c r="T220" s="6"/>
      <c r="U220" s="243">
        <f t="shared" si="44"/>
        <v>7.1258481425908002E-2</v>
      </c>
      <c r="W220">
        <f t="shared" si="20"/>
        <v>210</v>
      </c>
      <c r="Y220" s="56"/>
    </row>
    <row r="221" spans="3:25" x14ac:dyDescent="0.3">
      <c r="C221" s="157">
        <f t="shared" si="15"/>
        <v>44120</v>
      </c>
      <c r="E221" s="241">
        <v>481107</v>
      </c>
      <c r="F221" s="7"/>
      <c r="G221" s="7">
        <v>217804</v>
      </c>
      <c r="H221" s="7"/>
      <c r="I221" s="7">
        <v>62830</v>
      </c>
      <c r="J221" s="244"/>
      <c r="K221" s="7">
        <f t="shared" si="41"/>
        <v>761741</v>
      </c>
      <c r="L221" s="6"/>
      <c r="M221" s="438">
        <f t="shared" si="42"/>
        <v>4.3761916189140083E-3</v>
      </c>
      <c r="N221" s="29"/>
      <c r="O221" s="29"/>
      <c r="P221" s="29"/>
      <c r="Q221" s="332">
        <f t="shared" si="43"/>
        <v>3319</v>
      </c>
      <c r="R221" s="6"/>
      <c r="S221" s="7">
        <f>33337+16202+4542</f>
        <v>54081</v>
      </c>
      <c r="T221" s="6"/>
      <c r="U221" s="243">
        <f t="shared" si="44"/>
        <v>7.0996572325764271E-2</v>
      </c>
      <c r="W221">
        <f t="shared" si="20"/>
        <v>211</v>
      </c>
      <c r="Y221" s="56"/>
    </row>
    <row r="222" spans="3:25" x14ac:dyDescent="0.3">
      <c r="C222" s="157">
        <f t="shared" si="15"/>
        <v>44121</v>
      </c>
      <c r="E222" s="241">
        <v>482891</v>
      </c>
      <c r="F222" s="7"/>
      <c r="G222" s="7">
        <v>218738</v>
      </c>
      <c r="H222" s="7"/>
      <c r="I222" s="7">
        <v>62830</v>
      </c>
      <c r="J222" s="244"/>
      <c r="K222" s="7">
        <f t="shared" si="41"/>
        <v>764459</v>
      </c>
      <c r="L222" s="6"/>
      <c r="M222" s="438">
        <f t="shared" si="42"/>
        <v>3.5681419275055432E-3</v>
      </c>
      <c r="N222" s="29"/>
      <c r="O222" s="29"/>
      <c r="P222" s="29"/>
      <c r="Q222" s="332">
        <f t="shared" si="43"/>
        <v>2718</v>
      </c>
      <c r="R222" s="6"/>
      <c r="S222" s="7">
        <f>33347+16204+4542</f>
        <v>54093</v>
      </c>
      <c r="T222" s="6"/>
      <c r="U222" s="243">
        <f t="shared" si="44"/>
        <v>7.0759844543657677E-2</v>
      </c>
      <c r="W222">
        <f t="shared" si="20"/>
        <v>212</v>
      </c>
      <c r="Y222" s="56"/>
    </row>
    <row r="223" spans="3:25" x14ac:dyDescent="0.3">
      <c r="C223" s="157">
        <f t="shared" si="15"/>
        <v>44122</v>
      </c>
      <c r="E223" s="241">
        <v>484281</v>
      </c>
      <c r="F223" s="7"/>
      <c r="G223" s="7">
        <v>219647</v>
      </c>
      <c r="H223" s="7"/>
      <c r="I223" s="7">
        <v>62830</v>
      </c>
      <c r="J223" s="244"/>
      <c r="K223" s="7">
        <f t="shared" si="41"/>
        <v>766758</v>
      </c>
      <c r="L223" s="6"/>
      <c r="M223" s="438">
        <f t="shared" si="42"/>
        <v>3.0073555285502558E-3</v>
      </c>
      <c r="N223" s="29"/>
      <c r="O223" s="29"/>
      <c r="P223" s="29"/>
      <c r="Q223" s="332">
        <f t="shared" si="43"/>
        <v>2299</v>
      </c>
      <c r="R223" s="6"/>
      <c r="S223" s="7">
        <f>33357+16211+4542</f>
        <v>54110</v>
      </c>
      <c r="T223" s="6"/>
      <c r="U223" s="243">
        <f t="shared" si="44"/>
        <v>7.0569853852193262E-2</v>
      </c>
      <c r="W223">
        <f t="shared" si="20"/>
        <v>213</v>
      </c>
      <c r="Y223" s="56"/>
    </row>
    <row r="224" spans="3:25" x14ac:dyDescent="0.3">
      <c r="C224" s="157">
        <f t="shared" si="15"/>
        <v>44123</v>
      </c>
      <c r="E224" s="241">
        <v>485279</v>
      </c>
      <c r="F224" s="7"/>
      <c r="G224" s="7">
        <v>221205</v>
      </c>
      <c r="H224" s="7"/>
      <c r="I224" s="7">
        <v>64021</v>
      </c>
      <c r="J224" s="244"/>
      <c r="K224" s="7">
        <f t="shared" ref="K224:K230" si="45">SUM(E224:I224)</f>
        <v>770505</v>
      </c>
      <c r="L224" s="6"/>
      <c r="M224" s="438">
        <f t="shared" ref="M224:M230" si="46">+(K224-K223)/K223</f>
        <v>4.8868091366506775E-3</v>
      </c>
      <c r="N224" s="29"/>
      <c r="O224" s="29"/>
      <c r="P224" s="29"/>
      <c r="Q224" s="332">
        <f t="shared" ref="Q224:Q230" si="47">+K224-K223</f>
        <v>3747</v>
      </c>
      <c r="R224" s="6"/>
      <c r="S224" s="7">
        <f>33357+16211+4542</f>
        <v>54110</v>
      </c>
      <c r="T224" s="6"/>
      <c r="U224" s="243">
        <f t="shared" ref="U224:U230" si="48">+S224/K224</f>
        <v>7.0226669521936916E-2</v>
      </c>
      <c r="W224">
        <f t="shared" si="20"/>
        <v>214</v>
      </c>
      <c r="Y224" s="56"/>
    </row>
    <row r="225" spans="3:25" x14ac:dyDescent="0.3">
      <c r="C225" s="157">
        <f t="shared" si="15"/>
        <v>44124</v>
      </c>
      <c r="E225" s="241">
        <v>486480</v>
      </c>
      <c r="F225" s="7"/>
      <c r="G225" s="7">
        <v>222193</v>
      </c>
      <c r="H225" s="7"/>
      <c r="I225" s="7">
        <v>64455</v>
      </c>
      <c r="J225" s="244"/>
      <c r="K225" s="7">
        <f t="shared" si="45"/>
        <v>773128</v>
      </c>
      <c r="L225" s="6"/>
      <c r="M225" s="438">
        <f t="shared" si="46"/>
        <v>3.4042608419153674E-3</v>
      </c>
      <c r="N225" s="29"/>
      <c r="O225" s="29"/>
      <c r="P225" s="29"/>
      <c r="Q225" s="332">
        <f t="shared" si="47"/>
        <v>2623</v>
      </c>
      <c r="R225" s="6"/>
      <c r="S225" s="7">
        <f>33366+16227+4559</f>
        <v>54152</v>
      </c>
      <c r="T225" s="6"/>
      <c r="U225" s="243">
        <f t="shared" si="48"/>
        <v>7.0042735484939098E-2</v>
      </c>
      <c r="W225">
        <f t="shared" si="20"/>
        <v>215</v>
      </c>
      <c r="Y225" s="56"/>
    </row>
    <row r="226" spans="3:25" x14ac:dyDescent="0.3">
      <c r="C226" s="157">
        <f t="shared" si="15"/>
        <v>44125</v>
      </c>
      <c r="E226" s="241">
        <v>488506</v>
      </c>
      <c r="F226" s="7"/>
      <c r="G226" s="7">
        <v>223223</v>
      </c>
      <c r="H226" s="7"/>
      <c r="I226" s="7">
        <v>64871</v>
      </c>
      <c r="J226" s="244"/>
      <c r="K226" s="7">
        <f t="shared" si="45"/>
        <v>776600</v>
      </c>
      <c r="L226" s="6"/>
      <c r="M226" s="438">
        <f t="shared" si="46"/>
        <v>4.4908475698720004E-3</v>
      </c>
      <c r="N226" s="29"/>
      <c r="O226" s="29"/>
      <c r="P226" s="29"/>
      <c r="Q226" s="332">
        <f t="shared" si="47"/>
        <v>3472</v>
      </c>
      <c r="R226" s="6"/>
      <c r="S226" s="7">
        <f>33371+16245+4567</f>
        <v>54183</v>
      </c>
      <c r="T226" s="6"/>
      <c r="U226" s="243">
        <f t="shared" si="48"/>
        <v>6.9769508112284315E-2</v>
      </c>
      <c r="W226">
        <f t="shared" si="20"/>
        <v>216</v>
      </c>
      <c r="Y226" s="56"/>
    </row>
    <row r="227" spans="3:25" x14ac:dyDescent="0.3">
      <c r="C227" s="157">
        <f t="shared" si="15"/>
        <v>44126</v>
      </c>
      <c r="E227" s="241">
        <v>490134</v>
      </c>
      <c r="F227" s="7"/>
      <c r="G227" s="7">
        <v>224385</v>
      </c>
      <c r="H227" s="7"/>
      <c r="I227" s="7">
        <v>65373</v>
      </c>
      <c r="J227" s="244"/>
      <c r="K227" s="7">
        <f t="shared" si="45"/>
        <v>779892</v>
      </c>
      <c r="L227" s="6"/>
      <c r="M227" s="438">
        <f t="shared" si="46"/>
        <v>4.2389904712850889E-3</v>
      </c>
      <c r="N227" s="29"/>
      <c r="O227" s="29"/>
      <c r="P227" s="29"/>
      <c r="Q227" s="332">
        <f t="shared" si="47"/>
        <v>3292</v>
      </c>
      <c r="R227" s="6"/>
      <c r="S227" s="7">
        <f>33371+16245+4567</f>
        <v>54183</v>
      </c>
      <c r="T227" s="6"/>
      <c r="U227" s="243">
        <f t="shared" si="48"/>
        <v>6.9475004231355109E-2</v>
      </c>
      <c r="W227">
        <f t="shared" si="20"/>
        <v>217</v>
      </c>
      <c r="Y227" s="56"/>
    </row>
    <row r="228" spans="3:25" x14ac:dyDescent="0.3">
      <c r="C228" s="157">
        <f t="shared" si="15"/>
        <v>44127</v>
      </c>
      <c r="E228" s="241">
        <v>491771</v>
      </c>
      <c r="F228" s="7"/>
      <c r="G228" s="7">
        <v>225430</v>
      </c>
      <c r="H228" s="7"/>
      <c r="I228" s="7">
        <v>66052</v>
      </c>
      <c r="J228" s="244"/>
      <c r="K228" s="7">
        <f t="shared" si="45"/>
        <v>783253</v>
      </c>
      <c r="L228" s="6"/>
      <c r="M228" s="438">
        <f t="shared" si="46"/>
        <v>4.3095710688146561E-3</v>
      </c>
      <c r="N228" s="29"/>
      <c r="O228" s="29"/>
      <c r="P228" s="29"/>
      <c r="Q228" s="332">
        <f t="shared" si="47"/>
        <v>3361</v>
      </c>
      <c r="R228" s="6"/>
      <c r="S228" s="7">
        <f>33371+16245+4567</f>
        <v>54183</v>
      </c>
      <c r="T228" s="6"/>
      <c r="U228" s="243">
        <f t="shared" si="48"/>
        <v>6.917688154402217E-2</v>
      </c>
      <c r="W228">
        <f t="shared" si="20"/>
        <v>218</v>
      </c>
      <c r="Y228" s="56"/>
    </row>
    <row r="229" spans="3:25" x14ac:dyDescent="0.3">
      <c r="C229" s="157">
        <f t="shared" si="15"/>
        <v>44128</v>
      </c>
      <c r="E229" s="241">
        <v>493832</v>
      </c>
      <c r="F229" s="7"/>
      <c r="G229" s="7">
        <v>227339</v>
      </c>
      <c r="H229" s="7"/>
      <c r="I229" s="7">
        <v>66052</v>
      </c>
      <c r="J229" s="244"/>
      <c r="K229" s="7">
        <f t="shared" si="45"/>
        <v>787223</v>
      </c>
      <c r="L229" s="6"/>
      <c r="M229" s="438">
        <f t="shared" si="46"/>
        <v>5.0686049079926923E-3</v>
      </c>
      <c r="N229" s="29"/>
      <c r="O229" s="29"/>
      <c r="P229" s="29"/>
      <c r="Q229" s="332">
        <f t="shared" si="47"/>
        <v>3970</v>
      </c>
      <c r="R229" s="6"/>
      <c r="S229" s="7">
        <f>33418+16281+4577</f>
        <v>54276</v>
      </c>
      <c r="T229" s="6"/>
      <c r="U229" s="243">
        <f t="shared" si="48"/>
        <v>6.8946156298787004E-2</v>
      </c>
      <c r="W229">
        <f t="shared" si="20"/>
        <v>219</v>
      </c>
      <c r="Y229" s="56"/>
    </row>
    <row r="230" spans="3:25" x14ac:dyDescent="0.3">
      <c r="C230" s="157">
        <f t="shared" si="15"/>
        <v>44129</v>
      </c>
      <c r="E230" s="241">
        <v>495464</v>
      </c>
      <c r="F230" s="7"/>
      <c r="G230" s="7">
        <v>228468</v>
      </c>
      <c r="H230" s="7"/>
      <c r="I230" s="7">
        <v>66052</v>
      </c>
      <c r="J230" s="244"/>
      <c r="K230" s="7">
        <f t="shared" si="45"/>
        <v>789984</v>
      </c>
      <c r="L230" s="6"/>
      <c r="M230" s="438">
        <f t="shared" si="46"/>
        <v>3.5072654127229516E-3</v>
      </c>
      <c r="N230" s="29"/>
      <c r="O230" s="29"/>
      <c r="P230" s="29"/>
      <c r="Q230" s="332">
        <f t="shared" si="47"/>
        <v>2761</v>
      </c>
      <c r="R230" s="6"/>
      <c r="S230" s="7">
        <f>33422+16285+4577</f>
        <v>54284</v>
      </c>
      <c r="T230" s="6"/>
      <c r="U230" s="243">
        <f t="shared" si="48"/>
        <v>6.8715315753230449E-2</v>
      </c>
      <c r="W230">
        <f t="shared" si="20"/>
        <v>220</v>
      </c>
      <c r="Y230" s="56"/>
    </row>
    <row r="231" spans="3:25" x14ac:dyDescent="0.3">
      <c r="C231" s="157">
        <f t="shared" si="15"/>
        <v>44130</v>
      </c>
      <c r="E231" s="241">
        <v>496655</v>
      </c>
      <c r="F231" s="7"/>
      <c r="G231" s="7">
        <v>229684</v>
      </c>
      <c r="H231" s="7"/>
      <c r="I231" s="7">
        <v>68099</v>
      </c>
      <c r="J231" s="244"/>
      <c r="K231" s="7">
        <f t="shared" ref="K231:K262" si="49">SUM(E231:I231)</f>
        <v>794438</v>
      </c>
      <c r="L231" s="6"/>
      <c r="M231" s="438">
        <f t="shared" ref="M231:M262" si="50">+(K231-K230)/K230</f>
        <v>5.6380888726860288E-3</v>
      </c>
      <c r="N231" s="29"/>
      <c r="O231" s="29"/>
      <c r="P231" s="29"/>
      <c r="Q231" s="332">
        <f t="shared" ref="Q231:Q262" si="51">+K231-K230</f>
        <v>4454</v>
      </c>
      <c r="R231" s="6"/>
      <c r="S231" s="7">
        <f>33424+16292+4589</f>
        <v>54305</v>
      </c>
      <c r="T231" s="6"/>
      <c r="U231" s="243">
        <f t="shared" ref="U231:U262" si="52">+S231/K231</f>
        <v>6.8356498556212064E-2</v>
      </c>
      <c r="W231">
        <f t="shared" si="20"/>
        <v>221</v>
      </c>
      <c r="Y231" s="56"/>
    </row>
    <row r="232" spans="3:25" x14ac:dyDescent="0.3">
      <c r="C232" s="157">
        <f t="shared" si="15"/>
        <v>44131</v>
      </c>
      <c r="E232" s="241">
        <v>498646</v>
      </c>
      <c r="F232" s="7"/>
      <c r="G232" s="7">
        <v>231331</v>
      </c>
      <c r="H232" s="7"/>
      <c r="I232" s="7">
        <v>68637</v>
      </c>
      <c r="J232" s="244"/>
      <c r="K232" s="7">
        <f t="shared" si="49"/>
        <v>798614</v>
      </c>
      <c r="L232" s="6"/>
      <c r="M232" s="438">
        <f t="shared" si="50"/>
        <v>5.2565461370176151E-3</v>
      </c>
      <c r="N232" s="29"/>
      <c r="O232" s="29"/>
      <c r="P232" s="29"/>
      <c r="Q232" s="332">
        <f t="shared" si="51"/>
        <v>4176</v>
      </c>
      <c r="R232" s="6"/>
      <c r="S232" s="7">
        <f>33433+16306+4595</f>
        <v>54334</v>
      </c>
      <c r="T232" s="6"/>
      <c r="U232" s="243">
        <f t="shared" si="52"/>
        <v>6.8035371280743884E-2</v>
      </c>
      <c r="W232">
        <f t="shared" si="20"/>
        <v>222</v>
      </c>
      <c r="Y232" s="56"/>
    </row>
    <row r="233" spans="3:25" x14ac:dyDescent="0.3">
      <c r="C233" s="157">
        <f t="shared" si="15"/>
        <v>44132</v>
      </c>
      <c r="E233" s="241">
        <v>500677</v>
      </c>
      <c r="F233" s="7"/>
      <c r="G233" s="7">
        <v>232997</v>
      </c>
      <c r="H233" s="7"/>
      <c r="I233" s="7">
        <v>69127</v>
      </c>
      <c r="J233" s="244"/>
      <c r="K233" s="7">
        <f t="shared" si="49"/>
        <v>802801</v>
      </c>
      <c r="L233" s="6"/>
      <c r="M233" s="438">
        <f t="shared" si="50"/>
        <v>5.2428332085337846E-3</v>
      </c>
      <c r="N233" s="29"/>
      <c r="O233" s="29"/>
      <c r="P233" s="29"/>
      <c r="Q233" s="332">
        <f t="shared" si="51"/>
        <v>4187</v>
      </c>
      <c r="R233" s="6"/>
      <c r="S233" s="7">
        <f>33433+16306+4595</f>
        <v>54334</v>
      </c>
      <c r="T233" s="6"/>
      <c r="U233" s="243">
        <f t="shared" si="52"/>
        <v>6.768053353197119E-2</v>
      </c>
      <c r="W233">
        <f t="shared" si="20"/>
        <v>223</v>
      </c>
      <c r="Y233" s="56"/>
    </row>
    <row r="234" spans="3:25" x14ac:dyDescent="0.3">
      <c r="C234" s="157">
        <f t="shared" si="15"/>
        <v>44133</v>
      </c>
      <c r="E234" s="241">
        <v>503176</v>
      </c>
      <c r="F234" s="7"/>
      <c r="G234" s="7">
        <v>234547</v>
      </c>
      <c r="H234" s="7"/>
      <c r="I234" s="7">
        <v>70446</v>
      </c>
      <c r="J234" s="244"/>
      <c r="K234" s="7">
        <f t="shared" si="49"/>
        <v>808169</v>
      </c>
      <c r="L234" s="6"/>
      <c r="M234" s="438">
        <f t="shared" si="50"/>
        <v>6.686588581728224E-3</v>
      </c>
      <c r="N234" s="29"/>
      <c r="O234" s="29"/>
      <c r="P234" s="29"/>
      <c r="Q234" s="332">
        <f t="shared" si="51"/>
        <v>5368</v>
      </c>
      <c r="R234" s="6"/>
      <c r="S234" s="7">
        <f>33433+16306+4595</f>
        <v>54334</v>
      </c>
      <c r="T234" s="6"/>
      <c r="U234" s="243">
        <f t="shared" si="52"/>
        <v>6.723098757809319E-2</v>
      </c>
      <c r="W234">
        <f t="shared" si="20"/>
        <v>224</v>
      </c>
      <c r="Y234" s="56"/>
    </row>
    <row r="235" spans="3:25" x14ac:dyDescent="0.3">
      <c r="C235" s="157">
        <f t="shared" si="15"/>
        <v>44134</v>
      </c>
      <c r="E235" s="241">
        <v>505431</v>
      </c>
      <c r="F235" s="7"/>
      <c r="G235" s="7">
        <v>236523</v>
      </c>
      <c r="H235" s="7"/>
      <c r="I235" s="7">
        <v>71207</v>
      </c>
      <c r="J235" s="244"/>
      <c r="K235" s="7">
        <f t="shared" si="49"/>
        <v>813161</v>
      </c>
      <c r="L235" s="6"/>
      <c r="M235" s="438">
        <f t="shared" si="50"/>
        <v>6.1769258657533264E-3</v>
      </c>
      <c r="N235" s="29"/>
      <c r="O235" s="29"/>
      <c r="P235" s="29"/>
      <c r="Q235" s="332">
        <f t="shared" si="51"/>
        <v>4992</v>
      </c>
      <c r="R235" s="6"/>
      <c r="S235" s="7">
        <f>33506+16339+4616</f>
        <v>54461</v>
      </c>
      <c r="T235" s="6"/>
      <c r="U235" s="243">
        <f t="shared" si="52"/>
        <v>6.697443679664912E-2</v>
      </c>
      <c r="W235">
        <f t="shared" si="20"/>
        <v>225</v>
      </c>
      <c r="Y235" s="56"/>
    </row>
    <row r="236" spans="3:25" x14ac:dyDescent="0.3">
      <c r="C236" s="157">
        <f t="shared" si="15"/>
        <v>44135</v>
      </c>
      <c r="E236" s="241">
        <v>507543</v>
      </c>
      <c r="F236" s="7"/>
      <c r="G236" s="7">
        <v>237886</v>
      </c>
      <c r="H236" s="7"/>
      <c r="I236" s="7">
        <v>71207</v>
      </c>
      <c r="J236" s="244"/>
      <c r="K236" s="7">
        <f t="shared" si="49"/>
        <v>816636</v>
      </c>
      <c r="L236" s="6"/>
      <c r="M236" s="438">
        <f t="shared" si="50"/>
        <v>4.2734464638614E-3</v>
      </c>
      <c r="N236" s="29"/>
      <c r="O236" s="29"/>
      <c r="P236" s="29"/>
      <c r="Q236" s="332">
        <f t="shared" si="51"/>
        <v>3475</v>
      </c>
      <c r="R236" s="6"/>
      <c r="S236" s="7">
        <f>33511+16350+4616</f>
        <v>54477</v>
      </c>
      <c r="T236" s="6"/>
      <c r="U236" s="243">
        <f t="shared" si="52"/>
        <v>6.6709035604602299E-2</v>
      </c>
      <c r="W236">
        <f t="shared" si="20"/>
        <v>226</v>
      </c>
      <c r="Y236" s="56"/>
    </row>
    <row r="237" spans="3:25" x14ac:dyDescent="0.3">
      <c r="C237" s="157">
        <f t="shared" si="15"/>
        <v>44136</v>
      </c>
      <c r="E237" s="241">
        <v>509735</v>
      </c>
      <c r="F237" s="7"/>
      <c r="G237" s="7">
        <v>239629</v>
      </c>
      <c r="H237" s="7"/>
      <c r="I237" s="7">
        <v>71207</v>
      </c>
      <c r="J237" s="244"/>
      <c r="K237" s="7">
        <f t="shared" si="49"/>
        <v>820571</v>
      </c>
      <c r="L237" s="6"/>
      <c r="M237" s="438">
        <f t="shared" si="50"/>
        <v>4.8185482883438885E-3</v>
      </c>
      <c r="N237" s="29"/>
      <c r="O237" s="29"/>
      <c r="P237" s="29"/>
      <c r="Q237" s="332">
        <f t="shared" si="51"/>
        <v>3935</v>
      </c>
      <c r="R237" s="6"/>
      <c r="S237" s="7">
        <f>33535+16354+4616</f>
        <v>54505</v>
      </c>
      <c r="T237" s="6"/>
      <c r="U237" s="243">
        <f t="shared" si="52"/>
        <v>6.6423258925796799E-2</v>
      </c>
      <c r="W237">
        <f t="shared" si="20"/>
        <v>227</v>
      </c>
      <c r="Y237" s="56"/>
    </row>
    <row r="238" spans="3:25" x14ac:dyDescent="0.3">
      <c r="C238" s="157">
        <f t="shared" si="15"/>
        <v>44137</v>
      </c>
      <c r="E238" s="241">
        <v>511368</v>
      </c>
      <c r="F238" s="7"/>
      <c r="G238" s="7">
        <v>240997</v>
      </c>
      <c r="H238" s="7"/>
      <c r="I238" s="7">
        <v>73858</v>
      </c>
      <c r="J238" s="244"/>
      <c r="K238" s="7">
        <f t="shared" si="49"/>
        <v>826223</v>
      </c>
      <c r="L238" s="6"/>
      <c r="M238" s="438">
        <f t="shared" si="50"/>
        <v>6.8878866057903582E-3</v>
      </c>
      <c r="N238" s="29"/>
      <c r="O238" s="29"/>
      <c r="P238" s="29"/>
      <c r="Q238" s="332">
        <f t="shared" si="51"/>
        <v>5652</v>
      </c>
      <c r="R238" s="6"/>
      <c r="S238" s="7">
        <f>33535+16354+4616</f>
        <v>54505</v>
      </c>
      <c r="T238" s="6"/>
      <c r="U238" s="243">
        <f t="shared" si="52"/>
        <v>6.5968872810367174E-2</v>
      </c>
      <c r="W238">
        <f t="shared" si="20"/>
        <v>228</v>
      </c>
      <c r="Y238" s="56"/>
    </row>
    <row r="239" spans="3:25" x14ac:dyDescent="0.3">
      <c r="C239" s="157">
        <f t="shared" si="15"/>
        <v>44138</v>
      </c>
      <c r="E239" s="241">
        <v>513689</v>
      </c>
      <c r="F239" s="7"/>
      <c r="G239" s="7">
        <v>242825</v>
      </c>
      <c r="H239" s="7"/>
      <c r="I239" s="7">
        <v>74843</v>
      </c>
      <c r="J239" s="244"/>
      <c r="K239" s="7">
        <f t="shared" si="49"/>
        <v>831357</v>
      </c>
      <c r="L239" s="6"/>
      <c r="M239" s="438">
        <f t="shared" si="50"/>
        <v>6.2138187874217973E-3</v>
      </c>
      <c r="N239" s="29"/>
      <c r="O239" s="29"/>
      <c r="P239" s="29"/>
      <c r="Q239" s="332">
        <f t="shared" si="51"/>
        <v>5134</v>
      </c>
      <c r="R239" s="6"/>
      <c r="S239" s="7">
        <f>33543+16371+4635</f>
        <v>54549</v>
      </c>
      <c r="T239" s="6"/>
      <c r="U239" s="243">
        <f t="shared" si="52"/>
        <v>6.5614411137453588E-2</v>
      </c>
      <c r="W239">
        <f t="shared" si="20"/>
        <v>229</v>
      </c>
      <c r="Y239" s="56"/>
    </row>
    <row r="240" spans="3:25" x14ac:dyDescent="0.3">
      <c r="C240" s="157">
        <f t="shared" si="15"/>
        <v>44139</v>
      </c>
      <c r="E240" s="241">
        <v>513689</v>
      </c>
      <c r="F240" s="7"/>
      <c r="G240" s="7">
        <v>245257</v>
      </c>
      <c r="H240" s="7"/>
      <c r="I240" s="7">
        <v>75373</v>
      </c>
      <c r="J240" s="244"/>
      <c r="K240" s="7">
        <f t="shared" si="49"/>
        <v>834319</v>
      </c>
      <c r="L240" s="6"/>
      <c r="M240" s="438">
        <f t="shared" si="50"/>
        <v>3.5628496542399954E-3</v>
      </c>
      <c r="N240" s="29"/>
      <c r="O240" s="29"/>
      <c r="P240" s="29"/>
      <c r="Q240" s="332">
        <f t="shared" si="51"/>
        <v>2962</v>
      </c>
      <c r="R240" s="6"/>
      <c r="S240" s="7">
        <f>33556+16391+4645</f>
        <v>54592</v>
      </c>
      <c r="T240" s="6"/>
      <c r="U240" s="243">
        <f t="shared" si="52"/>
        <v>6.543300584069163E-2</v>
      </c>
      <c r="W240">
        <f t="shared" si="20"/>
        <v>230</v>
      </c>
      <c r="Y240" s="56"/>
    </row>
    <row r="241" spans="3:25" x14ac:dyDescent="0.3">
      <c r="C241" s="157">
        <f t="shared" si="15"/>
        <v>44140</v>
      </c>
      <c r="E241" s="241">
        <v>518812</v>
      </c>
      <c r="F241" s="7"/>
      <c r="G241" s="7">
        <v>247219</v>
      </c>
      <c r="H241" s="7"/>
      <c r="I241" s="7">
        <v>77060</v>
      </c>
      <c r="J241" s="244"/>
      <c r="K241" s="7">
        <f t="shared" si="49"/>
        <v>843091</v>
      </c>
      <c r="L241" s="6"/>
      <c r="M241" s="438">
        <f t="shared" si="50"/>
        <v>1.0513964083282293E-2</v>
      </c>
      <c r="N241" s="29"/>
      <c r="O241" s="29"/>
      <c r="P241" s="29"/>
      <c r="Q241" s="332">
        <f t="shared" si="51"/>
        <v>8772</v>
      </c>
      <c r="R241" s="6"/>
      <c r="S241" s="7">
        <f>33657+16403+4656</f>
        <v>54716</v>
      </c>
      <c r="T241" s="6"/>
      <c r="U241" s="243">
        <f t="shared" si="52"/>
        <v>6.4899281334992315E-2</v>
      </c>
      <c r="W241">
        <f t="shared" si="20"/>
        <v>231</v>
      </c>
      <c r="Y241" s="56"/>
    </row>
    <row r="242" spans="3:25" x14ac:dyDescent="0.3">
      <c r="C242" s="157">
        <f t="shared" si="15"/>
        <v>44141</v>
      </c>
      <c r="E242" s="241">
        <v>522021</v>
      </c>
      <c r="F242" s="7"/>
      <c r="G242" s="7">
        <v>249380</v>
      </c>
      <c r="H242" s="7"/>
      <c r="I242" s="7">
        <v>78125</v>
      </c>
      <c r="J242" s="244"/>
      <c r="K242" s="7">
        <f t="shared" si="49"/>
        <v>849526</v>
      </c>
      <c r="L242" s="6"/>
      <c r="M242" s="438">
        <f t="shared" si="50"/>
        <v>7.6326280318494682E-3</v>
      </c>
      <c r="N242" s="29"/>
      <c r="O242" s="29"/>
      <c r="P242" s="29"/>
      <c r="Q242" s="332">
        <f t="shared" si="51"/>
        <v>6435</v>
      </c>
      <c r="R242" s="6"/>
      <c r="S242" s="7">
        <f>33654+16416+4671</f>
        <v>54741</v>
      </c>
      <c r="T242" s="6"/>
      <c r="U242" s="243">
        <f t="shared" si="52"/>
        <v>6.4437109635255424E-2</v>
      </c>
      <c r="W242">
        <f t="shared" si="20"/>
        <v>232</v>
      </c>
      <c r="Y242" s="56"/>
    </row>
    <row r="243" spans="3:25" x14ac:dyDescent="0.3">
      <c r="C243" s="157">
        <f t="shared" si="15"/>
        <v>44142</v>
      </c>
      <c r="E243" s="241">
        <v>525608</v>
      </c>
      <c r="F243" s="7"/>
      <c r="G243" s="7">
        <v>252582</v>
      </c>
      <c r="H243" s="7"/>
      <c r="I243" s="7">
        <v>78125</v>
      </c>
      <c r="J243" s="244"/>
      <c r="K243" s="7">
        <f t="shared" si="49"/>
        <v>856315</v>
      </c>
      <c r="L243" s="6"/>
      <c r="M243" s="438">
        <f t="shared" si="50"/>
        <v>7.9915152685144427E-3</v>
      </c>
      <c r="N243" s="29"/>
      <c r="O243" s="29"/>
      <c r="P243" s="29"/>
      <c r="Q243" s="332">
        <f t="shared" si="51"/>
        <v>6789</v>
      </c>
      <c r="R243" s="6"/>
      <c r="S243" s="7">
        <f>33654+16416+4671</f>
        <v>54741</v>
      </c>
      <c r="T243" s="6"/>
      <c r="U243" s="243">
        <f t="shared" si="52"/>
        <v>6.3926242095490568E-2</v>
      </c>
      <c r="W243">
        <f t="shared" si="20"/>
        <v>233</v>
      </c>
      <c r="Y243" s="56"/>
    </row>
    <row r="244" spans="3:25" x14ac:dyDescent="0.3">
      <c r="C244" s="157">
        <f t="shared" si="15"/>
        <v>44143</v>
      </c>
      <c r="E244" s="241">
        <v>529036</v>
      </c>
      <c r="F244" s="7"/>
      <c r="G244" s="7">
        <v>254595</v>
      </c>
      <c r="H244" s="7"/>
      <c r="I244" s="7">
        <v>78125</v>
      </c>
      <c r="J244" s="244"/>
      <c r="K244" s="7">
        <f t="shared" si="49"/>
        <v>861756</v>
      </c>
      <c r="L244" s="6"/>
      <c r="M244" s="438">
        <f t="shared" si="50"/>
        <v>6.3539702095607338E-3</v>
      </c>
      <c r="N244" s="29"/>
      <c r="O244" s="29"/>
      <c r="P244" s="29"/>
      <c r="Q244" s="332">
        <f t="shared" si="51"/>
        <v>5441</v>
      </c>
      <c r="R244" s="6"/>
      <c r="S244" s="7">
        <f>33694+16429+4671</f>
        <v>54794</v>
      </c>
      <c r="T244" s="6"/>
      <c r="U244" s="243">
        <f t="shared" si="52"/>
        <v>6.3584123580224569E-2</v>
      </c>
      <c r="W244">
        <f t="shared" si="20"/>
        <v>234</v>
      </c>
      <c r="Y244" s="56"/>
    </row>
    <row r="245" spans="3:25" x14ac:dyDescent="0.3">
      <c r="C245" s="157">
        <f t="shared" si="15"/>
        <v>44144</v>
      </c>
      <c r="E245" s="241">
        <v>532180</v>
      </c>
      <c r="F245" s="7"/>
      <c r="G245" s="7">
        <v>256653</v>
      </c>
      <c r="H245" s="7"/>
      <c r="I245" s="7">
        <v>81432</v>
      </c>
      <c r="J245" s="244"/>
      <c r="K245" s="7">
        <f t="shared" si="49"/>
        <v>870265</v>
      </c>
      <c r="L245" s="6"/>
      <c r="M245" s="438">
        <f t="shared" si="50"/>
        <v>9.8740246659147143E-3</v>
      </c>
      <c r="N245" s="29"/>
      <c r="O245" s="29"/>
      <c r="P245" s="29"/>
      <c r="Q245" s="332">
        <f t="shared" si="51"/>
        <v>8509</v>
      </c>
      <c r="R245" s="6"/>
      <c r="S245" s="7">
        <f>33706+16440+4698</f>
        <v>54844</v>
      </c>
      <c r="T245" s="6"/>
      <c r="U245" s="243">
        <f t="shared" si="52"/>
        <v>6.301988474774925E-2</v>
      </c>
      <c r="W245">
        <f t="shared" si="20"/>
        <v>235</v>
      </c>
      <c r="Y245" s="56"/>
    </row>
    <row r="246" spans="3:25" x14ac:dyDescent="0.3">
      <c r="C246" s="157">
        <f t="shared" si="15"/>
        <v>44145</v>
      </c>
      <c r="E246" s="241">
        <v>532180</v>
      </c>
      <c r="F246" s="7"/>
      <c r="G246" s="7">
        <v>260430</v>
      </c>
      <c r="H246" s="7"/>
      <c r="I246" s="7">
        <v>82953</v>
      </c>
      <c r="J246" s="244"/>
      <c r="K246" s="7">
        <f t="shared" si="49"/>
        <v>875563</v>
      </c>
      <c r="L246" s="6"/>
      <c r="M246" s="438">
        <f t="shared" si="50"/>
        <v>6.0878008422721817E-3</v>
      </c>
      <c r="N246" s="29"/>
      <c r="O246" s="29"/>
      <c r="P246" s="29"/>
      <c r="Q246" s="332">
        <f t="shared" si="51"/>
        <v>5298</v>
      </c>
      <c r="R246" s="6"/>
      <c r="S246" s="7">
        <f>33706+16461+4707</f>
        <v>54874</v>
      </c>
      <c r="T246" s="6"/>
      <c r="U246" s="243">
        <f t="shared" si="52"/>
        <v>6.2672817375791348E-2</v>
      </c>
      <c r="W246">
        <f t="shared" si="20"/>
        <v>236</v>
      </c>
      <c r="Y246" s="56"/>
    </row>
    <row r="247" spans="3:25" x14ac:dyDescent="0.3">
      <c r="C247" s="157">
        <f t="shared" si="15"/>
        <v>44146</v>
      </c>
      <c r="E247" s="241">
        <v>540965</v>
      </c>
      <c r="F247" s="7"/>
      <c r="G247" s="7">
        <v>263495</v>
      </c>
      <c r="H247" s="7"/>
      <c r="I247" s="7">
        <v>84707</v>
      </c>
      <c r="J247" s="244"/>
      <c r="K247" s="7">
        <f t="shared" si="49"/>
        <v>889167</v>
      </c>
      <c r="L247" s="6"/>
      <c r="M247" s="438">
        <f t="shared" si="50"/>
        <v>1.553743134417512E-2</v>
      </c>
      <c r="N247" s="29"/>
      <c r="O247" s="29"/>
      <c r="P247" s="29"/>
      <c r="Q247" s="332">
        <f t="shared" si="51"/>
        <v>13604</v>
      </c>
      <c r="R247" s="6"/>
      <c r="S247" s="7">
        <f>33716+16476+4716</f>
        <v>54908</v>
      </c>
      <c r="T247" s="6"/>
      <c r="U247" s="243">
        <f t="shared" si="52"/>
        <v>6.1752179286905608E-2</v>
      </c>
      <c r="W247">
        <f t="shared" si="20"/>
        <v>237</v>
      </c>
      <c r="Y247" s="56"/>
    </row>
    <row r="248" spans="3:25" x14ac:dyDescent="0.3">
      <c r="C248" s="157">
        <f t="shared" si="15"/>
        <v>44147</v>
      </c>
      <c r="E248" s="241">
        <v>545762</v>
      </c>
      <c r="F248" s="7"/>
      <c r="G248" s="7">
        <v>266986</v>
      </c>
      <c r="H248" s="7"/>
      <c r="I248" s="7">
        <v>85899</v>
      </c>
      <c r="J248" s="244"/>
      <c r="K248" s="7">
        <f t="shared" si="49"/>
        <v>898647</v>
      </c>
      <c r="L248" s="6"/>
      <c r="M248" s="438">
        <f t="shared" si="50"/>
        <v>1.0661664231803475E-2</v>
      </c>
      <c r="N248" s="29"/>
      <c r="O248" s="29"/>
      <c r="P248" s="29"/>
      <c r="Q248" s="332">
        <f t="shared" si="51"/>
        <v>9480</v>
      </c>
      <c r="R248" s="6"/>
      <c r="S248" s="7">
        <f>33741+16495+4726</f>
        <v>54962</v>
      </c>
      <c r="T248" s="6"/>
      <c r="U248" s="243">
        <f t="shared" si="52"/>
        <v>6.1160834009349609E-2</v>
      </c>
      <c r="W248">
        <f t="shared" si="20"/>
        <v>238</v>
      </c>
      <c r="Y248" s="56"/>
    </row>
    <row r="249" spans="3:25" x14ac:dyDescent="0.3">
      <c r="C249" s="157">
        <f t="shared" si="15"/>
        <v>44148</v>
      </c>
      <c r="E249" s="241">
        <v>545762</v>
      </c>
      <c r="F249" s="7"/>
      <c r="G249" s="7">
        <v>270383</v>
      </c>
      <c r="H249" s="7"/>
      <c r="I249" s="7">
        <v>88645</v>
      </c>
      <c r="J249" s="244"/>
      <c r="K249" s="7">
        <f t="shared" si="49"/>
        <v>904790</v>
      </c>
      <c r="L249" s="6"/>
      <c r="M249" s="438">
        <f t="shared" si="50"/>
        <v>6.8358320897972174E-3</v>
      </c>
      <c r="N249" s="29"/>
      <c r="O249" s="29"/>
      <c r="P249" s="29"/>
      <c r="Q249" s="332">
        <f t="shared" si="51"/>
        <v>6143</v>
      </c>
      <c r="R249" s="6"/>
      <c r="S249" s="7">
        <f>33993+16522+4737</f>
        <v>55252</v>
      </c>
      <c r="T249" s="6"/>
      <c r="U249" s="243">
        <f t="shared" si="52"/>
        <v>6.1066103736778697E-2</v>
      </c>
      <c r="W249">
        <f t="shared" si="20"/>
        <v>239</v>
      </c>
      <c r="Y249" s="56"/>
    </row>
    <row r="250" spans="3:25" x14ac:dyDescent="0.3">
      <c r="C250" s="157">
        <f t="shared" si="15"/>
        <v>44149</v>
      </c>
      <c r="E250" s="241">
        <v>556551</v>
      </c>
      <c r="F250" s="7"/>
      <c r="G250" s="7">
        <v>274736</v>
      </c>
      <c r="H250" s="7"/>
      <c r="I250" s="7">
        <v>88645</v>
      </c>
      <c r="J250" s="244"/>
      <c r="K250" s="7">
        <f t="shared" si="49"/>
        <v>919932</v>
      </c>
      <c r="L250" s="6"/>
      <c r="M250" s="438">
        <f t="shared" si="50"/>
        <v>1.673537505940605E-2</v>
      </c>
      <c r="N250" s="29"/>
      <c r="O250" s="29"/>
      <c r="P250" s="29"/>
      <c r="Q250" s="332">
        <f t="shared" si="51"/>
        <v>15142</v>
      </c>
      <c r="R250" s="6"/>
      <c r="S250" s="7">
        <f>33993+16522+4737</f>
        <v>55252</v>
      </c>
      <c r="T250" s="6"/>
      <c r="U250" s="243">
        <f t="shared" si="52"/>
        <v>6.0060961027554212E-2</v>
      </c>
      <c r="W250">
        <f t="shared" si="20"/>
        <v>240</v>
      </c>
      <c r="Y250" s="56"/>
    </row>
    <row r="251" spans="3:25" x14ac:dyDescent="0.3">
      <c r="C251" s="157">
        <f t="shared" si="15"/>
        <v>44150</v>
      </c>
      <c r="E251" s="241">
        <v>563690</v>
      </c>
      <c r="F251" s="7"/>
      <c r="G251" s="7">
        <v>281493</v>
      </c>
      <c r="H251" s="7"/>
      <c r="I251" s="7">
        <v>93284</v>
      </c>
      <c r="J251" s="244"/>
      <c r="K251" s="7">
        <f t="shared" si="49"/>
        <v>938467</v>
      </c>
      <c r="L251" s="6"/>
      <c r="M251" s="438">
        <f t="shared" si="50"/>
        <v>2.0148228347312627E-2</v>
      </c>
      <c r="N251" s="29"/>
      <c r="O251" s="29"/>
      <c r="P251" s="29"/>
      <c r="Q251" s="332">
        <f t="shared" si="51"/>
        <v>18535</v>
      </c>
      <c r="R251" s="6"/>
      <c r="S251" s="7">
        <f>34054+16580+4759</f>
        <v>55393</v>
      </c>
      <c r="T251" s="6"/>
      <c r="U251" s="243">
        <f t="shared" si="52"/>
        <v>5.9024984362795921E-2</v>
      </c>
      <c r="W251">
        <f t="shared" si="20"/>
        <v>241</v>
      </c>
      <c r="Y251" s="56"/>
    </row>
    <row r="252" spans="3:25" x14ac:dyDescent="0.3">
      <c r="C252" s="157">
        <f t="shared" si="15"/>
        <v>44151</v>
      </c>
      <c r="E252" s="241">
        <v>568778</v>
      </c>
      <c r="F252" s="7"/>
      <c r="G252" s="7">
        <v>285519</v>
      </c>
      <c r="H252" s="7"/>
      <c r="I252" s="7">
        <v>94986</v>
      </c>
      <c r="J252" s="244"/>
      <c r="K252" s="7">
        <f t="shared" si="49"/>
        <v>949283</v>
      </c>
      <c r="L252" s="6"/>
      <c r="M252" s="438">
        <f t="shared" si="50"/>
        <v>1.1525178828877308E-2</v>
      </c>
      <c r="N252" s="29"/>
      <c r="O252" s="29"/>
      <c r="P252" s="29"/>
      <c r="Q252" s="332">
        <f t="shared" si="51"/>
        <v>10816</v>
      </c>
      <c r="R252" s="6"/>
      <c r="S252" s="7">
        <f>34076+16618+4771</f>
        <v>55465</v>
      </c>
      <c r="T252" s="6"/>
      <c r="U252" s="243">
        <f t="shared" si="52"/>
        <v>5.8428308523380275E-2</v>
      </c>
      <c r="W252">
        <f t="shared" si="20"/>
        <v>242</v>
      </c>
      <c r="Y252" s="56"/>
    </row>
    <row r="253" spans="3:25" x14ac:dyDescent="0.3">
      <c r="C253" s="157">
        <f t="shared" si="15"/>
        <v>44152</v>
      </c>
      <c r="E253" s="241">
        <v>574072</v>
      </c>
      <c r="F253" s="7"/>
      <c r="G253" s="7">
        <v>289562</v>
      </c>
      <c r="H253" s="7"/>
      <c r="I253" s="7">
        <v>97028</v>
      </c>
      <c r="J253" s="244"/>
      <c r="K253" s="7">
        <f t="shared" si="49"/>
        <v>960662</v>
      </c>
      <c r="L253" s="6"/>
      <c r="M253" s="438">
        <f t="shared" si="50"/>
        <v>1.1986941723384912E-2</v>
      </c>
      <c r="N253" s="29"/>
      <c r="O253" s="29"/>
      <c r="P253" s="29"/>
      <c r="Q253" s="332">
        <f t="shared" si="51"/>
        <v>11379</v>
      </c>
      <c r="R253" s="6"/>
      <c r="S253" s="7">
        <f>34076+16618+4771</f>
        <v>55465</v>
      </c>
      <c r="T253" s="6"/>
      <c r="U253" s="243">
        <f t="shared" si="52"/>
        <v>5.7736227726297072E-2</v>
      </c>
      <c r="W253">
        <f t="shared" si="20"/>
        <v>243</v>
      </c>
      <c r="Y253" s="56"/>
    </row>
    <row r="254" spans="3:25" x14ac:dyDescent="0.3">
      <c r="C254" s="157">
        <f t="shared" si="15"/>
        <v>44153</v>
      </c>
      <c r="E254" s="241">
        <v>574072</v>
      </c>
      <c r="F254" s="7"/>
      <c r="G254" s="7">
        <v>289562</v>
      </c>
      <c r="H254" s="7"/>
      <c r="I254" s="7">
        <v>97028</v>
      </c>
      <c r="J254" s="244"/>
      <c r="K254" s="7">
        <f t="shared" si="49"/>
        <v>960662</v>
      </c>
      <c r="L254" s="6"/>
      <c r="M254" s="438">
        <f t="shared" si="50"/>
        <v>0</v>
      </c>
      <c r="N254" s="29"/>
      <c r="O254" s="29"/>
      <c r="P254" s="29"/>
      <c r="Q254" s="332">
        <f t="shared" si="51"/>
        <v>0</v>
      </c>
      <c r="R254" s="6"/>
      <c r="S254" s="7">
        <f>34076+16618+4771</f>
        <v>55465</v>
      </c>
      <c r="T254" s="6"/>
      <c r="U254" s="243">
        <f t="shared" si="52"/>
        <v>5.7736227726297072E-2</v>
      </c>
      <c r="W254">
        <f t="shared" si="20"/>
        <v>244</v>
      </c>
      <c r="Y254" s="56"/>
    </row>
    <row r="255" spans="3:25" x14ac:dyDescent="0.3">
      <c r="C255" s="157">
        <f t="shared" si="15"/>
        <v>44154</v>
      </c>
      <c r="E255" s="241">
        <v>579382</v>
      </c>
      <c r="F255" s="7"/>
      <c r="G255" s="7">
        <v>293744</v>
      </c>
      <c r="H255" s="7"/>
      <c r="I255" s="7">
        <v>99381</v>
      </c>
      <c r="J255" s="244"/>
      <c r="K255" s="7">
        <f t="shared" si="49"/>
        <v>972507</v>
      </c>
      <c r="L255" s="6"/>
      <c r="M255" s="438">
        <f t="shared" si="50"/>
        <v>1.2330039077219667E-2</v>
      </c>
      <c r="N255" s="29"/>
      <c r="O255" s="29"/>
      <c r="P255" s="29"/>
      <c r="Q255" s="332">
        <f t="shared" si="51"/>
        <v>11845</v>
      </c>
      <c r="R255" s="6"/>
      <c r="S255" s="7">
        <f>34076+16618+4771</f>
        <v>55465</v>
      </c>
      <c r="T255" s="6"/>
      <c r="U255" s="243">
        <f t="shared" si="52"/>
        <v>5.7033008502766561E-2</v>
      </c>
      <c r="W255">
        <f t="shared" si="20"/>
        <v>245</v>
      </c>
      <c r="Y255" s="56"/>
    </row>
    <row r="256" spans="3:25" x14ac:dyDescent="0.3">
      <c r="C256" s="157">
        <f t="shared" si="15"/>
        <v>44155</v>
      </c>
      <c r="E256" s="241">
        <v>584850</v>
      </c>
      <c r="F256" s="7"/>
      <c r="G256" s="7">
        <v>297370</v>
      </c>
      <c r="H256" s="7"/>
      <c r="I256" s="7">
        <v>101469</v>
      </c>
      <c r="J256" s="244"/>
      <c r="K256" s="7">
        <f t="shared" si="49"/>
        <v>983689</v>
      </c>
      <c r="L256" s="6"/>
      <c r="M256" s="438">
        <f t="shared" si="50"/>
        <v>1.1498117751337522E-2</v>
      </c>
      <c r="N256" s="29"/>
      <c r="O256" s="29"/>
      <c r="P256" s="29"/>
      <c r="Q256" s="332">
        <f t="shared" si="51"/>
        <v>11182</v>
      </c>
      <c r="R256" s="6"/>
      <c r="S256" s="7">
        <f>34252+16712+4828</f>
        <v>55792</v>
      </c>
      <c r="T256" s="6"/>
      <c r="U256" s="243">
        <f t="shared" si="52"/>
        <v>5.671711282732652E-2</v>
      </c>
      <c r="W256">
        <f t="shared" si="20"/>
        <v>246</v>
      </c>
      <c r="Y256" s="56"/>
    </row>
    <row r="257" spans="3:25" x14ac:dyDescent="0.3">
      <c r="C257" s="157">
        <f t="shared" si="15"/>
        <v>44156</v>
      </c>
      <c r="E257" s="241">
        <v>590823</v>
      </c>
      <c r="F257" s="7"/>
      <c r="G257" s="7">
        <v>302039</v>
      </c>
      <c r="H257" s="7"/>
      <c r="I257" s="7">
        <v>101469</v>
      </c>
      <c r="J257" s="244"/>
      <c r="K257" s="7">
        <f t="shared" si="49"/>
        <v>994331</v>
      </c>
      <c r="L257" s="6"/>
      <c r="M257" s="438">
        <f t="shared" si="50"/>
        <v>1.081845989941943E-2</v>
      </c>
      <c r="N257" s="29"/>
      <c r="O257" s="29"/>
      <c r="P257" s="29"/>
      <c r="Q257" s="332">
        <f t="shared" si="51"/>
        <v>10642</v>
      </c>
      <c r="R257" s="6"/>
      <c r="S257" s="7">
        <f>34287+16746+4828</f>
        <v>55861</v>
      </c>
      <c r="T257" s="6"/>
      <c r="U257" s="243">
        <f t="shared" si="52"/>
        <v>5.6179481480513029E-2</v>
      </c>
      <c r="W257">
        <f t="shared" si="20"/>
        <v>247</v>
      </c>
      <c r="Y257" s="56"/>
    </row>
    <row r="258" spans="3:25" x14ac:dyDescent="0.3">
      <c r="C258" s="157">
        <f t="shared" si="15"/>
        <v>44157</v>
      </c>
      <c r="E258" s="241">
        <v>596214</v>
      </c>
      <c r="F258" s="7"/>
      <c r="G258" s="7">
        <v>313358</v>
      </c>
      <c r="H258" s="7"/>
      <c r="I258" s="7">
        <v>101469</v>
      </c>
      <c r="J258" s="244"/>
      <c r="K258" s="7">
        <f t="shared" si="49"/>
        <v>1011041</v>
      </c>
      <c r="L258" s="6"/>
      <c r="M258" s="438">
        <f t="shared" si="50"/>
        <v>1.6805269070359868E-2</v>
      </c>
      <c r="N258" s="29"/>
      <c r="O258" s="29"/>
      <c r="P258" s="29"/>
      <c r="Q258" s="332">
        <f t="shared" si="51"/>
        <v>16710</v>
      </c>
      <c r="R258" s="6"/>
      <c r="S258" s="7">
        <f>34319+16761+4828</f>
        <v>55908</v>
      </c>
      <c r="T258" s="6"/>
      <c r="U258" s="243">
        <f t="shared" si="52"/>
        <v>5.5297460736013673E-2</v>
      </c>
      <c r="W258">
        <f t="shared" si="20"/>
        <v>248</v>
      </c>
      <c r="Y258" s="56"/>
    </row>
    <row r="259" spans="3:25" x14ac:dyDescent="0.3">
      <c r="C259" s="157">
        <f t="shared" si="15"/>
        <v>44158</v>
      </c>
      <c r="E259" s="241">
        <v>602120</v>
      </c>
      <c r="F259" s="7"/>
      <c r="G259" s="7">
        <v>309588</v>
      </c>
      <c r="H259" s="7"/>
      <c r="I259" s="7">
        <v>106740</v>
      </c>
      <c r="J259" s="244"/>
      <c r="K259" s="7">
        <f t="shared" si="49"/>
        <v>1018448</v>
      </c>
      <c r="L259" s="6"/>
      <c r="M259" s="438">
        <f t="shared" si="50"/>
        <v>7.3261123930681345E-3</v>
      </c>
      <c r="N259" s="29"/>
      <c r="O259" s="29"/>
      <c r="P259" s="29"/>
      <c r="Q259" s="332">
        <f t="shared" si="51"/>
        <v>7407</v>
      </c>
      <c r="R259" s="6"/>
      <c r="S259" s="7">
        <f>34339+16772+4871</f>
        <v>55982</v>
      </c>
      <c r="T259" s="6"/>
      <c r="U259" s="243">
        <f t="shared" si="52"/>
        <v>5.496795123560555E-2</v>
      </c>
      <c r="W259">
        <f t="shared" si="20"/>
        <v>249</v>
      </c>
      <c r="Y259" s="56"/>
    </row>
    <row r="260" spans="3:25" x14ac:dyDescent="0.3">
      <c r="C260" s="157">
        <f t="shared" si="15"/>
        <v>44159</v>
      </c>
      <c r="E260" s="241">
        <v>607001</v>
      </c>
      <c r="F260" s="7"/>
      <c r="G260" s="7">
        <v>313863</v>
      </c>
      <c r="H260" s="7"/>
      <c r="I260" s="7">
        <v>107280</v>
      </c>
      <c r="J260" s="244"/>
      <c r="K260" s="7">
        <f t="shared" si="49"/>
        <v>1028144</v>
      </c>
      <c r="L260" s="6"/>
      <c r="M260" s="438">
        <f t="shared" si="50"/>
        <v>9.5203682465869639E-3</v>
      </c>
      <c r="N260" s="29"/>
      <c r="O260" s="29"/>
      <c r="P260" s="29"/>
      <c r="Q260" s="332">
        <f t="shared" si="51"/>
        <v>9696</v>
      </c>
      <c r="R260" s="6"/>
      <c r="S260" s="7">
        <f>34339+16772+4871</f>
        <v>55982</v>
      </c>
      <c r="T260" s="6"/>
      <c r="U260" s="243">
        <f t="shared" si="52"/>
        <v>5.4449571266281763E-2</v>
      </c>
      <c r="W260">
        <f t="shared" si="20"/>
        <v>250</v>
      </c>
      <c r="Y260" s="56"/>
    </row>
    <row r="261" spans="3:25" x14ac:dyDescent="0.3">
      <c r="C261" s="157">
        <f t="shared" si="15"/>
        <v>44160</v>
      </c>
      <c r="E261" s="241">
        <v>613266</v>
      </c>
      <c r="F261" s="7"/>
      <c r="G261" s="7">
        <v>317905</v>
      </c>
      <c r="H261" s="7"/>
      <c r="I261" s="7">
        <v>109152</v>
      </c>
      <c r="J261" s="244"/>
      <c r="K261" s="7">
        <f t="shared" si="49"/>
        <v>1040323</v>
      </c>
      <c r="L261" s="6"/>
      <c r="M261" s="438">
        <f t="shared" si="50"/>
        <v>1.1845616956379651E-2</v>
      </c>
      <c r="N261" s="29"/>
      <c r="O261" s="29"/>
      <c r="P261" s="29"/>
      <c r="Q261" s="332">
        <f t="shared" si="51"/>
        <v>12179</v>
      </c>
      <c r="R261" s="6"/>
      <c r="S261" s="7">
        <f>34388+16886+4926</f>
        <v>56200</v>
      </c>
      <c r="T261" s="6"/>
      <c r="U261" s="243">
        <f t="shared" si="52"/>
        <v>5.4021683650174034E-2</v>
      </c>
      <c r="W261">
        <f t="shared" si="20"/>
        <v>251</v>
      </c>
      <c r="Y261" s="56"/>
    </row>
    <row r="262" spans="3:25" x14ac:dyDescent="0.3">
      <c r="C262" s="157">
        <f t="shared" si="15"/>
        <v>44161</v>
      </c>
      <c r="E262" s="241">
        <v>620199</v>
      </c>
      <c r="F262" s="7"/>
      <c r="G262" s="7">
        <v>322378</v>
      </c>
      <c r="H262" s="7"/>
      <c r="I262" s="7">
        <v>109152</v>
      </c>
      <c r="J262" s="244"/>
      <c r="K262" s="7">
        <f t="shared" si="49"/>
        <v>1051729</v>
      </c>
      <c r="L262" s="6"/>
      <c r="M262" s="438">
        <f t="shared" si="50"/>
        <v>1.0963902557186565E-2</v>
      </c>
      <c r="N262" s="29"/>
      <c r="O262" s="29"/>
      <c r="P262" s="29"/>
      <c r="Q262" s="332">
        <f t="shared" si="51"/>
        <v>11406</v>
      </c>
      <c r="R262" s="6"/>
      <c r="S262" s="7">
        <f>34443+16925+4926</f>
        <v>56294</v>
      </c>
      <c r="T262" s="6"/>
      <c r="U262" s="243">
        <f t="shared" si="52"/>
        <v>5.3525195178605899E-2</v>
      </c>
      <c r="W262">
        <f t="shared" si="20"/>
        <v>252</v>
      </c>
      <c r="Y262" s="56"/>
    </row>
    <row r="263" spans="3:25" x14ac:dyDescent="0.3">
      <c r="C263" s="157">
        <f t="shared" si="15"/>
        <v>44162</v>
      </c>
      <c r="E263" s="241">
        <v>628375</v>
      </c>
      <c r="F263" s="7"/>
      <c r="G263" s="7">
        <v>326473</v>
      </c>
      <c r="H263" s="7"/>
      <c r="I263" s="7">
        <v>112581</v>
      </c>
      <c r="J263" s="244"/>
      <c r="K263" s="7">
        <f t="shared" ref="K263:K294" si="53">SUM(E263:I263)</f>
        <v>1067429</v>
      </c>
      <c r="L263" s="6"/>
      <c r="M263" s="438">
        <f t="shared" ref="M263:M294" si="54">+(K263-K262)/K262</f>
        <v>1.4927799841974501E-2</v>
      </c>
      <c r="N263" s="29"/>
      <c r="O263" s="29"/>
      <c r="P263" s="29"/>
      <c r="Q263" s="332">
        <f t="shared" ref="Q263:Q294" si="55">+K263-K262</f>
        <v>15700</v>
      </c>
      <c r="R263" s="6"/>
      <c r="S263" s="7">
        <f>34443+16925+4926</f>
        <v>56294</v>
      </c>
      <c r="T263" s="6"/>
      <c r="U263" s="243">
        <f t="shared" ref="U263:U294" si="56">+S263/K263</f>
        <v>5.2737933857895936E-2</v>
      </c>
      <c r="W263">
        <f t="shared" si="20"/>
        <v>253</v>
      </c>
      <c r="Y263" s="56"/>
    </row>
    <row r="264" spans="3:25" x14ac:dyDescent="0.3">
      <c r="C264" s="157">
        <f t="shared" si="15"/>
        <v>44163</v>
      </c>
      <c r="E264" s="241">
        <v>634438</v>
      </c>
      <c r="F264" s="7"/>
      <c r="G264" s="7">
        <v>329553</v>
      </c>
      <c r="H264" s="7"/>
      <c r="I264" s="7">
        <v>112581</v>
      </c>
      <c r="J264" s="244"/>
      <c r="K264" s="7">
        <f t="shared" si="53"/>
        <v>1076572</v>
      </c>
      <c r="L264" s="6"/>
      <c r="M264" s="438">
        <f t="shared" si="54"/>
        <v>8.5654408864664529E-3</v>
      </c>
      <c r="N264" s="29"/>
      <c r="O264" s="29"/>
      <c r="P264" s="29"/>
      <c r="Q264" s="332">
        <f t="shared" si="55"/>
        <v>9143</v>
      </c>
      <c r="R264" s="6"/>
      <c r="S264" s="7">
        <f>34443+16925+4926</f>
        <v>56294</v>
      </c>
      <c r="T264" s="6"/>
      <c r="U264" s="243">
        <f t="shared" si="56"/>
        <v>5.2290046555176987E-2</v>
      </c>
      <c r="W264">
        <f t="shared" si="20"/>
        <v>254</v>
      </c>
      <c r="Y264" s="56"/>
    </row>
    <row r="265" spans="3:25" x14ac:dyDescent="0.3">
      <c r="C265" s="157">
        <f t="shared" si="15"/>
        <v>44164</v>
      </c>
      <c r="E265" s="241">
        <v>641161</v>
      </c>
      <c r="F265" s="7"/>
      <c r="G265" s="7">
        <v>334114</v>
      </c>
      <c r="H265" s="7"/>
      <c r="I265" s="7">
        <v>112581</v>
      </c>
      <c r="J265" s="244"/>
      <c r="K265" s="7">
        <f t="shared" si="53"/>
        <v>1087856</v>
      </c>
      <c r="L265" s="6"/>
      <c r="M265" s="438">
        <f t="shared" si="54"/>
        <v>1.0481416941923068E-2</v>
      </c>
      <c r="N265" s="29"/>
      <c r="O265" s="29"/>
      <c r="P265" s="29"/>
      <c r="Q265" s="332">
        <f t="shared" si="55"/>
        <v>11284</v>
      </c>
      <c r="R265" s="6"/>
      <c r="S265" s="7">
        <f>34561+16978+4961</f>
        <v>56500</v>
      </c>
      <c r="T265" s="6"/>
      <c r="U265" s="243">
        <f t="shared" si="56"/>
        <v>5.1937021076318923E-2</v>
      </c>
      <c r="W265">
        <f t="shared" si="20"/>
        <v>255</v>
      </c>
      <c r="Y265" s="56"/>
    </row>
    <row r="266" spans="3:25" x14ac:dyDescent="0.3">
      <c r="C266" s="157">
        <f t="shared" si="15"/>
        <v>44165</v>
      </c>
      <c r="E266" s="241">
        <v>647980</v>
      </c>
      <c r="F266" s="7"/>
      <c r="G266" s="7">
        <v>337304</v>
      </c>
      <c r="H266" s="7"/>
      <c r="I266" s="7">
        <v>117295</v>
      </c>
      <c r="J266" s="244"/>
      <c r="K266" s="7">
        <f t="shared" si="53"/>
        <v>1102579</v>
      </c>
      <c r="L266" s="6"/>
      <c r="M266" s="438">
        <f t="shared" si="54"/>
        <v>1.3533960377108734E-2</v>
      </c>
      <c r="N266" s="29"/>
      <c r="O266" s="29"/>
      <c r="P266" s="29"/>
      <c r="Q266" s="332">
        <f t="shared" si="55"/>
        <v>14723</v>
      </c>
      <c r="R266" s="6"/>
      <c r="S266" s="7">
        <f>34605+16993+5020</f>
        <v>56618</v>
      </c>
      <c r="T266" s="6"/>
      <c r="U266" s="243">
        <f t="shared" si="56"/>
        <v>5.1350515473267674E-2</v>
      </c>
      <c r="W266">
        <f t="shared" si="20"/>
        <v>256</v>
      </c>
      <c r="Y266" s="56"/>
    </row>
    <row r="267" spans="3:25" x14ac:dyDescent="0.3">
      <c r="C267" s="157">
        <f t="shared" si="15"/>
        <v>44166</v>
      </c>
      <c r="E267" s="241">
        <v>655265</v>
      </c>
      <c r="F267" s="7"/>
      <c r="G267" s="7">
        <v>341910</v>
      </c>
      <c r="H267" s="7"/>
      <c r="I267" s="7">
        <v>118754</v>
      </c>
      <c r="J267" s="244"/>
      <c r="K267" s="7">
        <f t="shared" si="53"/>
        <v>1115929</v>
      </c>
      <c r="L267" s="6"/>
      <c r="M267" s="438">
        <f t="shared" si="54"/>
        <v>1.2107975936418162E-2</v>
      </c>
      <c r="N267" s="29"/>
      <c r="O267" s="29"/>
      <c r="P267" s="29"/>
      <c r="Q267" s="332">
        <f t="shared" si="55"/>
        <v>13350</v>
      </c>
      <c r="R267" s="6"/>
      <c r="S267" s="7">
        <f>34662+17083+5040</f>
        <v>56785</v>
      </c>
      <c r="T267" s="6"/>
      <c r="U267" s="243">
        <f t="shared" si="56"/>
        <v>5.0885853849124807E-2</v>
      </c>
      <c r="W267">
        <f t="shared" si="20"/>
        <v>257</v>
      </c>
      <c r="Y267" s="56"/>
    </row>
    <row r="268" spans="3:25" x14ac:dyDescent="0.3">
      <c r="C268" s="157">
        <f t="shared" si="15"/>
        <v>44167</v>
      </c>
      <c r="E268" s="241">
        <v>664238</v>
      </c>
      <c r="F268" s="7"/>
      <c r="G268" s="7">
        <v>346206</v>
      </c>
      <c r="H268" s="7"/>
      <c r="I268" s="7">
        <v>121426</v>
      </c>
      <c r="J268" s="244"/>
      <c r="K268" s="7">
        <f t="shared" si="53"/>
        <v>1131870</v>
      </c>
      <c r="L268" s="6"/>
      <c r="M268" s="438">
        <f t="shared" si="54"/>
        <v>1.4284958989326382E-2</v>
      </c>
      <c r="N268" s="29"/>
      <c r="O268" s="29"/>
      <c r="P268" s="29"/>
      <c r="Q268" s="332">
        <f t="shared" si="55"/>
        <v>15941</v>
      </c>
      <c r="R268" s="6"/>
      <c r="S268" s="7">
        <f>34662+17083+5040</f>
        <v>56785</v>
      </c>
      <c r="T268" s="6"/>
      <c r="U268" s="243">
        <f t="shared" si="56"/>
        <v>5.0169189041144299E-2</v>
      </c>
      <c r="W268">
        <f t="shared" si="20"/>
        <v>258</v>
      </c>
      <c r="Y268" s="56"/>
    </row>
    <row r="269" spans="3:25" x14ac:dyDescent="0.3">
      <c r="C269" s="157">
        <f t="shared" si="15"/>
        <v>44168</v>
      </c>
      <c r="E269" s="241">
        <v>674093</v>
      </c>
      <c r="F269" s="7"/>
      <c r="G269" s="7">
        <v>350999</v>
      </c>
      <c r="H269" s="7"/>
      <c r="I269" s="7">
        <v>126177</v>
      </c>
      <c r="J269" s="244"/>
      <c r="K269" s="7">
        <f t="shared" si="53"/>
        <v>1151269</v>
      </c>
      <c r="L269" s="6"/>
      <c r="M269" s="438">
        <f t="shared" si="54"/>
        <v>1.7138894042602066E-2</v>
      </c>
      <c r="N269" s="29"/>
      <c r="O269" s="29"/>
      <c r="P269" s="29"/>
      <c r="Q269" s="332">
        <f t="shared" si="55"/>
        <v>19399</v>
      </c>
      <c r="R269" s="6"/>
      <c r="S269" s="7">
        <f>34775+17209+5111</f>
        <v>57095</v>
      </c>
      <c r="T269" s="6"/>
      <c r="U269" s="243">
        <f t="shared" si="56"/>
        <v>4.9593101177917584E-2</v>
      </c>
      <c r="W269">
        <f t="shared" si="20"/>
        <v>259</v>
      </c>
      <c r="Y269" s="56"/>
    </row>
    <row r="270" spans="3:25" x14ac:dyDescent="0.3">
      <c r="C270" s="157">
        <f t="shared" si="15"/>
        <v>44169</v>
      </c>
      <c r="E270" s="241">
        <v>685364</v>
      </c>
      <c r="F270" s="7"/>
      <c r="G270" s="7">
        <v>356662</v>
      </c>
      <c r="H270" s="7"/>
      <c r="I270" s="7">
        <v>127715</v>
      </c>
      <c r="J270" s="244"/>
      <c r="K270" s="7">
        <f t="shared" si="53"/>
        <v>1169741</v>
      </c>
      <c r="L270" s="6"/>
      <c r="M270" s="438">
        <f t="shared" si="54"/>
        <v>1.6044903493449402E-2</v>
      </c>
      <c r="N270" s="29"/>
      <c r="O270" s="29"/>
      <c r="P270" s="29"/>
      <c r="Q270" s="332">
        <f t="shared" si="55"/>
        <v>18472</v>
      </c>
      <c r="R270" s="6"/>
      <c r="S270" s="7">
        <f>34830+17255+5146</f>
        <v>57231</v>
      </c>
      <c r="T270" s="6"/>
      <c r="U270" s="243">
        <f t="shared" si="56"/>
        <v>4.8926215290393343E-2</v>
      </c>
      <c r="W270">
        <f t="shared" si="20"/>
        <v>260</v>
      </c>
      <c r="Y270" s="56"/>
    </row>
    <row r="271" spans="3:25" x14ac:dyDescent="0.3">
      <c r="C271" s="157">
        <f t="shared" si="15"/>
        <v>44170</v>
      </c>
      <c r="D271" s="549" t="s">
        <v>26</v>
      </c>
      <c r="E271" s="241">
        <v>696000</v>
      </c>
      <c r="F271" s="7"/>
      <c r="G271" s="7">
        <v>363000</v>
      </c>
      <c r="H271" s="7"/>
      <c r="I271" s="7">
        <v>127715</v>
      </c>
      <c r="J271" s="244"/>
      <c r="K271" s="7">
        <f t="shared" si="53"/>
        <v>1186715</v>
      </c>
      <c r="L271" s="6"/>
      <c r="M271" s="438">
        <f t="shared" si="54"/>
        <v>1.4510904550665489E-2</v>
      </c>
      <c r="N271" s="29"/>
      <c r="O271" s="29"/>
      <c r="P271" s="29"/>
      <c r="Q271" s="332">
        <f t="shared" si="55"/>
        <v>16974</v>
      </c>
      <c r="R271" s="6"/>
      <c r="S271" s="7">
        <f>34830+17255+5146</f>
        <v>57231</v>
      </c>
      <c r="T271" s="6"/>
      <c r="U271" s="243">
        <f t="shared" si="56"/>
        <v>4.822640650872366E-2</v>
      </c>
      <c r="W271">
        <f t="shared" si="20"/>
        <v>261</v>
      </c>
      <c r="Y271" s="56"/>
    </row>
    <row r="272" spans="3:25" x14ac:dyDescent="0.3">
      <c r="C272" s="157">
        <f t="shared" si="15"/>
        <v>44171</v>
      </c>
      <c r="E272" s="241">
        <v>705827</v>
      </c>
      <c r="F272" s="7"/>
      <c r="G272" s="7">
        <v>368016</v>
      </c>
      <c r="H272" s="7"/>
      <c r="I272" s="7">
        <v>127715</v>
      </c>
      <c r="J272" s="244"/>
      <c r="K272" s="7">
        <f t="shared" si="53"/>
        <v>1201558</v>
      </c>
      <c r="L272" s="6"/>
      <c r="M272" s="438">
        <f t="shared" si="54"/>
        <v>1.2507636627159849E-2</v>
      </c>
      <c r="N272" s="29"/>
      <c r="O272" s="29"/>
      <c r="P272" s="29"/>
      <c r="Q272" s="332">
        <f t="shared" si="55"/>
        <v>14843</v>
      </c>
      <c r="R272" s="6"/>
      <c r="S272" s="7">
        <f>34980+17321+5146</f>
        <v>57447</v>
      </c>
      <c r="T272" s="6"/>
      <c r="U272" s="243">
        <f t="shared" si="56"/>
        <v>4.7810426130074454E-2</v>
      </c>
      <c r="W272">
        <f t="shared" si="20"/>
        <v>262</v>
      </c>
      <c r="Y272" s="56"/>
    </row>
    <row r="273" spans="3:32" x14ac:dyDescent="0.3">
      <c r="C273" s="157">
        <f t="shared" si="15"/>
        <v>44172</v>
      </c>
      <c r="E273" s="241">
        <v>713129</v>
      </c>
      <c r="F273" s="7"/>
      <c r="G273" s="7">
        <v>371579</v>
      </c>
      <c r="H273" s="7"/>
      <c r="I273" s="7">
        <v>135844</v>
      </c>
      <c r="J273" s="244"/>
      <c r="K273" s="7">
        <f t="shared" si="53"/>
        <v>1220552</v>
      </c>
      <c r="L273" s="6"/>
      <c r="M273" s="438">
        <f t="shared" si="54"/>
        <v>1.5807809527297059E-2</v>
      </c>
      <c r="N273" s="29"/>
      <c r="O273" s="29"/>
      <c r="P273" s="29"/>
      <c r="Q273" s="332">
        <f t="shared" si="55"/>
        <v>18994</v>
      </c>
      <c r="R273" s="6"/>
      <c r="S273" s="7">
        <f>35034+17336+5224</f>
        <v>57594</v>
      </c>
      <c r="T273" s="6"/>
      <c r="U273" s="243">
        <f t="shared" si="56"/>
        <v>4.7186846607108916E-2</v>
      </c>
      <c r="W273">
        <f t="shared" si="20"/>
        <v>263</v>
      </c>
      <c r="Y273" s="56"/>
    </row>
    <row r="274" spans="3:32" x14ac:dyDescent="0.3">
      <c r="C274" s="157">
        <f t="shared" si="15"/>
        <v>44173</v>
      </c>
      <c r="E274" s="241">
        <v>722464</v>
      </c>
      <c r="F274" s="7"/>
      <c r="G274" s="7">
        <v>377055</v>
      </c>
      <c r="H274" s="7"/>
      <c r="I274" s="7">
        <v>138258</v>
      </c>
      <c r="J274" s="244"/>
      <c r="K274" s="7">
        <f t="shared" si="53"/>
        <v>1237777</v>
      </c>
      <c r="L274" s="6"/>
      <c r="M274" s="438">
        <f t="shared" si="54"/>
        <v>1.4112467146012624E-2</v>
      </c>
      <c r="N274" s="29"/>
      <c r="O274" s="29"/>
      <c r="P274" s="29"/>
      <c r="Q274" s="332">
        <f t="shared" si="55"/>
        <v>17225</v>
      </c>
      <c r="R274" s="6"/>
      <c r="S274" s="7">
        <f>35118+17426+5242</f>
        <v>57786</v>
      </c>
      <c r="T274" s="6"/>
      <c r="U274" s="243">
        <f t="shared" si="56"/>
        <v>4.668530761195272E-2</v>
      </c>
      <c r="W274">
        <f t="shared" si="20"/>
        <v>264</v>
      </c>
      <c r="Y274" s="56"/>
    </row>
    <row r="275" spans="3:32" x14ac:dyDescent="0.3">
      <c r="C275" s="157">
        <f t="shared" si="15"/>
        <v>44174</v>
      </c>
      <c r="E275" s="241">
        <v>733064</v>
      </c>
      <c r="F275" s="7"/>
      <c r="G275" s="7">
        <v>381486</v>
      </c>
      <c r="H275" s="7"/>
      <c r="I275" s="7">
        <v>140548</v>
      </c>
      <c r="J275" s="244"/>
      <c r="K275" s="7">
        <f t="shared" si="53"/>
        <v>1255098</v>
      </c>
      <c r="L275" s="6"/>
      <c r="M275" s="438">
        <f t="shared" si="54"/>
        <v>1.3993635364043766E-2</v>
      </c>
      <c r="N275" s="29"/>
      <c r="O275" s="29"/>
      <c r="P275" s="29"/>
      <c r="Q275" s="332">
        <f t="shared" si="55"/>
        <v>17321</v>
      </c>
      <c r="R275" s="6"/>
      <c r="S275" s="7">
        <f>35183+17542+5285</f>
        <v>58010</v>
      </c>
      <c r="T275" s="6"/>
      <c r="U275" s="243">
        <f t="shared" si="56"/>
        <v>4.6219498397734676E-2</v>
      </c>
      <c r="W275">
        <f t="shared" si="20"/>
        <v>265</v>
      </c>
      <c r="Y275" s="56"/>
    </row>
    <row r="276" spans="3:32" x14ac:dyDescent="0.3">
      <c r="C276" s="157">
        <f t="shared" si="15"/>
        <v>44175</v>
      </c>
      <c r="E276" s="241">
        <v>743242</v>
      </c>
      <c r="F276" s="7"/>
      <c r="G276" s="7">
        <v>386606</v>
      </c>
      <c r="H276" s="7"/>
      <c r="I276" s="7">
        <v>142979</v>
      </c>
      <c r="J276" s="244"/>
      <c r="K276" s="7">
        <f t="shared" si="53"/>
        <v>1272827</v>
      </c>
      <c r="L276" s="6"/>
      <c r="M276" s="438">
        <f t="shared" si="54"/>
        <v>1.4125590192957045E-2</v>
      </c>
      <c r="N276" s="29"/>
      <c r="O276" s="29"/>
      <c r="P276" s="29"/>
      <c r="Q276" s="332">
        <f t="shared" si="55"/>
        <v>17729</v>
      </c>
      <c r="R276" s="6"/>
      <c r="S276" s="7">
        <f>35266+17608+5327</f>
        <v>58201</v>
      </c>
      <c r="T276" s="6"/>
      <c r="U276" s="243">
        <f t="shared" si="56"/>
        <v>4.5725774201835753E-2</v>
      </c>
      <c r="W276">
        <f t="shared" si="20"/>
        <v>266</v>
      </c>
      <c r="Y276" s="56"/>
    </row>
    <row r="277" spans="3:32" x14ac:dyDescent="0.3">
      <c r="C277" s="157">
        <f t="shared" si="15"/>
        <v>44176</v>
      </c>
      <c r="E277" s="241">
        <v>753837</v>
      </c>
      <c r="F277" s="7"/>
      <c r="G277" s="7">
        <v>390256</v>
      </c>
      <c r="H277" s="7"/>
      <c r="I277" s="7">
        <v>146761</v>
      </c>
      <c r="J277" s="244"/>
      <c r="K277" s="7">
        <f t="shared" si="53"/>
        <v>1290854</v>
      </c>
      <c r="L277" s="6"/>
      <c r="M277" s="438">
        <f t="shared" si="54"/>
        <v>1.4162961659361406E-2</v>
      </c>
      <c r="N277" s="29"/>
      <c r="O277" s="29"/>
      <c r="P277" s="29"/>
      <c r="Q277" s="332">
        <f t="shared" si="55"/>
        <v>18027</v>
      </c>
      <c r="R277" s="6"/>
      <c r="S277" s="7">
        <f>35357+17662+5363</f>
        <v>58382</v>
      </c>
      <c r="T277" s="6"/>
      <c r="U277" s="243">
        <f t="shared" si="56"/>
        <v>4.5227423085802111E-2</v>
      </c>
      <c r="W277">
        <f t="shared" si="20"/>
        <v>267</v>
      </c>
      <c r="Y277" s="56"/>
    </row>
    <row r="278" spans="3:32" x14ac:dyDescent="0.3">
      <c r="C278" s="157">
        <f t="shared" si="15"/>
        <v>44177</v>
      </c>
      <c r="E278" s="241">
        <v>764966</v>
      </c>
      <c r="F278" s="7"/>
      <c r="G278" s="7">
        <v>396496</v>
      </c>
      <c r="H278" s="7"/>
      <c r="I278" s="7">
        <v>146761</v>
      </c>
      <c r="J278" s="244"/>
      <c r="K278" s="7">
        <f t="shared" si="53"/>
        <v>1308223</v>
      </c>
      <c r="L278" s="6"/>
      <c r="M278" s="438">
        <f t="shared" si="54"/>
        <v>1.3455433379762545E-2</v>
      </c>
      <c r="N278" s="29"/>
      <c r="O278" s="29"/>
      <c r="P278" s="29"/>
      <c r="Q278" s="332">
        <f t="shared" si="55"/>
        <v>17369</v>
      </c>
      <c r="R278" s="6"/>
      <c r="S278" s="7">
        <f>35441+17732+5363</f>
        <v>58536</v>
      </c>
      <c r="T278" s="6"/>
      <c r="U278" s="243">
        <f t="shared" si="56"/>
        <v>4.4744665091501983E-2</v>
      </c>
      <c r="W278">
        <f t="shared" si="20"/>
        <v>268</v>
      </c>
      <c r="Y278" s="56"/>
    </row>
    <row r="279" spans="3:32" x14ac:dyDescent="0.3">
      <c r="C279" s="157">
        <f t="shared" si="15"/>
        <v>44178</v>
      </c>
      <c r="E279" s="241">
        <v>775160</v>
      </c>
      <c r="F279" s="7"/>
      <c r="G279" s="7">
        <v>400650</v>
      </c>
      <c r="H279" s="7"/>
      <c r="I279" s="7">
        <v>146761</v>
      </c>
      <c r="J279" s="244"/>
      <c r="K279" s="7">
        <f t="shared" si="53"/>
        <v>1322571</v>
      </c>
      <c r="L279" s="6"/>
      <c r="M279" s="438">
        <f t="shared" si="54"/>
        <v>1.0967549110510975E-2</v>
      </c>
      <c r="N279" s="29"/>
      <c r="O279" s="29"/>
      <c r="P279" s="29"/>
      <c r="Q279" s="332">
        <f t="shared" si="55"/>
        <v>14348</v>
      </c>
      <c r="R279" s="6"/>
      <c r="S279" s="7">
        <f>35557+17751+5363</f>
        <v>58671</v>
      </c>
      <c r="T279" s="6"/>
      <c r="U279" s="243">
        <f t="shared" si="56"/>
        <v>4.4361323513066597E-2</v>
      </c>
      <c r="W279">
        <f t="shared" si="20"/>
        <v>269</v>
      </c>
      <c r="Y279" s="56"/>
    </row>
    <row r="280" spans="3:32" x14ac:dyDescent="0.3">
      <c r="C280" s="157">
        <f t="shared" si="15"/>
        <v>44179</v>
      </c>
      <c r="D280" s="549" t="s">
        <v>26</v>
      </c>
      <c r="E280" s="241">
        <v>785160</v>
      </c>
      <c r="F280" s="7"/>
      <c r="G280" s="7">
        <v>405650</v>
      </c>
      <c r="H280" s="7"/>
      <c r="I280" s="7">
        <v>149761</v>
      </c>
      <c r="J280" s="244"/>
      <c r="K280" s="7">
        <f t="shared" si="53"/>
        <v>1340571</v>
      </c>
      <c r="L280" s="6"/>
      <c r="M280" s="438">
        <f t="shared" si="54"/>
        <v>1.3609855349920723E-2</v>
      </c>
      <c r="N280" s="29"/>
      <c r="O280" s="29"/>
      <c r="P280" s="29"/>
      <c r="Q280" s="332">
        <f t="shared" si="55"/>
        <v>18000</v>
      </c>
      <c r="R280" s="6"/>
      <c r="S280" s="7">
        <f>35557+17751+5363</f>
        <v>58671</v>
      </c>
      <c r="T280" s="6"/>
      <c r="U280" s="243">
        <f t="shared" si="56"/>
        <v>4.376567895322217E-2</v>
      </c>
      <c r="W280">
        <f t="shared" si="20"/>
        <v>270</v>
      </c>
      <c r="Y280" s="56"/>
    </row>
    <row r="281" spans="3:32" x14ac:dyDescent="0.3">
      <c r="C281" s="157">
        <f t="shared" si="15"/>
        <v>44180</v>
      </c>
      <c r="E281" s="241">
        <v>794557</v>
      </c>
      <c r="F281" s="7"/>
      <c r="G281" s="7">
        <v>409414</v>
      </c>
      <c r="H281" s="7"/>
      <c r="I281" s="7">
        <v>155462</v>
      </c>
      <c r="J281" s="244"/>
      <c r="K281" s="7">
        <f t="shared" si="53"/>
        <v>1359433</v>
      </c>
      <c r="L281" s="6"/>
      <c r="M281" s="438">
        <f t="shared" si="54"/>
        <v>1.4070123850210097E-2</v>
      </c>
      <c r="N281" s="29"/>
      <c r="O281" s="29"/>
      <c r="P281" s="29"/>
      <c r="Q281" s="332">
        <f t="shared" si="55"/>
        <v>18862</v>
      </c>
      <c r="R281" s="6"/>
      <c r="S281" s="7">
        <f>35831+17872+5466</f>
        <v>59169</v>
      </c>
      <c r="T281" s="6"/>
      <c r="U281" s="243">
        <f t="shared" si="56"/>
        <v>4.3524763633073497E-2</v>
      </c>
      <c r="W281">
        <f t="shared" si="20"/>
        <v>271</v>
      </c>
      <c r="Y281" s="56"/>
    </row>
    <row r="282" spans="3:32" x14ac:dyDescent="0.3">
      <c r="C282" s="157">
        <f t="shared" si="15"/>
        <v>44181</v>
      </c>
      <c r="D282" s="549" t="s">
        <v>26</v>
      </c>
      <c r="E282" s="241">
        <v>815000</v>
      </c>
      <c r="F282" s="7"/>
      <c r="G282" s="7">
        <v>412000</v>
      </c>
      <c r="H282" s="7"/>
      <c r="I282" s="7">
        <v>157000</v>
      </c>
      <c r="J282" s="244"/>
      <c r="K282" s="7">
        <f t="shared" si="53"/>
        <v>1384000</v>
      </c>
      <c r="L282" s="6"/>
      <c r="M282" s="438">
        <f t="shared" si="54"/>
        <v>1.8071504811197021E-2</v>
      </c>
      <c r="N282" s="29"/>
      <c r="O282" s="29"/>
      <c r="P282" s="29"/>
      <c r="Q282" s="332">
        <f t="shared" si="55"/>
        <v>24567</v>
      </c>
      <c r="R282" s="6"/>
      <c r="S282" s="7">
        <f>35831+17872+5466</f>
        <v>59169</v>
      </c>
      <c r="T282" s="6"/>
      <c r="U282" s="243">
        <f t="shared" si="56"/>
        <v>4.2752167630057805E-2</v>
      </c>
      <c r="W282">
        <f t="shared" si="20"/>
        <v>272</v>
      </c>
      <c r="Y282" s="56"/>
    </row>
    <row r="283" spans="3:32" x14ac:dyDescent="0.3">
      <c r="C283" s="157">
        <f t="shared" si="15"/>
        <v>44182</v>
      </c>
      <c r="D283" s="549" t="s">
        <v>26</v>
      </c>
      <c r="E283" s="241">
        <v>822000</v>
      </c>
      <c r="F283" s="7"/>
      <c r="G283" s="7">
        <v>415000</v>
      </c>
      <c r="H283" s="7"/>
      <c r="I283" s="7">
        <v>158000</v>
      </c>
      <c r="J283" s="244"/>
      <c r="K283" s="7">
        <f t="shared" si="53"/>
        <v>1395000</v>
      </c>
      <c r="L283" s="6"/>
      <c r="M283" s="438">
        <f t="shared" si="54"/>
        <v>7.9479768786127163E-3</v>
      </c>
      <c r="N283" s="29"/>
      <c r="O283" s="29"/>
      <c r="P283" s="29"/>
      <c r="Q283" s="332">
        <f t="shared" si="55"/>
        <v>11000</v>
      </c>
      <c r="R283" s="6"/>
      <c r="S283" s="7">
        <f>36177+18124+5581</f>
        <v>59882</v>
      </c>
      <c r="T283" s="6"/>
      <c r="U283" s="243">
        <f t="shared" si="56"/>
        <v>4.2926164874551968E-2</v>
      </c>
      <c r="W283">
        <f t="shared" si="20"/>
        <v>273</v>
      </c>
      <c r="Y283" s="56"/>
      <c r="AF283" s="549" t="s">
        <v>26</v>
      </c>
    </row>
    <row r="284" spans="3:32" x14ac:dyDescent="0.3">
      <c r="C284" s="157">
        <f t="shared" si="15"/>
        <v>44183</v>
      </c>
      <c r="E284" s="241">
        <v>828166</v>
      </c>
      <c r="F284" s="7"/>
      <c r="G284" s="7">
        <v>423226</v>
      </c>
      <c r="H284" s="7"/>
      <c r="I284" s="7">
        <v>160102</v>
      </c>
      <c r="J284" s="244"/>
      <c r="K284" s="7">
        <f t="shared" si="53"/>
        <v>1411494</v>
      </c>
      <c r="L284" s="6"/>
      <c r="M284" s="438">
        <f t="shared" si="54"/>
        <v>1.1823655913978494E-2</v>
      </c>
      <c r="N284" s="29"/>
      <c r="O284" s="29"/>
      <c r="P284" s="29"/>
      <c r="Q284" s="332">
        <f t="shared" si="55"/>
        <v>16494</v>
      </c>
      <c r="R284" s="6"/>
      <c r="S284" s="7">
        <f>36177+18124+5581</f>
        <v>59882</v>
      </c>
      <c r="T284" s="6"/>
      <c r="U284" s="243">
        <f t="shared" si="56"/>
        <v>4.2424551574431063E-2</v>
      </c>
      <c r="W284">
        <f t="shared" si="20"/>
        <v>274</v>
      </c>
      <c r="Y284" s="56"/>
      <c r="AF284" s="549"/>
    </row>
    <row r="285" spans="3:32" x14ac:dyDescent="0.3">
      <c r="C285" s="157">
        <f t="shared" si="15"/>
        <v>44184</v>
      </c>
      <c r="E285" s="241">
        <v>838085</v>
      </c>
      <c r="F285" s="7"/>
      <c r="G285" s="7">
        <v>427417</v>
      </c>
      <c r="H285" s="7"/>
      <c r="I285" s="7">
        <v>162782</v>
      </c>
      <c r="J285" s="244"/>
      <c r="K285" s="7">
        <f t="shared" si="53"/>
        <v>1428284</v>
      </c>
      <c r="L285" s="6"/>
      <c r="M285" s="438">
        <f t="shared" si="54"/>
        <v>1.1895197570800868E-2</v>
      </c>
      <c r="N285" s="29"/>
      <c r="O285" s="29"/>
      <c r="P285" s="29"/>
      <c r="Q285" s="332">
        <f t="shared" si="55"/>
        <v>16790</v>
      </c>
      <c r="R285" s="6"/>
      <c r="S285" s="7">
        <f>36318+18173+5581</f>
        <v>60072</v>
      </c>
      <c r="T285" s="6"/>
      <c r="U285" s="243">
        <f t="shared" si="56"/>
        <v>4.2058862243083306E-2</v>
      </c>
      <c r="W285">
        <f t="shared" si="20"/>
        <v>275</v>
      </c>
      <c r="Y285" s="56"/>
      <c r="AF285" s="549"/>
    </row>
    <row r="286" spans="3:32" x14ac:dyDescent="0.3">
      <c r="C286" s="157">
        <f t="shared" si="15"/>
        <v>44185</v>
      </c>
      <c r="E286" s="241">
        <v>848042</v>
      </c>
      <c r="F286" s="7"/>
      <c r="G286" s="7">
        <v>432592</v>
      </c>
      <c r="H286" s="7"/>
      <c r="I286" s="7">
        <v>162782</v>
      </c>
      <c r="J286" s="244"/>
      <c r="K286" s="7">
        <f t="shared" si="53"/>
        <v>1443416</v>
      </c>
      <c r="L286" s="6"/>
      <c r="M286" s="438">
        <f t="shared" si="54"/>
        <v>1.0594531619761895E-2</v>
      </c>
      <c r="N286" s="29"/>
      <c r="O286" s="29"/>
      <c r="P286" s="29"/>
      <c r="Q286" s="332">
        <f t="shared" si="55"/>
        <v>15132</v>
      </c>
      <c r="R286" s="6"/>
      <c r="S286" s="7">
        <f>36431+18194+5581</f>
        <v>60206</v>
      </c>
      <c r="T286" s="6"/>
      <c r="U286" s="243">
        <f t="shared" si="56"/>
        <v>4.1710774994873273E-2</v>
      </c>
      <c r="W286">
        <f t="shared" si="20"/>
        <v>276</v>
      </c>
      <c r="Y286" s="56"/>
      <c r="AF286" s="549"/>
    </row>
    <row r="287" spans="3:32" x14ac:dyDescent="0.3">
      <c r="C287" s="157">
        <f t="shared" si="15"/>
        <v>44186</v>
      </c>
      <c r="E287" s="241">
        <v>857049</v>
      </c>
      <c r="F287" s="7"/>
      <c r="G287" s="7">
        <v>435763</v>
      </c>
      <c r="H287" s="7"/>
      <c r="I287" s="7">
        <v>167377</v>
      </c>
      <c r="J287" s="244"/>
      <c r="K287" s="7">
        <f t="shared" si="53"/>
        <v>1460189</v>
      </c>
      <c r="L287" s="6"/>
      <c r="M287" s="438">
        <f t="shared" si="54"/>
        <v>1.1620350612713175E-2</v>
      </c>
      <c r="N287" s="29"/>
      <c r="O287" s="29"/>
      <c r="P287" s="29"/>
      <c r="Q287" s="332">
        <f t="shared" si="55"/>
        <v>16773</v>
      </c>
      <c r="R287" s="6"/>
      <c r="S287" s="7">
        <f>36568+18223+5676</f>
        <v>60467</v>
      </c>
      <c r="T287" s="6"/>
      <c r="U287" s="243">
        <f t="shared" si="56"/>
        <v>4.1410392764224355E-2</v>
      </c>
      <c r="W287">
        <f t="shared" si="20"/>
        <v>277</v>
      </c>
      <c r="Y287" s="56"/>
      <c r="AF287" s="549"/>
    </row>
    <row r="288" spans="3:32" x14ac:dyDescent="0.3">
      <c r="C288" s="157">
        <f t="shared" si="15"/>
        <v>44187</v>
      </c>
      <c r="E288" s="241">
        <v>866765</v>
      </c>
      <c r="F288" s="7"/>
      <c r="G288" s="7">
        <v>440366</v>
      </c>
      <c r="H288" s="7"/>
      <c r="I288" s="7">
        <v>168960</v>
      </c>
      <c r="J288" s="244"/>
      <c r="K288" s="7">
        <f t="shared" si="53"/>
        <v>1476091</v>
      </c>
      <c r="L288" s="6"/>
      <c r="M288" s="438">
        <f t="shared" si="54"/>
        <v>1.0890371041009074E-2</v>
      </c>
      <c r="N288" s="29"/>
      <c r="O288" s="29"/>
      <c r="P288" s="29"/>
      <c r="Q288" s="332">
        <f t="shared" si="55"/>
        <v>15902</v>
      </c>
      <c r="R288" s="6"/>
      <c r="S288" s="7">
        <f>36724+18326+5703</f>
        <v>60753</v>
      </c>
      <c r="T288" s="6"/>
      <c r="U288" s="243">
        <f t="shared" si="56"/>
        <v>4.1158031584773568E-2</v>
      </c>
      <c r="W288">
        <f t="shared" si="20"/>
        <v>278</v>
      </c>
      <c r="Y288" s="56"/>
      <c r="AF288" s="549"/>
    </row>
    <row r="289" spans="3:32" x14ac:dyDescent="0.3">
      <c r="C289" s="157">
        <f t="shared" si="15"/>
        <v>44188</v>
      </c>
      <c r="E289" s="241">
        <v>878702</v>
      </c>
      <c r="F289" s="7"/>
      <c r="G289" s="7">
        <v>445138</v>
      </c>
      <c r="H289" s="7"/>
      <c r="I289" s="7">
        <v>170705</v>
      </c>
      <c r="J289" s="244"/>
      <c r="K289" s="7">
        <f t="shared" si="53"/>
        <v>1494545</v>
      </c>
      <c r="L289" s="6"/>
      <c r="M289" s="438">
        <f t="shared" si="54"/>
        <v>1.2501939243583221E-2</v>
      </c>
      <c r="N289" s="29"/>
      <c r="O289" s="29"/>
      <c r="P289" s="29"/>
      <c r="Q289" s="332">
        <f t="shared" si="55"/>
        <v>18454</v>
      </c>
      <c r="R289" s="6"/>
      <c r="S289" s="7">
        <f>36876+18466+5736</f>
        <v>61078</v>
      </c>
      <c r="T289" s="6"/>
      <c r="U289" s="243">
        <f t="shared" si="56"/>
        <v>4.0867287368396399E-2</v>
      </c>
      <c r="W289">
        <f t="shared" si="20"/>
        <v>279</v>
      </c>
      <c r="Y289" s="56"/>
      <c r="AF289" s="549"/>
    </row>
    <row r="290" spans="3:32" x14ac:dyDescent="0.3">
      <c r="C290" s="157">
        <f t="shared" si="15"/>
        <v>44189</v>
      </c>
      <c r="E290" s="241">
        <v>891270</v>
      </c>
      <c r="F290" s="7"/>
      <c r="G290" s="7">
        <v>449842</v>
      </c>
      <c r="H290" s="7"/>
      <c r="I290" s="7">
        <v>172742</v>
      </c>
      <c r="J290" s="244"/>
      <c r="K290" s="7">
        <f t="shared" si="53"/>
        <v>1513854</v>
      </c>
      <c r="L290" s="6"/>
      <c r="M290" s="438">
        <f t="shared" si="54"/>
        <v>1.2919651131280758E-2</v>
      </c>
      <c r="N290" s="29"/>
      <c r="O290" s="29"/>
      <c r="P290" s="29"/>
      <c r="Q290" s="332">
        <f t="shared" si="55"/>
        <v>19309</v>
      </c>
      <c r="R290" s="6"/>
      <c r="S290" s="7">
        <f>37028+18544+5791</f>
        <v>61363</v>
      </c>
      <c r="T290" s="6"/>
      <c r="U290" s="243">
        <f t="shared" si="56"/>
        <v>4.0534291946251091E-2</v>
      </c>
      <c r="W290">
        <f t="shared" si="20"/>
        <v>280</v>
      </c>
      <c r="Y290" s="56"/>
      <c r="AF290" s="549"/>
    </row>
    <row r="291" spans="3:32" x14ac:dyDescent="0.3">
      <c r="C291" s="157">
        <f t="shared" si="15"/>
        <v>44190</v>
      </c>
      <c r="E291" s="241">
        <v>903716</v>
      </c>
      <c r="F291" s="7"/>
      <c r="G291" s="7">
        <v>454902</v>
      </c>
      <c r="H291" s="7"/>
      <c r="I291" s="7">
        <v>172743</v>
      </c>
      <c r="J291" s="244"/>
      <c r="K291" s="7">
        <f t="shared" si="53"/>
        <v>1531361</v>
      </c>
      <c r="L291" s="6"/>
      <c r="M291" s="438">
        <f t="shared" si="54"/>
        <v>1.156452339525476E-2</v>
      </c>
      <c r="N291" s="29"/>
      <c r="O291" s="29"/>
      <c r="P291" s="29"/>
      <c r="Q291" s="332">
        <f t="shared" si="55"/>
        <v>17507</v>
      </c>
      <c r="R291" s="6"/>
      <c r="S291" s="7">
        <f>37028+18544+5791</f>
        <v>61363</v>
      </c>
      <c r="T291" s="6"/>
      <c r="U291" s="243">
        <f t="shared" si="56"/>
        <v>4.0070891187642885E-2</v>
      </c>
      <c r="W291">
        <f t="shared" si="20"/>
        <v>281</v>
      </c>
      <c r="Y291" s="56"/>
      <c r="AF291" s="549"/>
    </row>
    <row r="292" spans="3:32" x14ac:dyDescent="0.3">
      <c r="C292" s="157">
        <f t="shared" si="15"/>
        <v>44191</v>
      </c>
      <c r="E292" s="241">
        <v>914522</v>
      </c>
      <c r="F292" s="7"/>
      <c r="G292" s="7">
        <v>458901</v>
      </c>
      <c r="H292" s="7"/>
      <c r="I292" s="7">
        <v>172743</v>
      </c>
      <c r="J292" s="244"/>
      <c r="K292" s="7">
        <f t="shared" si="53"/>
        <v>1546166</v>
      </c>
      <c r="L292" s="6"/>
      <c r="M292" s="438">
        <f t="shared" si="54"/>
        <v>9.6678706066041908E-3</v>
      </c>
      <c r="N292" s="29"/>
      <c r="O292" s="29"/>
      <c r="P292" s="29"/>
      <c r="Q292" s="332">
        <f t="shared" si="55"/>
        <v>14805</v>
      </c>
      <c r="R292" s="6"/>
      <c r="S292" s="7">
        <f>37286+18613+5791</f>
        <v>61690</v>
      </c>
      <c r="T292" s="6"/>
      <c r="U292" s="243">
        <f t="shared" si="56"/>
        <v>3.9898691343620285E-2</v>
      </c>
      <c r="W292">
        <f t="shared" si="20"/>
        <v>282</v>
      </c>
      <c r="Y292" s="56"/>
      <c r="AF292" s="549"/>
    </row>
    <row r="293" spans="3:32" x14ac:dyDescent="0.3">
      <c r="C293" s="157">
        <f t="shared" si="15"/>
        <v>44192</v>
      </c>
      <c r="E293" s="241">
        <v>922145</v>
      </c>
      <c r="F293" s="7"/>
      <c r="G293" s="7">
        <v>461221</v>
      </c>
      <c r="H293" s="7"/>
      <c r="I293" s="7">
        <v>172743</v>
      </c>
      <c r="J293" s="244"/>
      <c r="K293" s="7">
        <f t="shared" si="53"/>
        <v>1556109</v>
      </c>
      <c r="L293" s="6"/>
      <c r="M293" s="438">
        <f t="shared" si="54"/>
        <v>6.4307454697619792E-3</v>
      </c>
      <c r="N293" s="29"/>
      <c r="O293" s="29"/>
      <c r="P293" s="29"/>
      <c r="Q293" s="332">
        <f t="shared" si="55"/>
        <v>9943</v>
      </c>
      <c r="R293" s="6"/>
      <c r="S293" s="7">
        <f>37411+18630+5791</f>
        <v>61832</v>
      </c>
      <c r="T293" s="6"/>
      <c r="U293" s="243">
        <f t="shared" si="56"/>
        <v>3.9735005709754266E-2</v>
      </c>
      <c r="W293">
        <f t="shared" si="20"/>
        <v>283</v>
      </c>
      <c r="Y293" s="56"/>
      <c r="AF293" s="549"/>
    </row>
    <row r="294" spans="3:32" x14ac:dyDescent="0.3">
      <c r="C294" s="157">
        <f t="shared" si="15"/>
        <v>44193</v>
      </c>
      <c r="E294" s="241">
        <v>932552</v>
      </c>
      <c r="F294" s="7"/>
      <c r="G294" s="7">
        <v>463965</v>
      </c>
      <c r="H294" s="7"/>
      <c r="I294" s="7">
        <v>181200</v>
      </c>
      <c r="J294" s="244"/>
      <c r="K294" s="7">
        <f t="shared" si="53"/>
        <v>1577717</v>
      </c>
      <c r="L294" s="6"/>
      <c r="M294" s="438">
        <f t="shared" si="54"/>
        <v>1.3885916732054117E-2</v>
      </c>
      <c r="N294" s="29"/>
      <c r="O294" s="29"/>
      <c r="P294" s="29"/>
      <c r="Q294" s="332">
        <f t="shared" si="55"/>
        <v>21608</v>
      </c>
      <c r="R294" s="6"/>
      <c r="S294" s="7">
        <f>37548+18651+5904</f>
        <v>62103</v>
      </c>
      <c r="T294" s="6"/>
      <c r="U294" s="243">
        <f t="shared" si="56"/>
        <v>3.9362572628678018E-2</v>
      </c>
      <c r="W294">
        <f t="shared" si="20"/>
        <v>284</v>
      </c>
      <c r="Y294" s="56"/>
      <c r="AF294" s="549"/>
    </row>
    <row r="295" spans="3:32" x14ac:dyDescent="0.3">
      <c r="C295" s="157">
        <f t="shared" si="15"/>
        <v>44194</v>
      </c>
      <c r="E295" s="241">
        <v>950473</v>
      </c>
      <c r="F295" s="7"/>
      <c r="G295" s="7">
        <v>467622</v>
      </c>
      <c r="H295" s="7"/>
      <c r="I295" s="7">
        <v>181967</v>
      </c>
      <c r="J295" s="244"/>
      <c r="K295" s="7">
        <f t="shared" ref="K295:K326" si="57">SUM(E295:I295)</f>
        <v>1600062</v>
      </c>
      <c r="L295" s="6"/>
      <c r="M295" s="438">
        <f t="shared" ref="M295:M326" si="58">+(K295-K294)/K294</f>
        <v>1.416286951335379E-2</v>
      </c>
      <c r="N295" s="29"/>
      <c r="O295" s="29"/>
      <c r="P295" s="29"/>
      <c r="Q295" s="332">
        <f t="shared" ref="Q295:Q326" si="59">+K295-K294</f>
        <v>22345</v>
      </c>
      <c r="R295" s="6"/>
      <c r="S295" s="7">
        <f>37687+18777+5924</f>
        <v>62388</v>
      </c>
      <c r="T295" s="6"/>
      <c r="U295" s="243">
        <f t="shared" ref="U295:U326" si="60">+S295/K295</f>
        <v>3.899098909917241E-2</v>
      </c>
      <c r="W295">
        <f t="shared" si="20"/>
        <v>285</v>
      </c>
      <c r="Y295" s="56"/>
      <c r="AF295" s="549"/>
    </row>
    <row r="296" spans="3:32" x14ac:dyDescent="0.3">
      <c r="C296" s="157">
        <f t="shared" si="15"/>
        <v>44195</v>
      </c>
      <c r="E296" s="241">
        <v>963390</v>
      </c>
      <c r="F296" s="7"/>
      <c r="G296" s="7">
        <v>472264</v>
      </c>
      <c r="H296" s="7"/>
      <c r="I296" s="7">
        <v>183663</v>
      </c>
      <c r="J296" s="244"/>
      <c r="K296" s="7">
        <f t="shared" si="57"/>
        <v>1619317</v>
      </c>
      <c r="L296" s="6"/>
      <c r="M296" s="438">
        <f t="shared" si="58"/>
        <v>1.2033908686038416E-2</v>
      </c>
      <c r="N296" s="29"/>
      <c r="O296" s="29"/>
      <c r="P296" s="29"/>
      <c r="Q296" s="332">
        <f t="shared" si="59"/>
        <v>19255</v>
      </c>
      <c r="R296" s="6"/>
      <c r="S296" s="7">
        <f>37840+18952+5964</f>
        <v>62756</v>
      </c>
      <c r="T296" s="6"/>
      <c r="U296" s="243">
        <f t="shared" si="60"/>
        <v>3.8754610740207134E-2</v>
      </c>
      <c r="W296">
        <f t="shared" si="20"/>
        <v>286</v>
      </c>
      <c r="Y296" s="56"/>
      <c r="AF296" s="549"/>
    </row>
    <row r="297" spans="3:32" x14ac:dyDescent="0.3">
      <c r="C297" s="157">
        <f t="shared" si="15"/>
        <v>44196</v>
      </c>
      <c r="E297" s="241">
        <v>978783</v>
      </c>
      <c r="F297" s="7"/>
      <c r="G297" s="7">
        <v>477360</v>
      </c>
      <c r="H297" s="7"/>
      <c r="I297" s="7">
        <v>185708</v>
      </c>
      <c r="J297" s="244"/>
      <c r="K297" s="7">
        <f t="shared" si="57"/>
        <v>1641851</v>
      </c>
      <c r="L297" s="6"/>
      <c r="M297" s="438">
        <f t="shared" si="58"/>
        <v>1.3915743489384721E-2</v>
      </c>
      <c r="N297" s="29"/>
      <c r="O297" s="29"/>
      <c r="P297" s="29"/>
      <c r="Q297" s="332">
        <f t="shared" si="59"/>
        <v>22534</v>
      </c>
      <c r="R297" s="6"/>
      <c r="S297" s="7">
        <f>37983+19042+5995</f>
        <v>63020</v>
      </c>
      <c r="T297" s="6"/>
      <c r="U297" s="243">
        <f t="shared" si="60"/>
        <v>3.8383507395007219E-2</v>
      </c>
      <c r="W297">
        <f t="shared" si="20"/>
        <v>287</v>
      </c>
      <c r="Y297" s="56"/>
      <c r="AF297" s="549"/>
    </row>
    <row r="298" spans="3:32" x14ac:dyDescent="0.3">
      <c r="C298" s="157">
        <f t="shared" si="15"/>
        <v>44197</v>
      </c>
      <c r="E298" s="241">
        <v>995816</v>
      </c>
      <c r="F298" s="7"/>
      <c r="G298" s="7">
        <v>482861</v>
      </c>
      <c r="H298" s="7"/>
      <c r="I298" s="7">
        <v>185708</v>
      </c>
      <c r="J298" s="244"/>
      <c r="K298" s="7">
        <f t="shared" si="57"/>
        <v>1664385</v>
      </c>
      <c r="L298" s="6"/>
      <c r="M298" s="438">
        <f t="shared" si="58"/>
        <v>1.3724753342416577E-2</v>
      </c>
      <c r="N298" s="29"/>
      <c r="O298" s="29"/>
      <c r="P298" s="29"/>
      <c r="Q298" s="332">
        <f t="shared" si="59"/>
        <v>22534</v>
      </c>
      <c r="R298" s="6"/>
      <c r="S298" s="7">
        <f>38155+19160+5995</f>
        <v>63310</v>
      </c>
      <c r="T298" s="6"/>
      <c r="U298" s="243">
        <f t="shared" si="60"/>
        <v>3.8038074123475034E-2</v>
      </c>
      <c r="W298">
        <f t="shared" si="20"/>
        <v>288</v>
      </c>
      <c r="Y298" s="56"/>
      <c r="AF298" s="549"/>
    </row>
    <row r="299" spans="3:32" x14ac:dyDescent="0.3">
      <c r="C299" s="157">
        <f t="shared" si="15"/>
        <v>44198</v>
      </c>
      <c r="E299" s="241">
        <v>1011665</v>
      </c>
      <c r="F299" s="7"/>
      <c r="G299" s="7">
        <v>488372</v>
      </c>
      <c r="H299" s="7"/>
      <c r="I299" s="7">
        <v>190120</v>
      </c>
      <c r="J299" s="244"/>
      <c r="K299" s="7">
        <f t="shared" si="57"/>
        <v>1690157</v>
      </c>
      <c r="L299" s="6"/>
      <c r="M299" s="438">
        <f t="shared" si="58"/>
        <v>1.5484398141055105E-2</v>
      </c>
      <c r="N299" s="29"/>
      <c r="O299" s="29"/>
      <c r="P299" s="29"/>
      <c r="Q299" s="332">
        <f t="shared" si="59"/>
        <v>25772</v>
      </c>
      <c r="R299" s="6"/>
      <c r="S299" s="7">
        <f>38155+19160+5995</f>
        <v>63310</v>
      </c>
      <c r="T299" s="6"/>
      <c r="U299" s="243">
        <f t="shared" si="60"/>
        <v>3.745805863005626E-2</v>
      </c>
      <c r="W299">
        <f t="shared" si="20"/>
        <v>289</v>
      </c>
      <c r="Y299" s="56"/>
      <c r="AF299" s="549"/>
    </row>
    <row r="300" spans="3:32" x14ac:dyDescent="0.3">
      <c r="C300" s="157">
        <f t="shared" si="15"/>
        <v>44199</v>
      </c>
      <c r="E300" s="241">
        <v>1023897</v>
      </c>
      <c r="F300" s="7"/>
      <c r="G300" s="7">
        <v>492042</v>
      </c>
      <c r="H300" s="7"/>
      <c r="I300" s="7">
        <v>190120</v>
      </c>
      <c r="J300" s="244"/>
      <c r="K300" s="7">
        <f t="shared" si="57"/>
        <v>1706059</v>
      </c>
      <c r="L300" s="6"/>
      <c r="M300" s="438">
        <f t="shared" si="58"/>
        <v>9.4085934028613916E-3</v>
      </c>
      <c r="N300" s="29"/>
      <c r="O300" s="29"/>
      <c r="P300" s="29"/>
      <c r="Q300" s="332">
        <f t="shared" si="59"/>
        <v>15902</v>
      </c>
      <c r="R300" s="6"/>
      <c r="S300" s="7">
        <f>38155+19160+5995</f>
        <v>63310</v>
      </c>
      <c r="T300" s="6"/>
      <c r="U300" s="243">
        <f t="shared" si="60"/>
        <v>3.7108915928464374E-2</v>
      </c>
      <c r="W300">
        <f t="shared" si="20"/>
        <v>290</v>
      </c>
      <c r="Y300" s="56"/>
      <c r="AF300" s="549"/>
    </row>
    <row r="301" spans="3:32" x14ac:dyDescent="0.3">
      <c r="C301" s="157">
        <f t="shared" si="15"/>
        <v>44200</v>
      </c>
      <c r="E301" s="241">
        <v>1035139</v>
      </c>
      <c r="F301" s="7"/>
      <c r="G301" s="7">
        <v>493102</v>
      </c>
      <c r="H301" s="7"/>
      <c r="I301" s="7">
        <v>194636</v>
      </c>
      <c r="J301" s="244"/>
      <c r="K301" s="7">
        <f t="shared" si="57"/>
        <v>1722877</v>
      </c>
      <c r="L301" s="6"/>
      <c r="M301" s="438">
        <f t="shared" si="58"/>
        <v>9.8578067933172298E-3</v>
      </c>
      <c r="N301" s="29"/>
      <c r="O301" s="29"/>
      <c r="P301" s="29"/>
      <c r="Q301" s="332">
        <f t="shared" si="59"/>
        <v>16818</v>
      </c>
      <c r="R301" s="6"/>
      <c r="S301" s="7">
        <f>38599+19225+6168</f>
        <v>63992</v>
      </c>
      <c r="T301" s="6"/>
      <c r="U301" s="243">
        <f t="shared" si="60"/>
        <v>3.714252381336567E-2</v>
      </c>
      <c r="W301">
        <f t="shared" si="20"/>
        <v>291</v>
      </c>
      <c r="Y301" s="56"/>
      <c r="AF301" s="549"/>
    </row>
    <row r="302" spans="3:32" x14ac:dyDescent="0.3">
      <c r="C302" s="157">
        <f t="shared" si="15"/>
        <v>44201</v>
      </c>
      <c r="D302" s="549" t="s">
        <v>26</v>
      </c>
      <c r="E302" s="241">
        <v>1060000</v>
      </c>
      <c r="F302" s="7"/>
      <c r="G302" s="7">
        <v>496000</v>
      </c>
      <c r="H302" s="7"/>
      <c r="I302" s="7">
        <v>196000</v>
      </c>
      <c r="J302" s="244"/>
      <c r="K302" s="7">
        <f t="shared" si="57"/>
        <v>1752000</v>
      </c>
      <c r="L302" s="6"/>
      <c r="M302" s="438">
        <f t="shared" si="58"/>
        <v>1.6903702353679339E-2</v>
      </c>
      <c r="N302" s="29"/>
      <c r="O302" s="29"/>
      <c r="P302" s="29"/>
      <c r="Q302" s="332">
        <f t="shared" si="59"/>
        <v>29123</v>
      </c>
      <c r="R302" s="6"/>
      <c r="S302" s="7">
        <f>38599+19225+6168</f>
        <v>63992</v>
      </c>
      <c r="T302" s="6"/>
      <c r="U302" s="243">
        <f t="shared" si="60"/>
        <v>3.6525114155251143E-2</v>
      </c>
      <c r="W302">
        <f t="shared" si="20"/>
        <v>292</v>
      </c>
      <c r="Y302" s="56"/>
      <c r="AF302" s="549"/>
    </row>
    <row r="303" spans="3:32" x14ac:dyDescent="0.3">
      <c r="C303" s="157">
        <f t="shared" si="15"/>
        <v>44202</v>
      </c>
      <c r="E303" s="241">
        <v>1064297</v>
      </c>
      <c r="F303" s="7"/>
      <c r="G303" s="7">
        <v>504647</v>
      </c>
      <c r="H303" s="7"/>
      <c r="I303" s="7">
        <v>199454</v>
      </c>
      <c r="J303" s="244"/>
      <c r="K303" s="7">
        <f t="shared" si="57"/>
        <v>1768398</v>
      </c>
      <c r="L303" s="6"/>
      <c r="M303" s="438">
        <f t="shared" si="58"/>
        <v>9.3595890410958903E-3</v>
      </c>
      <c r="N303" s="29"/>
      <c r="O303" s="29"/>
      <c r="P303" s="29"/>
      <c r="Q303" s="332">
        <f t="shared" si="59"/>
        <v>16398</v>
      </c>
      <c r="R303" s="6"/>
      <c r="S303" s="7">
        <f>38912+19523+6230</f>
        <v>64665</v>
      </c>
      <c r="T303" s="6"/>
      <c r="U303" s="243">
        <f t="shared" si="60"/>
        <v>3.656699453403589E-2</v>
      </c>
      <c r="W303">
        <f t="shared" si="20"/>
        <v>293</v>
      </c>
      <c r="Y303" s="56"/>
      <c r="AF303" s="549"/>
    </row>
    <row r="304" spans="3:32" x14ac:dyDescent="0.3">
      <c r="C304" s="157">
        <f t="shared" si="15"/>
        <v>44203</v>
      </c>
      <c r="E304" s="241">
        <v>1081885</v>
      </c>
      <c r="F304" s="7"/>
      <c r="G304" s="7">
        <v>510839</v>
      </c>
      <c r="H304" s="7"/>
      <c r="I304" s="7">
        <v>202758</v>
      </c>
      <c r="J304" s="244"/>
      <c r="K304" s="7">
        <f t="shared" si="57"/>
        <v>1795482</v>
      </c>
      <c r="L304" s="6"/>
      <c r="M304" s="438">
        <f t="shared" si="58"/>
        <v>1.5315556792079611E-2</v>
      </c>
      <c r="N304" s="29"/>
      <c r="O304" s="29"/>
      <c r="P304" s="29"/>
      <c r="Q304" s="332">
        <f t="shared" si="59"/>
        <v>27084</v>
      </c>
      <c r="R304" s="6"/>
      <c r="S304" s="7">
        <f>39118+19646+6287</f>
        <v>65051</v>
      </c>
      <c r="T304" s="6"/>
      <c r="U304" s="243">
        <f t="shared" si="60"/>
        <v>3.6230382705034078E-2</v>
      </c>
      <c r="W304">
        <f t="shared" si="20"/>
        <v>294</v>
      </c>
      <c r="Y304" s="56"/>
      <c r="AF304" s="549"/>
    </row>
    <row r="305" spans="3:32" x14ac:dyDescent="0.3">
      <c r="C305" s="157">
        <f t="shared" si="15"/>
        <v>44204</v>
      </c>
      <c r="E305" s="241">
        <v>1101445</v>
      </c>
      <c r="F305" s="7"/>
      <c r="G305" s="7">
        <v>516608</v>
      </c>
      <c r="H305" s="7"/>
      <c r="I305" s="7">
        <v>205994</v>
      </c>
      <c r="J305" s="244"/>
      <c r="K305" s="7">
        <f t="shared" si="57"/>
        <v>1824047</v>
      </c>
      <c r="L305" s="6"/>
      <c r="M305" s="438">
        <f t="shared" si="58"/>
        <v>1.5909376980665916E-2</v>
      </c>
      <c r="N305" s="29"/>
      <c r="O305" s="29"/>
      <c r="P305" s="29"/>
      <c r="Q305" s="332">
        <f t="shared" si="59"/>
        <v>28565</v>
      </c>
      <c r="R305" s="6"/>
      <c r="S305" s="7">
        <f>39282+19756+6324</f>
        <v>65362</v>
      </c>
      <c r="T305" s="6"/>
      <c r="U305" s="243">
        <f t="shared" si="60"/>
        <v>3.5833506483111455E-2</v>
      </c>
      <c r="W305">
        <f t="shared" si="20"/>
        <v>295</v>
      </c>
      <c r="Y305" s="56"/>
      <c r="AF305" s="549"/>
    </row>
    <row r="306" spans="3:32" x14ac:dyDescent="0.3">
      <c r="C306" s="157">
        <f t="shared" si="15"/>
        <v>44205</v>
      </c>
      <c r="E306" s="241">
        <v>1119284</v>
      </c>
      <c r="F306" s="7"/>
      <c r="G306" s="7">
        <v>523035</v>
      </c>
      <c r="H306" s="7"/>
      <c r="I306" s="7">
        <v>205994</v>
      </c>
      <c r="J306" s="244"/>
      <c r="K306" s="7">
        <f t="shared" si="57"/>
        <v>1848313</v>
      </c>
      <c r="L306" s="6"/>
      <c r="M306" s="438">
        <f t="shared" si="58"/>
        <v>1.3303385274611893E-2</v>
      </c>
      <c r="N306" s="29"/>
      <c r="O306" s="29"/>
      <c r="P306" s="29"/>
      <c r="Q306" s="332">
        <f t="shared" si="59"/>
        <v>24266</v>
      </c>
      <c r="R306" s="6"/>
      <c r="S306" s="7">
        <f>39471+19854+6324</f>
        <v>65649</v>
      </c>
      <c r="T306" s="6"/>
      <c r="U306" s="243">
        <f t="shared" si="60"/>
        <v>3.5518334827488632E-2</v>
      </c>
      <c r="W306">
        <f t="shared" si="20"/>
        <v>296</v>
      </c>
      <c r="Y306" s="56"/>
      <c r="AF306" s="549"/>
    </row>
    <row r="307" spans="3:32" x14ac:dyDescent="0.3">
      <c r="C307" s="157">
        <f t="shared" si="15"/>
        <v>44206</v>
      </c>
      <c r="D307" s="549" t="s">
        <v>26</v>
      </c>
      <c r="E307" s="241">
        <v>1139000</v>
      </c>
      <c r="F307" s="7"/>
      <c r="G307" s="7">
        <v>556000</v>
      </c>
      <c r="H307" s="7"/>
      <c r="I307" s="7">
        <v>209000</v>
      </c>
      <c r="J307" s="244"/>
      <c r="K307" s="7">
        <f t="shared" si="57"/>
        <v>1904000</v>
      </c>
      <c r="L307" s="6"/>
      <c r="M307" s="438">
        <f t="shared" si="58"/>
        <v>3.0128555066160332E-2</v>
      </c>
      <c r="N307" s="29"/>
      <c r="O307" s="29"/>
      <c r="P307" s="29"/>
      <c r="Q307" s="332">
        <f t="shared" si="59"/>
        <v>55687</v>
      </c>
      <c r="R307" s="6"/>
      <c r="S307" s="7">
        <f>39471+19854+6324</f>
        <v>65649</v>
      </c>
      <c r="T307" s="6"/>
      <c r="U307" s="243">
        <f t="shared" si="60"/>
        <v>3.447951680672269E-2</v>
      </c>
      <c r="W307">
        <f t="shared" si="20"/>
        <v>297</v>
      </c>
      <c r="Y307" s="56"/>
      <c r="AF307" s="549"/>
    </row>
    <row r="308" spans="3:32" x14ac:dyDescent="0.3">
      <c r="C308" s="157">
        <f t="shared" si="15"/>
        <v>44207</v>
      </c>
      <c r="E308" s="241">
        <v>1149771</v>
      </c>
      <c r="F308" s="7"/>
      <c r="G308" s="7">
        <v>590162</v>
      </c>
      <c r="H308" s="7"/>
      <c r="I308" s="7">
        <v>213358</v>
      </c>
      <c r="J308" s="244"/>
      <c r="K308" s="7">
        <f t="shared" si="57"/>
        <v>1953291</v>
      </c>
      <c r="L308" s="6"/>
      <c r="M308" s="438">
        <f t="shared" si="58"/>
        <v>2.5888130252100839E-2</v>
      </c>
      <c r="N308" s="29"/>
      <c r="O308" s="29"/>
      <c r="P308" s="29"/>
      <c r="Q308" s="332">
        <f t="shared" si="59"/>
        <v>49291</v>
      </c>
      <c r="R308" s="6"/>
      <c r="S308" s="7">
        <f>39834+19854+5186</f>
        <v>64874</v>
      </c>
      <c r="T308" s="6"/>
      <c r="U308" s="243">
        <f t="shared" si="60"/>
        <v>3.3212665189160245E-2</v>
      </c>
      <c r="W308">
        <f t="shared" si="20"/>
        <v>298</v>
      </c>
      <c r="Y308" s="56"/>
      <c r="AF308" s="549"/>
    </row>
    <row r="309" spans="3:32" x14ac:dyDescent="0.3">
      <c r="C309" s="157">
        <f t="shared" si="15"/>
        <v>44208</v>
      </c>
      <c r="E309" s="241">
        <v>1164562</v>
      </c>
      <c r="F309" s="7"/>
      <c r="G309" s="7">
        <v>594749</v>
      </c>
      <c r="H309" s="7"/>
      <c r="I309" s="7">
        <v>217047</v>
      </c>
      <c r="J309" s="244"/>
      <c r="K309" s="7">
        <f t="shared" si="57"/>
        <v>1976358</v>
      </c>
      <c r="L309" s="6"/>
      <c r="M309" s="438">
        <f t="shared" si="58"/>
        <v>1.1809300303948566E-2</v>
      </c>
      <c r="N309" s="29"/>
      <c r="O309" s="29"/>
      <c r="P309" s="29"/>
      <c r="Q309" s="332">
        <f t="shared" si="59"/>
        <v>23067</v>
      </c>
      <c r="R309" s="6"/>
      <c r="S309" s="7">
        <f>40020+20039+6449</f>
        <v>66508</v>
      </c>
      <c r="T309" s="6"/>
      <c r="U309" s="243">
        <f t="shared" si="60"/>
        <v>3.3651797903011496E-2</v>
      </c>
      <c r="W309">
        <f t="shared" si="20"/>
        <v>299</v>
      </c>
      <c r="Y309" s="56"/>
      <c r="AF309" s="549"/>
    </row>
    <row r="310" spans="3:32" x14ac:dyDescent="0.3">
      <c r="C310" s="157">
        <f t="shared" si="15"/>
        <v>44209</v>
      </c>
      <c r="E310" s="241">
        <v>1179266</v>
      </c>
      <c r="F310" s="7"/>
      <c r="G310" s="7">
        <v>602629</v>
      </c>
      <c r="H310" s="7"/>
      <c r="I310" s="7">
        <v>220576</v>
      </c>
      <c r="J310" s="244"/>
      <c r="K310" s="7">
        <f t="shared" si="57"/>
        <v>2002471</v>
      </c>
      <c r="L310" s="6"/>
      <c r="M310" s="438">
        <f t="shared" si="58"/>
        <v>1.321268717509682E-2</v>
      </c>
      <c r="N310" s="29"/>
      <c r="O310" s="29"/>
      <c r="P310" s="29"/>
      <c r="Q310" s="332">
        <f t="shared" si="59"/>
        <v>26113</v>
      </c>
      <c r="R310" s="6"/>
      <c r="S310" s="7">
        <f>40192+20161+6536</f>
        <v>66889</v>
      </c>
      <c r="T310" s="6"/>
      <c r="U310" s="243">
        <f t="shared" si="60"/>
        <v>3.3403230308953286E-2</v>
      </c>
      <c r="W310">
        <f t="shared" si="20"/>
        <v>300</v>
      </c>
      <c r="Y310" s="56"/>
      <c r="AF310" s="549"/>
    </row>
    <row r="311" spans="3:32" x14ac:dyDescent="0.3">
      <c r="C311" s="157">
        <f t="shared" si="15"/>
        <v>44210</v>
      </c>
      <c r="E311" s="241">
        <v>1193453</v>
      </c>
      <c r="F311" s="7"/>
      <c r="G311" s="7">
        <v>609721</v>
      </c>
      <c r="H311" s="7"/>
      <c r="I311" s="7">
        <v>221544</v>
      </c>
      <c r="J311" s="244"/>
      <c r="K311" s="7">
        <f t="shared" si="57"/>
        <v>2024718</v>
      </c>
      <c r="L311" s="6"/>
      <c r="M311" s="438">
        <f t="shared" si="58"/>
        <v>1.1109773874378205E-2</v>
      </c>
      <c r="N311" s="29"/>
      <c r="O311" s="29"/>
      <c r="P311" s="29"/>
      <c r="Q311" s="332">
        <f t="shared" si="59"/>
        <v>22247</v>
      </c>
      <c r="R311" s="6"/>
      <c r="S311" s="7">
        <f>40435+20161+6553</f>
        <v>67149</v>
      </c>
      <c r="T311" s="6"/>
      <c r="U311" s="243">
        <f t="shared" si="60"/>
        <v>3.3164618480203169E-2</v>
      </c>
      <c r="W311">
        <f t="shared" si="20"/>
        <v>301</v>
      </c>
      <c r="Y311" s="56"/>
      <c r="AF311" s="549"/>
    </row>
    <row r="312" spans="3:32" x14ac:dyDescent="0.3">
      <c r="C312" s="157">
        <f t="shared" si="15"/>
        <v>44211</v>
      </c>
      <c r="E312" s="241">
        <v>1212922</v>
      </c>
      <c r="F312" s="7"/>
      <c r="G312" s="7">
        <v>616032</v>
      </c>
      <c r="H312" s="7"/>
      <c r="I312" s="7">
        <v>223422</v>
      </c>
      <c r="J312" s="244"/>
      <c r="K312" s="7">
        <f t="shared" si="57"/>
        <v>2052376</v>
      </c>
      <c r="L312" s="6"/>
      <c r="M312" s="438">
        <f t="shared" si="58"/>
        <v>1.366017391063842E-2</v>
      </c>
      <c r="N312" s="29"/>
      <c r="O312" s="29"/>
      <c r="P312" s="29"/>
      <c r="Q312" s="332">
        <f t="shared" si="59"/>
        <v>27658</v>
      </c>
      <c r="R312" s="6"/>
      <c r="S312" s="7">
        <f>40637+20320+6594</f>
        <v>67551</v>
      </c>
      <c r="T312" s="6"/>
      <c r="U312" s="243">
        <f t="shared" si="60"/>
        <v>3.2913559698612732E-2</v>
      </c>
      <c r="W312">
        <f t="shared" si="20"/>
        <v>302</v>
      </c>
      <c r="Y312" s="56"/>
      <c r="AF312" s="549"/>
    </row>
    <row r="313" spans="3:32" x14ac:dyDescent="0.3">
      <c r="C313" s="157">
        <f t="shared" si="15"/>
        <v>44212</v>
      </c>
      <c r="E313" s="241">
        <v>1228867</v>
      </c>
      <c r="F313" s="7"/>
      <c r="G313" s="7">
        <v>622089</v>
      </c>
      <c r="H313" s="7"/>
      <c r="I313" s="7">
        <v>223422</v>
      </c>
      <c r="J313" s="244"/>
      <c r="K313" s="7">
        <f t="shared" si="57"/>
        <v>2074378</v>
      </c>
      <c r="L313" s="6"/>
      <c r="M313" s="438">
        <f t="shared" si="58"/>
        <v>1.0720257886469147E-2</v>
      </c>
      <c r="N313" s="29"/>
      <c r="O313" s="29"/>
      <c r="P313" s="29"/>
      <c r="Q313" s="332">
        <f t="shared" si="59"/>
        <v>22002</v>
      </c>
      <c r="R313" s="6"/>
      <c r="S313" s="7">
        <f>40806+20414+6594</f>
        <v>67814</v>
      </c>
      <c r="T313" s="6"/>
      <c r="U313" s="243">
        <f t="shared" si="60"/>
        <v>3.2691245279307821E-2</v>
      </c>
      <c r="W313">
        <f t="shared" si="20"/>
        <v>303</v>
      </c>
      <c r="Y313" s="56"/>
      <c r="AF313" s="549"/>
    </row>
    <row r="314" spans="3:32" x14ac:dyDescent="0.3">
      <c r="C314" s="157">
        <f t="shared" si="15"/>
        <v>44213</v>
      </c>
      <c r="E314" s="241">
        <v>1242561</v>
      </c>
      <c r="F314" s="7"/>
      <c r="G314" s="7">
        <v>622089</v>
      </c>
      <c r="H314" s="7"/>
      <c r="I314" s="7">
        <v>223422</v>
      </c>
      <c r="J314" s="244"/>
      <c r="K314" s="7">
        <f t="shared" si="57"/>
        <v>2088072</v>
      </c>
      <c r="L314" s="6"/>
      <c r="M314" s="438">
        <f t="shared" si="58"/>
        <v>6.6014969306461982E-3</v>
      </c>
      <c r="N314" s="29"/>
      <c r="O314" s="29"/>
      <c r="P314" s="29"/>
      <c r="Q314" s="332">
        <f t="shared" si="59"/>
        <v>13694</v>
      </c>
      <c r="R314" s="6"/>
      <c r="S314" s="7">
        <f>40993+20414+6594</f>
        <v>68001</v>
      </c>
      <c r="T314" s="6"/>
      <c r="U314" s="243">
        <f t="shared" si="60"/>
        <v>3.2566405756123351E-2</v>
      </c>
      <c r="W314">
        <f t="shared" si="20"/>
        <v>304</v>
      </c>
      <c r="Y314" s="56"/>
      <c r="AF314" s="549"/>
    </row>
    <row r="315" spans="3:32" x14ac:dyDescent="0.3">
      <c r="C315" s="157">
        <f t="shared" si="15"/>
        <v>44214</v>
      </c>
      <c r="E315" s="241">
        <v>1255971</v>
      </c>
      <c r="F315" s="7"/>
      <c r="G315" s="7">
        <v>631074</v>
      </c>
      <c r="H315" s="7"/>
      <c r="I315" s="7">
        <v>230125</v>
      </c>
      <c r="J315" s="244"/>
      <c r="K315" s="7">
        <f t="shared" si="57"/>
        <v>2117170</v>
      </c>
      <c r="L315" s="6"/>
      <c r="M315" s="438">
        <f t="shared" si="58"/>
        <v>1.3935343225712523E-2</v>
      </c>
      <c r="N315" s="29"/>
      <c r="O315" s="29"/>
      <c r="P315" s="29"/>
      <c r="Q315" s="332">
        <f t="shared" si="59"/>
        <v>29098</v>
      </c>
      <c r="R315" s="6"/>
      <c r="S315" s="7">
        <f>41173+20458+6670</f>
        <v>68301</v>
      </c>
      <c r="T315" s="6"/>
      <c r="U315" s="243">
        <f t="shared" si="60"/>
        <v>3.2260517577709868E-2</v>
      </c>
      <c r="W315">
        <f t="shared" si="20"/>
        <v>305</v>
      </c>
      <c r="Y315" s="56"/>
      <c r="AF315" s="549"/>
    </row>
    <row r="316" spans="3:32" x14ac:dyDescent="0.3">
      <c r="C316" s="157">
        <f t="shared" si="15"/>
        <v>44215</v>
      </c>
      <c r="E316" s="241">
        <v>1268692</v>
      </c>
      <c r="F316" s="7"/>
      <c r="G316" s="7">
        <v>635702</v>
      </c>
      <c r="H316" s="7"/>
      <c r="I316" s="7">
        <v>232219</v>
      </c>
      <c r="J316" s="244"/>
      <c r="K316" s="7">
        <f t="shared" si="57"/>
        <v>2136613</v>
      </c>
      <c r="L316" s="6"/>
      <c r="M316" s="438">
        <f t="shared" si="58"/>
        <v>9.1834855018727828E-3</v>
      </c>
      <c r="N316" s="29"/>
      <c r="O316" s="29"/>
      <c r="P316" s="29"/>
      <c r="Q316" s="332">
        <f t="shared" si="59"/>
        <v>19443</v>
      </c>
      <c r="R316" s="6"/>
      <c r="S316" s="7">
        <f>41368+20512+6682</f>
        <v>68562</v>
      </c>
      <c r="T316" s="6"/>
      <c r="U316" s="243">
        <f t="shared" si="60"/>
        <v>3.2089105514194666E-2</v>
      </c>
      <c r="W316">
        <f t="shared" si="20"/>
        <v>306</v>
      </c>
      <c r="Y316" s="56"/>
      <c r="AF316" s="549"/>
    </row>
    <row r="317" spans="3:32" x14ac:dyDescent="0.3">
      <c r="C317" s="157">
        <f t="shared" si="15"/>
        <v>44216</v>
      </c>
      <c r="E317" s="241">
        <v>1279811</v>
      </c>
      <c r="F317" s="7"/>
      <c r="G317" s="7">
        <v>641140</v>
      </c>
      <c r="H317" s="7"/>
      <c r="I317" s="7">
        <v>234134</v>
      </c>
      <c r="J317" s="244"/>
      <c r="K317" s="7">
        <f t="shared" si="57"/>
        <v>2155085</v>
      </c>
      <c r="L317" s="6"/>
      <c r="M317" s="438">
        <f t="shared" si="58"/>
        <v>8.6454589577054895E-3</v>
      </c>
      <c r="N317" s="29"/>
      <c r="O317" s="29"/>
      <c r="P317" s="29"/>
      <c r="Q317" s="332">
        <f t="shared" si="59"/>
        <v>18472</v>
      </c>
      <c r="R317" s="6"/>
      <c r="S317" s="7">
        <f>41587+20664+6726</f>
        <v>68977</v>
      </c>
      <c r="T317" s="6"/>
      <c r="U317" s="243">
        <f t="shared" si="60"/>
        <v>3.2006626188758214E-2</v>
      </c>
      <c r="W317">
        <f t="shared" si="20"/>
        <v>307</v>
      </c>
      <c r="Y317" s="56"/>
      <c r="AF317" s="549"/>
    </row>
    <row r="318" spans="3:32" x14ac:dyDescent="0.3">
      <c r="C318" s="157">
        <f t="shared" si="15"/>
        <v>44217</v>
      </c>
      <c r="E318" s="241">
        <v>1293719</v>
      </c>
      <c r="F318" s="7"/>
      <c r="G318" s="7">
        <v>646189</v>
      </c>
      <c r="H318" s="7"/>
      <c r="I318" s="7">
        <v>235796</v>
      </c>
      <c r="J318" s="244"/>
      <c r="K318" s="7">
        <f t="shared" si="57"/>
        <v>2175704</v>
      </c>
      <c r="L318" s="6"/>
      <c r="M318" s="438">
        <f t="shared" si="58"/>
        <v>9.5676040620207552E-3</v>
      </c>
      <c r="N318" s="29"/>
      <c r="O318" s="29"/>
      <c r="P318" s="29"/>
      <c r="Q318" s="332">
        <f t="shared" si="59"/>
        <v>20619</v>
      </c>
      <c r="R318" s="6"/>
      <c r="S318" s="7">
        <f>41787+20760+6774</f>
        <v>69321</v>
      </c>
      <c r="T318" s="6"/>
      <c r="U318" s="243">
        <f t="shared" si="60"/>
        <v>3.1861411294918797E-2</v>
      </c>
      <c r="W318">
        <f t="shared" si="20"/>
        <v>308</v>
      </c>
      <c r="Y318" s="56"/>
      <c r="AF318" s="549"/>
    </row>
    <row r="319" spans="3:32" x14ac:dyDescent="0.3">
      <c r="C319" s="157">
        <f t="shared" si="15"/>
        <v>44218</v>
      </c>
      <c r="E319" s="241">
        <v>1309403</v>
      </c>
      <c r="F319" s="7"/>
      <c r="G319" s="7">
        <v>650389</v>
      </c>
      <c r="H319" s="7"/>
      <c r="I319" s="7">
        <v>237815</v>
      </c>
      <c r="J319" s="244"/>
      <c r="K319" s="7">
        <f t="shared" si="57"/>
        <v>2197607</v>
      </c>
      <c r="L319" s="6"/>
      <c r="M319" s="438">
        <f t="shared" si="58"/>
        <v>1.0067086331596578E-2</v>
      </c>
      <c r="N319" s="29"/>
      <c r="O319" s="29"/>
      <c r="P319" s="29"/>
      <c r="Q319" s="332">
        <f t="shared" si="59"/>
        <v>21903</v>
      </c>
      <c r="R319" s="6"/>
      <c r="S319" s="7">
        <f>41974+20875+6819</f>
        <v>69668</v>
      </c>
      <c r="T319" s="6"/>
      <c r="U319" s="243">
        <f t="shared" si="60"/>
        <v>3.1701755591422853E-2</v>
      </c>
      <c r="W319">
        <f t="shared" si="20"/>
        <v>309</v>
      </c>
      <c r="Y319" s="56"/>
      <c r="AF319" s="549"/>
    </row>
    <row r="320" spans="3:32" x14ac:dyDescent="0.3">
      <c r="C320" s="157">
        <f t="shared" si="15"/>
        <v>44219</v>
      </c>
      <c r="E320" s="241">
        <f>1335695-7500</f>
        <v>1328195</v>
      </c>
      <c r="F320" s="7"/>
      <c r="G320" s="7">
        <f>662808-2500</f>
        <v>660308</v>
      </c>
      <c r="H320" s="7"/>
      <c r="I320" s="7">
        <v>237815</v>
      </c>
      <c r="J320" s="244"/>
      <c r="K320" s="7">
        <f t="shared" si="57"/>
        <v>2226318</v>
      </c>
      <c r="L320" s="6"/>
      <c r="M320" s="438">
        <f t="shared" si="58"/>
        <v>1.3064665338252016E-2</v>
      </c>
      <c r="N320" s="29"/>
      <c r="O320" s="29"/>
      <c r="P320" s="29"/>
      <c r="Q320" s="332">
        <f t="shared" si="59"/>
        <v>28711</v>
      </c>
      <c r="R320" s="6"/>
      <c r="S320" s="7">
        <f>42325+20951+6819</f>
        <v>70095</v>
      </c>
      <c r="T320" s="6"/>
      <c r="U320" s="243">
        <f t="shared" si="60"/>
        <v>3.1484720511625021E-2</v>
      </c>
      <c r="W320">
        <f t="shared" si="20"/>
        <v>310</v>
      </c>
      <c r="Y320" s="56"/>
      <c r="AF320" s="549"/>
    </row>
    <row r="321" spans="3:32" x14ac:dyDescent="0.3">
      <c r="C321" s="157">
        <f t="shared" si="15"/>
        <v>44220</v>
      </c>
      <c r="E321" s="241">
        <v>1335695</v>
      </c>
      <c r="F321" s="7"/>
      <c r="G321" s="7">
        <f>662808-500</f>
        <v>662308</v>
      </c>
      <c r="H321" s="7"/>
      <c r="I321" s="7">
        <v>237815</v>
      </c>
      <c r="J321" s="244"/>
      <c r="K321" s="7">
        <f t="shared" si="57"/>
        <v>2235818</v>
      </c>
      <c r="L321" s="6"/>
      <c r="M321" s="438">
        <f t="shared" si="58"/>
        <v>4.2671352430335647E-3</v>
      </c>
      <c r="N321" s="29"/>
      <c r="O321" s="29"/>
      <c r="P321" s="29"/>
      <c r="Q321" s="332">
        <f t="shared" si="59"/>
        <v>9500</v>
      </c>
      <c r="R321" s="6"/>
      <c r="S321" s="7">
        <f>42325+20951+6819</f>
        <v>70095</v>
      </c>
      <c r="T321" s="6"/>
      <c r="U321" s="243">
        <f t="shared" si="60"/>
        <v>3.1350941802955341E-2</v>
      </c>
      <c r="W321">
        <f t="shared" si="20"/>
        <v>311</v>
      </c>
      <c r="Y321" s="56"/>
      <c r="AF321" s="549"/>
    </row>
    <row r="322" spans="3:32" x14ac:dyDescent="0.3">
      <c r="C322" s="157">
        <f t="shared" si="15"/>
        <v>44221</v>
      </c>
      <c r="E322" s="241">
        <v>1347667</v>
      </c>
      <c r="F322" s="7"/>
      <c r="G322" s="7">
        <v>666951</v>
      </c>
      <c r="H322" s="7"/>
      <c r="I322" s="7">
        <v>243632</v>
      </c>
      <c r="J322" s="244"/>
      <c r="K322" s="7">
        <f t="shared" si="57"/>
        <v>2258250</v>
      </c>
      <c r="L322" s="6"/>
      <c r="M322" s="438">
        <f t="shared" si="58"/>
        <v>1.0033016998700251E-2</v>
      </c>
      <c r="N322" s="29"/>
      <c r="O322" s="29"/>
      <c r="P322" s="29"/>
      <c r="Q322" s="332">
        <f t="shared" si="59"/>
        <v>22432</v>
      </c>
      <c r="R322" s="6"/>
      <c r="S322" s="7">
        <f>42544+20972+6911</f>
        <v>70427</v>
      </c>
      <c r="T322" s="6"/>
      <c r="U322" s="243">
        <f t="shared" si="60"/>
        <v>3.1186538248643862E-2</v>
      </c>
      <c r="W322">
        <f t="shared" si="20"/>
        <v>312</v>
      </c>
      <c r="Y322" s="56"/>
      <c r="AF322" s="549"/>
    </row>
    <row r="323" spans="3:32" x14ac:dyDescent="0.3">
      <c r="C323" s="157">
        <f t="shared" si="15"/>
        <v>44222</v>
      </c>
      <c r="E323" s="241">
        <v>1358707</v>
      </c>
      <c r="F323" s="7"/>
      <c r="G323" s="7">
        <v>671781</v>
      </c>
      <c r="H323" s="7"/>
      <c r="I323" s="7">
        <v>244899</v>
      </c>
      <c r="J323" s="244"/>
      <c r="K323" s="7">
        <f t="shared" si="57"/>
        <v>2275387</v>
      </c>
      <c r="L323" s="6"/>
      <c r="M323" s="438">
        <f t="shared" si="58"/>
        <v>7.5886195062548432E-3</v>
      </c>
      <c r="N323" s="29"/>
      <c r="O323" s="29"/>
      <c r="P323" s="29"/>
      <c r="Q323" s="332">
        <f t="shared" si="59"/>
        <v>17137</v>
      </c>
      <c r="R323" s="6"/>
      <c r="S323" s="7">
        <f>42726+21105+6934</f>
        <v>70765</v>
      </c>
      <c r="T323" s="6"/>
      <c r="U323" s="243">
        <f t="shared" si="60"/>
        <v>3.110020405320062E-2</v>
      </c>
      <c r="W323">
        <f t="shared" si="20"/>
        <v>313</v>
      </c>
      <c r="Y323" s="56"/>
      <c r="AF323" s="549"/>
    </row>
    <row r="324" spans="3:32" x14ac:dyDescent="0.3">
      <c r="C324" s="157">
        <f t="shared" si="15"/>
        <v>44223</v>
      </c>
      <c r="E324" s="241">
        <v>1369072</v>
      </c>
      <c r="F324" s="7"/>
      <c r="G324" s="7">
        <v>676537</v>
      </c>
      <c r="H324" s="7"/>
      <c r="I324" s="7">
        <v>247339</v>
      </c>
      <c r="J324" s="244"/>
      <c r="K324" s="7">
        <f t="shared" si="57"/>
        <v>2292948</v>
      </c>
      <c r="L324" s="6"/>
      <c r="M324" s="438">
        <f t="shared" si="58"/>
        <v>7.7178080036494892E-3</v>
      </c>
      <c r="N324" s="29"/>
      <c r="O324" s="29"/>
      <c r="P324" s="29"/>
      <c r="Q324" s="332">
        <f t="shared" si="59"/>
        <v>17561</v>
      </c>
      <c r="R324" s="6"/>
      <c r="S324" s="7">
        <f>42887+21220+6976</f>
        <v>71083</v>
      </c>
      <c r="T324" s="6"/>
      <c r="U324" s="243">
        <f t="shared" si="60"/>
        <v>3.1000703025101311E-2</v>
      </c>
      <c r="W324">
        <f t="shared" si="20"/>
        <v>314</v>
      </c>
      <c r="Y324" s="56"/>
      <c r="AF324" s="549"/>
    </row>
    <row r="325" spans="3:32" x14ac:dyDescent="0.3">
      <c r="C325" s="157">
        <f t="shared" si="15"/>
        <v>44224</v>
      </c>
      <c r="E325" s="241">
        <v>1382855</v>
      </c>
      <c r="F325" s="7"/>
      <c r="G325" s="7">
        <v>676537</v>
      </c>
      <c r="H325" s="7"/>
      <c r="I325" s="7">
        <v>248765</v>
      </c>
      <c r="J325" s="244"/>
      <c r="K325" s="7">
        <f t="shared" si="57"/>
        <v>2308157</v>
      </c>
      <c r="L325" s="6"/>
      <c r="M325" s="438">
        <f t="shared" si="58"/>
        <v>6.6329458845119909E-3</v>
      </c>
      <c r="N325" s="29"/>
      <c r="O325" s="29"/>
      <c r="P325" s="29"/>
      <c r="Q325" s="332">
        <f t="shared" si="59"/>
        <v>15209</v>
      </c>
      <c r="R325" s="6"/>
      <c r="S325" s="7">
        <f>43093+21220+7020</f>
        <v>71333</v>
      </c>
      <c r="T325" s="6"/>
      <c r="U325" s="243">
        <f t="shared" si="60"/>
        <v>3.0904743481487612E-2</v>
      </c>
      <c r="W325">
        <f t="shared" si="20"/>
        <v>315</v>
      </c>
      <c r="Y325" s="56"/>
      <c r="AF325" s="549"/>
    </row>
    <row r="326" spans="3:32" x14ac:dyDescent="0.3">
      <c r="C326" s="157">
        <f t="shared" si="15"/>
        <v>44225</v>
      </c>
      <c r="E326" s="241">
        <v>1395806</v>
      </c>
      <c r="F326" s="7"/>
      <c r="G326" s="7">
        <v>687269</v>
      </c>
      <c r="H326" s="7"/>
      <c r="I326" s="7">
        <v>250023</v>
      </c>
      <c r="J326" s="244"/>
      <c r="K326" s="7">
        <f t="shared" si="57"/>
        <v>2333098</v>
      </c>
      <c r="L326" s="6"/>
      <c r="M326" s="438">
        <f t="shared" si="58"/>
        <v>1.0805590780869758E-2</v>
      </c>
      <c r="N326" s="29"/>
      <c r="O326" s="29"/>
      <c r="P326" s="29"/>
      <c r="Q326" s="332">
        <f t="shared" si="59"/>
        <v>24941</v>
      </c>
      <c r="R326" s="6"/>
      <c r="S326" s="7">
        <f>43278+21383+7046</f>
        <v>71707</v>
      </c>
      <c r="T326" s="6"/>
      <c r="U326" s="243">
        <f t="shared" si="60"/>
        <v>3.0734671239699318E-2</v>
      </c>
      <c r="W326">
        <f t="shared" si="20"/>
        <v>316</v>
      </c>
      <c r="Y326" s="56"/>
      <c r="AF326" s="549"/>
    </row>
    <row r="327" spans="3:32" x14ac:dyDescent="0.3">
      <c r="C327" s="157">
        <f t="shared" si="15"/>
        <v>44226</v>
      </c>
      <c r="E327" s="241">
        <v>1408698</v>
      </c>
      <c r="F327" s="7"/>
      <c r="G327" s="7">
        <v>692543</v>
      </c>
      <c r="H327" s="7"/>
      <c r="I327" s="7">
        <v>250023</v>
      </c>
      <c r="J327" s="244"/>
      <c r="K327" s="7">
        <f t="shared" ref="K327:K358" si="61">SUM(E327:I327)</f>
        <v>2351264</v>
      </c>
      <c r="L327" s="6"/>
      <c r="M327" s="438">
        <f t="shared" ref="M327:M358" si="62">+(K327-K326)/K326</f>
        <v>7.7862138667128431E-3</v>
      </c>
      <c r="N327" s="29"/>
      <c r="O327" s="29"/>
      <c r="P327" s="29"/>
      <c r="Q327" s="332">
        <f t="shared" ref="Q327:Q358" si="63">+K327-K326</f>
        <v>18166</v>
      </c>
      <c r="R327" s="6"/>
      <c r="S327" s="7">
        <f>43453+21455+7046</f>
        <v>71954</v>
      </c>
      <c r="T327" s="6"/>
      <c r="U327" s="243">
        <f t="shared" ref="U327:U358" si="64">+S327/K327</f>
        <v>3.0602263293275447E-2</v>
      </c>
      <c r="W327">
        <f t="shared" si="20"/>
        <v>317</v>
      </c>
      <c r="Y327" s="56"/>
      <c r="AF327" s="549"/>
    </row>
    <row r="328" spans="3:32" x14ac:dyDescent="0.3">
      <c r="C328" s="157">
        <f t="shared" si="15"/>
        <v>44227</v>
      </c>
      <c r="E328" s="241">
        <v>1419907</v>
      </c>
      <c r="F328" s="7"/>
      <c r="G328" s="7">
        <v>696829</v>
      </c>
      <c r="H328" s="7"/>
      <c r="I328" s="7">
        <v>250023</v>
      </c>
      <c r="J328" s="244"/>
      <c r="K328" s="7">
        <f t="shared" si="61"/>
        <v>2366759</v>
      </c>
      <c r="L328" s="6"/>
      <c r="M328" s="438">
        <f t="shared" si="62"/>
        <v>6.5900724036092925E-3</v>
      </c>
      <c r="N328" s="29"/>
      <c r="O328" s="29"/>
      <c r="P328" s="29"/>
      <c r="Q328" s="332">
        <f t="shared" si="63"/>
        <v>15495</v>
      </c>
      <c r="R328" s="6"/>
      <c r="S328" s="7">
        <f>43634+21484+7046</f>
        <v>72164</v>
      </c>
      <c r="T328" s="6"/>
      <c r="U328" s="243">
        <f t="shared" si="64"/>
        <v>3.0490641421454402E-2</v>
      </c>
      <c r="W328">
        <f t="shared" si="20"/>
        <v>318</v>
      </c>
      <c r="Y328" s="56"/>
      <c r="AF328" s="549"/>
    </row>
    <row r="329" spans="3:32" x14ac:dyDescent="0.3">
      <c r="C329" s="157">
        <f t="shared" si="15"/>
        <v>44228</v>
      </c>
      <c r="E329" s="241">
        <f>1436788-5500</f>
        <v>1431288</v>
      </c>
      <c r="F329" s="7"/>
      <c r="G329" s="7">
        <f>703496-3500</f>
        <v>699996</v>
      </c>
      <c r="H329" s="7"/>
      <c r="I329" s="7">
        <f>256522-2000</f>
        <v>254522</v>
      </c>
      <c r="J329" s="244"/>
      <c r="K329" s="7">
        <f t="shared" si="61"/>
        <v>2385806</v>
      </c>
      <c r="L329" s="6"/>
      <c r="M329" s="438">
        <f t="shared" si="62"/>
        <v>8.0477141948123998E-3</v>
      </c>
      <c r="N329" s="29"/>
      <c r="O329" s="29"/>
      <c r="P329" s="29"/>
      <c r="Q329" s="332">
        <f t="shared" si="63"/>
        <v>19047</v>
      </c>
      <c r="R329" s="6"/>
      <c r="S329" s="7">
        <f>43978+21584+7133</f>
        <v>72695</v>
      </c>
      <c r="T329" s="6"/>
      <c r="U329" s="243">
        <f t="shared" si="64"/>
        <v>3.0469786730354439E-2</v>
      </c>
      <c r="W329">
        <f t="shared" si="20"/>
        <v>319</v>
      </c>
      <c r="Y329" s="56"/>
      <c r="AF329" s="549"/>
    </row>
    <row r="330" spans="3:32" x14ac:dyDescent="0.3">
      <c r="C330" s="157">
        <f t="shared" si="15"/>
        <v>44229</v>
      </c>
      <c r="E330" s="241">
        <v>1436788</v>
      </c>
      <c r="F330" s="7"/>
      <c r="G330" s="7">
        <v>703496</v>
      </c>
      <c r="H330" s="7"/>
      <c r="I330" s="7">
        <v>256522</v>
      </c>
      <c r="J330" s="244"/>
      <c r="K330" s="7">
        <f t="shared" si="61"/>
        <v>2396806</v>
      </c>
      <c r="L330" s="6"/>
      <c r="M330" s="438">
        <f t="shared" si="62"/>
        <v>4.6106011972473875E-3</v>
      </c>
      <c r="N330" s="29"/>
      <c r="O330" s="29"/>
      <c r="P330" s="29"/>
      <c r="Q330" s="332">
        <f t="shared" si="63"/>
        <v>11000</v>
      </c>
      <c r="R330" s="6"/>
      <c r="S330" s="7">
        <f>43978+21584+7133</f>
        <v>72695</v>
      </c>
      <c r="T330" s="6"/>
      <c r="U330" s="243">
        <f t="shared" si="64"/>
        <v>3.032994743838258E-2</v>
      </c>
      <c r="W330">
        <f t="shared" si="20"/>
        <v>320</v>
      </c>
      <c r="Y330" s="56"/>
      <c r="AF330" s="549"/>
    </row>
    <row r="331" spans="3:32" x14ac:dyDescent="0.3">
      <c r="C331" s="157">
        <f t="shared" si="15"/>
        <v>44230</v>
      </c>
      <c r="E331" s="241">
        <v>1443942</v>
      </c>
      <c r="F331" s="7"/>
      <c r="G331" s="7">
        <v>705807</v>
      </c>
      <c r="H331" s="7"/>
      <c r="I331" s="7">
        <v>257004</v>
      </c>
      <c r="J331" s="244"/>
      <c r="K331" s="7">
        <f t="shared" si="61"/>
        <v>2406753</v>
      </c>
      <c r="L331" s="6"/>
      <c r="M331" s="438">
        <f t="shared" si="62"/>
        <v>4.1501064333116658E-3</v>
      </c>
      <c r="N331" s="29"/>
      <c r="O331" s="29"/>
      <c r="P331" s="29"/>
      <c r="Q331" s="332">
        <f t="shared" si="63"/>
        <v>9947</v>
      </c>
      <c r="R331" s="6"/>
      <c r="S331" s="7">
        <f>44148+21693+7157</f>
        <v>72998</v>
      </c>
      <c r="T331" s="6"/>
      <c r="U331" s="243">
        <f t="shared" si="64"/>
        <v>3.0330490914522595E-2</v>
      </c>
      <c r="W331">
        <f t="shared" si="20"/>
        <v>321</v>
      </c>
      <c r="Y331" s="56"/>
      <c r="AF331" s="549"/>
    </row>
    <row r="332" spans="3:32" x14ac:dyDescent="0.3">
      <c r="C332" s="157">
        <f t="shared" si="15"/>
        <v>44231</v>
      </c>
      <c r="E332" s="241">
        <v>1450912</v>
      </c>
      <c r="F332" s="7"/>
      <c r="G332" s="7">
        <v>709096</v>
      </c>
      <c r="H332" s="7"/>
      <c r="I332" s="7">
        <v>257941</v>
      </c>
      <c r="J332" s="244"/>
      <c r="K332" s="7">
        <f t="shared" si="61"/>
        <v>2417949</v>
      </c>
      <c r="L332" s="6"/>
      <c r="M332" s="438">
        <f t="shared" si="62"/>
        <v>4.6519106863064054E-3</v>
      </c>
      <c r="N332" s="29"/>
      <c r="O332" s="29"/>
      <c r="P332" s="29"/>
      <c r="Q332" s="332">
        <f t="shared" si="63"/>
        <v>11196</v>
      </c>
      <c r="R332" s="6"/>
      <c r="S332" s="7">
        <f>44298+21793+7185</f>
        <v>73276</v>
      </c>
      <c r="T332" s="6"/>
      <c r="U332" s="243">
        <f t="shared" si="64"/>
        <v>3.0305022976084277E-2</v>
      </c>
      <c r="W332">
        <f t="shared" si="20"/>
        <v>322</v>
      </c>
      <c r="Y332" s="56"/>
      <c r="AF332" s="549"/>
    </row>
    <row r="333" spans="3:32" x14ac:dyDescent="0.3">
      <c r="C333" s="157">
        <f t="shared" si="15"/>
        <v>44232</v>
      </c>
      <c r="E333" s="241">
        <v>1458809</v>
      </c>
      <c r="F333" s="7"/>
      <c r="G333" s="7">
        <v>713324</v>
      </c>
      <c r="H333" s="7"/>
      <c r="I333" s="7">
        <v>259372</v>
      </c>
      <c r="J333" s="244"/>
      <c r="K333" s="7">
        <f t="shared" si="61"/>
        <v>2431505</v>
      </c>
      <c r="L333" s="6"/>
      <c r="M333" s="438">
        <f t="shared" si="62"/>
        <v>5.6064044361564284E-3</v>
      </c>
      <c r="N333" s="29"/>
      <c r="O333" s="29"/>
      <c r="P333" s="29"/>
      <c r="Q333" s="332">
        <f t="shared" si="63"/>
        <v>13556</v>
      </c>
      <c r="R333" s="6"/>
      <c r="S333" s="7">
        <f>44466+21886+7214</f>
        <v>73566</v>
      </c>
      <c r="T333" s="6"/>
      <c r="U333" s="243">
        <f t="shared" si="64"/>
        <v>3.0255335687156718E-2</v>
      </c>
      <c r="W333">
        <f t="shared" si="20"/>
        <v>323</v>
      </c>
      <c r="Y333" s="56"/>
      <c r="AF333" s="549"/>
    </row>
    <row r="334" spans="3:32" x14ac:dyDescent="0.3">
      <c r="C334" s="157">
        <f t="shared" si="15"/>
        <v>44233</v>
      </c>
      <c r="E334" s="241">
        <v>1464399</v>
      </c>
      <c r="F334" s="7"/>
      <c r="G334" s="7">
        <v>717835</v>
      </c>
      <c r="H334" s="7"/>
      <c r="I334" s="7">
        <v>259372</v>
      </c>
      <c r="J334" s="244"/>
      <c r="K334" s="7">
        <f t="shared" si="61"/>
        <v>2441606</v>
      </c>
      <c r="L334" s="6"/>
      <c r="M334" s="438">
        <f t="shared" si="62"/>
        <v>4.1542172440525516E-3</v>
      </c>
      <c r="N334" s="29"/>
      <c r="O334" s="29"/>
      <c r="P334" s="29"/>
      <c r="Q334" s="332">
        <f t="shared" si="63"/>
        <v>10101</v>
      </c>
      <c r="R334" s="6"/>
      <c r="S334" s="7">
        <f>44664+21964+7214</f>
        <v>73842</v>
      </c>
      <c r="T334" s="6"/>
      <c r="U334" s="243">
        <f t="shared" si="64"/>
        <v>3.0243208773241874E-2</v>
      </c>
      <c r="W334">
        <f t="shared" si="20"/>
        <v>324</v>
      </c>
      <c r="Y334" s="56"/>
      <c r="AF334" s="549"/>
    </row>
    <row r="335" spans="3:32" x14ac:dyDescent="0.3">
      <c r="C335" s="157">
        <f t="shared" si="15"/>
        <v>44234</v>
      </c>
      <c r="E335" s="241">
        <v>1480224</v>
      </c>
      <c r="F335" s="7"/>
      <c r="G335" s="7">
        <v>722167</v>
      </c>
      <c r="H335" s="7"/>
      <c r="I335" s="7">
        <v>259372</v>
      </c>
      <c r="J335" s="244"/>
      <c r="K335" s="7">
        <f t="shared" si="61"/>
        <v>2461763</v>
      </c>
      <c r="L335" s="6"/>
      <c r="M335" s="438">
        <f t="shared" si="62"/>
        <v>8.2556317440242201E-3</v>
      </c>
      <c r="N335" s="29"/>
      <c r="O335" s="29"/>
      <c r="P335" s="29"/>
      <c r="Q335" s="332">
        <f t="shared" si="63"/>
        <v>20157</v>
      </c>
      <c r="R335" s="6"/>
      <c r="S335" s="7">
        <f>44839+21989+7214</f>
        <v>74042</v>
      </c>
      <c r="T335" s="6"/>
      <c r="U335" s="243">
        <f t="shared" si="64"/>
        <v>3.0076818930173214E-2</v>
      </c>
      <c r="W335">
        <f t="shared" si="20"/>
        <v>325</v>
      </c>
      <c r="Y335" s="56"/>
      <c r="AF335" s="549"/>
    </row>
    <row r="336" spans="3:32" x14ac:dyDescent="0.3">
      <c r="C336" s="157">
        <f t="shared" si="15"/>
        <v>44235</v>
      </c>
      <c r="D336" s="549" t="s">
        <v>26</v>
      </c>
      <c r="E336" s="241">
        <f>1480224+7500</f>
        <v>1487724</v>
      </c>
      <c r="F336" s="7"/>
      <c r="G336" s="7">
        <f>722167+3000</f>
        <v>725167</v>
      </c>
      <c r="H336" s="7"/>
      <c r="I336" s="7">
        <f>259372</f>
        <v>259372</v>
      </c>
      <c r="J336" s="244"/>
      <c r="K336" s="7">
        <f t="shared" si="61"/>
        <v>2472263</v>
      </c>
      <c r="L336" s="6"/>
      <c r="M336" s="438">
        <f t="shared" si="62"/>
        <v>4.2652359305099634E-3</v>
      </c>
      <c r="N336" s="29"/>
      <c r="O336" s="29"/>
      <c r="P336" s="29"/>
      <c r="Q336" s="332">
        <f t="shared" si="63"/>
        <v>10500</v>
      </c>
      <c r="R336" s="6"/>
      <c r="S336" s="7">
        <f>44839+21989+7214</f>
        <v>74042</v>
      </c>
      <c r="T336" s="6"/>
      <c r="U336" s="243">
        <f t="shared" si="64"/>
        <v>2.9949079042156924E-2</v>
      </c>
      <c r="W336">
        <f t="shared" si="20"/>
        <v>326</v>
      </c>
      <c r="Y336" s="56"/>
      <c r="AF336" s="549"/>
    </row>
    <row r="337" spans="3:32" x14ac:dyDescent="0.3">
      <c r="C337" s="157">
        <f t="shared" si="15"/>
        <v>44236</v>
      </c>
      <c r="E337" s="241">
        <v>1497475</v>
      </c>
      <c r="F337" s="7"/>
      <c r="G337" s="7">
        <v>728304</v>
      </c>
      <c r="H337" s="7"/>
      <c r="I337" s="7">
        <v>264608</v>
      </c>
      <c r="J337" s="244"/>
      <c r="K337" s="7">
        <f t="shared" si="61"/>
        <v>2490387</v>
      </c>
      <c r="L337" s="6"/>
      <c r="M337" s="438">
        <f t="shared" si="62"/>
        <v>7.3309352605285113E-3</v>
      </c>
      <c r="N337" s="29"/>
      <c r="O337" s="29"/>
      <c r="P337" s="29"/>
      <c r="Q337" s="332">
        <f t="shared" si="63"/>
        <v>18124</v>
      </c>
      <c r="R337" s="6"/>
      <c r="S337" s="7">
        <f>45140+22103+7298</f>
        <v>74541</v>
      </c>
      <c r="T337" s="6"/>
      <c r="U337" s="243">
        <f t="shared" si="64"/>
        <v>2.9931492575250351E-2</v>
      </c>
      <c r="W337">
        <f t="shared" si="20"/>
        <v>327</v>
      </c>
      <c r="Y337" s="56"/>
      <c r="AF337" s="549"/>
    </row>
    <row r="338" spans="3:32" x14ac:dyDescent="0.3">
      <c r="C338" s="157">
        <f t="shared" si="15"/>
        <v>44237</v>
      </c>
      <c r="E338" s="241">
        <v>1504059</v>
      </c>
      <c r="F338" s="7"/>
      <c r="G338" s="7">
        <v>732674</v>
      </c>
      <c r="H338" s="7"/>
      <c r="I338" s="7">
        <v>265496</v>
      </c>
      <c r="J338" s="244"/>
      <c r="K338" s="7">
        <f t="shared" si="61"/>
        <v>2502229</v>
      </c>
      <c r="L338" s="6"/>
      <c r="M338" s="438">
        <f t="shared" si="62"/>
        <v>4.7550842499579386E-3</v>
      </c>
      <c r="N338" s="29"/>
      <c r="O338" s="29"/>
      <c r="P338" s="29"/>
      <c r="Q338" s="332">
        <f t="shared" si="63"/>
        <v>11842</v>
      </c>
      <c r="R338" s="6"/>
      <c r="S338" s="7">
        <f>45312+22250+7326</f>
        <v>74888</v>
      </c>
      <c r="T338" s="6"/>
      <c r="U338" s="243">
        <f t="shared" si="64"/>
        <v>2.9928515735370344E-2</v>
      </c>
      <c r="W338">
        <f t="shared" ref="W338:W476" si="65">+W337+1</f>
        <v>328</v>
      </c>
      <c r="Y338" s="56"/>
      <c r="AF338" s="549"/>
    </row>
    <row r="339" spans="3:32" x14ac:dyDescent="0.3">
      <c r="C339" s="157">
        <f t="shared" si="15"/>
        <v>44238</v>
      </c>
      <c r="D339" s="549" t="s">
        <v>26</v>
      </c>
      <c r="E339" s="241">
        <f>1504059+7500</f>
        <v>1511559</v>
      </c>
      <c r="F339" s="7"/>
      <c r="G339" s="7">
        <f>732674+4000</f>
        <v>736674</v>
      </c>
      <c r="H339" s="7"/>
      <c r="I339" s="7">
        <f>265496+1250</f>
        <v>266746</v>
      </c>
      <c r="J339" s="244"/>
      <c r="K339" s="7">
        <f t="shared" si="61"/>
        <v>2514979</v>
      </c>
      <c r="L339" s="6"/>
      <c r="M339" s="438">
        <f t="shared" si="62"/>
        <v>5.0954568906363086E-3</v>
      </c>
      <c r="N339" s="29"/>
      <c r="O339" s="29"/>
      <c r="P339" s="29"/>
      <c r="Q339" s="332">
        <f t="shared" si="63"/>
        <v>12750</v>
      </c>
      <c r="R339" s="6"/>
      <c r="S339" s="7">
        <f>45312+22250+7326</f>
        <v>74888</v>
      </c>
      <c r="T339" s="6"/>
      <c r="U339" s="243">
        <f t="shared" si="64"/>
        <v>2.9776789388698672E-2</v>
      </c>
      <c r="W339">
        <f t="shared" si="65"/>
        <v>329</v>
      </c>
      <c r="Y339" s="56"/>
      <c r="AF339" s="549"/>
    </row>
    <row r="340" spans="3:32" x14ac:dyDescent="0.3">
      <c r="C340" s="157">
        <f t="shared" si="15"/>
        <v>44239</v>
      </c>
      <c r="E340" s="241">
        <v>1522785</v>
      </c>
      <c r="F340" s="7"/>
      <c r="G340" s="7">
        <v>740062</v>
      </c>
      <c r="H340" s="7"/>
      <c r="I340" s="7">
        <v>267337</v>
      </c>
      <c r="J340" s="244"/>
      <c r="K340" s="7">
        <f t="shared" si="61"/>
        <v>2530184</v>
      </c>
      <c r="L340" s="6"/>
      <c r="M340" s="438">
        <f t="shared" si="62"/>
        <v>6.045776127752955E-3</v>
      </c>
      <c r="N340" s="29"/>
      <c r="O340" s="29"/>
      <c r="P340" s="29"/>
      <c r="Q340" s="332">
        <f t="shared" si="63"/>
        <v>15205</v>
      </c>
      <c r="R340" s="6"/>
      <c r="S340" s="7">
        <f>45597+22393+7381</f>
        <v>75371</v>
      </c>
      <c r="T340" s="6"/>
      <c r="U340" s="243">
        <f t="shared" si="64"/>
        <v>2.9788742636899134E-2</v>
      </c>
      <c r="W340">
        <f t="shared" si="65"/>
        <v>330</v>
      </c>
      <c r="Y340" s="56"/>
      <c r="AF340" s="549"/>
    </row>
    <row r="341" spans="3:32" x14ac:dyDescent="0.3">
      <c r="C341" s="157">
        <f t="shared" si="15"/>
        <v>44240</v>
      </c>
      <c r="E341" s="241">
        <v>1531540</v>
      </c>
      <c r="F341" s="7"/>
      <c r="G341" s="7">
        <v>743819</v>
      </c>
      <c r="H341" s="7"/>
      <c r="I341" s="7">
        <v>267337</v>
      </c>
      <c r="J341" s="244"/>
      <c r="K341" s="7">
        <f t="shared" si="61"/>
        <v>2542696</v>
      </c>
      <c r="L341" s="6"/>
      <c r="M341" s="438">
        <f t="shared" si="62"/>
        <v>4.9450949021889318E-3</v>
      </c>
      <c r="N341" s="29"/>
      <c r="O341" s="29"/>
      <c r="P341" s="29"/>
      <c r="Q341" s="332">
        <f t="shared" si="63"/>
        <v>12512</v>
      </c>
      <c r="R341" s="6"/>
      <c r="S341" s="7">
        <f>45751+22440+7381</f>
        <v>75572</v>
      </c>
      <c r="T341" s="6"/>
      <c r="U341" s="243">
        <f t="shared" si="64"/>
        <v>2.9721209299106145E-2</v>
      </c>
      <c r="W341">
        <f t="shared" si="65"/>
        <v>331</v>
      </c>
      <c r="Y341" s="56"/>
      <c r="AF341" s="549"/>
    </row>
    <row r="342" spans="3:32" x14ac:dyDescent="0.3">
      <c r="C342" s="157">
        <f t="shared" si="15"/>
        <v>44241</v>
      </c>
      <c r="E342" s="241">
        <v>1539870</v>
      </c>
      <c r="F342" s="7"/>
      <c r="G342" s="7">
        <v>745987</v>
      </c>
      <c r="H342" s="7"/>
      <c r="I342" s="7">
        <v>267337</v>
      </c>
      <c r="J342" s="244"/>
      <c r="K342" s="7">
        <f t="shared" si="61"/>
        <v>2553194</v>
      </c>
      <c r="L342" s="6"/>
      <c r="M342" s="438">
        <f t="shared" si="62"/>
        <v>4.1286886045362875E-3</v>
      </c>
      <c r="N342" s="29"/>
      <c r="O342" s="29"/>
      <c r="P342" s="29"/>
      <c r="Q342" s="332">
        <f t="shared" si="63"/>
        <v>10498</v>
      </c>
      <c r="R342" s="6"/>
      <c r="S342" s="7">
        <f>45884+22454+7381</f>
        <v>75719</v>
      </c>
      <c r="T342" s="6"/>
      <c r="U342" s="243">
        <f t="shared" si="64"/>
        <v>2.965657917103048E-2</v>
      </c>
      <c r="W342">
        <f t="shared" si="65"/>
        <v>332</v>
      </c>
      <c r="Y342" s="56"/>
      <c r="AF342" s="549"/>
    </row>
    <row r="343" spans="3:32" x14ac:dyDescent="0.3">
      <c r="C343" s="157">
        <f t="shared" si="15"/>
        <v>44242</v>
      </c>
      <c r="E343" s="241">
        <v>1546408</v>
      </c>
      <c r="F343" s="7"/>
      <c r="G343" s="7">
        <v>747432</v>
      </c>
      <c r="H343" s="7"/>
      <c r="I343" s="7">
        <v>270242</v>
      </c>
      <c r="J343" s="244"/>
      <c r="K343" s="7">
        <f t="shared" si="61"/>
        <v>2564082</v>
      </c>
      <c r="L343" s="6"/>
      <c r="M343" s="438">
        <f t="shared" si="62"/>
        <v>4.2644624732785684E-3</v>
      </c>
      <c r="N343" s="29"/>
      <c r="O343" s="29"/>
      <c r="P343" s="29"/>
      <c r="Q343" s="332">
        <f t="shared" si="63"/>
        <v>10888</v>
      </c>
      <c r="R343" s="6"/>
      <c r="S343" s="7">
        <f>46000+22466+7447</f>
        <v>75913</v>
      </c>
      <c r="T343" s="6"/>
      <c r="U343" s="243">
        <f t="shared" si="64"/>
        <v>2.9606307442585689E-2</v>
      </c>
      <c r="W343">
        <f t="shared" si="65"/>
        <v>333</v>
      </c>
      <c r="Y343" s="56"/>
      <c r="AF343" s="549"/>
    </row>
    <row r="344" spans="3:32" x14ac:dyDescent="0.3">
      <c r="C344" s="157">
        <f t="shared" si="15"/>
        <v>44243</v>
      </c>
      <c r="E344" s="241">
        <v>1553117</v>
      </c>
      <c r="F344" s="7"/>
      <c r="G344" s="7">
        <v>751065</v>
      </c>
      <c r="H344" s="7"/>
      <c r="I344" s="7">
        <v>270822</v>
      </c>
      <c r="J344" s="244"/>
      <c r="K344" s="7">
        <f t="shared" si="61"/>
        <v>2575004</v>
      </c>
      <c r="L344" s="6"/>
      <c r="M344" s="438">
        <f t="shared" si="62"/>
        <v>4.2596141621055799E-3</v>
      </c>
      <c r="N344" s="29"/>
      <c r="O344" s="29"/>
      <c r="P344" s="29"/>
      <c r="Q344" s="332">
        <f t="shared" si="63"/>
        <v>10922</v>
      </c>
      <c r="R344" s="6"/>
      <c r="S344" s="7">
        <f>46141+22497+7449</f>
        <v>76087</v>
      </c>
      <c r="T344" s="6"/>
      <c r="U344" s="243">
        <f t="shared" si="64"/>
        <v>2.9548303614285648E-2</v>
      </c>
      <c r="W344">
        <f t="shared" si="65"/>
        <v>334</v>
      </c>
      <c r="Y344" s="56"/>
      <c r="AF344" s="549"/>
    </row>
    <row r="345" spans="3:32" x14ac:dyDescent="0.3">
      <c r="C345" s="157">
        <f t="shared" si="15"/>
        <v>44244</v>
      </c>
      <c r="E345" s="241">
        <v>1559042</v>
      </c>
      <c r="F345" s="7"/>
      <c r="G345" s="7">
        <v>755174</v>
      </c>
      <c r="H345" s="7"/>
      <c r="I345" s="7">
        <v>271356</v>
      </c>
      <c r="J345" s="244"/>
      <c r="K345" s="7">
        <f t="shared" si="61"/>
        <v>2585572</v>
      </c>
      <c r="L345" s="6"/>
      <c r="M345" s="438">
        <f t="shared" si="62"/>
        <v>4.1040712946465328E-3</v>
      </c>
      <c r="N345" s="29"/>
      <c r="O345" s="29"/>
      <c r="P345" s="29"/>
      <c r="Q345" s="332">
        <f t="shared" si="63"/>
        <v>10568</v>
      </c>
      <c r="R345" s="6"/>
      <c r="S345" s="7">
        <f>46267+22632+7476</f>
        <v>76375</v>
      </c>
      <c r="T345" s="6"/>
      <c r="U345" s="243">
        <f t="shared" si="64"/>
        <v>2.9538918274176856E-2</v>
      </c>
      <c r="W345">
        <f t="shared" si="65"/>
        <v>335</v>
      </c>
      <c r="Y345" s="56"/>
      <c r="AF345" s="549"/>
    </row>
    <row r="346" spans="3:32" x14ac:dyDescent="0.3">
      <c r="C346" s="157">
        <f t="shared" si="15"/>
        <v>44245</v>
      </c>
      <c r="E346" s="241">
        <v>1568624</v>
      </c>
      <c r="F346" s="7"/>
      <c r="G346" s="7">
        <v>758451</v>
      </c>
      <c r="H346" s="7"/>
      <c r="I346" s="7">
        <v>271903</v>
      </c>
      <c r="J346" s="244"/>
      <c r="K346" s="7">
        <f t="shared" si="61"/>
        <v>2598978</v>
      </c>
      <c r="L346" s="6"/>
      <c r="M346" s="438">
        <f t="shared" si="62"/>
        <v>5.1849261981488041E-3</v>
      </c>
      <c r="N346" s="29"/>
      <c r="O346" s="29"/>
      <c r="P346" s="29"/>
      <c r="Q346" s="332">
        <f t="shared" si="63"/>
        <v>13406</v>
      </c>
      <c r="R346" s="6"/>
      <c r="S346" s="7">
        <f>46436+22721+7496</f>
        <v>76653</v>
      </c>
      <c r="T346" s="6"/>
      <c r="U346" s="243">
        <f t="shared" si="64"/>
        <v>2.949351629756004E-2</v>
      </c>
      <c r="W346">
        <f t="shared" si="65"/>
        <v>336</v>
      </c>
      <c r="Y346" s="56"/>
      <c r="AF346" s="549"/>
    </row>
    <row r="347" spans="3:32" x14ac:dyDescent="0.3">
      <c r="C347" s="157">
        <f t="shared" si="15"/>
        <v>44246</v>
      </c>
      <c r="E347" s="241">
        <v>1577197</v>
      </c>
      <c r="F347" s="7"/>
      <c r="G347" s="7">
        <v>761498</v>
      </c>
      <c r="H347" s="7"/>
      <c r="I347" s="7">
        <v>273101</v>
      </c>
      <c r="J347" s="244"/>
      <c r="K347" s="7">
        <f t="shared" si="61"/>
        <v>2611796</v>
      </c>
      <c r="L347" s="6"/>
      <c r="M347" s="438">
        <f t="shared" si="62"/>
        <v>4.9319386312619805E-3</v>
      </c>
      <c r="N347" s="29"/>
      <c r="O347" s="29"/>
      <c r="P347" s="29"/>
      <c r="Q347" s="332">
        <f t="shared" si="63"/>
        <v>12818</v>
      </c>
      <c r="R347" s="6"/>
      <c r="S347" s="7">
        <f>46593+22784+7523</f>
        <v>76900</v>
      </c>
      <c r="T347" s="6"/>
      <c r="U347" s="243">
        <f t="shared" si="64"/>
        <v>2.9443340904113491E-2</v>
      </c>
      <c r="W347">
        <f t="shared" si="65"/>
        <v>337</v>
      </c>
      <c r="Y347" s="56"/>
      <c r="AF347" s="549"/>
    </row>
    <row r="348" spans="3:32" x14ac:dyDescent="0.3">
      <c r="C348" s="157">
        <f t="shared" ref="C348:C411" si="66">+C347+1</f>
        <v>44247</v>
      </c>
      <c r="E348" s="241">
        <v>1585435</v>
      </c>
      <c r="F348" s="7"/>
      <c r="G348" s="7">
        <v>764376</v>
      </c>
      <c r="H348" s="7"/>
      <c r="I348" s="7">
        <v>273101</v>
      </c>
      <c r="J348" s="244"/>
      <c r="K348" s="7">
        <f t="shared" si="61"/>
        <v>2622912</v>
      </c>
      <c r="L348" s="6"/>
      <c r="M348" s="438">
        <f t="shared" si="62"/>
        <v>4.2560751299106055E-3</v>
      </c>
      <c r="N348" s="29"/>
      <c r="O348" s="29"/>
      <c r="P348" s="29"/>
      <c r="Q348" s="332">
        <f t="shared" si="63"/>
        <v>11116</v>
      </c>
      <c r="R348" s="6"/>
      <c r="S348" s="7">
        <f>46703+22834+7523</f>
        <v>77060</v>
      </c>
      <c r="T348" s="6"/>
      <c r="U348" s="243">
        <f t="shared" si="64"/>
        <v>2.9379559817485298E-2</v>
      </c>
      <c r="W348">
        <f t="shared" si="65"/>
        <v>338</v>
      </c>
      <c r="Y348" s="56"/>
      <c r="AF348" s="549"/>
    </row>
    <row r="349" spans="3:32" x14ac:dyDescent="0.3">
      <c r="C349" s="157">
        <f t="shared" si="66"/>
        <v>44248</v>
      </c>
      <c r="E349" s="241">
        <v>1591672</v>
      </c>
      <c r="F349" s="7"/>
      <c r="G349" s="7">
        <v>766405</v>
      </c>
      <c r="H349" s="7"/>
      <c r="I349" s="7">
        <v>273101</v>
      </c>
      <c r="J349" s="244"/>
      <c r="K349" s="7">
        <f t="shared" si="61"/>
        <v>2631178</v>
      </c>
      <c r="L349" s="6"/>
      <c r="M349" s="438">
        <f t="shared" si="62"/>
        <v>3.1514591415952955E-3</v>
      </c>
      <c r="N349" s="29"/>
      <c r="O349" s="29"/>
      <c r="P349" s="29"/>
      <c r="Q349" s="332">
        <f t="shared" si="63"/>
        <v>8266</v>
      </c>
      <c r="R349" s="6"/>
      <c r="S349" s="7">
        <f>46812+22858+7523</f>
        <v>77193</v>
      </c>
      <c r="T349" s="6"/>
      <c r="U349" s="243">
        <f t="shared" si="64"/>
        <v>2.9337809908717691E-2</v>
      </c>
      <c r="W349">
        <f t="shared" si="65"/>
        <v>339</v>
      </c>
      <c r="Y349" s="56"/>
      <c r="AF349" s="549"/>
    </row>
    <row r="350" spans="3:32" x14ac:dyDescent="0.3">
      <c r="C350" s="157">
        <f t="shared" si="66"/>
        <v>44249</v>
      </c>
      <c r="E350" s="241">
        <v>1604892</v>
      </c>
      <c r="F350" s="7"/>
      <c r="G350" s="7">
        <v>772267</v>
      </c>
      <c r="H350" s="7"/>
      <c r="I350" s="7">
        <v>276691</v>
      </c>
      <c r="J350" s="244"/>
      <c r="K350" s="7">
        <f t="shared" si="61"/>
        <v>2653850</v>
      </c>
      <c r="L350" s="6"/>
      <c r="M350" s="438">
        <f t="shared" si="62"/>
        <v>8.6166728362733341E-3</v>
      </c>
      <c r="N350" s="29"/>
      <c r="O350" s="29"/>
      <c r="P350" s="29"/>
      <c r="Q350" s="332">
        <f t="shared" si="63"/>
        <v>22672</v>
      </c>
      <c r="R350" s="6"/>
      <c r="S350" s="7">
        <f>47037+22978+7572</f>
        <v>77587</v>
      </c>
      <c r="T350" s="6"/>
      <c r="U350" s="243">
        <f t="shared" si="64"/>
        <v>2.9235638788929291E-2</v>
      </c>
      <c r="W350">
        <f t="shared" si="65"/>
        <v>340</v>
      </c>
      <c r="Y350" s="56"/>
      <c r="AF350" s="549"/>
    </row>
    <row r="351" spans="3:32" x14ac:dyDescent="0.3">
      <c r="C351" s="157">
        <f t="shared" si="66"/>
        <v>44250</v>
      </c>
      <c r="E351" s="241">
        <v>1608205</v>
      </c>
      <c r="F351" s="7"/>
      <c r="G351" s="7">
        <v>775386</v>
      </c>
      <c r="H351" s="7"/>
      <c r="I351" s="7">
        <v>278184</v>
      </c>
      <c r="J351" s="244"/>
      <c r="K351" s="7">
        <f t="shared" si="61"/>
        <v>2661775</v>
      </c>
      <c r="L351" s="6"/>
      <c r="M351" s="438">
        <f t="shared" si="62"/>
        <v>2.9862275561919477E-3</v>
      </c>
      <c r="N351" s="29"/>
      <c r="O351" s="29"/>
      <c r="P351" s="29"/>
      <c r="Q351" s="332">
        <f t="shared" si="63"/>
        <v>7925</v>
      </c>
      <c r="R351" s="6"/>
      <c r="S351" s="7">
        <f>47156+23077+7595</f>
        <v>77828</v>
      </c>
      <c r="T351" s="6"/>
      <c r="U351" s="243">
        <f t="shared" si="64"/>
        <v>2.9239135539254821E-2</v>
      </c>
      <c r="W351">
        <f t="shared" si="65"/>
        <v>341</v>
      </c>
      <c r="Y351" s="56"/>
      <c r="AF351" s="549"/>
    </row>
    <row r="352" spans="3:32" x14ac:dyDescent="0.3">
      <c r="C352" s="157">
        <f t="shared" si="66"/>
        <v>44251</v>
      </c>
      <c r="D352" s="549" t="s">
        <v>26</v>
      </c>
      <c r="E352" s="241">
        <f>1608205+7500</f>
        <v>1615705</v>
      </c>
      <c r="F352" s="7"/>
      <c r="G352" s="7">
        <f>775386+1500</f>
        <v>776886</v>
      </c>
      <c r="H352" s="7"/>
      <c r="I352" s="7">
        <v>278184</v>
      </c>
      <c r="J352" s="244"/>
      <c r="K352" s="7">
        <f t="shared" si="61"/>
        <v>2670775</v>
      </c>
      <c r="L352" s="6"/>
      <c r="M352" s="438">
        <f t="shared" si="62"/>
        <v>3.3812023931399158E-3</v>
      </c>
      <c r="N352" s="29"/>
      <c r="O352" s="29"/>
      <c r="P352" s="29"/>
      <c r="Q352" s="332">
        <f t="shared" si="63"/>
        <v>9000</v>
      </c>
      <c r="R352" s="6"/>
      <c r="S352" s="7">
        <f>47156+23077+7595</f>
        <v>77828</v>
      </c>
      <c r="T352" s="6"/>
      <c r="U352" s="243">
        <f t="shared" si="64"/>
        <v>2.914060525502897E-2</v>
      </c>
      <c r="W352">
        <f t="shared" si="65"/>
        <v>342</v>
      </c>
      <c r="Y352" s="56"/>
      <c r="AF352" s="549"/>
    </row>
    <row r="353" spans="3:32" x14ac:dyDescent="0.3">
      <c r="C353" s="157">
        <f t="shared" si="66"/>
        <v>44252</v>
      </c>
      <c r="E353" s="241">
        <v>1619924</v>
      </c>
      <c r="F353" s="7"/>
      <c r="G353" s="7">
        <v>778963</v>
      </c>
      <c r="H353" s="7"/>
      <c r="I353" s="7">
        <v>279159</v>
      </c>
      <c r="J353" s="244"/>
      <c r="K353" s="7">
        <f t="shared" si="61"/>
        <v>2678046</v>
      </c>
      <c r="L353" s="6"/>
      <c r="M353" s="438">
        <f t="shared" si="62"/>
        <v>2.7224307551178967E-3</v>
      </c>
      <c r="N353" s="29"/>
      <c r="O353" s="29"/>
      <c r="P353" s="29"/>
      <c r="Q353" s="332">
        <f t="shared" si="63"/>
        <v>7271</v>
      </c>
      <c r="R353" s="6"/>
      <c r="S353" s="7">
        <f>47156+23077+7595</f>
        <v>77828</v>
      </c>
      <c r="T353" s="6"/>
      <c r="U353" s="243">
        <f t="shared" si="64"/>
        <v>2.9061487368028778E-2</v>
      </c>
      <c r="W353">
        <f t="shared" si="65"/>
        <v>343</v>
      </c>
      <c r="Y353" s="56"/>
      <c r="AF353" s="549"/>
    </row>
    <row r="354" spans="3:32" x14ac:dyDescent="0.3">
      <c r="C354" s="157">
        <f t="shared" si="66"/>
        <v>44253</v>
      </c>
      <c r="E354" s="241">
        <v>1624213</v>
      </c>
      <c r="F354" s="7"/>
      <c r="G354" s="7">
        <v>782833</v>
      </c>
      <c r="H354" s="7"/>
      <c r="I354" s="7">
        <v>279946</v>
      </c>
      <c r="J354" s="244"/>
      <c r="K354" s="7">
        <f t="shared" si="61"/>
        <v>2686992</v>
      </c>
      <c r="L354" s="6"/>
      <c r="M354" s="438">
        <f t="shared" si="62"/>
        <v>3.3404952715524678E-3</v>
      </c>
      <c r="N354" s="29"/>
      <c r="O354" s="29"/>
      <c r="P354" s="29"/>
      <c r="Q354" s="332">
        <f t="shared" si="63"/>
        <v>8946</v>
      </c>
      <c r="R354" s="6"/>
      <c r="S354" s="7">
        <f>47389+23192+7622</f>
        <v>78203</v>
      </c>
      <c r="T354" s="6"/>
      <c r="U354" s="243">
        <f t="shared" si="64"/>
        <v>2.9104292085722624E-2</v>
      </c>
      <c r="W354">
        <f t="shared" si="65"/>
        <v>344</v>
      </c>
      <c r="Y354" s="56"/>
      <c r="AF354" s="549"/>
    </row>
    <row r="355" spans="3:32" x14ac:dyDescent="0.3">
      <c r="C355" s="157">
        <f t="shared" si="66"/>
        <v>44254</v>
      </c>
      <c r="E355" s="241">
        <v>1636040</v>
      </c>
      <c r="F355" s="7"/>
      <c r="G355" s="7">
        <v>786967</v>
      </c>
      <c r="H355" s="7"/>
      <c r="I355" s="7">
        <v>279946</v>
      </c>
      <c r="J355" s="244"/>
      <c r="K355" s="7">
        <f t="shared" si="61"/>
        <v>2702953</v>
      </c>
      <c r="L355" s="6"/>
      <c r="M355" s="438">
        <f t="shared" si="62"/>
        <v>5.9400995611449533E-3</v>
      </c>
      <c r="N355" s="29"/>
      <c r="O355" s="29"/>
      <c r="P355" s="29"/>
      <c r="Q355" s="332">
        <f t="shared" si="63"/>
        <v>15961</v>
      </c>
      <c r="R355" s="6"/>
      <c r="S355" s="7">
        <f>47498+23238+7622</f>
        <v>78358</v>
      </c>
      <c r="T355" s="6"/>
      <c r="U355" s="243">
        <f t="shared" si="64"/>
        <v>2.8989775256913458E-2</v>
      </c>
      <c r="W355">
        <f t="shared" si="65"/>
        <v>345</v>
      </c>
      <c r="Y355" s="56"/>
      <c r="AF355" s="549"/>
    </row>
    <row r="356" spans="3:32" x14ac:dyDescent="0.3">
      <c r="C356" s="157">
        <f t="shared" si="66"/>
        <v>44255</v>
      </c>
      <c r="E356" s="241">
        <v>1643867</v>
      </c>
      <c r="F356" s="7"/>
      <c r="G356" s="7">
        <v>789356</v>
      </c>
      <c r="H356" s="7"/>
      <c r="I356" s="7">
        <v>279946</v>
      </c>
      <c r="J356" s="244"/>
      <c r="K356" s="7">
        <f t="shared" si="61"/>
        <v>2713169</v>
      </c>
      <c r="L356" s="6"/>
      <c r="M356" s="438">
        <f t="shared" si="62"/>
        <v>3.7795699740247055E-3</v>
      </c>
      <c r="N356" s="29"/>
      <c r="O356" s="29"/>
      <c r="P356" s="29"/>
      <c r="Q356" s="332">
        <f t="shared" si="63"/>
        <v>10216</v>
      </c>
      <c r="R356" s="6"/>
      <c r="S356" s="7">
        <f>47498+23238+7622</f>
        <v>78358</v>
      </c>
      <c r="T356" s="6"/>
      <c r="U356" s="243">
        <f t="shared" si="64"/>
        <v>2.8880618936748873E-2</v>
      </c>
      <c r="W356">
        <f t="shared" si="65"/>
        <v>346</v>
      </c>
      <c r="Y356" s="56"/>
      <c r="AF356" s="549"/>
    </row>
    <row r="357" spans="3:32" x14ac:dyDescent="0.3">
      <c r="C357" s="157">
        <f t="shared" si="66"/>
        <v>44256</v>
      </c>
      <c r="D357" s="549" t="s">
        <v>26</v>
      </c>
      <c r="E357" s="241">
        <f>1643867+10000</f>
        <v>1653867</v>
      </c>
      <c r="F357" s="7"/>
      <c r="G357" s="7">
        <f>789356+500</f>
        <v>789856</v>
      </c>
      <c r="H357" s="7"/>
      <c r="I357" s="7">
        <v>279946</v>
      </c>
      <c r="J357" s="244"/>
      <c r="K357" s="7">
        <f t="shared" si="61"/>
        <v>2723669</v>
      </c>
      <c r="L357" s="6"/>
      <c r="M357" s="438">
        <f t="shared" si="62"/>
        <v>3.8700132575597021E-3</v>
      </c>
      <c r="N357" s="29"/>
      <c r="O357" s="29"/>
      <c r="P357" s="29"/>
      <c r="Q357" s="332">
        <f t="shared" si="63"/>
        <v>10500</v>
      </c>
      <c r="R357" s="6"/>
      <c r="S357" s="7">
        <f>47498+23238+7622</f>
        <v>78358</v>
      </c>
      <c r="T357" s="6"/>
      <c r="U357" s="243">
        <f t="shared" si="64"/>
        <v>2.8769281436180388E-2</v>
      </c>
      <c r="W357">
        <f t="shared" si="65"/>
        <v>347</v>
      </c>
      <c r="Y357" s="56"/>
      <c r="AF357" s="549"/>
    </row>
    <row r="358" spans="3:32" x14ac:dyDescent="0.3">
      <c r="C358" s="157">
        <f t="shared" si="66"/>
        <v>44257</v>
      </c>
      <c r="E358" s="241">
        <v>1656684</v>
      </c>
      <c r="F358" s="7"/>
      <c r="G358" s="7">
        <v>795785</v>
      </c>
      <c r="H358" s="7"/>
      <c r="I358" s="7">
        <v>283128</v>
      </c>
      <c r="J358" s="244"/>
      <c r="K358" s="7">
        <f t="shared" si="61"/>
        <v>2735597</v>
      </c>
      <c r="L358" s="6"/>
      <c r="M358" s="438">
        <f t="shared" si="62"/>
        <v>4.3793867757058588E-3</v>
      </c>
      <c r="N358" s="29"/>
      <c r="O358" s="29"/>
      <c r="P358" s="29"/>
      <c r="Q358" s="332">
        <f t="shared" si="63"/>
        <v>11928</v>
      </c>
      <c r="R358" s="6"/>
      <c r="S358" s="7">
        <f>47818+23321+7658</f>
        <v>78797</v>
      </c>
      <c r="T358" s="6"/>
      <c r="U358" s="243">
        <f t="shared" si="64"/>
        <v>2.8804315840381459E-2</v>
      </c>
      <c r="W358">
        <f t="shared" si="65"/>
        <v>348</v>
      </c>
      <c r="Y358" s="56"/>
      <c r="AF358" s="549"/>
    </row>
    <row r="359" spans="3:32" x14ac:dyDescent="0.3">
      <c r="C359" s="157">
        <f t="shared" si="66"/>
        <v>44258</v>
      </c>
      <c r="E359" s="241">
        <v>1663248</v>
      </c>
      <c r="F359" s="7"/>
      <c r="G359" s="7">
        <v>799476</v>
      </c>
      <c r="H359" s="7"/>
      <c r="I359" s="7">
        <v>283622</v>
      </c>
      <c r="J359" s="244"/>
      <c r="K359" s="7">
        <f t="shared" ref="K359:K384" si="67">SUM(E359:I359)</f>
        <v>2746346</v>
      </c>
      <c r="L359" s="6"/>
      <c r="M359" s="438">
        <f t="shared" ref="M359:M384" si="68">+(K359-K358)/K358</f>
        <v>3.9293068386900554E-3</v>
      </c>
      <c r="N359" s="29"/>
      <c r="O359" s="29"/>
      <c r="P359" s="29"/>
      <c r="Q359" s="332">
        <f t="shared" ref="Q359:Q384" si="69">+K359-K358</f>
        <v>10749</v>
      </c>
      <c r="R359" s="6"/>
      <c r="S359" s="7">
        <f>47935+23449+7678</f>
        <v>79062</v>
      </c>
      <c r="T359" s="6"/>
      <c r="U359" s="243">
        <f t="shared" ref="U359:U384" si="70">+S359/K359</f>
        <v>2.8788069675124692E-2</v>
      </c>
      <c r="W359">
        <f t="shared" si="65"/>
        <v>349</v>
      </c>
      <c r="Y359" s="56"/>
      <c r="AF359" s="549"/>
    </row>
    <row r="360" spans="3:32" x14ac:dyDescent="0.3">
      <c r="C360" s="157">
        <f t="shared" si="66"/>
        <v>44259</v>
      </c>
      <c r="E360" s="241">
        <v>1670716</v>
      </c>
      <c r="F360" s="7"/>
      <c r="G360" s="7">
        <v>802669</v>
      </c>
      <c r="H360" s="7"/>
      <c r="I360" s="7">
        <v>284500</v>
      </c>
      <c r="J360" s="244"/>
      <c r="K360" s="7">
        <f t="shared" si="67"/>
        <v>2757885</v>
      </c>
      <c r="L360" s="6"/>
      <c r="M360" s="438">
        <f t="shared" si="68"/>
        <v>4.2015827575986424E-3</v>
      </c>
      <c r="N360" s="29"/>
      <c r="O360" s="29"/>
      <c r="P360" s="29"/>
      <c r="Q360" s="332">
        <f t="shared" si="69"/>
        <v>11539</v>
      </c>
      <c r="R360" s="6"/>
      <c r="S360" s="7">
        <f>48049+23491+7693</f>
        <v>79233</v>
      </c>
      <c r="T360" s="6"/>
      <c r="U360" s="243">
        <f t="shared" si="70"/>
        <v>2.8729624331688956E-2</v>
      </c>
      <c r="W360">
        <f t="shared" si="65"/>
        <v>350</v>
      </c>
      <c r="Y360" s="56"/>
      <c r="AF360" s="549"/>
    </row>
    <row r="361" spans="3:32" x14ac:dyDescent="0.3">
      <c r="C361" s="157">
        <f t="shared" si="66"/>
        <v>44260</v>
      </c>
      <c r="E361" s="241">
        <v>1678867</v>
      </c>
      <c r="F361" s="7"/>
      <c r="G361" s="7">
        <v>806370</v>
      </c>
      <c r="H361" s="7"/>
      <c r="I361" s="7">
        <v>285330</v>
      </c>
      <c r="J361" s="244"/>
      <c r="K361" s="7">
        <f t="shared" si="67"/>
        <v>2770567</v>
      </c>
      <c r="L361" s="6"/>
      <c r="M361" s="438">
        <f t="shared" si="68"/>
        <v>4.5984513494942685E-3</v>
      </c>
      <c r="N361" s="29"/>
      <c r="O361" s="29"/>
      <c r="P361" s="29"/>
      <c r="Q361" s="332">
        <f t="shared" si="69"/>
        <v>12682</v>
      </c>
      <c r="R361" s="6"/>
      <c r="S361" s="7">
        <f>48153+23521+7704</f>
        <v>79378</v>
      </c>
      <c r="T361" s="6"/>
      <c r="U361" s="243">
        <f t="shared" si="70"/>
        <v>2.865045313829263E-2</v>
      </c>
      <c r="W361">
        <f t="shared" si="65"/>
        <v>351</v>
      </c>
      <c r="Y361" s="56"/>
      <c r="AF361" s="549"/>
    </row>
    <row r="362" spans="3:32" x14ac:dyDescent="0.3">
      <c r="C362" s="157">
        <f t="shared" si="66"/>
        <v>44261</v>
      </c>
      <c r="E362" s="241">
        <v>1686993</v>
      </c>
      <c r="F362" s="7"/>
      <c r="G362" s="7">
        <v>810000</v>
      </c>
      <c r="H362" s="7"/>
      <c r="I362" s="7">
        <v>285330</v>
      </c>
      <c r="J362" s="244"/>
      <c r="K362" s="7">
        <f t="shared" si="67"/>
        <v>2782323</v>
      </c>
      <c r="L362" s="6"/>
      <c r="M362" s="438">
        <f t="shared" si="68"/>
        <v>4.2431747725285114E-3</v>
      </c>
      <c r="N362" s="29"/>
      <c r="O362" s="29"/>
      <c r="P362" s="29"/>
      <c r="Q362" s="332">
        <f t="shared" si="69"/>
        <v>11756</v>
      </c>
      <c r="R362" s="6"/>
      <c r="S362" s="7">
        <f>48247+23557+7704</f>
        <v>79508</v>
      </c>
      <c r="T362" s="6"/>
      <c r="U362" s="243">
        <f t="shared" si="70"/>
        <v>2.8576121463970934E-2</v>
      </c>
      <c r="W362">
        <f t="shared" si="65"/>
        <v>352</v>
      </c>
      <c r="Y362" s="56"/>
      <c r="AF362" s="549"/>
    </row>
    <row r="363" spans="3:32" x14ac:dyDescent="0.3">
      <c r="C363" s="157">
        <f t="shared" si="66"/>
        <v>44262</v>
      </c>
      <c r="E363" s="241">
        <v>1694651</v>
      </c>
      <c r="F363" s="7"/>
      <c r="G363" s="7">
        <v>812609</v>
      </c>
      <c r="H363" s="7"/>
      <c r="I363" s="7">
        <v>285330</v>
      </c>
      <c r="J363" s="244"/>
      <c r="K363" s="7">
        <f t="shared" si="67"/>
        <v>2792590</v>
      </c>
      <c r="L363" s="6"/>
      <c r="M363" s="438">
        <f t="shared" si="68"/>
        <v>3.690081992637088E-3</v>
      </c>
      <c r="N363" s="29"/>
      <c r="O363" s="29"/>
      <c r="P363" s="29"/>
      <c r="Q363" s="332">
        <f t="shared" si="69"/>
        <v>10267</v>
      </c>
      <c r="R363" s="6"/>
      <c r="S363" s="7">
        <f>48335+23574+7704</f>
        <v>79613</v>
      </c>
      <c r="T363" s="6"/>
      <c r="U363" s="243">
        <f t="shared" si="70"/>
        <v>2.8508660419180761E-2</v>
      </c>
      <c r="W363">
        <f t="shared" si="65"/>
        <v>353</v>
      </c>
      <c r="Y363" s="56"/>
      <c r="AF363" s="549"/>
    </row>
    <row r="364" spans="3:32" x14ac:dyDescent="0.3">
      <c r="C364" s="157">
        <f t="shared" si="66"/>
        <v>44263</v>
      </c>
      <c r="E364" s="241">
        <v>1700091</v>
      </c>
      <c r="F364" s="7"/>
      <c r="G364" s="7">
        <v>814916</v>
      </c>
      <c r="H364" s="7"/>
      <c r="I364" s="7">
        <v>287396</v>
      </c>
      <c r="J364" s="244"/>
      <c r="K364" s="7">
        <f t="shared" si="67"/>
        <v>2802403</v>
      </c>
      <c r="L364" s="6"/>
      <c r="M364" s="438">
        <f t="shared" si="68"/>
        <v>3.5139422543230478E-3</v>
      </c>
      <c r="N364" s="29"/>
      <c r="O364" s="29"/>
      <c r="P364" s="29"/>
      <c r="Q364" s="332">
        <f t="shared" si="69"/>
        <v>9813</v>
      </c>
      <c r="R364" s="6"/>
      <c r="S364" s="7">
        <f>48401+23590+7725</f>
        <v>79716</v>
      </c>
      <c r="T364" s="6"/>
      <c r="U364" s="243">
        <f t="shared" si="70"/>
        <v>2.8445587590364411E-2</v>
      </c>
      <c r="W364">
        <f t="shared" si="65"/>
        <v>354</v>
      </c>
      <c r="Y364" s="56"/>
      <c r="AF364" s="549"/>
    </row>
    <row r="365" spans="3:32" x14ac:dyDescent="0.3">
      <c r="C365" s="157">
        <f t="shared" si="66"/>
        <v>44264</v>
      </c>
      <c r="E365" s="241">
        <v>1706924</v>
      </c>
      <c r="F365" s="7"/>
      <c r="G365" s="7">
        <v>819042</v>
      </c>
      <c r="H365" s="7"/>
      <c r="I365" s="7">
        <v>288145</v>
      </c>
      <c r="J365" s="244"/>
      <c r="K365" s="7">
        <f t="shared" si="67"/>
        <v>2814111</v>
      </c>
      <c r="L365" s="6"/>
      <c r="M365" s="438">
        <f t="shared" si="68"/>
        <v>4.1778430868080006E-3</v>
      </c>
      <c r="N365" s="29"/>
      <c r="O365" s="29"/>
      <c r="P365" s="29"/>
      <c r="Q365" s="332">
        <f t="shared" si="69"/>
        <v>11708</v>
      </c>
      <c r="R365" s="6"/>
      <c r="S365" s="7">
        <f>48481+23635+7739</f>
        <v>79855</v>
      </c>
      <c r="T365" s="6"/>
      <c r="U365" s="243">
        <f t="shared" si="70"/>
        <v>2.8376634752502655E-2</v>
      </c>
      <c r="W365">
        <f t="shared" si="65"/>
        <v>355</v>
      </c>
      <c r="Y365" s="56"/>
      <c r="AF365" s="549"/>
    </row>
    <row r="366" spans="3:32" x14ac:dyDescent="0.3">
      <c r="C366" s="157">
        <f t="shared" si="66"/>
        <v>44265</v>
      </c>
      <c r="E366" s="241">
        <v>1713030</v>
      </c>
      <c r="F366" s="7"/>
      <c r="G366" s="7">
        <v>822817</v>
      </c>
      <c r="H366" s="7"/>
      <c r="I366" s="7">
        <v>288657</v>
      </c>
      <c r="J366" s="244"/>
      <c r="K366" s="7">
        <f t="shared" si="67"/>
        <v>2824504</v>
      </c>
      <c r="L366" s="6"/>
      <c r="M366" s="438">
        <f t="shared" si="68"/>
        <v>3.6931734391429478E-3</v>
      </c>
      <c r="N366" s="29"/>
      <c r="O366" s="29"/>
      <c r="P366" s="29"/>
      <c r="Q366" s="332">
        <f t="shared" si="69"/>
        <v>10393</v>
      </c>
      <c r="R366" s="6"/>
      <c r="S366" s="7">
        <f>48573+23768+7752</f>
        <v>80093</v>
      </c>
      <c r="T366" s="6"/>
      <c r="U366" s="243">
        <f t="shared" si="70"/>
        <v>2.8356483120576214E-2</v>
      </c>
      <c r="W366">
        <f t="shared" si="65"/>
        <v>356</v>
      </c>
      <c r="Y366" s="56"/>
      <c r="AF366" s="549"/>
    </row>
    <row r="367" spans="3:32" x14ac:dyDescent="0.3">
      <c r="C367" s="157">
        <f t="shared" si="66"/>
        <v>44266</v>
      </c>
      <c r="E367" s="241">
        <v>1720199</v>
      </c>
      <c r="F367" s="7"/>
      <c r="G367" s="7">
        <v>826632</v>
      </c>
      <c r="H367" s="7"/>
      <c r="I367" s="7">
        <v>289392</v>
      </c>
      <c r="J367" s="244"/>
      <c r="K367" s="7">
        <f t="shared" si="67"/>
        <v>2836223</v>
      </c>
      <c r="L367" s="6"/>
      <c r="M367" s="438">
        <f t="shared" si="68"/>
        <v>4.1490470539252205E-3</v>
      </c>
      <c r="N367" s="29"/>
      <c r="O367" s="29"/>
      <c r="P367" s="29"/>
      <c r="Q367" s="332">
        <f t="shared" si="69"/>
        <v>11719</v>
      </c>
      <c r="R367" s="6"/>
      <c r="S367" s="7">
        <f>48690+23814+7761</f>
        <v>80265</v>
      </c>
      <c r="T367" s="6"/>
      <c r="U367" s="243">
        <f t="shared" si="70"/>
        <v>2.8299960898702254E-2</v>
      </c>
      <c r="W367">
        <f t="shared" si="65"/>
        <v>357</v>
      </c>
      <c r="Y367" s="56"/>
      <c r="AF367" s="549"/>
    </row>
    <row r="368" spans="3:32" x14ac:dyDescent="0.3">
      <c r="C368" s="157">
        <f t="shared" si="66"/>
        <v>44267</v>
      </c>
      <c r="E368" s="241">
        <v>1724425</v>
      </c>
      <c r="F368" s="7"/>
      <c r="G368" s="7">
        <v>830681</v>
      </c>
      <c r="H368" s="7"/>
      <c r="I368" s="7">
        <v>290577</v>
      </c>
      <c r="J368" s="244"/>
      <c r="K368" s="7">
        <f t="shared" si="67"/>
        <v>2845683</v>
      </c>
      <c r="L368" s="6"/>
      <c r="M368" s="438">
        <f t="shared" si="68"/>
        <v>3.3354217915869096E-3</v>
      </c>
      <c r="N368" s="29"/>
      <c r="O368" s="29"/>
      <c r="P368" s="29"/>
      <c r="Q368" s="332">
        <f t="shared" si="69"/>
        <v>9460</v>
      </c>
      <c r="R368" s="6"/>
      <c r="S368" s="7">
        <f>48757+23854+7765</f>
        <v>80376</v>
      </c>
      <c r="T368" s="6"/>
      <c r="U368" s="243">
        <f t="shared" si="70"/>
        <v>2.8244888836880287E-2</v>
      </c>
      <c r="W368">
        <f t="shared" si="65"/>
        <v>358</v>
      </c>
      <c r="Y368" s="56"/>
      <c r="AF368" s="549"/>
    </row>
    <row r="369" spans="3:32" x14ac:dyDescent="0.3">
      <c r="C369" s="157">
        <f t="shared" si="66"/>
        <v>44268</v>
      </c>
      <c r="E369" s="241">
        <v>1734676</v>
      </c>
      <c r="F369" s="7"/>
      <c r="G369" s="7">
        <v>834547</v>
      </c>
      <c r="H369" s="7"/>
      <c r="I369" s="7">
        <v>290577</v>
      </c>
      <c r="J369" s="244"/>
      <c r="K369" s="7">
        <f t="shared" si="67"/>
        <v>2859800</v>
      </c>
      <c r="L369" s="6"/>
      <c r="M369" s="438">
        <f t="shared" si="68"/>
        <v>4.9608477121309714E-3</v>
      </c>
      <c r="N369" s="29"/>
      <c r="O369" s="29"/>
      <c r="P369" s="29"/>
      <c r="Q369" s="332">
        <f t="shared" si="69"/>
        <v>14117</v>
      </c>
      <c r="R369" s="6"/>
      <c r="S369" s="7">
        <f>48850+23888+7765</f>
        <v>80503</v>
      </c>
      <c r="T369" s="6"/>
      <c r="U369" s="243">
        <f t="shared" si="70"/>
        <v>2.8149870620323099E-2</v>
      </c>
      <c r="W369">
        <f t="shared" si="65"/>
        <v>359</v>
      </c>
      <c r="Y369" s="56"/>
      <c r="AF369" s="549"/>
    </row>
    <row r="370" spans="3:32" x14ac:dyDescent="0.3">
      <c r="C370" s="157">
        <f t="shared" si="66"/>
        <v>44269</v>
      </c>
      <c r="E370" s="241">
        <v>1741363</v>
      </c>
      <c r="F370" s="7"/>
      <c r="G370" s="7">
        <v>837861</v>
      </c>
      <c r="H370" s="7"/>
      <c r="I370" s="7">
        <v>290577</v>
      </c>
      <c r="J370" s="244"/>
      <c r="K370" s="7">
        <f t="shared" si="67"/>
        <v>2869801</v>
      </c>
      <c r="L370" s="6"/>
      <c r="M370" s="438">
        <f t="shared" si="68"/>
        <v>3.4970976991398001E-3</v>
      </c>
      <c r="N370" s="29"/>
      <c r="O370" s="29"/>
      <c r="P370" s="29"/>
      <c r="Q370" s="332">
        <f t="shared" si="69"/>
        <v>10001</v>
      </c>
      <c r="R370" s="6"/>
      <c r="S370" s="7">
        <f>48953+23903+7765</f>
        <v>80621</v>
      </c>
      <c r="T370" s="6"/>
      <c r="U370" s="243">
        <f t="shared" si="70"/>
        <v>2.8092888670677864E-2</v>
      </c>
      <c r="W370">
        <f t="shared" si="65"/>
        <v>360</v>
      </c>
      <c r="Y370" s="56"/>
      <c r="AF370" s="549"/>
    </row>
    <row r="371" spans="3:32" x14ac:dyDescent="0.3">
      <c r="C371" s="157">
        <f t="shared" si="66"/>
        <v>44270</v>
      </c>
      <c r="E371" s="241">
        <v>1748482</v>
      </c>
      <c r="F371" s="7"/>
      <c r="G371" s="7">
        <v>840685</v>
      </c>
      <c r="H371" s="7"/>
      <c r="I371" s="7">
        <v>293102</v>
      </c>
      <c r="J371" s="244"/>
      <c r="K371" s="7">
        <f t="shared" si="67"/>
        <v>2882269</v>
      </c>
      <c r="L371" s="6"/>
      <c r="M371" s="438">
        <f t="shared" si="68"/>
        <v>4.344552113543761E-3</v>
      </c>
      <c r="N371" s="29"/>
      <c r="O371" s="29"/>
      <c r="P371" s="29"/>
      <c r="Q371" s="332">
        <f t="shared" si="69"/>
        <v>12468</v>
      </c>
      <c r="R371" s="6"/>
      <c r="S371" s="7">
        <f>49016+23925+7788</f>
        <v>80729</v>
      </c>
      <c r="T371" s="6"/>
      <c r="U371" s="243">
        <f t="shared" si="70"/>
        <v>2.8008836094063391E-2</v>
      </c>
      <c r="W371">
        <f t="shared" si="65"/>
        <v>361</v>
      </c>
      <c r="Y371" s="56"/>
      <c r="AF371" s="549"/>
    </row>
    <row r="372" spans="3:32" x14ac:dyDescent="0.3">
      <c r="C372" s="157">
        <f t="shared" si="66"/>
        <v>44271</v>
      </c>
      <c r="E372" s="241">
        <v>1755193</v>
      </c>
      <c r="F372" s="7"/>
      <c r="G372" s="7">
        <v>844398</v>
      </c>
      <c r="H372" s="7"/>
      <c r="I372" s="7">
        <v>293956</v>
      </c>
      <c r="J372" s="244"/>
      <c r="K372" s="7">
        <f t="shared" si="67"/>
        <v>2893547</v>
      </c>
      <c r="L372" s="6"/>
      <c r="M372" s="438">
        <f t="shared" si="68"/>
        <v>3.9128894631278339E-3</v>
      </c>
      <c r="N372" s="29"/>
      <c r="O372" s="29"/>
      <c r="P372" s="29"/>
      <c r="Q372" s="332">
        <f t="shared" si="69"/>
        <v>11278</v>
      </c>
      <c r="R372" s="6"/>
      <c r="S372" s="7">
        <f>49110+23966+7799</f>
        <v>80875</v>
      </c>
      <c r="T372" s="6"/>
      <c r="U372" s="243">
        <f t="shared" si="70"/>
        <v>2.7950124881330769E-2</v>
      </c>
      <c r="W372">
        <f t="shared" si="65"/>
        <v>362</v>
      </c>
      <c r="Y372" s="56"/>
      <c r="AF372" s="549"/>
    </row>
    <row r="373" spans="3:32" x14ac:dyDescent="0.3">
      <c r="C373" s="157">
        <f t="shared" si="66"/>
        <v>44272</v>
      </c>
      <c r="E373" s="241">
        <v>1761775</v>
      </c>
      <c r="F373" s="7"/>
      <c r="G373" s="7">
        <v>848727</v>
      </c>
      <c r="H373" s="7"/>
      <c r="I373" s="7">
        <v>294328</v>
      </c>
      <c r="J373" s="244"/>
      <c r="K373" s="7">
        <f t="shared" si="67"/>
        <v>2904830</v>
      </c>
      <c r="L373" s="6"/>
      <c r="M373" s="438">
        <f t="shared" si="68"/>
        <v>3.8993664177564766E-3</v>
      </c>
      <c r="N373" s="29"/>
      <c r="O373" s="29"/>
      <c r="P373" s="29"/>
      <c r="Q373" s="332">
        <f t="shared" si="69"/>
        <v>11283</v>
      </c>
      <c r="R373" s="6"/>
      <c r="S373" s="7">
        <f>49171+24045+7807</f>
        <v>81023</v>
      </c>
      <c r="T373" s="6"/>
      <c r="U373" s="243">
        <f t="shared" si="70"/>
        <v>2.7892510060829722E-2</v>
      </c>
      <c r="W373">
        <f t="shared" si="65"/>
        <v>363</v>
      </c>
      <c r="Y373" s="56"/>
      <c r="AF373" s="549"/>
    </row>
    <row r="374" spans="3:32" x14ac:dyDescent="0.3">
      <c r="C374" s="157">
        <f t="shared" si="66"/>
        <v>44273</v>
      </c>
      <c r="E374" s="241">
        <v>1767290</v>
      </c>
      <c r="F374" s="7"/>
      <c r="G374" s="7">
        <v>853188</v>
      </c>
      <c r="H374" s="7"/>
      <c r="I374" s="7">
        <v>295484</v>
      </c>
      <c r="J374" s="244"/>
      <c r="K374" s="7">
        <f t="shared" si="67"/>
        <v>2915962</v>
      </c>
      <c r="L374" s="6"/>
      <c r="M374" s="438">
        <f t="shared" si="68"/>
        <v>3.8322380311412371E-3</v>
      </c>
      <c r="N374" s="29"/>
      <c r="O374" s="29"/>
      <c r="P374" s="29"/>
      <c r="Q374" s="332">
        <f t="shared" si="69"/>
        <v>11132</v>
      </c>
      <c r="R374" s="6"/>
      <c r="S374" s="7">
        <f>49262+24076+7822</f>
        <v>81160</v>
      </c>
      <c r="T374" s="6"/>
      <c r="U374" s="243">
        <f t="shared" si="70"/>
        <v>2.7833010169542677E-2</v>
      </c>
      <c r="W374">
        <f t="shared" si="65"/>
        <v>364</v>
      </c>
      <c r="Y374" s="56"/>
      <c r="AF374" s="549"/>
    </row>
    <row r="375" spans="3:32" x14ac:dyDescent="0.3">
      <c r="C375" s="157">
        <f t="shared" si="66"/>
        <v>44274</v>
      </c>
      <c r="E375" s="241">
        <v>1772367</v>
      </c>
      <c r="F375" s="7"/>
      <c r="G375" s="7">
        <v>857739</v>
      </c>
      <c r="H375" s="7"/>
      <c r="I375" s="7">
        <v>296691</v>
      </c>
      <c r="J375" s="244"/>
      <c r="K375" s="7">
        <f t="shared" si="67"/>
        <v>2926797</v>
      </c>
      <c r="L375" s="6"/>
      <c r="M375" s="438">
        <f t="shared" si="68"/>
        <v>3.7157548692335497E-3</v>
      </c>
      <c r="N375" s="29"/>
      <c r="O375" s="29"/>
      <c r="P375" s="29"/>
      <c r="Q375" s="332">
        <f t="shared" si="69"/>
        <v>10835</v>
      </c>
      <c r="R375" s="6"/>
      <c r="S375" s="7">
        <f>49335+24103+7832</f>
        <v>81270</v>
      </c>
      <c r="T375" s="6"/>
      <c r="U375" s="243">
        <f t="shared" si="70"/>
        <v>2.7767556137306415E-2</v>
      </c>
      <c r="W375">
        <f t="shared" si="65"/>
        <v>365</v>
      </c>
      <c r="Y375" s="56"/>
      <c r="AF375" s="549"/>
    </row>
    <row r="376" spans="3:32" x14ac:dyDescent="0.3">
      <c r="C376" s="157">
        <f t="shared" si="66"/>
        <v>44275</v>
      </c>
      <c r="E376" s="241">
        <v>1779034</v>
      </c>
      <c r="F376" s="7"/>
      <c r="G376" s="7">
        <v>862648</v>
      </c>
      <c r="H376" s="7"/>
      <c r="I376" s="7">
        <v>296691</v>
      </c>
      <c r="J376" s="244"/>
      <c r="K376" s="7">
        <f t="shared" si="67"/>
        <v>2938373</v>
      </c>
      <c r="L376" s="6"/>
      <c r="M376" s="438">
        <f t="shared" si="68"/>
        <v>3.9551769391590877E-3</v>
      </c>
      <c r="N376" s="29"/>
      <c r="O376" s="29"/>
      <c r="P376" s="29"/>
      <c r="Q376" s="332">
        <f t="shared" si="69"/>
        <v>11576</v>
      </c>
      <c r="R376" s="6"/>
      <c r="S376" s="7">
        <f>49401+24134+7832</f>
        <v>81367</v>
      </c>
      <c r="T376" s="6"/>
      <c r="U376" s="243">
        <f t="shared" si="70"/>
        <v>2.7691174673875645E-2</v>
      </c>
      <c r="W376">
        <f t="shared" si="65"/>
        <v>366</v>
      </c>
      <c r="Y376" s="56"/>
      <c r="AF376" s="549"/>
    </row>
    <row r="377" spans="3:32" x14ac:dyDescent="0.3">
      <c r="C377" s="157">
        <f t="shared" si="66"/>
        <v>44276</v>
      </c>
      <c r="E377" s="241">
        <v>1782769</v>
      </c>
      <c r="F377" s="7"/>
      <c r="G377" s="7">
        <v>865886</v>
      </c>
      <c r="H377" s="7"/>
      <c r="I377" s="7">
        <v>296691</v>
      </c>
      <c r="J377" s="244"/>
      <c r="K377" s="7">
        <f t="shared" si="67"/>
        <v>2945346</v>
      </c>
      <c r="L377" s="6"/>
      <c r="M377" s="438">
        <f t="shared" si="68"/>
        <v>2.3730819742762408E-3</v>
      </c>
      <c r="N377" s="29"/>
      <c r="O377" s="29"/>
      <c r="P377" s="29"/>
      <c r="Q377" s="332">
        <f t="shared" si="69"/>
        <v>6973</v>
      </c>
      <c r="R377" s="6"/>
      <c r="S377" s="7">
        <f>49426+24174+7832</f>
        <v>81432</v>
      </c>
      <c r="T377" s="6"/>
      <c r="U377" s="243">
        <f t="shared" si="70"/>
        <v>2.7647685535078053E-2</v>
      </c>
      <c r="W377">
        <f t="shared" si="65"/>
        <v>367</v>
      </c>
      <c r="Y377" s="56"/>
      <c r="AF377" s="549"/>
    </row>
    <row r="378" spans="3:32" x14ac:dyDescent="0.3">
      <c r="C378" s="157">
        <f t="shared" si="66"/>
        <v>44277</v>
      </c>
      <c r="E378" s="241">
        <v>1785565</v>
      </c>
      <c r="F378" s="7"/>
      <c r="G378" s="7">
        <v>869037</v>
      </c>
      <c r="H378" s="7"/>
      <c r="I378" s="7">
        <v>299667</v>
      </c>
      <c r="J378" s="244"/>
      <c r="K378" s="7">
        <f t="shared" si="67"/>
        <v>2954269</v>
      </c>
      <c r="L378" s="6"/>
      <c r="M378" s="438">
        <f t="shared" si="68"/>
        <v>3.0295252238616449E-3</v>
      </c>
      <c r="N378" s="29"/>
      <c r="O378" s="29"/>
      <c r="P378" s="29"/>
      <c r="Q378" s="332">
        <f t="shared" si="69"/>
        <v>8923</v>
      </c>
      <c r="R378" s="6"/>
      <c r="S378" s="7">
        <f>49426+24174+7832</f>
        <v>81432</v>
      </c>
      <c r="T378" s="6"/>
      <c r="U378" s="243">
        <f t="shared" si="70"/>
        <v>2.7564179159040698E-2</v>
      </c>
      <c r="W378">
        <f t="shared" si="65"/>
        <v>368</v>
      </c>
      <c r="Y378" s="56"/>
      <c r="AF378" s="549"/>
    </row>
    <row r="379" spans="3:32" x14ac:dyDescent="0.3">
      <c r="C379" s="157">
        <f t="shared" si="66"/>
        <v>44278</v>
      </c>
      <c r="E379" s="241">
        <v>1788874</v>
      </c>
      <c r="F379" s="7"/>
      <c r="G379" s="7">
        <v>873840</v>
      </c>
      <c r="H379" s="7"/>
      <c r="I379" s="7">
        <v>300565</v>
      </c>
      <c r="J379" s="244"/>
      <c r="K379" s="7">
        <f t="shared" si="67"/>
        <v>2963279</v>
      </c>
      <c r="L379" s="6"/>
      <c r="M379" s="438">
        <f t="shared" si="68"/>
        <v>3.0498238312083293E-3</v>
      </c>
      <c r="N379" s="29"/>
      <c r="O379" s="29"/>
      <c r="P379" s="29"/>
      <c r="Q379" s="332">
        <f t="shared" si="69"/>
        <v>9010</v>
      </c>
      <c r="R379" s="6"/>
      <c r="S379" s="7">
        <f>49426+24174+7832</f>
        <v>81432</v>
      </c>
      <c r="T379" s="6"/>
      <c r="U379" s="243">
        <f t="shared" si="70"/>
        <v>2.7480368875154853E-2</v>
      </c>
      <c r="W379">
        <f t="shared" si="65"/>
        <v>369</v>
      </c>
      <c r="Y379" s="56"/>
      <c r="AF379" s="549"/>
    </row>
    <row r="380" spans="3:32" x14ac:dyDescent="0.3">
      <c r="C380" s="157">
        <f t="shared" si="66"/>
        <v>44279</v>
      </c>
      <c r="E380" s="241">
        <v>1816518</v>
      </c>
      <c r="F380" s="7"/>
      <c r="G380" s="7">
        <v>877936</v>
      </c>
      <c r="H380" s="7"/>
      <c r="I380" s="7">
        <v>302022</v>
      </c>
      <c r="J380" s="244"/>
      <c r="K380" s="7">
        <f t="shared" si="67"/>
        <v>2996476</v>
      </c>
      <c r="L380" s="6"/>
      <c r="M380" s="438">
        <f t="shared" si="68"/>
        <v>1.1202792582136209E-2</v>
      </c>
      <c r="N380" s="29"/>
      <c r="O380" s="29"/>
      <c r="P380" s="29"/>
      <c r="Q380" s="332">
        <f t="shared" si="69"/>
        <v>33197</v>
      </c>
      <c r="R380" s="6"/>
      <c r="S380" s="7">
        <f>49717+24292+7852</f>
        <v>81861</v>
      </c>
      <c r="T380" s="6"/>
      <c r="U380" s="243">
        <f t="shared" si="70"/>
        <v>2.7319090825356183E-2</v>
      </c>
      <c r="W380">
        <f t="shared" si="65"/>
        <v>370</v>
      </c>
      <c r="Y380" s="56"/>
      <c r="AF380" s="549"/>
    </row>
    <row r="381" spans="3:32" x14ac:dyDescent="0.3">
      <c r="C381" s="157">
        <f t="shared" si="66"/>
        <v>44280</v>
      </c>
      <c r="E381" s="241">
        <v>1825069</v>
      </c>
      <c r="F381" s="7"/>
      <c r="G381" s="7">
        <v>881882</v>
      </c>
      <c r="H381" s="7"/>
      <c r="I381" s="7">
        <v>303510</v>
      </c>
      <c r="J381" s="244"/>
      <c r="K381" s="7">
        <f t="shared" si="67"/>
        <v>3010461</v>
      </c>
      <c r="L381" s="6"/>
      <c r="M381" s="438">
        <f t="shared" si="68"/>
        <v>4.6671490110382994E-3</v>
      </c>
      <c r="N381" s="29"/>
      <c r="O381" s="29"/>
      <c r="P381" s="29"/>
      <c r="Q381" s="332">
        <f t="shared" si="69"/>
        <v>13985</v>
      </c>
      <c r="R381" s="6"/>
      <c r="S381" s="7">
        <f>49790+24330+7862</f>
        <v>81982</v>
      </c>
      <c r="T381" s="6"/>
      <c r="U381" s="243">
        <f t="shared" si="70"/>
        <v>2.7232374045038286E-2</v>
      </c>
      <c r="W381">
        <f t="shared" si="65"/>
        <v>371</v>
      </c>
      <c r="Y381" s="56"/>
      <c r="AF381" s="549"/>
    </row>
    <row r="382" spans="3:32" x14ac:dyDescent="0.3">
      <c r="C382" s="157">
        <f t="shared" si="66"/>
        <v>44281</v>
      </c>
      <c r="E382" s="241">
        <v>1833128</v>
      </c>
      <c r="F382" s="7"/>
      <c r="G382" s="7">
        <v>887481</v>
      </c>
      <c r="H382" s="7"/>
      <c r="I382" s="7">
        <v>305210</v>
      </c>
      <c r="J382" s="244"/>
      <c r="K382" s="7">
        <f t="shared" si="67"/>
        <v>3025819</v>
      </c>
      <c r="L382" s="6"/>
      <c r="M382" s="438">
        <f t="shared" si="68"/>
        <v>5.1015442485386787E-3</v>
      </c>
      <c r="N382" s="29"/>
      <c r="O382" s="29"/>
      <c r="P382" s="29"/>
      <c r="Q382" s="332">
        <f t="shared" si="69"/>
        <v>15358</v>
      </c>
      <c r="R382" s="6"/>
      <c r="S382" s="7">
        <f>49848+24358+7865</f>
        <v>82071</v>
      </c>
      <c r="T382" s="6"/>
      <c r="U382" s="243">
        <f t="shared" si="70"/>
        <v>2.7123565553656713E-2</v>
      </c>
      <c r="W382">
        <f t="shared" si="65"/>
        <v>372</v>
      </c>
      <c r="Y382" s="56"/>
      <c r="AF382" s="549"/>
    </row>
    <row r="383" spans="3:32" x14ac:dyDescent="0.3">
      <c r="C383" s="157">
        <f t="shared" si="66"/>
        <v>44282</v>
      </c>
      <c r="E383" s="241">
        <v>1841822</v>
      </c>
      <c r="F383" s="7"/>
      <c r="G383" s="7">
        <v>892143</v>
      </c>
      <c r="H383" s="7"/>
      <c r="I383" s="7">
        <v>305210</v>
      </c>
      <c r="J383" s="244"/>
      <c r="K383" s="7">
        <f t="shared" si="67"/>
        <v>3039175</v>
      </c>
      <c r="L383" s="6"/>
      <c r="M383" s="438">
        <f t="shared" si="68"/>
        <v>4.4140115453039329E-3</v>
      </c>
      <c r="N383" s="29"/>
      <c r="O383" s="29"/>
      <c r="P383" s="29"/>
      <c r="Q383" s="332">
        <f t="shared" si="69"/>
        <v>13356</v>
      </c>
      <c r="R383" s="6"/>
      <c r="S383" s="7">
        <f>49928+24382+7865</f>
        <v>82175</v>
      </c>
      <c r="T383" s="6"/>
      <c r="U383" s="243">
        <f t="shared" si="70"/>
        <v>2.703858777464279E-2</v>
      </c>
      <c r="W383">
        <f t="shared" si="65"/>
        <v>373</v>
      </c>
      <c r="Y383" s="56"/>
      <c r="AF383" s="549"/>
    </row>
    <row r="384" spans="3:32" x14ac:dyDescent="0.3">
      <c r="C384" s="157">
        <f t="shared" si="66"/>
        <v>44283</v>
      </c>
      <c r="E384" s="241">
        <v>1850732</v>
      </c>
      <c r="F384" s="7"/>
      <c r="G384" s="7">
        <v>896652</v>
      </c>
      <c r="H384" s="7"/>
      <c r="I384" s="7">
        <v>305210</v>
      </c>
      <c r="J384" s="244"/>
      <c r="K384" s="7">
        <f t="shared" si="67"/>
        <v>3052594</v>
      </c>
      <c r="L384" s="6"/>
      <c r="M384" s="438">
        <f t="shared" si="68"/>
        <v>4.4153429795915008E-3</v>
      </c>
      <c r="N384" s="29"/>
      <c r="O384" s="29"/>
      <c r="P384" s="29"/>
      <c r="Q384" s="332">
        <f t="shared" si="69"/>
        <v>13419</v>
      </c>
      <c r="R384" s="6"/>
      <c r="S384" s="7">
        <f>50017+24389+7865</f>
        <v>82271</v>
      </c>
      <c r="T384" s="6"/>
      <c r="U384" s="243">
        <f t="shared" si="70"/>
        <v>2.6951176605863734E-2</v>
      </c>
      <c r="W384">
        <f t="shared" si="65"/>
        <v>374</v>
      </c>
      <c r="Y384" s="56"/>
      <c r="AF384" s="549"/>
    </row>
    <row r="385" spans="3:32" x14ac:dyDescent="0.3">
      <c r="C385" s="157">
        <f t="shared" si="66"/>
        <v>44284</v>
      </c>
      <c r="E385" s="241">
        <v>1854988</v>
      </c>
      <c r="F385" s="7"/>
      <c r="G385" s="7">
        <v>900273</v>
      </c>
      <c r="H385" s="7"/>
      <c r="I385" s="7">
        <v>308439</v>
      </c>
      <c r="J385" s="244"/>
      <c r="K385" s="7">
        <f t="shared" ref="K385:K419" si="71">SUM(E385:I385)</f>
        <v>3063700</v>
      </c>
      <c r="L385" s="6"/>
      <c r="M385" s="438">
        <f t="shared" ref="M385:M419" si="72">+(K385-K384)/K384</f>
        <v>3.6382172015014115E-3</v>
      </c>
      <c r="N385" s="29"/>
      <c r="O385" s="29"/>
      <c r="P385" s="29"/>
      <c r="Q385" s="332">
        <f t="shared" ref="Q385:Q419" si="73">+K385-K384</f>
        <v>11106</v>
      </c>
      <c r="R385" s="6"/>
      <c r="S385" s="7">
        <f>50067+24404+7833</f>
        <v>82304</v>
      </c>
      <c r="T385" s="6"/>
      <c r="U385" s="243">
        <f t="shared" ref="U385:U419" si="74">+S385/K385</f>
        <v>2.6864249110552598E-2</v>
      </c>
      <c r="W385">
        <f t="shared" si="65"/>
        <v>375</v>
      </c>
      <c r="Y385" s="56"/>
      <c r="AF385" s="549"/>
    </row>
    <row r="386" spans="3:32" x14ac:dyDescent="0.3">
      <c r="C386" s="157">
        <f t="shared" si="66"/>
        <v>44285</v>
      </c>
      <c r="E386" s="241">
        <v>1865349</v>
      </c>
      <c r="F386" s="7"/>
      <c r="G386" s="7">
        <v>905144</v>
      </c>
      <c r="H386" s="7"/>
      <c r="I386" s="7">
        <v>310056</v>
      </c>
      <c r="J386" s="244"/>
      <c r="K386" s="7">
        <f t="shared" si="71"/>
        <v>3080549</v>
      </c>
      <c r="L386" s="6"/>
      <c r="M386" s="438">
        <f t="shared" si="72"/>
        <v>5.4995593563338446E-3</v>
      </c>
      <c r="N386" s="29"/>
      <c r="O386" s="29"/>
      <c r="P386" s="29"/>
      <c r="Q386" s="332">
        <f t="shared" si="73"/>
        <v>16849</v>
      </c>
      <c r="R386" s="6"/>
      <c r="S386" s="7">
        <f>50212+24486+7885</f>
        <v>82583</v>
      </c>
      <c r="T386" s="6"/>
      <c r="U386" s="243">
        <f t="shared" si="74"/>
        <v>2.6807883919392289E-2</v>
      </c>
      <c r="W386">
        <f t="shared" si="65"/>
        <v>376</v>
      </c>
      <c r="Y386" s="56"/>
      <c r="AF386" s="549"/>
    </row>
    <row r="387" spans="3:32" x14ac:dyDescent="0.3">
      <c r="C387" s="157">
        <f t="shared" si="66"/>
        <v>44286</v>
      </c>
      <c r="E387" s="241">
        <v>1873138</v>
      </c>
      <c r="F387" s="7"/>
      <c r="G387" s="7">
        <v>908816</v>
      </c>
      <c r="H387" s="7"/>
      <c r="I387" s="7">
        <v>310624</v>
      </c>
      <c r="J387" s="244"/>
      <c r="K387" s="7">
        <f t="shared" si="71"/>
        <v>3092578</v>
      </c>
      <c r="L387" s="6"/>
      <c r="M387" s="438">
        <f t="shared" si="72"/>
        <v>3.9048234584160161E-3</v>
      </c>
      <c r="N387" s="29"/>
      <c r="O387" s="29"/>
      <c r="P387" s="29"/>
      <c r="Q387" s="332">
        <f t="shared" si="73"/>
        <v>12029</v>
      </c>
      <c r="R387" s="6"/>
      <c r="S387" s="7">
        <f>50299+24561+7889</f>
        <v>82749</v>
      </c>
      <c r="T387" s="6"/>
      <c r="U387" s="243">
        <f t="shared" si="74"/>
        <v>2.6757287932592161E-2</v>
      </c>
      <c r="W387">
        <f t="shared" si="65"/>
        <v>377</v>
      </c>
      <c r="Y387" s="56"/>
      <c r="AF387" s="549"/>
    </row>
    <row r="388" spans="3:32" x14ac:dyDescent="0.3">
      <c r="C388" s="157">
        <f t="shared" si="66"/>
        <v>44287</v>
      </c>
      <c r="E388" s="241">
        <v>1882308</v>
      </c>
      <c r="F388" s="7"/>
      <c r="G388" s="7">
        <v>914422</v>
      </c>
      <c r="H388" s="7"/>
      <c r="I388" s="7">
        <v>312468</v>
      </c>
      <c r="J388" s="244"/>
      <c r="K388" s="7">
        <f t="shared" si="71"/>
        <v>3109198</v>
      </c>
      <c r="L388" s="6"/>
      <c r="M388" s="438">
        <f t="shared" si="72"/>
        <v>5.374157094825094E-3</v>
      </c>
      <c r="N388" s="29"/>
      <c r="O388" s="29"/>
      <c r="P388" s="29"/>
      <c r="Q388" s="332">
        <f t="shared" si="73"/>
        <v>16620</v>
      </c>
      <c r="R388" s="6"/>
      <c r="S388" s="7">
        <f>50376+24591+7900</f>
        <v>82867</v>
      </c>
      <c r="T388" s="6"/>
      <c r="U388" s="243">
        <f t="shared" si="74"/>
        <v>2.6652210634382244E-2</v>
      </c>
      <c r="W388">
        <f t="shared" si="65"/>
        <v>378</v>
      </c>
      <c r="Y388" s="56"/>
      <c r="AF388" s="549"/>
    </row>
    <row r="389" spans="3:32" x14ac:dyDescent="0.3">
      <c r="C389" s="157">
        <f t="shared" si="66"/>
        <v>44288</v>
      </c>
      <c r="E389" s="241">
        <v>1890346</v>
      </c>
      <c r="F389" s="7"/>
      <c r="G389" s="7">
        <v>918951</v>
      </c>
      <c r="H389" s="7"/>
      <c r="I389" s="7">
        <v>313956</v>
      </c>
      <c r="J389" s="244"/>
      <c r="K389" s="7">
        <f t="shared" si="71"/>
        <v>3123253</v>
      </c>
      <c r="L389" s="6"/>
      <c r="M389" s="438">
        <f t="shared" si="72"/>
        <v>4.5204583304118938E-3</v>
      </c>
      <c r="N389" s="29"/>
      <c r="O389" s="29"/>
      <c r="P389" s="29"/>
      <c r="Q389" s="332">
        <f t="shared" si="73"/>
        <v>14055</v>
      </c>
      <c r="R389" s="6"/>
      <c r="S389" s="7">
        <f>50458+24615+7904</f>
        <v>82977</v>
      </c>
      <c r="T389" s="6"/>
      <c r="U389" s="243">
        <f t="shared" si="74"/>
        <v>2.65674922908903E-2</v>
      </c>
      <c r="W389">
        <f t="shared" si="65"/>
        <v>379</v>
      </c>
      <c r="Y389" s="56"/>
      <c r="AF389" s="549"/>
    </row>
    <row r="390" spans="3:32" x14ac:dyDescent="0.3">
      <c r="C390" s="157">
        <f t="shared" si="66"/>
        <v>44289</v>
      </c>
      <c r="E390" s="241">
        <v>1898101</v>
      </c>
      <c r="F390" s="7"/>
      <c r="G390" s="7">
        <v>923396</v>
      </c>
      <c r="H390" s="7"/>
      <c r="I390" s="7">
        <v>313956</v>
      </c>
      <c r="J390" s="244"/>
      <c r="K390" s="7">
        <f t="shared" si="71"/>
        <v>3135453</v>
      </c>
      <c r="L390" s="6"/>
      <c r="M390" s="438">
        <f t="shared" si="72"/>
        <v>3.9061837129428837E-3</v>
      </c>
      <c r="N390" s="29"/>
      <c r="O390" s="29"/>
      <c r="P390" s="29"/>
      <c r="Q390" s="332">
        <f t="shared" si="73"/>
        <v>12200</v>
      </c>
      <c r="R390" s="6"/>
      <c r="S390" s="7">
        <f>50551+24632+7904</f>
        <v>83087</v>
      </c>
      <c r="T390" s="6"/>
      <c r="U390" s="243">
        <f t="shared" si="74"/>
        <v>2.649920123184752E-2</v>
      </c>
      <c r="W390">
        <f t="shared" si="65"/>
        <v>380</v>
      </c>
      <c r="Y390" s="56"/>
      <c r="AF390" s="549"/>
    </row>
    <row r="391" spans="3:32" x14ac:dyDescent="0.3">
      <c r="C391" s="157">
        <f t="shared" si="66"/>
        <v>44290</v>
      </c>
      <c r="E391" s="241">
        <v>1905737</v>
      </c>
      <c r="F391" s="7"/>
      <c r="G391" s="7">
        <v>927195</v>
      </c>
      <c r="H391" s="7"/>
      <c r="I391" s="7">
        <v>313956</v>
      </c>
      <c r="J391" s="244"/>
      <c r="K391" s="7">
        <f t="shared" si="71"/>
        <v>3146888</v>
      </c>
      <c r="L391" s="6"/>
      <c r="M391" s="438">
        <f t="shared" si="72"/>
        <v>3.6470009277766243E-3</v>
      </c>
      <c r="N391" s="29"/>
      <c r="O391" s="29"/>
      <c r="P391" s="29"/>
      <c r="Q391" s="332">
        <f t="shared" si="73"/>
        <v>11435</v>
      </c>
      <c r="R391" s="6"/>
      <c r="S391" s="7">
        <f>50633+24637+7904</f>
        <v>83174</v>
      </c>
      <c r="T391" s="6"/>
      <c r="U391" s="243">
        <f t="shared" si="74"/>
        <v>2.6430556155795822E-2</v>
      </c>
      <c r="W391">
        <f t="shared" si="65"/>
        <v>381</v>
      </c>
      <c r="Y391" s="56"/>
      <c r="AF391" s="549"/>
    </row>
    <row r="392" spans="3:32" x14ac:dyDescent="0.3">
      <c r="C392" s="157">
        <f t="shared" si="66"/>
        <v>44291</v>
      </c>
      <c r="E392" s="241">
        <v>1910500</v>
      </c>
      <c r="F392" s="7"/>
      <c r="G392" s="7">
        <v>929000</v>
      </c>
      <c r="H392" s="7"/>
      <c r="I392" s="7">
        <v>314000</v>
      </c>
      <c r="J392" s="244"/>
      <c r="K392" s="7">
        <f t="shared" si="71"/>
        <v>3153500</v>
      </c>
      <c r="L392" s="6"/>
      <c r="M392" s="438">
        <f t="shared" si="72"/>
        <v>2.10112339555777E-3</v>
      </c>
      <c r="N392" s="29"/>
      <c r="O392" s="29"/>
      <c r="P392" s="29"/>
      <c r="Q392" s="332">
        <f t="shared" si="73"/>
        <v>6612</v>
      </c>
      <c r="R392" s="6"/>
      <c r="S392" s="7">
        <f>50633+24637+7904</f>
        <v>83174</v>
      </c>
      <c r="T392" s="6"/>
      <c r="U392" s="243">
        <f t="shared" si="74"/>
        <v>2.6375138734739179E-2</v>
      </c>
      <c r="W392">
        <f t="shared" si="65"/>
        <v>382</v>
      </c>
      <c r="Y392" s="56"/>
      <c r="AF392" s="549"/>
    </row>
    <row r="393" spans="3:32" x14ac:dyDescent="0.3">
      <c r="C393" s="157">
        <f t="shared" si="66"/>
        <v>44292</v>
      </c>
      <c r="E393" s="241">
        <v>1918437</v>
      </c>
      <c r="F393" s="7"/>
      <c r="G393" s="7">
        <v>933736</v>
      </c>
      <c r="H393" s="7"/>
      <c r="I393" s="7">
        <v>317729</v>
      </c>
      <c r="J393" s="244"/>
      <c r="K393" s="7">
        <f t="shared" si="71"/>
        <v>3169902</v>
      </c>
      <c r="L393" s="6"/>
      <c r="M393" s="438">
        <f t="shared" si="72"/>
        <v>5.2012050103060091E-3</v>
      </c>
      <c r="N393" s="29"/>
      <c r="O393" s="29"/>
      <c r="P393" s="29"/>
      <c r="Q393" s="332">
        <f t="shared" si="73"/>
        <v>16402</v>
      </c>
      <c r="R393" s="6"/>
      <c r="S393" s="7">
        <f>50751+24700+7930</f>
        <v>83381</v>
      </c>
      <c r="T393" s="6"/>
      <c r="U393" s="243">
        <f t="shared" si="74"/>
        <v>2.6303967756731911E-2</v>
      </c>
      <c r="W393">
        <f t="shared" si="65"/>
        <v>383</v>
      </c>
      <c r="Y393" s="56"/>
      <c r="AF393" s="549"/>
    </row>
    <row r="394" spans="3:32" x14ac:dyDescent="0.3">
      <c r="C394" s="157">
        <f t="shared" si="66"/>
        <v>44293</v>
      </c>
      <c r="E394" s="241">
        <v>1925080</v>
      </c>
      <c r="F394" s="7"/>
      <c r="G394" s="7">
        <v>937979</v>
      </c>
      <c r="H394" s="7"/>
      <c r="I394" s="7">
        <v>318767</v>
      </c>
      <c r="J394" s="244"/>
      <c r="K394" s="7">
        <f t="shared" si="71"/>
        <v>3181826</v>
      </c>
      <c r="L394" s="6"/>
      <c r="M394" s="438">
        <f t="shared" si="72"/>
        <v>3.761630485737414E-3</v>
      </c>
      <c r="N394" s="29"/>
      <c r="O394" s="29"/>
      <c r="P394" s="29"/>
      <c r="Q394" s="332">
        <f t="shared" si="73"/>
        <v>11924</v>
      </c>
      <c r="R394" s="6"/>
      <c r="S394" s="7">
        <f>50843+24749+7935</f>
        <v>83527</v>
      </c>
      <c r="T394" s="6"/>
      <c r="U394" s="243">
        <f t="shared" si="74"/>
        <v>2.6251278354001758E-2</v>
      </c>
      <c r="W394">
        <f t="shared" si="65"/>
        <v>384</v>
      </c>
      <c r="Y394" s="56"/>
      <c r="AF394" s="549"/>
    </row>
    <row r="395" spans="3:32" x14ac:dyDescent="0.3">
      <c r="C395" s="157">
        <f t="shared" si="66"/>
        <v>44294</v>
      </c>
      <c r="E395" s="241">
        <v>1933807</v>
      </c>
      <c r="F395" s="7"/>
      <c r="G395" s="7">
        <v>942311</v>
      </c>
      <c r="H395" s="7"/>
      <c r="I395" s="7">
        <v>319779</v>
      </c>
      <c r="J395" s="244"/>
      <c r="K395" s="7">
        <f t="shared" si="71"/>
        <v>3195897</v>
      </c>
      <c r="L395" s="6"/>
      <c r="M395" s="438">
        <f t="shared" si="72"/>
        <v>4.4223034194830263E-3</v>
      </c>
      <c r="N395" s="29"/>
      <c r="O395" s="29"/>
      <c r="P395" s="29"/>
      <c r="Q395" s="332">
        <f t="shared" si="73"/>
        <v>14071</v>
      </c>
      <c r="R395" s="6"/>
      <c r="S395" s="7">
        <f>50898+24783+7940</f>
        <v>83621</v>
      </c>
      <c r="T395" s="6"/>
      <c r="U395" s="243">
        <f t="shared" si="74"/>
        <v>2.6165111078360784E-2</v>
      </c>
      <c r="W395">
        <f t="shared" si="65"/>
        <v>385</v>
      </c>
      <c r="Y395" s="56"/>
      <c r="AF395" s="549"/>
    </row>
    <row r="396" spans="3:32" x14ac:dyDescent="0.3">
      <c r="C396" s="157">
        <f t="shared" si="66"/>
        <v>44295</v>
      </c>
      <c r="E396" s="241">
        <v>1942468</v>
      </c>
      <c r="F396" s="7"/>
      <c r="G396" s="7">
        <v>946504</v>
      </c>
      <c r="H396" s="7"/>
      <c r="I396" s="7">
        <v>321586</v>
      </c>
      <c r="J396" s="244"/>
      <c r="K396" s="7">
        <f t="shared" si="71"/>
        <v>3210558</v>
      </c>
      <c r="L396" s="6"/>
      <c r="M396" s="438">
        <f t="shared" si="72"/>
        <v>4.5874444639486195E-3</v>
      </c>
      <c r="N396" s="29"/>
      <c r="O396" s="29"/>
      <c r="P396" s="29"/>
      <c r="Q396" s="332">
        <f t="shared" si="73"/>
        <v>14661</v>
      </c>
      <c r="R396" s="6"/>
      <c r="S396" s="7">
        <f>50977+24826+7944</f>
        <v>83747</v>
      </c>
      <c r="T396" s="6"/>
      <c r="U396" s="243">
        <f t="shared" si="74"/>
        <v>2.6084873719770831E-2</v>
      </c>
      <c r="W396">
        <f t="shared" si="65"/>
        <v>386</v>
      </c>
      <c r="Y396" s="56"/>
      <c r="AF396" s="549"/>
    </row>
    <row r="397" spans="3:32" x14ac:dyDescent="0.3">
      <c r="C397" s="157">
        <f t="shared" si="66"/>
        <v>44296</v>
      </c>
      <c r="E397" s="241">
        <v>1949964</v>
      </c>
      <c r="F397" s="7"/>
      <c r="G397" s="7">
        <v>950103</v>
      </c>
      <c r="H397" s="7"/>
      <c r="I397" s="7">
        <v>321586</v>
      </c>
      <c r="J397" s="244"/>
      <c r="K397" s="7">
        <f t="shared" si="71"/>
        <v>3221653</v>
      </c>
      <c r="L397" s="6"/>
      <c r="M397" s="438">
        <f t="shared" si="72"/>
        <v>3.4557855674932519E-3</v>
      </c>
      <c r="N397" s="29"/>
      <c r="O397" s="29"/>
      <c r="P397" s="29"/>
      <c r="Q397" s="332">
        <f t="shared" si="73"/>
        <v>11095</v>
      </c>
      <c r="R397" s="6"/>
      <c r="S397" s="7">
        <f>50977+24826+7944</f>
        <v>83747</v>
      </c>
      <c r="T397" s="6"/>
      <c r="U397" s="243">
        <f t="shared" si="74"/>
        <v>2.5995040434211879E-2</v>
      </c>
      <c r="W397">
        <f t="shared" si="65"/>
        <v>387</v>
      </c>
      <c r="Y397" s="56"/>
      <c r="AF397" s="549"/>
    </row>
    <row r="398" spans="3:32" x14ac:dyDescent="0.3">
      <c r="C398" s="157">
        <f t="shared" si="66"/>
        <v>44297</v>
      </c>
      <c r="E398" s="241">
        <v>1956594</v>
      </c>
      <c r="F398" s="7"/>
      <c r="G398" s="7">
        <v>953490</v>
      </c>
      <c r="H398" s="7"/>
      <c r="I398" s="7">
        <v>321586</v>
      </c>
      <c r="J398" s="244"/>
      <c r="K398" s="7">
        <f t="shared" si="71"/>
        <v>3231670</v>
      </c>
      <c r="L398" s="6"/>
      <c r="M398" s="438">
        <f t="shared" si="72"/>
        <v>3.1092734071608581E-3</v>
      </c>
      <c r="N398" s="29"/>
      <c r="O398" s="29"/>
      <c r="P398" s="29"/>
      <c r="Q398" s="332">
        <f t="shared" si="73"/>
        <v>10017</v>
      </c>
      <c r="R398" s="6"/>
      <c r="S398" s="7">
        <f>51117+24870+7944</f>
        <v>83931</v>
      </c>
      <c r="T398" s="6"/>
      <c r="U398" s="243">
        <f t="shared" si="74"/>
        <v>2.5971401782979079E-2</v>
      </c>
      <c r="W398">
        <f t="shared" si="65"/>
        <v>388</v>
      </c>
      <c r="Y398" s="56"/>
      <c r="AF398" s="549"/>
    </row>
    <row r="399" spans="3:32" x14ac:dyDescent="0.3">
      <c r="C399" s="157">
        <f t="shared" si="66"/>
        <v>44298</v>
      </c>
      <c r="E399" s="241">
        <v>1962225</v>
      </c>
      <c r="F399" s="7"/>
      <c r="G399" s="7">
        <v>955958</v>
      </c>
      <c r="H399" s="7"/>
      <c r="I399" s="7">
        <v>324571</v>
      </c>
      <c r="J399" s="244"/>
      <c r="K399" s="7">
        <f t="shared" si="71"/>
        <v>3242754</v>
      </c>
      <c r="L399" s="6"/>
      <c r="M399" s="438">
        <f t="shared" si="72"/>
        <v>3.4298056422840204E-3</v>
      </c>
      <c r="N399" s="29"/>
      <c r="O399" s="29"/>
      <c r="P399" s="29"/>
      <c r="Q399" s="332">
        <f t="shared" si="73"/>
        <v>11084</v>
      </c>
      <c r="R399" s="6"/>
      <c r="S399" s="7">
        <f>51204+24896+7957</f>
        <v>84057</v>
      </c>
      <c r="T399" s="6"/>
      <c r="U399" s="243">
        <f t="shared" si="74"/>
        <v>2.5921485256050876E-2</v>
      </c>
      <c r="W399">
        <f t="shared" si="65"/>
        <v>389</v>
      </c>
      <c r="Y399" s="56"/>
      <c r="AF399" s="549"/>
    </row>
    <row r="400" spans="3:32" x14ac:dyDescent="0.3">
      <c r="C400" s="157">
        <f t="shared" si="66"/>
        <v>44299</v>
      </c>
      <c r="E400" s="241">
        <v>1967248</v>
      </c>
      <c r="F400" s="7"/>
      <c r="G400" s="7">
        <v>959921</v>
      </c>
      <c r="H400" s="7"/>
      <c r="I400" s="7">
        <v>325689</v>
      </c>
      <c r="J400" s="244"/>
      <c r="K400" s="7">
        <f t="shared" si="71"/>
        <v>3252858</v>
      </c>
      <c r="L400" s="6"/>
      <c r="M400" s="438">
        <f t="shared" si="72"/>
        <v>3.1158700289938739E-3</v>
      </c>
      <c r="N400" s="29"/>
      <c r="O400" s="29"/>
      <c r="P400" s="29"/>
      <c r="Q400" s="332">
        <f t="shared" si="73"/>
        <v>10104</v>
      </c>
      <c r="R400" s="6"/>
      <c r="S400" s="7">
        <f>51258+24945+7974</f>
        <v>84177</v>
      </c>
      <c r="T400" s="6"/>
      <c r="U400" s="243">
        <f t="shared" si="74"/>
        <v>2.5877858793713099E-2</v>
      </c>
      <c r="W400">
        <f t="shared" si="65"/>
        <v>390</v>
      </c>
      <c r="Y400" s="56"/>
      <c r="AF400" s="549"/>
    </row>
    <row r="401" spans="3:32" x14ac:dyDescent="0.3">
      <c r="C401" s="157">
        <f t="shared" si="66"/>
        <v>44300</v>
      </c>
      <c r="E401" s="241">
        <v>1973308</v>
      </c>
      <c r="F401" s="7"/>
      <c r="G401" s="7">
        <v>963484</v>
      </c>
      <c r="H401" s="7"/>
      <c r="I401" s="7">
        <v>327298</v>
      </c>
      <c r="J401" s="244"/>
      <c r="K401" s="7">
        <f t="shared" si="71"/>
        <v>3264090</v>
      </c>
      <c r="L401" s="6"/>
      <c r="M401" s="438">
        <f t="shared" si="72"/>
        <v>3.4529635170056608E-3</v>
      </c>
      <c r="N401" s="29"/>
      <c r="O401" s="29"/>
      <c r="P401" s="29"/>
      <c r="Q401" s="332">
        <f t="shared" si="73"/>
        <v>11232</v>
      </c>
      <c r="R401" s="6"/>
      <c r="S401" s="7">
        <f>51350+25006+7984</f>
        <v>84340</v>
      </c>
      <c r="T401" s="6"/>
      <c r="U401" s="243">
        <f t="shared" si="74"/>
        <v>2.5838748318826994E-2</v>
      </c>
      <c r="W401">
        <f t="shared" si="65"/>
        <v>391</v>
      </c>
      <c r="Y401" s="56"/>
      <c r="AF401" s="549"/>
    </row>
    <row r="402" spans="3:32" x14ac:dyDescent="0.3">
      <c r="C402" s="157">
        <f t="shared" si="66"/>
        <v>44301</v>
      </c>
      <c r="E402" s="241">
        <v>1980337</v>
      </c>
      <c r="F402" s="7"/>
      <c r="G402" s="7">
        <v>967442</v>
      </c>
      <c r="H402" s="7"/>
      <c r="I402" s="7">
        <v>328000</v>
      </c>
      <c r="J402" s="244"/>
      <c r="K402" s="7">
        <f t="shared" si="71"/>
        <v>3275779</v>
      </c>
      <c r="L402" s="6"/>
      <c r="M402" s="438">
        <f t="shared" si="72"/>
        <v>3.5810899822002456E-3</v>
      </c>
      <c r="N402" s="29"/>
      <c r="O402" s="29"/>
      <c r="P402" s="29"/>
      <c r="Q402" s="332">
        <f t="shared" si="73"/>
        <v>11689</v>
      </c>
      <c r="R402" s="6"/>
      <c r="S402" s="7">
        <f>51418+25053+7990</f>
        <v>84461</v>
      </c>
      <c r="T402" s="6"/>
      <c r="U402" s="243">
        <f t="shared" si="74"/>
        <v>2.5783485393855936E-2</v>
      </c>
      <c r="W402">
        <f t="shared" si="65"/>
        <v>392</v>
      </c>
      <c r="Y402" s="56"/>
      <c r="AF402" s="549"/>
    </row>
    <row r="403" spans="3:32" x14ac:dyDescent="0.3">
      <c r="C403" s="157">
        <f t="shared" si="66"/>
        <v>44302</v>
      </c>
      <c r="E403" s="241">
        <v>1986681</v>
      </c>
      <c r="F403" s="7"/>
      <c r="G403" s="7">
        <v>971782</v>
      </c>
      <c r="H403" s="7"/>
      <c r="I403" s="7">
        <v>329062</v>
      </c>
      <c r="J403" s="244"/>
      <c r="K403" s="7">
        <f t="shared" si="71"/>
        <v>3287525</v>
      </c>
      <c r="L403" s="6"/>
      <c r="M403" s="438">
        <f t="shared" si="72"/>
        <v>3.5857119787384923E-3</v>
      </c>
      <c r="N403" s="29"/>
      <c r="O403" s="29"/>
      <c r="P403" s="29"/>
      <c r="Q403" s="332">
        <f t="shared" si="73"/>
        <v>11746</v>
      </c>
      <c r="R403" s="6"/>
      <c r="S403" s="7">
        <f>51470+25094+7995</f>
        <v>84559</v>
      </c>
      <c r="T403" s="6"/>
      <c r="U403" s="243">
        <f t="shared" si="74"/>
        <v>2.5721173223017316E-2</v>
      </c>
      <c r="W403">
        <f t="shared" si="65"/>
        <v>393</v>
      </c>
      <c r="Y403" s="56"/>
      <c r="AF403" s="549"/>
    </row>
    <row r="404" spans="3:32" x14ac:dyDescent="0.3">
      <c r="C404" s="157">
        <f t="shared" si="66"/>
        <v>44303</v>
      </c>
      <c r="E404" s="241">
        <v>1993271</v>
      </c>
      <c r="F404" s="7"/>
      <c r="G404" s="7">
        <v>975704</v>
      </c>
      <c r="H404" s="7"/>
      <c r="I404" s="7">
        <v>329062</v>
      </c>
      <c r="J404" s="244"/>
      <c r="K404" s="7">
        <f t="shared" si="71"/>
        <v>3298037</v>
      </c>
      <c r="L404" s="6"/>
      <c r="M404" s="438">
        <f t="shared" si="72"/>
        <v>3.1975422240135055E-3</v>
      </c>
      <c r="N404" s="29"/>
      <c r="O404" s="29"/>
      <c r="P404" s="29"/>
      <c r="Q404" s="332">
        <f t="shared" si="73"/>
        <v>10512</v>
      </c>
      <c r="R404" s="6"/>
      <c r="S404" s="7">
        <f>51537+25134+7995</f>
        <v>84666</v>
      </c>
      <c r="T404" s="6"/>
      <c r="U404" s="243">
        <f t="shared" si="74"/>
        <v>2.5671634369171723E-2</v>
      </c>
      <c r="W404">
        <f t="shared" si="65"/>
        <v>394</v>
      </c>
      <c r="Y404" s="56"/>
      <c r="AF404" s="549"/>
    </row>
    <row r="405" spans="3:32" x14ac:dyDescent="0.3">
      <c r="C405" s="157">
        <f t="shared" si="66"/>
        <v>44304</v>
      </c>
      <c r="E405" s="241">
        <v>1998912</v>
      </c>
      <c r="F405" s="7"/>
      <c r="G405" s="7">
        <v>978853</v>
      </c>
      <c r="H405" s="7"/>
      <c r="I405" s="7">
        <v>329062</v>
      </c>
      <c r="J405" s="244"/>
      <c r="K405" s="7">
        <f t="shared" si="71"/>
        <v>3306827</v>
      </c>
      <c r="L405" s="6"/>
      <c r="M405" s="438">
        <f t="shared" si="72"/>
        <v>2.6652217667661095E-3</v>
      </c>
      <c r="N405" s="29"/>
      <c r="O405" s="29"/>
      <c r="P405" s="29"/>
      <c r="Q405" s="332">
        <f t="shared" si="73"/>
        <v>8790</v>
      </c>
      <c r="R405" s="6"/>
      <c r="S405" s="7">
        <f>51579+25143+7995</f>
        <v>84717</v>
      </c>
      <c r="T405" s="6"/>
      <c r="U405" s="243">
        <f t="shared" si="74"/>
        <v>2.5618818281089396E-2</v>
      </c>
      <c r="W405">
        <f t="shared" si="65"/>
        <v>395</v>
      </c>
      <c r="Y405" s="56"/>
    </row>
    <row r="406" spans="3:32" x14ac:dyDescent="0.3">
      <c r="C406" s="157">
        <f t="shared" si="66"/>
        <v>44305</v>
      </c>
      <c r="E406" s="241">
        <v>2003938</v>
      </c>
      <c r="F406" s="7"/>
      <c r="G406" s="7">
        <v>981036</v>
      </c>
      <c r="H406" s="7"/>
      <c r="I406" s="7">
        <v>329062</v>
      </c>
      <c r="J406" s="244"/>
      <c r="K406" s="7">
        <f t="shared" si="71"/>
        <v>3314036</v>
      </c>
      <c r="L406" s="6"/>
      <c r="M406" s="438">
        <f t="shared" si="72"/>
        <v>2.1800354236856056E-3</v>
      </c>
      <c r="N406" s="29"/>
      <c r="O406" s="29"/>
      <c r="P406" s="29"/>
      <c r="Q406" s="332">
        <f t="shared" si="73"/>
        <v>7209</v>
      </c>
      <c r="R406" s="6"/>
      <c r="S406" s="7">
        <f>51624+25161+9230</f>
        <v>86015</v>
      </c>
      <c r="T406" s="6"/>
      <c r="U406" s="243">
        <f t="shared" si="74"/>
        <v>2.59547572808503E-2</v>
      </c>
      <c r="W406">
        <f t="shared" si="65"/>
        <v>396</v>
      </c>
      <c r="Y406" s="56"/>
    </row>
    <row r="407" spans="3:32" x14ac:dyDescent="0.3">
      <c r="C407" s="157">
        <f t="shared" si="66"/>
        <v>44306</v>
      </c>
      <c r="E407" s="241">
        <v>2008501</v>
      </c>
      <c r="F407" s="7"/>
      <c r="G407" s="7">
        <v>983875</v>
      </c>
      <c r="H407" s="7"/>
      <c r="I407" s="7">
        <v>332139</v>
      </c>
      <c r="J407" s="244"/>
      <c r="K407" s="7">
        <f t="shared" si="71"/>
        <v>3324515</v>
      </c>
      <c r="L407" s="6"/>
      <c r="M407" s="438">
        <f t="shared" si="72"/>
        <v>3.1620054821371885E-3</v>
      </c>
      <c r="N407" s="29"/>
      <c r="O407" s="29"/>
      <c r="P407" s="29"/>
      <c r="Q407" s="332">
        <f t="shared" si="73"/>
        <v>10479</v>
      </c>
      <c r="R407" s="6"/>
      <c r="S407" s="7">
        <f>51689+25206+8020</f>
        <v>84915</v>
      </c>
      <c r="T407" s="6"/>
      <c r="U407" s="243">
        <f t="shared" si="74"/>
        <v>2.5542071550286281E-2</v>
      </c>
      <c r="W407">
        <f t="shared" si="65"/>
        <v>397</v>
      </c>
      <c r="Y407" s="56"/>
    </row>
    <row r="408" spans="3:32" x14ac:dyDescent="0.3">
      <c r="C408" s="157">
        <f t="shared" si="66"/>
        <v>44307</v>
      </c>
      <c r="E408" s="241">
        <v>2012806</v>
      </c>
      <c r="F408" s="7"/>
      <c r="G408" s="7">
        <v>987350</v>
      </c>
      <c r="H408" s="7"/>
      <c r="I408" s="7">
        <v>332995</v>
      </c>
      <c r="J408" s="244"/>
      <c r="K408" s="7">
        <f t="shared" si="71"/>
        <v>3333151</v>
      </c>
      <c r="L408" s="6"/>
      <c r="M408" s="438">
        <f t="shared" si="72"/>
        <v>2.5976721416507372E-3</v>
      </c>
      <c r="N408" s="29"/>
      <c r="O408" s="29"/>
      <c r="P408" s="29"/>
      <c r="Q408" s="332">
        <f t="shared" si="73"/>
        <v>8636</v>
      </c>
      <c r="R408" s="6"/>
      <c r="S408" s="7">
        <f>51732+25271+8027</f>
        <v>85030</v>
      </c>
      <c r="T408" s="6"/>
      <c r="U408" s="243">
        <f t="shared" si="74"/>
        <v>2.55103954186294E-2</v>
      </c>
      <c r="W408">
        <f t="shared" si="65"/>
        <v>398</v>
      </c>
      <c r="Y408" s="56"/>
    </row>
    <row r="409" spans="3:32" x14ac:dyDescent="0.3">
      <c r="C409" s="157">
        <f t="shared" si="66"/>
        <v>44308</v>
      </c>
      <c r="E409" s="241">
        <v>2018044</v>
      </c>
      <c r="F409" s="7"/>
      <c r="G409" s="7">
        <v>990580</v>
      </c>
      <c r="H409" s="7"/>
      <c r="I409" s="7">
        <v>333732</v>
      </c>
      <c r="J409" s="244"/>
      <c r="K409" s="7">
        <f t="shared" si="71"/>
        <v>3342356</v>
      </c>
      <c r="L409" s="6"/>
      <c r="M409" s="438">
        <f t="shared" si="72"/>
        <v>2.7616510623131086E-3</v>
      </c>
      <c r="N409" s="29"/>
      <c r="O409" s="29"/>
      <c r="P409" s="29"/>
      <c r="Q409" s="332">
        <f t="shared" si="73"/>
        <v>9205</v>
      </c>
      <c r="R409" s="6"/>
      <c r="S409" s="7">
        <f>51830+25301+8039</f>
        <v>85170</v>
      </c>
      <c r="T409" s="6"/>
      <c r="U409" s="243">
        <f t="shared" si="74"/>
        <v>2.5482025254042358E-2</v>
      </c>
      <c r="W409">
        <f t="shared" si="65"/>
        <v>399</v>
      </c>
      <c r="Y409" s="56"/>
    </row>
    <row r="410" spans="3:32" x14ac:dyDescent="0.3">
      <c r="C410" s="157">
        <f t="shared" si="66"/>
        <v>44309</v>
      </c>
      <c r="E410" s="241">
        <v>2021102</v>
      </c>
      <c r="F410" s="7"/>
      <c r="G410" s="7">
        <v>993414</v>
      </c>
      <c r="H410" s="7"/>
      <c r="I410" s="7">
        <v>334766</v>
      </c>
      <c r="J410" s="244"/>
      <c r="K410" s="7">
        <f t="shared" si="71"/>
        <v>3349282</v>
      </c>
      <c r="L410" s="6"/>
      <c r="M410" s="438">
        <f t="shared" si="72"/>
        <v>2.0721909934190135E-3</v>
      </c>
      <c r="N410" s="29"/>
      <c r="O410" s="29"/>
      <c r="P410" s="29"/>
      <c r="Q410" s="332">
        <f t="shared" si="73"/>
        <v>6926</v>
      </c>
      <c r="R410" s="6"/>
      <c r="S410" s="7">
        <f>51850+25328+8047</f>
        <v>85225</v>
      </c>
      <c r="T410" s="6"/>
      <c r="U410" s="243">
        <f t="shared" si="74"/>
        <v>2.5445752253766628E-2</v>
      </c>
      <c r="W410">
        <f t="shared" si="65"/>
        <v>400</v>
      </c>
      <c r="Y410" s="56"/>
    </row>
    <row r="411" spans="3:32" x14ac:dyDescent="0.3">
      <c r="C411" s="157">
        <f t="shared" si="66"/>
        <v>44310</v>
      </c>
      <c r="E411" s="241">
        <v>2027029</v>
      </c>
      <c r="F411" s="7"/>
      <c r="G411" s="7">
        <v>996197</v>
      </c>
      <c r="H411" s="7"/>
      <c r="I411" s="7">
        <v>334766</v>
      </c>
      <c r="J411" s="244"/>
      <c r="K411" s="7">
        <f t="shared" si="71"/>
        <v>3357992</v>
      </c>
      <c r="L411" s="6"/>
      <c r="M411" s="438">
        <f t="shared" si="72"/>
        <v>2.6005573731922244E-3</v>
      </c>
      <c r="N411" s="29"/>
      <c r="O411" s="29"/>
      <c r="P411" s="29"/>
      <c r="Q411" s="332">
        <f t="shared" si="73"/>
        <v>8710</v>
      </c>
      <c r="R411" s="6"/>
      <c r="S411" s="7">
        <f>51951+25367+8047</f>
        <v>85365</v>
      </c>
      <c r="T411" s="6"/>
      <c r="U411" s="243">
        <f t="shared" si="74"/>
        <v>2.5421442338159232E-2</v>
      </c>
      <c r="W411">
        <f t="shared" si="65"/>
        <v>401</v>
      </c>
      <c r="Y411" s="56"/>
    </row>
    <row r="412" spans="3:32" x14ac:dyDescent="0.3">
      <c r="C412" s="157">
        <f t="shared" ref="C412:C507" si="75">+C411+1</f>
        <v>44311</v>
      </c>
      <c r="E412" s="241">
        <v>2031093</v>
      </c>
      <c r="F412" s="7"/>
      <c r="G412" s="7">
        <v>997891</v>
      </c>
      <c r="H412" s="7"/>
      <c r="I412" s="7">
        <v>334766</v>
      </c>
      <c r="J412" s="244"/>
      <c r="K412" s="7">
        <f t="shared" si="71"/>
        <v>3363750</v>
      </c>
      <c r="L412" s="6"/>
      <c r="M412" s="438">
        <f t="shared" si="72"/>
        <v>1.7147152226687854E-3</v>
      </c>
      <c r="N412" s="29"/>
      <c r="O412" s="29"/>
      <c r="P412" s="29"/>
      <c r="Q412" s="332">
        <f t="shared" si="73"/>
        <v>5758</v>
      </c>
      <c r="R412" s="6"/>
      <c r="S412" s="7">
        <f>51951+25367+8047</f>
        <v>85365</v>
      </c>
      <c r="T412" s="6"/>
      <c r="U412" s="243">
        <f t="shared" si="74"/>
        <v>2.5377926421404681E-2</v>
      </c>
      <c r="W412">
        <f t="shared" si="65"/>
        <v>402</v>
      </c>
      <c r="Y412" s="56"/>
    </row>
    <row r="413" spans="3:32" x14ac:dyDescent="0.3">
      <c r="C413" s="157">
        <f t="shared" si="75"/>
        <v>44312</v>
      </c>
      <c r="E413" s="241">
        <v>2034102</v>
      </c>
      <c r="F413" s="7"/>
      <c r="G413" s="7">
        <f>998886-5000</f>
        <v>993886</v>
      </c>
      <c r="H413" s="7"/>
      <c r="I413" s="7">
        <v>336933</v>
      </c>
      <c r="J413" s="244"/>
      <c r="K413" s="7">
        <f t="shared" si="71"/>
        <v>3364921</v>
      </c>
      <c r="L413" s="6"/>
      <c r="M413" s="438">
        <f t="shared" si="72"/>
        <v>3.4812337421033073E-4</v>
      </c>
      <c r="N413" s="29"/>
      <c r="O413" s="29"/>
      <c r="P413" s="29"/>
      <c r="Q413" s="332">
        <f t="shared" si="73"/>
        <v>1171</v>
      </c>
      <c r="R413" s="6"/>
      <c r="S413" s="7">
        <f>51951+25367+8047</f>
        <v>85365</v>
      </c>
      <c r="T413" s="6"/>
      <c r="U413" s="243">
        <f t="shared" si="74"/>
        <v>2.5369094846506055E-2</v>
      </c>
      <c r="W413">
        <f t="shared" si="65"/>
        <v>403</v>
      </c>
      <c r="Y413" s="56"/>
    </row>
    <row r="414" spans="3:32" x14ac:dyDescent="0.3">
      <c r="C414" s="157">
        <f t="shared" si="75"/>
        <v>44313</v>
      </c>
      <c r="E414" s="241">
        <v>2037414</v>
      </c>
      <c r="F414" s="7"/>
      <c r="G414" s="7">
        <v>991010</v>
      </c>
      <c r="H414" s="7"/>
      <c r="I414" s="7">
        <v>337340</v>
      </c>
      <c r="J414" s="244"/>
      <c r="K414" s="7">
        <f t="shared" si="71"/>
        <v>3365764</v>
      </c>
      <c r="L414" s="6"/>
      <c r="M414" s="438">
        <f t="shared" si="72"/>
        <v>2.5052594102506416E-4</v>
      </c>
      <c r="N414" s="29"/>
      <c r="O414" s="29"/>
      <c r="P414" s="29"/>
      <c r="Q414" s="332">
        <f t="shared" si="73"/>
        <v>843</v>
      </c>
      <c r="R414" s="6"/>
      <c r="S414" s="7">
        <f>51951+25367+8047</f>
        <v>85365</v>
      </c>
      <c r="T414" s="6"/>
      <c r="U414" s="243">
        <f t="shared" si="74"/>
        <v>2.5362740821994651E-2</v>
      </c>
      <c r="W414">
        <f t="shared" si="65"/>
        <v>404</v>
      </c>
      <c r="Y414" s="56"/>
    </row>
    <row r="415" spans="3:32" x14ac:dyDescent="0.3">
      <c r="C415" s="157">
        <f t="shared" si="75"/>
        <v>44314</v>
      </c>
      <c r="E415" s="241">
        <v>2040448</v>
      </c>
      <c r="F415" s="7"/>
      <c r="G415" s="7">
        <v>993123</v>
      </c>
      <c r="H415" s="7"/>
      <c r="I415" s="7">
        <v>337961</v>
      </c>
      <c r="J415" s="244"/>
      <c r="K415" s="7">
        <f t="shared" si="71"/>
        <v>3371532</v>
      </c>
      <c r="L415" s="6"/>
      <c r="M415" s="438">
        <f t="shared" si="72"/>
        <v>1.7137268091286257E-3</v>
      </c>
      <c r="N415" s="29"/>
      <c r="O415" s="29"/>
      <c r="P415" s="29"/>
      <c r="Q415" s="332">
        <f t="shared" si="73"/>
        <v>5768</v>
      </c>
      <c r="R415" s="6"/>
      <c r="S415" s="7">
        <f>51951+25367+8047</f>
        <v>85365</v>
      </c>
      <c r="T415" s="6"/>
      <c r="U415" s="243">
        <f t="shared" si="74"/>
        <v>2.5319350372471624E-2</v>
      </c>
      <c r="W415">
        <f t="shared" si="65"/>
        <v>405</v>
      </c>
      <c r="Y415" s="56"/>
    </row>
    <row r="416" spans="3:32" x14ac:dyDescent="0.3">
      <c r="C416" s="157">
        <f t="shared" si="75"/>
        <v>44315</v>
      </c>
      <c r="E416" s="241">
        <v>2044345</v>
      </c>
      <c r="F416" s="7"/>
      <c r="G416" s="7">
        <v>995365</v>
      </c>
      <c r="H416" s="7"/>
      <c r="I416" s="7">
        <v>338447</v>
      </c>
      <c r="J416" s="244"/>
      <c r="K416" s="7">
        <f t="shared" si="71"/>
        <v>3378157</v>
      </c>
      <c r="L416" s="6"/>
      <c r="M416" s="438">
        <f t="shared" si="72"/>
        <v>1.9649820912273708E-3</v>
      </c>
      <c r="N416" s="29"/>
      <c r="O416" s="29"/>
      <c r="P416" s="29"/>
      <c r="Q416" s="332">
        <f t="shared" si="73"/>
        <v>6625</v>
      </c>
      <c r="R416" s="6"/>
      <c r="S416" s="7">
        <f>52209+25529+8084</f>
        <v>85822</v>
      </c>
      <c r="T416" s="6"/>
      <c r="U416" s="243">
        <f t="shared" si="74"/>
        <v>2.5404976737315642E-2</v>
      </c>
      <c r="W416">
        <f t="shared" si="65"/>
        <v>406</v>
      </c>
      <c r="Y416" s="56"/>
    </row>
    <row r="417" spans="3:25" x14ac:dyDescent="0.3">
      <c r="C417" s="157">
        <f t="shared" si="75"/>
        <v>44316</v>
      </c>
      <c r="E417" s="241">
        <v>2048150</v>
      </c>
      <c r="F417" s="7"/>
      <c r="G417" s="7">
        <v>997223</v>
      </c>
      <c r="H417" s="7"/>
      <c r="I417" s="7">
        <v>339233</v>
      </c>
      <c r="J417" s="244"/>
      <c r="K417" s="7">
        <f t="shared" si="71"/>
        <v>3384606</v>
      </c>
      <c r="L417" s="6"/>
      <c r="M417" s="438">
        <f t="shared" si="72"/>
        <v>1.909029094858528E-3</v>
      </c>
      <c r="N417" s="29"/>
      <c r="O417" s="29"/>
      <c r="P417" s="29"/>
      <c r="Q417" s="332">
        <f t="shared" si="73"/>
        <v>6449</v>
      </c>
      <c r="R417" s="6"/>
      <c r="S417" s="7">
        <f>52258+25554+8097</f>
        <v>85909</v>
      </c>
      <c r="T417" s="6"/>
      <c r="U417" s="243">
        <f t="shared" si="74"/>
        <v>2.5382274923580469E-2</v>
      </c>
      <c r="W417">
        <f t="shared" si="65"/>
        <v>407</v>
      </c>
      <c r="Y417" s="56"/>
    </row>
    <row r="418" spans="3:25" x14ac:dyDescent="0.3">
      <c r="C418" s="157">
        <f t="shared" si="75"/>
        <v>44317</v>
      </c>
      <c r="E418" s="241">
        <v>2052022</v>
      </c>
      <c r="F418" s="7"/>
      <c r="G418" s="7">
        <v>998812</v>
      </c>
      <c r="H418" s="7"/>
      <c r="I418" s="7">
        <v>339233</v>
      </c>
      <c r="J418" s="244"/>
      <c r="K418" s="7">
        <f t="shared" si="71"/>
        <v>3390067</v>
      </c>
      <c r="L418" s="6"/>
      <c r="M418" s="438">
        <f t="shared" si="72"/>
        <v>1.6134817464721152E-3</v>
      </c>
      <c r="N418" s="29"/>
      <c r="O418" s="29"/>
      <c r="P418" s="29"/>
      <c r="Q418" s="332">
        <f t="shared" si="73"/>
        <v>5461</v>
      </c>
      <c r="R418" s="6"/>
      <c r="S418" s="7">
        <f>52309+25588+8097</f>
        <v>85994</v>
      </c>
      <c r="T418" s="6"/>
      <c r="U418" s="243">
        <f t="shared" si="74"/>
        <v>2.5366460308896551E-2</v>
      </c>
      <c r="W418">
        <f t="shared" si="65"/>
        <v>408</v>
      </c>
      <c r="Y418" s="56"/>
    </row>
    <row r="419" spans="3:25" x14ac:dyDescent="0.3">
      <c r="C419" s="157">
        <f t="shared" si="75"/>
        <v>44318</v>
      </c>
      <c r="E419" s="241">
        <v>2054848</v>
      </c>
      <c r="F419" s="7"/>
      <c r="G419" s="7">
        <v>1000010</v>
      </c>
      <c r="H419" s="7"/>
      <c r="I419" s="7">
        <v>339233</v>
      </c>
      <c r="J419" s="244"/>
      <c r="K419" s="7">
        <f t="shared" si="71"/>
        <v>3394091</v>
      </c>
      <c r="L419" s="6"/>
      <c r="M419" s="438">
        <f t="shared" si="72"/>
        <v>1.1869971891410997E-3</v>
      </c>
      <c r="N419" s="29"/>
      <c r="O419" s="29"/>
      <c r="P419" s="29"/>
      <c r="Q419" s="332">
        <f t="shared" si="73"/>
        <v>4024</v>
      </c>
      <c r="R419" s="6"/>
      <c r="S419" s="7">
        <f>52358+25600+8097</f>
        <v>86055</v>
      </c>
      <c r="T419" s="6"/>
      <c r="U419" s="243">
        <f t="shared" si="74"/>
        <v>2.5354358501289448E-2</v>
      </c>
      <c r="W419">
        <f t="shared" si="65"/>
        <v>409</v>
      </c>
      <c r="Y419" s="56"/>
    </row>
    <row r="420" spans="3:25" x14ac:dyDescent="0.3">
      <c r="C420" s="157">
        <f t="shared" si="75"/>
        <v>44319</v>
      </c>
      <c r="E420" s="241">
        <v>2057276</v>
      </c>
      <c r="F420" s="7"/>
      <c r="G420" s="7">
        <v>1000993</v>
      </c>
      <c r="H420" s="7"/>
      <c r="I420" s="7">
        <v>340545</v>
      </c>
      <c r="J420" s="244"/>
      <c r="K420" s="7">
        <f t="shared" ref="K420:K440" si="76">SUM(E420:I420)</f>
        <v>3398814</v>
      </c>
      <c r="L420" s="6"/>
      <c r="M420" s="438">
        <f t="shared" ref="M420:M440" si="77">+(K420-K419)/K419</f>
        <v>1.3915360548671205E-3</v>
      </c>
      <c r="N420" s="29"/>
      <c r="O420" s="29"/>
      <c r="P420" s="29"/>
      <c r="Q420" s="332">
        <f t="shared" ref="Q420:Q440" si="78">+K420-K419</f>
        <v>4723</v>
      </c>
      <c r="R420" s="6"/>
      <c r="S420" s="7">
        <f>52423+25616+8112</f>
        <v>86151</v>
      </c>
      <c r="T420" s="6"/>
      <c r="U420" s="243">
        <f t="shared" ref="U420:U440" si="79">+S420/K420</f>
        <v>2.5347371171237969E-2</v>
      </c>
      <c r="W420">
        <f t="shared" si="65"/>
        <v>410</v>
      </c>
      <c r="Y420" s="56"/>
    </row>
    <row r="421" spans="3:25" x14ac:dyDescent="0.3">
      <c r="C421" s="157">
        <f t="shared" si="75"/>
        <v>44320</v>
      </c>
      <c r="E421" s="241">
        <v>2059485</v>
      </c>
      <c r="F421" s="7"/>
      <c r="G421" s="7">
        <v>1001997</v>
      </c>
      <c r="H421" s="7"/>
      <c r="I421" s="7">
        <v>340962</v>
      </c>
      <c r="J421" s="244"/>
      <c r="K421" s="7">
        <f t="shared" si="76"/>
        <v>3402444</v>
      </c>
      <c r="L421" s="6"/>
      <c r="M421" s="438">
        <f t="shared" si="77"/>
        <v>1.0680196091930891E-3</v>
      </c>
      <c r="N421" s="29"/>
      <c r="O421" s="29"/>
      <c r="P421" s="29"/>
      <c r="Q421" s="332">
        <f t="shared" si="78"/>
        <v>3630</v>
      </c>
      <c r="R421" s="6"/>
      <c r="S421" s="7">
        <f>52483+25658+8117</f>
        <v>86258</v>
      </c>
      <c r="T421" s="6"/>
      <c r="U421" s="243">
        <f t="shared" si="79"/>
        <v>2.5351776546505982E-2</v>
      </c>
      <c r="W421">
        <f t="shared" si="65"/>
        <v>411</v>
      </c>
      <c r="Y421" s="56"/>
    </row>
    <row r="422" spans="3:25" x14ac:dyDescent="0.3">
      <c r="C422" s="157">
        <f t="shared" si="75"/>
        <v>44321</v>
      </c>
      <c r="E422" s="241">
        <v>2061887</v>
      </c>
      <c r="F422" s="7"/>
      <c r="G422" s="7">
        <v>1004525</v>
      </c>
      <c r="H422" s="7"/>
      <c r="I422" s="7">
        <v>341571</v>
      </c>
      <c r="J422" s="244"/>
      <c r="K422" s="7">
        <f t="shared" si="76"/>
        <v>3407983</v>
      </c>
      <c r="L422" s="6"/>
      <c r="M422" s="438">
        <f t="shared" si="77"/>
        <v>1.6279474401342095E-3</v>
      </c>
      <c r="N422" s="29"/>
      <c r="O422" s="29"/>
      <c r="P422" s="29"/>
      <c r="Q422" s="332">
        <f t="shared" si="78"/>
        <v>5539</v>
      </c>
      <c r="R422" s="6"/>
      <c r="S422" s="7">
        <f>52538+25707+8124</f>
        <v>86369</v>
      </c>
      <c r="T422" s="6"/>
      <c r="U422" s="243">
        <f t="shared" si="79"/>
        <v>2.5343142850184405E-2</v>
      </c>
      <c r="W422">
        <f t="shared" si="65"/>
        <v>412</v>
      </c>
      <c r="Y422" s="56"/>
    </row>
    <row r="423" spans="3:25" x14ac:dyDescent="0.3">
      <c r="C423" s="157">
        <f t="shared" si="75"/>
        <v>44322</v>
      </c>
      <c r="E423" s="241">
        <v>2064530</v>
      </c>
      <c r="F423" s="7"/>
      <c r="G423" s="7">
        <v>1005938</v>
      </c>
      <c r="H423" s="7"/>
      <c r="I423" s="7">
        <v>342282</v>
      </c>
      <c r="J423" s="244"/>
      <c r="K423" s="7">
        <f t="shared" si="76"/>
        <v>3412750</v>
      </c>
      <c r="L423" s="6"/>
      <c r="M423" s="438">
        <f t="shared" si="77"/>
        <v>1.3987745830891763E-3</v>
      </c>
      <c r="N423" s="29"/>
      <c r="O423" s="29"/>
      <c r="P423" s="29"/>
      <c r="Q423" s="332">
        <f t="shared" si="78"/>
        <v>4767</v>
      </c>
      <c r="R423" s="6"/>
      <c r="S423" s="7">
        <f>52572+25740+8131</f>
        <v>86443</v>
      </c>
      <c r="T423" s="6"/>
      <c r="U423" s="243">
        <f t="shared" si="79"/>
        <v>2.5329426415647206E-2</v>
      </c>
      <c r="W423">
        <f t="shared" si="65"/>
        <v>413</v>
      </c>
      <c r="Y423" s="56"/>
    </row>
    <row r="424" spans="3:25" x14ac:dyDescent="0.3">
      <c r="C424" s="157">
        <f t="shared" si="75"/>
        <v>44323</v>
      </c>
      <c r="E424" s="241">
        <v>2066989</v>
      </c>
      <c r="F424" s="7"/>
      <c r="G424" s="7">
        <v>1006905</v>
      </c>
      <c r="H424" s="7"/>
      <c r="I424" s="7">
        <v>342718</v>
      </c>
      <c r="J424" s="244"/>
      <c r="K424" s="7">
        <f t="shared" si="76"/>
        <v>3416612</v>
      </c>
      <c r="L424" s="6"/>
      <c r="M424" s="438">
        <f t="shared" si="77"/>
        <v>1.1316387077869752E-3</v>
      </c>
      <c r="N424" s="29"/>
      <c r="O424" s="29"/>
      <c r="P424" s="29"/>
      <c r="Q424" s="332">
        <f t="shared" si="78"/>
        <v>3862</v>
      </c>
      <c r="R424" s="6"/>
      <c r="S424" s="7">
        <f>52611+25769+8137</f>
        <v>86517</v>
      </c>
      <c r="T424" s="6"/>
      <c r="U424" s="243">
        <f t="shared" si="79"/>
        <v>2.5322453939750841E-2</v>
      </c>
      <c r="W424">
        <f t="shared" si="65"/>
        <v>414</v>
      </c>
      <c r="Y424" s="56"/>
    </row>
    <row r="425" spans="3:25" x14ac:dyDescent="0.3">
      <c r="C425" s="157">
        <f t="shared" si="75"/>
        <v>44324</v>
      </c>
      <c r="E425" s="241">
        <v>2070053</v>
      </c>
      <c r="F425" s="7"/>
      <c r="G425" s="7">
        <v>1007555</v>
      </c>
      <c r="H425" s="7"/>
      <c r="I425" s="7">
        <v>342718</v>
      </c>
      <c r="J425" s="244"/>
      <c r="K425" s="7">
        <f t="shared" si="76"/>
        <v>3420326</v>
      </c>
      <c r="L425" s="6"/>
      <c r="M425" s="438">
        <f t="shared" si="77"/>
        <v>1.0870417829124291E-3</v>
      </c>
      <c r="N425" s="29"/>
      <c r="O425" s="29"/>
      <c r="P425" s="29"/>
      <c r="Q425" s="332">
        <f t="shared" si="78"/>
        <v>3714</v>
      </c>
      <c r="R425" s="6"/>
      <c r="S425" s="7">
        <f>52653+25791+8137</f>
        <v>86581</v>
      </c>
      <c r="T425" s="6"/>
      <c r="U425" s="243">
        <f t="shared" si="79"/>
        <v>2.5313668930973247E-2</v>
      </c>
      <c r="W425">
        <f t="shared" si="65"/>
        <v>415</v>
      </c>
      <c r="Y425" s="56"/>
    </row>
    <row r="426" spans="3:25" x14ac:dyDescent="0.3">
      <c r="C426" s="157">
        <f t="shared" si="75"/>
        <v>44325</v>
      </c>
      <c r="E426" s="241">
        <v>2072426</v>
      </c>
      <c r="F426" s="7"/>
      <c r="G426" s="7">
        <v>1007894</v>
      </c>
      <c r="H426" s="7"/>
      <c r="I426" s="7">
        <v>342718</v>
      </c>
      <c r="J426" s="244"/>
      <c r="K426" s="7">
        <f t="shared" si="76"/>
        <v>3423038</v>
      </c>
      <c r="L426" s="6"/>
      <c r="M426" s="438">
        <f t="shared" si="77"/>
        <v>7.9290687495870273E-4</v>
      </c>
      <c r="N426" s="29"/>
      <c r="O426" s="29"/>
      <c r="P426" s="29"/>
      <c r="Q426" s="332">
        <f t="shared" si="78"/>
        <v>2712</v>
      </c>
      <c r="R426" s="6"/>
      <c r="S426" s="7">
        <f>52688+25801+8137</f>
        <v>86626</v>
      </c>
      <c r="T426" s="6"/>
      <c r="U426" s="243">
        <f t="shared" si="79"/>
        <v>2.5306759667873976E-2</v>
      </c>
      <c r="W426">
        <f t="shared" si="65"/>
        <v>416</v>
      </c>
      <c r="Y426" s="56"/>
    </row>
    <row r="427" spans="3:25" x14ac:dyDescent="0.3">
      <c r="C427" s="157">
        <f t="shared" si="75"/>
        <v>44326</v>
      </c>
      <c r="E427" s="241">
        <v>2074079</v>
      </c>
      <c r="F427" s="7"/>
      <c r="G427" s="7">
        <v>1008046</v>
      </c>
      <c r="H427" s="7"/>
      <c r="I427" s="7">
        <v>343545</v>
      </c>
      <c r="J427" s="244"/>
      <c r="K427" s="7">
        <f t="shared" si="76"/>
        <v>3425670</v>
      </c>
      <c r="L427" s="6"/>
      <c r="M427" s="438">
        <f t="shared" si="77"/>
        <v>7.6890761948888683E-4</v>
      </c>
      <c r="N427" s="29"/>
      <c r="O427" s="29"/>
      <c r="P427" s="29"/>
      <c r="Q427" s="332">
        <f t="shared" si="78"/>
        <v>2632</v>
      </c>
      <c r="R427" s="6"/>
      <c r="S427" s="7">
        <f>52729+25810+8154</f>
        <v>86693</v>
      </c>
      <c r="T427" s="6"/>
      <c r="U427" s="243">
        <f t="shared" si="79"/>
        <v>2.5306874275689135E-2</v>
      </c>
      <c r="W427">
        <f t="shared" si="65"/>
        <v>417</v>
      </c>
      <c r="Y427" s="56"/>
    </row>
    <row r="428" spans="3:25" x14ac:dyDescent="0.3">
      <c r="C428" s="157">
        <f t="shared" si="75"/>
        <v>44327</v>
      </c>
      <c r="E428" s="241">
        <v>2075539</v>
      </c>
      <c r="F428" s="7"/>
      <c r="G428" s="7">
        <v>1008607</v>
      </c>
      <c r="H428" s="7"/>
      <c r="I428" s="7">
        <v>343954</v>
      </c>
      <c r="J428" s="244"/>
      <c r="K428" s="7">
        <f t="shared" si="76"/>
        <v>3428100</v>
      </c>
      <c r="L428" s="6"/>
      <c r="M428" s="438">
        <f t="shared" si="77"/>
        <v>7.0935028768095E-4</v>
      </c>
      <c r="N428" s="29"/>
      <c r="O428" s="29"/>
      <c r="P428" s="29"/>
      <c r="Q428" s="332">
        <f t="shared" si="78"/>
        <v>2430</v>
      </c>
      <c r="R428" s="6"/>
      <c r="S428" s="7">
        <f>52770+25841+8156</f>
        <v>86767</v>
      </c>
      <c r="T428" s="6"/>
      <c r="U428" s="243">
        <f t="shared" si="79"/>
        <v>2.5310521863422888E-2</v>
      </c>
      <c r="W428">
        <f t="shared" si="65"/>
        <v>418</v>
      </c>
      <c r="Y428" s="56"/>
    </row>
    <row r="429" spans="3:25" x14ac:dyDescent="0.3">
      <c r="C429" s="157">
        <f t="shared" si="75"/>
        <v>44328</v>
      </c>
      <c r="E429" s="241">
        <v>2077563</v>
      </c>
      <c r="F429" s="7"/>
      <c r="G429" s="7">
        <v>1009093</v>
      </c>
      <c r="H429" s="7"/>
      <c r="I429" s="7">
        <v>344141</v>
      </c>
      <c r="J429" s="244"/>
      <c r="K429" s="7">
        <f t="shared" si="76"/>
        <v>3430797</v>
      </c>
      <c r="L429" s="6"/>
      <c r="M429" s="438">
        <f t="shared" si="77"/>
        <v>7.867331758116741E-4</v>
      </c>
      <c r="N429" s="29"/>
      <c r="O429" s="29"/>
      <c r="P429" s="29"/>
      <c r="Q429" s="332">
        <f t="shared" si="78"/>
        <v>2697</v>
      </c>
      <c r="R429" s="6"/>
      <c r="S429" s="7">
        <f>52825+25882+8161</f>
        <v>86868</v>
      </c>
      <c r="T429" s="6"/>
      <c r="U429" s="243">
        <f t="shared" si="79"/>
        <v>2.53200641133824E-2</v>
      </c>
      <c r="W429">
        <f t="shared" si="65"/>
        <v>419</v>
      </c>
      <c r="Y429" s="56"/>
    </row>
    <row r="430" spans="3:25" x14ac:dyDescent="0.3">
      <c r="C430" s="157">
        <f t="shared" si="75"/>
        <v>44329</v>
      </c>
      <c r="E430" s="241">
        <v>2079749</v>
      </c>
      <c r="F430" s="7"/>
      <c r="G430" s="7">
        <v>1009521</v>
      </c>
      <c r="H430" s="7"/>
      <c r="I430" s="7">
        <v>344612</v>
      </c>
      <c r="J430" s="244"/>
      <c r="K430" s="7">
        <f t="shared" si="76"/>
        <v>3433882</v>
      </c>
      <c r="L430" s="6"/>
      <c r="M430" s="438">
        <f t="shared" si="77"/>
        <v>8.9920796829424769E-4</v>
      </c>
      <c r="N430" s="29"/>
      <c r="O430" s="29"/>
      <c r="P430" s="29"/>
      <c r="Q430" s="332">
        <f t="shared" si="78"/>
        <v>3085</v>
      </c>
      <c r="R430" s="6"/>
      <c r="S430" s="7">
        <f>52866+25906+8168</f>
        <v>86940</v>
      </c>
      <c r="T430" s="6"/>
      <c r="U430" s="243">
        <f t="shared" si="79"/>
        <v>2.5318284087804996E-2</v>
      </c>
      <c r="W430">
        <f t="shared" si="65"/>
        <v>420</v>
      </c>
      <c r="Y430" s="56"/>
    </row>
    <row r="431" spans="3:25" x14ac:dyDescent="0.3">
      <c r="C431" s="157">
        <f t="shared" si="75"/>
        <v>44330</v>
      </c>
      <c r="E431" s="241">
        <v>2081823</v>
      </c>
      <c r="F431" s="7"/>
      <c r="G431" s="7">
        <v>1009844</v>
      </c>
      <c r="H431" s="7"/>
      <c r="I431" s="7">
        <v>344977</v>
      </c>
      <c r="J431" s="244"/>
      <c r="K431" s="7">
        <f t="shared" si="76"/>
        <v>3436644</v>
      </c>
      <c r="L431" s="6"/>
      <c r="M431" s="438">
        <f t="shared" si="77"/>
        <v>8.0433748160245455E-4</v>
      </c>
      <c r="N431" s="29"/>
      <c r="O431" s="29"/>
      <c r="P431" s="29"/>
      <c r="Q431" s="332">
        <f t="shared" si="78"/>
        <v>2762</v>
      </c>
      <c r="R431" s="6"/>
      <c r="S431" s="7">
        <f>52903+25932+8173</f>
        <v>87008</v>
      </c>
      <c r="T431" s="6"/>
      <c r="U431" s="243">
        <f t="shared" si="79"/>
        <v>2.5317722755106437E-2</v>
      </c>
      <c r="W431">
        <f t="shared" si="65"/>
        <v>421</v>
      </c>
      <c r="Y431" s="56"/>
    </row>
    <row r="432" spans="3:25" x14ac:dyDescent="0.3">
      <c r="C432" s="157">
        <f t="shared" si="75"/>
        <v>44331</v>
      </c>
      <c r="E432" s="241">
        <v>2083623</v>
      </c>
      <c r="F432" s="7"/>
      <c r="G432" s="7">
        <v>1010490</v>
      </c>
      <c r="H432" s="7"/>
      <c r="I432" s="7">
        <v>344977</v>
      </c>
      <c r="J432" s="244"/>
      <c r="K432" s="7">
        <f t="shared" si="76"/>
        <v>3439090</v>
      </c>
      <c r="L432" s="6"/>
      <c r="M432" s="438">
        <f t="shared" si="77"/>
        <v>7.1174087278170215E-4</v>
      </c>
      <c r="N432" s="29"/>
      <c r="O432" s="29"/>
      <c r="P432" s="29"/>
      <c r="Q432" s="332">
        <f t="shared" si="78"/>
        <v>2446</v>
      </c>
      <c r="R432" s="6"/>
      <c r="S432" s="7">
        <f>52914+25952+8173</f>
        <v>87039</v>
      </c>
      <c r="T432" s="6"/>
      <c r="U432" s="243">
        <f t="shared" si="79"/>
        <v>2.5308729925648935E-2</v>
      </c>
      <c r="W432">
        <f t="shared" si="65"/>
        <v>422</v>
      </c>
      <c r="Y432" s="56"/>
    </row>
    <row r="433" spans="3:25" x14ac:dyDescent="0.3">
      <c r="C433" s="157">
        <f t="shared" si="75"/>
        <v>44332</v>
      </c>
      <c r="E433" s="241">
        <v>2085477</v>
      </c>
      <c r="F433" s="7"/>
      <c r="G433" s="7">
        <v>1010759</v>
      </c>
      <c r="H433" s="7"/>
      <c r="I433" s="7">
        <v>344977</v>
      </c>
      <c r="J433" s="244"/>
      <c r="K433" s="7">
        <f t="shared" si="76"/>
        <v>3441213</v>
      </c>
      <c r="L433" s="6"/>
      <c r="M433" s="438">
        <f t="shared" si="77"/>
        <v>6.1731446400065137E-4</v>
      </c>
      <c r="N433" s="29"/>
      <c r="O433" s="29"/>
      <c r="P433" s="29"/>
      <c r="Q433" s="332">
        <f t="shared" si="78"/>
        <v>2123</v>
      </c>
      <c r="R433" s="6"/>
      <c r="S433" s="7">
        <f>52953+25961+8173</f>
        <v>87087</v>
      </c>
      <c r="T433" s="6"/>
      <c r="U433" s="243">
        <f t="shared" si="79"/>
        <v>2.530706468910817E-2</v>
      </c>
      <c r="W433">
        <f t="shared" si="65"/>
        <v>423</v>
      </c>
      <c r="Y433" s="56"/>
    </row>
    <row r="434" spans="3:25" x14ac:dyDescent="0.3">
      <c r="C434" s="157">
        <f t="shared" si="75"/>
        <v>44333</v>
      </c>
      <c r="E434" s="241">
        <v>2086836</v>
      </c>
      <c r="F434" s="7"/>
      <c r="G434" s="7">
        <v>1011106</v>
      </c>
      <c r="H434" s="7"/>
      <c r="I434" s="7">
        <v>345639</v>
      </c>
      <c r="J434" s="244"/>
      <c r="K434" s="7">
        <f t="shared" si="76"/>
        <v>3443581</v>
      </c>
      <c r="L434" s="6"/>
      <c r="M434" s="438">
        <f t="shared" si="77"/>
        <v>6.8812944737800302E-4</v>
      </c>
      <c r="N434" s="29"/>
      <c r="O434" s="29"/>
      <c r="P434" s="29"/>
      <c r="Q434" s="332">
        <f t="shared" si="78"/>
        <v>2368</v>
      </c>
      <c r="R434" s="6"/>
      <c r="S434" s="7">
        <f>52989+25975+8194</f>
        <v>87158</v>
      </c>
      <c r="T434" s="6"/>
      <c r="U434" s="243">
        <f t="shared" si="79"/>
        <v>2.531028019959455E-2</v>
      </c>
      <c r="W434">
        <f t="shared" si="65"/>
        <v>424</v>
      </c>
      <c r="Y434" s="56"/>
    </row>
    <row r="435" spans="3:25" x14ac:dyDescent="0.3">
      <c r="C435" s="157">
        <f t="shared" si="75"/>
        <v>44334</v>
      </c>
      <c r="E435" s="241">
        <v>2088361</v>
      </c>
      <c r="F435" s="7"/>
      <c r="G435" s="7">
        <v>1011752</v>
      </c>
      <c r="H435" s="7"/>
      <c r="I435" s="7">
        <v>345720</v>
      </c>
      <c r="J435" s="244"/>
      <c r="K435" s="7">
        <f t="shared" si="76"/>
        <v>3445833</v>
      </c>
      <c r="L435" s="6"/>
      <c r="M435" s="438">
        <f t="shared" si="77"/>
        <v>6.5397038722190648E-4</v>
      </c>
      <c r="N435" s="29"/>
      <c r="O435" s="29"/>
      <c r="P435" s="29"/>
      <c r="Q435" s="332">
        <f t="shared" si="78"/>
        <v>2252</v>
      </c>
      <c r="R435" s="6"/>
      <c r="S435" s="7">
        <f>53020+25998+8198</f>
        <v>87216</v>
      </c>
      <c r="T435" s="6"/>
      <c r="U435" s="243">
        <f t="shared" si="79"/>
        <v>2.5310570767648925E-2</v>
      </c>
      <c r="W435">
        <f t="shared" si="65"/>
        <v>425</v>
      </c>
      <c r="Y435" s="56"/>
    </row>
    <row r="436" spans="3:25" x14ac:dyDescent="0.3">
      <c r="C436" s="157">
        <f t="shared" si="75"/>
        <v>44335</v>
      </c>
      <c r="E436" s="241">
        <v>2089698</v>
      </c>
      <c r="F436" s="7"/>
      <c r="G436" s="7">
        <v>1012196</v>
      </c>
      <c r="H436" s="7"/>
      <c r="I436" s="7">
        <v>345948</v>
      </c>
      <c r="J436" s="244"/>
      <c r="K436" s="7">
        <f t="shared" si="76"/>
        <v>3447842</v>
      </c>
      <c r="L436" s="6"/>
      <c r="M436" s="438">
        <f t="shared" si="77"/>
        <v>5.8302303100585544E-4</v>
      </c>
      <c r="N436" s="29"/>
      <c r="O436" s="29"/>
      <c r="P436" s="29"/>
      <c r="Q436" s="332">
        <f t="shared" si="78"/>
        <v>2009</v>
      </c>
      <c r="R436" s="6"/>
      <c r="S436" s="7">
        <f>53044+26030+8204</f>
        <v>87278</v>
      </c>
      <c r="T436" s="6"/>
      <c r="U436" s="243">
        <f t="shared" si="79"/>
        <v>2.5313804982942955E-2</v>
      </c>
      <c r="W436">
        <f t="shared" si="65"/>
        <v>426</v>
      </c>
      <c r="Y436" s="56"/>
    </row>
    <row r="437" spans="3:25" x14ac:dyDescent="0.3">
      <c r="C437" s="157">
        <f t="shared" si="75"/>
        <v>44336</v>
      </c>
      <c r="E437" s="241">
        <v>2091342</v>
      </c>
      <c r="F437" s="7"/>
      <c r="G437" s="7">
        <v>1012757</v>
      </c>
      <c r="H437" s="7"/>
      <c r="I437" s="7">
        <v>346154</v>
      </c>
      <c r="J437" s="244"/>
      <c r="K437" s="7">
        <f t="shared" si="76"/>
        <v>3450253</v>
      </c>
      <c r="L437" s="6"/>
      <c r="M437" s="438">
        <f t="shared" si="77"/>
        <v>6.992779831558407E-4</v>
      </c>
      <c r="N437" s="29"/>
      <c r="O437" s="29"/>
      <c r="P437" s="29"/>
      <c r="Q437" s="332">
        <f t="shared" si="78"/>
        <v>2411</v>
      </c>
      <c r="R437" s="6"/>
      <c r="S437" s="7">
        <f>53070+26053+8208</f>
        <v>87331</v>
      </c>
      <c r="T437" s="6"/>
      <c r="U437" s="243">
        <f t="shared" si="79"/>
        <v>2.5311477158341721E-2</v>
      </c>
      <c r="W437">
        <f t="shared" si="65"/>
        <v>427</v>
      </c>
      <c r="Y437" s="56"/>
    </row>
    <row r="438" spans="3:25" x14ac:dyDescent="0.3">
      <c r="C438" s="157">
        <f t="shared" si="75"/>
        <v>44337</v>
      </c>
      <c r="E438" s="241">
        <v>2092916</v>
      </c>
      <c r="F438" s="7"/>
      <c r="G438" s="7">
        <v>1013409</v>
      </c>
      <c r="H438" s="7"/>
      <c r="I438" s="7">
        <v>346325</v>
      </c>
      <c r="J438" s="244"/>
      <c r="K438" s="7">
        <f t="shared" si="76"/>
        <v>3452650</v>
      </c>
      <c r="L438" s="6"/>
      <c r="M438" s="438">
        <f t="shared" si="77"/>
        <v>6.94731661707127E-4</v>
      </c>
      <c r="N438" s="29"/>
      <c r="O438" s="29"/>
      <c r="P438" s="29"/>
      <c r="Q438" s="332">
        <f t="shared" si="78"/>
        <v>2397</v>
      </c>
      <c r="R438" s="6"/>
      <c r="S438" s="7">
        <f>53095+26070+8212</f>
        <v>87377</v>
      </c>
      <c r="T438" s="6"/>
      <c r="U438" s="243">
        <f t="shared" si="79"/>
        <v>2.5307227781559093E-2</v>
      </c>
      <c r="W438">
        <f t="shared" si="65"/>
        <v>428</v>
      </c>
      <c r="Y438" s="56"/>
    </row>
    <row r="439" spans="3:25" x14ac:dyDescent="0.3">
      <c r="C439" s="157">
        <f t="shared" si="75"/>
        <v>44338</v>
      </c>
      <c r="E439" s="241">
        <v>2094245</v>
      </c>
      <c r="F439" s="7"/>
      <c r="G439" s="7">
        <v>1013787</v>
      </c>
      <c r="H439" s="7"/>
      <c r="I439" s="7">
        <v>346325</v>
      </c>
      <c r="J439" s="244"/>
      <c r="K439" s="7">
        <f t="shared" si="76"/>
        <v>3454357</v>
      </c>
      <c r="L439" s="6"/>
      <c r="M439" s="438">
        <f t="shared" si="77"/>
        <v>4.9440284998479426E-4</v>
      </c>
      <c r="N439" s="29"/>
      <c r="O439" s="29"/>
      <c r="P439" s="29"/>
      <c r="Q439" s="332">
        <f t="shared" si="78"/>
        <v>1707</v>
      </c>
      <c r="R439" s="6"/>
      <c r="S439" s="7">
        <f>53112+26084+8212</f>
        <v>87408</v>
      </c>
      <c r="T439" s="6"/>
      <c r="U439" s="243">
        <f t="shared" si="79"/>
        <v>2.5303696172688579E-2</v>
      </c>
      <c r="W439">
        <f t="shared" si="65"/>
        <v>429</v>
      </c>
      <c r="Y439" s="56"/>
    </row>
    <row r="440" spans="3:25" x14ac:dyDescent="0.3">
      <c r="C440" s="157">
        <f t="shared" si="75"/>
        <v>44339</v>
      </c>
      <c r="E440" s="241">
        <v>2095319</v>
      </c>
      <c r="F440" s="7"/>
      <c r="G440" s="7">
        <v>1014088</v>
      </c>
      <c r="H440" s="7"/>
      <c r="I440" s="7">
        <v>346325</v>
      </c>
      <c r="J440" s="244"/>
      <c r="K440" s="7">
        <f t="shared" si="76"/>
        <v>3455732</v>
      </c>
      <c r="L440" s="6"/>
      <c r="M440" s="438">
        <f t="shared" si="77"/>
        <v>3.9804803035702448E-4</v>
      </c>
      <c r="N440" s="29"/>
      <c r="O440" s="29"/>
      <c r="P440" s="29"/>
      <c r="Q440" s="332">
        <f t="shared" si="78"/>
        <v>1375</v>
      </c>
      <c r="R440" s="6"/>
      <c r="S440" s="7">
        <f>53131+26091+8212</f>
        <v>87434</v>
      </c>
      <c r="T440" s="6"/>
      <c r="U440" s="243">
        <f t="shared" si="79"/>
        <v>2.5301151825430909E-2</v>
      </c>
      <c r="W440">
        <f t="shared" si="65"/>
        <v>430</v>
      </c>
      <c r="Y440" s="56"/>
    </row>
    <row r="441" spans="3:25" x14ac:dyDescent="0.3">
      <c r="C441" s="157">
        <f t="shared" si="75"/>
        <v>44340</v>
      </c>
      <c r="E441" s="241">
        <v>2096280</v>
      </c>
      <c r="F441" s="7"/>
      <c r="G441" s="7">
        <v>1014190</v>
      </c>
      <c r="H441" s="7"/>
      <c r="I441" s="7">
        <v>346711</v>
      </c>
      <c r="J441" s="244"/>
      <c r="K441" s="7">
        <f t="shared" ref="K441:K472" si="80">SUM(E441:I441)</f>
        <v>3457181</v>
      </c>
      <c r="L441" s="6"/>
      <c r="M441" s="438">
        <f t="shared" ref="M441:M472" si="81">+(K441-K440)/K440</f>
        <v>4.1930334875505391E-4</v>
      </c>
      <c r="N441" s="29"/>
      <c r="O441" s="29"/>
      <c r="P441" s="29"/>
      <c r="Q441" s="332">
        <f t="shared" ref="Q441:Q472" si="82">+K441-K440</f>
        <v>1449</v>
      </c>
      <c r="R441" s="6"/>
      <c r="S441" s="7">
        <f>53164+26100+8219</f>
        <v>87483</v>
      </c>
      <c r="T441" s="6"/>
      <c r="U441" s="243">
        <f t="shared" ref="U441:U472" si="83">+S441/K441</f>
        <v>2.5304720811551377E-2</v>
      </c>
      <c r="W441">
        <f t="shared" si="65"/>
        <v>431</v>
      </c>
      <c r="Y441" s="56"/>
    </row>
    <row r="442" spans="3:25" x14ac:dyDescent="0.3">
      <c r="C442" s="157">
        <f t="shared" si="75"/>
        <v>44341</v>
      </c>
      <c r="E442" s="241">
        <v>2097200</v>
      </c>
      <c r="F442" s="7"/>
      <c r="G442" s="7">
        <v>1014579</v>
      </c>
      <c r="H442" s="7"/>
      <c r="I442" s="7">
        <v>346892</v>
      </c>
      <c r="J442" s="244"/>
      <c r="K442" s="7">
        <f t="shared" si="80"/>
        <v>3458671</v>
      </c>
      <c r="L442" s="6"/>
      <c r="M442" s="438">
        <f t="shared" si="81"/>
        <v>4.3098698043290181E-4</v>
      </c>
      <c r="N442" s="29"/>
      <c r="O442" s="29"/>
      <c r="P442" s="29"/>
      <c r="Q442" s="332">
        <f t="shared" si="82"/>
        <v>1490</v>
      </c>
      <c r="R442" s="6"/>
      <c r="S442" s="7">
        <f>53181+26124+8221</f>
        <v>87526</v>
      </c>
      <c r="T442" s="6"/>
      <c r="U442" s="243">
        <f t="shared" si="83"/>
        <v>2.5306252025705828E-2</v>
      </c>
      <c r="W442">
        <f t="shared" si="65"/>
        <v>432</v>
      </c>
      <c r="Y442" s="56"/>
    </row>
    <row r="443" spans="3:25" x14ac:dyDescent="0.3">
      <c r="C443" s="157">
        <f t="shared" si="75"/>
        <v>44342</v>
      </c>
      <c r="E443" s="241">
        <v>2098098</v>
      </c>
      <c r="F443" s="7"/>
      <c r="G443" s="7">
        <v>1014974</v>
      </c>
      <c r="H443" s="7"/>
      <c r="I443" s="7">
        <v>346980</v>
      </c>
      <c r="J443" s="244"/>
      <c r="K443" s="7">
        <f t="shared" si="80"/>
        <v>3460052</v>
      </c>
      <c r="L443" s="6"/>
      <c r="M443" s="438">
        <f t="shared" si="81"/>
        <v>3.9928631546625858E-4</v>
      </c>
      <c r="N443" s="29"/>
      <c r="O443" s="29"/>
      <c r="P443" s="29"/>
      <c r="Q443" s="332">
        <f t="shared" si="82"/>
        <v>1381</v>
      </c>
      <c r="R443" s="6"/>
      <c r="S443" s="7">
        <f>53208+26159+8227</f>
        <v>87594</v>
      </c>
      <c r="T443" s="6"/>
      <c r="U443" s="243">
        <f t="shared" si="83"/>
        <v>2.5315804502360081E-2</v>
      </c>
      <c r="W443">
        <f t="shared" si="65"/>
        <v>433</v>
      </c>
      <c r="Y443" s="56"/>
    </row>
    <row r="444" spans="3:25" x14ac:dyDescent="0.3">
      <c r="C444" s="157">
        <f t="shared" si="75"/>
        <v>44343</v>
      </c>
      <c r="E444" s="241">
        <v>2099246</v>
      </c>
      <c r="F444" s="7"/>
      <c r="G444" s="7">
        <v>1015368</v>
      </c>
      <c r="H444" s="7"/>
      <c r="I444" s="7">
        <v>347137</v>
      </c>
      <c r="J444" s="244"/>
      <c r="K444" s="7">
        <f t="shared" si="80"/>
        <v>3461751</v>
      </c>
      <c r="L444" s="6"/>
      <c r="M444" s="438">
        <f t="shared" si="81"/>
        <v>4.9103308273979699E-4</v>
      </c>
      <c r="N444" s="29"/>
      <c r="O444" s="29"/>
      <c r="P444" s="29"/>
      <c r="Q444" s="332">
        <f t="shared" si="82"/>
        <v>1699</v>
      </c>
      <c r="R444" s="6"/>
      <c r="S444" s="7">
        <f>53229+26173+8230</f>
        <v>87632</v>
      </c>
      <c r="T444" s="6"/>
      <c r="U444" s="243">
        <f t="shared" si="83"/>
        <v>2.5314356809603002E-2</v>
      </c>
      <c r="W444">
        <f t="shared" si="65"/>
        <v>434</v>
      </c>
      <c r="Y444" s="56"/>
    </row>
    <row r="445" spans="3:25" x14ac:dyDescent="0.3">
      <c r="C445" s="157">
        <f t="shared" si="75"/>
        <v>44344</v>
      </c>
      <c r="E445" s="241">
        <v>2100183</v>
      </c>
      <c r="F445" s="7"/>
      <c r="G445" s="7">
        <v>1015634</v>
      </c>
      <c r="H445" s="7"/>
      <c r="I445" s="7">
        <v>347341</v>
      </c>
      <c r="J445" s="244"/>
      <c r="K445" s="7">
        <f t="shared" si="80"/>
        <v>3463158</v>
      </c>
      <c r="L445" s="6"/>
      <c r="M445" s="438">
        <f t="shared" si="81"/>
        <v>4.0644171114560232E-4</v>
      </c>
      <c r="N445" s="29"/>
      <c r="O445" s="29"/>
      <c r="P445" s="29"/>
      <c r="Q445" s="332">
        <f t="shared" si="82"/>
        <v>1407</v>
      </c>
      <c r="R445" s="6"/>
      <c r="S445" s="7">
        <f>53255+26185+8238</f>
        <v>87678</v>
      </c>
      <c r="T445" s="6"/>
      <c r="U445" s="243">
        <f t="shared" si="83"/>
        <v>2.5317354853575839E-2</v>
      </c>
      <c r="W445">
        <f t="shared" si="65"/>
        <v>435</v>
      </c>
      <c r="Y445" s="56"/>
    </row>
    <row r="446" spans="3:25" x14ac:dyDescent="0.3">
      <c r="C446" s="157">
        <f t="shared" si="75"/>
        <v>44345</v>
      </c>
      <c r="E446" s="241">
        <v>2101055</v>
      </c>
      <c r="F446" s="7"/>
      <c r="G446" s="7">
        <v>1015889</v>
      </c>
      <c r="H446" s="7"/>
      <c r="I446" s="7">
        <v>347341</v>
      </c>
      <c r="J446" s="244"/>
      <c r="K446" s="7">
        <f t="shared" si="80"/>
        <v>3464285</v>
      </c>
      <c r="L446" s="6"/>
      <c r="M446" s="438">
        <f t="shared" si="81"/>
        <v>3.2542552202354034E-4</v>
      </c>
      <c r="N446" s="29"/>
      <c r="O446" s="29"/>
      <c r="P446" s="29"/>
      <c r="Q446" s="332">
        <f t="shared" si="82"/>
        <v>1127</v>
      </c>
      <c r="R446" s="6"/>
      <c r="S446" s="7">
        <f>53269+26201+8238</f>
        <v>87708</v>
      </c>
      <c r="T446" s="6"/>
      <c r="U446" s="243">
        <f t="shared" si="83"/>
        <v>2.5317778416036787E-2</v>
      </c>
      <c r="W446">
        <f t="shared" si="65"/>
        <v>436</v>
      </c>
      <c r="Y446" s="56"/>
    </row>
    <row r="447" spans="3:25" x14ac:dyDescent="0.3">
      <c r="C447" s="157">
        <f t="shared" si="75"/>
        <v>44346</v>
      </c>
      <c r="E447" s="241">
        <v>2101875</v>
      </c>
      <c r="F447" s="7"/>
      <c r="G447" s="7">
        <v>1016135</v>
      </c>
      <c r="H447" s="7"/>
      <c r="I447" s="7">
        <v>347341</v>
      </c>
      <c r="J447" s="244"/>
      <c r="K447" s="7">
        <f t="shared" si="80"/>
        <v>3465351</v>
      </c>
      <c r="L447" s="6"/>
      <c r="M447" s="438">
        <f t="shared" si="81"/>
        <v>3.0771140365183582E-4</v>
      </c>
      <c r="N447" s="29"/>
      <c r="O447" s="29"/>
      <c r="P447" s="29"/>
      <c r="Q447" s="332">
        <f t="shared" si="82"/>
        <v>1066</v>
      </c>
      <c r="R447" s="6"/>
      <c r="S447" s="7">
        <f>53285+26207+8238</f>
        <v>87730</v>
      </c>
      <c r="T447" s="6"/>
      <c r="U447" s="243">
        <f t="shared" si="83"/>
        <v>2.5316338806660565E-2</v>
      </c>
      <c r="W447">
        <f t="shared" si="65"/>
        <v>437</v>
      </c>
      <c r="Y447" s="56"/>
    </row>
    <row r="448" spans="3:25" x14ac:dyDescent="0.3">
      <c r="C448" s="157">
        <f t="shared" si="75"/>
        <v>44347</v>
      </c>
      <c r="E448" s="241">
        <v>2102404</v>
      </c>
      <c r="F448" s="7"/>
      <c r="G448" s="7">
        <v>1016332</v>
      </c>
      <c r="H448" s="7"/>
      <c r="I448" s="7">
        <v>347341</v>
      </c>
      <c r="J448" s="244"/>
      <c r="K448" s="7">
        <f t="shared" si="80"/>
        <v>3466077</v>
      </c>
      <c r="L448" s="6"/>
      <c r="M448" s="438">
        <f t="shared" si="81"/>
        <v>2.0950258718380909E-4</v>
      </c>
      <c r="N448" s="29"/>
      <c r="O448" s="29"/>
      <c r="P448" s="29"/>
      <c r="Q448" s="332">
        <f t="shared" si="82"/>
        <v>726</v>
      </c>
      <c r="R448" s="6"/>
      <c r="S448" s="7">
        <f>53303+26212+8238</f>
        <v>87753</v>
      </c>
      <c r="T448" s="6"/>
      <c r="U448" s="243">
        <f t="shared" si="83"/>
        <v>2.5317671823216852E-2</v>
      </c>
      <c r="W448">
        <f t="shared" si="65"/>
        <v>438</v>
      </c>
      <c r="Y448" s="56"/>
    </row>
    <row r="449" spans="3:25" x14ac:dyDescent="0.3">
      <c r="C449" s="157">
        <f t="shared" si="75"/>
        <v>44348</v>
      </c>
      <c r="E449" s="241">
        <v>2102869</v>
      </c>
      <c r="F449" s="7"/>
      <c r="G449" s="7">
        <v>1016490</v>
      </c>
      <c r="H449" s="7"/>
      <c r="I449" s="7">
        <v>347563</v>
      </c>
      <c r="J449" s="244"/>
      <c r="K449" s="7">
        <f t="shared" si="80"/>
        <v>3466922</v>
      </c>
      <c r="L449" s="6"/>
      <c r="M449" s="438">
        <f t="shared" si="81"/>
        <v>2.4379146799104578E-4</v>
      </c>
      <c r="N449" s="29"/>
      <c r="O449" s="29"/>
      <c r="P449" s="29"/>
      <c r="Q449" s="332">
        <f t="shared" si="82"/>
        <v>845</v>
      </c>
      <c r="R449" s="6"/>
      <c r="S449" s="7">
        <f>53329+26219+8244</f>
        <v>87792</v>
      </c>
      <c r="T449" s="6"/>
      <c r="U449" s="243">
        <f t="shared" si="83"/>
        <v>2.5322750266663051E-2</v>
      </c>
      <c r="W449">
        <f t="shared" si="65"/>
        <v>439</v>
      </c>
      <c r="Y449" s="56"/>
    </row>
    <row r="450" spans="3:25" x14ac:dyDescent="0.3">
      <c r="C450" s="157">
        <f t="shared" si="75"/>
        <v>44349</v>
      </c>
      <c r="E450" s="241">
        <v>2103269</v>
      </c>
      <c r="F450" s="7"/>
      <c r="G450" s="7">
        <v>1016763</v>
      </c>
      <c r="H450" s="7"/>
      <c r="I450" s="7">
        <v>347678</v>
      </c>
      <c r="J450" s="244"/>
      <c r="K450" s="7">
        <f t="shared" si="80"/>
        <v>3467710</v>
      </c>
      <c r="L450" s="6"/>
      <c r="M450" s="438">
        <f t="shared" si="81"/>
        <v>2.2729095145492169E-4</v>
      </c>
      <c r="N450" s="29"/>
      <c r="O450" s="29"/>
      <c r="P450" s="29"/>
      <c r="Q450" s="332">
        <f t="shared" si="82"/>
        <v>788</v>
      </c>
      <c r="R450" s="6"/>
      <c r="S450" s="7">
        <f>53338+26247+8247</f>
        <v>87832</v>
      </c>
      <c r="T450" s="6"/>
      <c r="U450" s="243">
        <f t="shared" si="83"/>
        <v>2.5328530932517426E-2</v>
      </c>
      <c r="W450">
        <f t="shared" si="65"/>
        <v>440</v>
      </c>
      <c r="Y450" s="56"/>
    </row>
    <row r="451" spans="3:25" x14ac:dyDescent="0.3">
      <c r="C451" s="157">
        <f t="shared" si="75"/>
        <v>44350</v>
      </c>
      <c r="E451" s="241">
        <v>2103768</v>
      </c>
      <c r="F451" s="7"/>
      <c r="G451" s="7">
        <v>1017044</v>
      </c>
      <c r="H451" s="7"/>
      <c r="I451" s="7">
        <v>347748</v>
      </c>
      <c r="J451" s="244"/>
      <c r="K451" s="7">
        <f t="shared" si="80"/>
        <v>3468560</v>
      </c>
      <c r="L451" s="6"/>
      <c r="M451" s="438">
        <f t="shared" si="81"/>
        <v>2.4511853644047511E-4</v>
      </c>
      <c r="N451" s="29"/>
      <c r="O451" s="29"/>
      <c r="P451" s="29"/>
      <c r="Q451" s="332">
        <f t="shared" si="82"/>
        <v>850</v>
      </c>
      <c r="R451" s="6"/>
      <c r="S451" s="7">
        <f>53357+26253+8245</f>
        <v>87855</v>
      </c>
      <c r="T451" s="6"/>
      <c r="U451" s="243">
        <f t="shared" si="83"/>
        <v>2.532895495537053E-2</v>
      </c>
      <c r="W451">
        <f t="shared" si="65"/>
        <v>441</v>
      </c>
      <c r="Y451" s="56"/>
    </row>
    <row r="452" spans="3:25" x14ac:dyDescent="0.3">
      <c r="C452" s="157">
        <f t="shared" si="75"/>
        <v>44351</v>
      </c>
      <c r="E452" s="241">
        <v>2104539</v>
      </c>
      <c r="F452" s="7"/>
      <c r="G452" s="7">
        <v>1017118</v>
      </c>
      <c r="H452" s="7"/>
      <c r="I452" s="7">
        <v>347891</v>
      </c>
      <c r="J452" s="244"/>
      <c r="K452" s="7">
        <f t="shared" si="80"/>
        <v>3469548</v>
      </c>
      <c r="L452" s="6"/>
      <c r="M452" s="438">
        <f t="shared" si="81"/>
        <v>2.8484443111838917E-4</v>
      </c>
      <c r="N452" s="29"/>
      <c r="O452" s="29"/>
      <c r="P452" s="29"/>
      <c r="Q452" s="332">
        <f t="shared" si="82"/>
        <v>988</v>
      </c>
      <c r="R452" s="6"/>
      <c r="S452" s="7">
        <f>53416+26265+8246</f>
        <v>87927</v>
      </c>
      <c r="T452" s="6"/>
      <c r="U452" s="243">
        <f t="shared" si="83"/>
        <v>2.5342494180798189E-2</v>
      </c>
      <c r="W452">
        <f t="shared" si="65"/>
        <v>442</v>
      </c>
      <c r="Y452" s="56"/>
    </row>
    <row r="453" spans="3:25" x14ac:dyDescent="0.3">
      <c r="C453" s="157">
        <f t="shared" si="75"/>
        <v>44352</v>
      </c>
      <c r="E453" s="241">
        <v>2105375</v>
      </c>
      <c r="F453" s="7"/>
      <c r="G453" s="7">
        <v>1017695</v>
      </c>
      <c r="H453" s="7"/>
      <c r="I453" s="7">
        <v>347891</v>
      </c>
      <c r="J453" s="244"/>
      <c r="K453" s="7">
        <f t="shared" si="80"/>
        <v>3470961</v>
      </c>
      <c r="L453" s="6"/>
      <c r="M453" s="438">
        <f t="shared" si="81"/>
        <v>4.0725766007560638E-4</v>
      </c>
      <c r="N453" s="29"/>
      <c r="O453" s="29"/>
      <c r="P453" s="29"/>
      <c r="Q453" s="332">
        <f t="shared" si="82"/>
        <v>1413</v>
      </c>
      <c r="R453" s="6"/>
      <c r="S453" s="7">
        <f>53429+26273+8246</f>
        <v>87948</v>
      </c>
      <c r="T453" s="6"/>
      <c r="U453" s="243">
        <f t="shared" si="83"/>
        <v>2.5338227655107619E-2</v>
      </c>
      <c r="W453">
        <f t="shared" si="65"/>
        <v>443</v>
      </c>
      <c r="Y453" s="56"/>
    </row>
    <row r="454" spans="3:25" x14ac:dyDescent="0.3">
      <c r="C454" s="157">
        <f t="shared" si="75"/>
        <v>44353</v>
      </c>
      <c r="E454" s="241">
        <v>2105882</v>
      </c>
      <c r="F454" s="7"/>
      <c r="G454" s="7">
        <v>1017904</v>
      </c>
      <c r="H454" s="7"/>
      <c r="I454" s="7">
        <v>347891</v>
      </c>
      <c r="J454" s="244"/>
      <c r="K454" s="7">
        <f t="shared" si="80"/>
        <v>3471677</v>
      </c>
      <c r="L454" s="6"/>
      <c r="M454" s="438">
        <f t="shared" si="81"/>
        <v>2.0628292856070696E-4</v>
      </c>
      <c r="N454" s="29"/>
      <c r="O454" s="29"/>
      <c r="P454" s="29"/>
      <c r="Q454" s="332">
        <f t="shared" si="82"/>
        <v>716</v>
      </c>
      <c r="R454" s="6"/>
      <c r="S454" s="7">
        <f>53462+26279+8246</f>
        <v>87987</v>
      </c>
      <c r="T454" s="6"/>
      <c r="U454" s="243">
        <f t="shared" si="83"/>
        <v>2.5344235653259217E-2</v>
      </c>
      <c r="W454">
        <f t="shared" si="65"/>
        <v>444</v>
      </c>
      <c r="Y454" s="56"/>
    </row>
    <row r="455" spans="3:25" x14ac:dyDescent="0.3">
      <c r="C455" s="157">
        <f t="shared" si="75"/>
        <v>44354</v>
      </c>
      <c r="E455" s="241">
        <v>2106399</v>
      </c>
      <c r="F455" s="7"/>
      <c r="G455" s="7">
        <v>1018112</v>
      </c>
      <c r="H455" s="7"/>
      <c r="I455" s="7">
        <v>347950</v>
      </c>
      <c r="J455" s="244"/>
      <c r="K455" s="7">
        <f t="shared" si="80"/>
        <v>3472461</v>
      </c>
      <c r="L455" s="6"/>
      <c r="M455" s="438">
        <f t="shared" si="81"/>
        <v>2.2582746033113105E-4</v>
      </c>
      <c r="N455" s="29"/>
      <c r="O455" s="29"/>
      <c r="P455" s="29"/>
      <c r="Q455" s="332">
        <f t="shared" si="82"/>
        <v>784</v>
      </c>
      <c r="R455" s="6"/>
      <c r="S455" s="7">
        <f>53462+26279+8246</f>
        <v>87987</v>
      </c>
      <c r="T455" s="6"/>
      <c r="U455" s="243">
        <f t="shared" si="83"/>
        <v>2.5338513521102182E-2</v>
      </c>
      <c r="W455">
        <f t="shared" si="65"/>
        <v>445</v>
      </c>
      <c r="Y455" s="56"/>
    </row>
    <row r="456" spans="3:25" x14ac:dyDescent="0.3">
      <c r="C456" s="157">
        <f t="shared" si="75"/>
        <v>44355</v>
      </c>
      <c r="E456" s="241">
        <v>2106852</v>
      </c>
      <c r="F456" s="7"/>
      <c r="G456" s="7">
        <v>1018307</v>
      </c>
      <c r="H456" s="7"/>
      <c r="I456" s="7">
        <v>348154</v>
      </c>
      <c r="J456" s="244"/>
      <c r="K456" s="7">
        <f t="shared" si="80"/>
        <v>3473313</v>
      </c>
      <c r="L456" s="6"/>
      <c r="M456" s="438">
        <f t="shared" si="81"/>
        <v>2.4535912714354461E-4</v>
      </c>
      <c r="N456" s="29"/>
      <c r="O456" s="29"/>
      <c r="P456" s="29"/>
      <c r="Q456" s="332">
        <f t="shared" si="82"/>
        <v>852</v>
      </c>
      <c r="R456" s="6"/>
      <c r="S456" s="7">
        <f>53483+26285+8255</f>
        <v>88023</v>
      </c>
      <c r="T456" s="6"/>
      <c r="U456" s="243">
        <f t="shared" si="83"/>
        <v>2.5342662754551635E-2</v>
      </c>
      <c r="W456">
        <f t="shared" si="65"/>
        <v>446</v>
      </c>
      <c r="Y456" s="56"/>
    </row>
    <row r="457" spans="3:25" x14ac:dyDescent="0.3">
      <c r="C457" s="157">
        <f t="shared" si="75"/>
        <v>44356</v>
      </c>
      <c r="E457" s="241">
        <v>2107289</v>
      </c>
      <c r="F457" s="7"/>
      <c r="G457" s="7">
        <v>1018491</v>
      </c>
      <c r="H457" s="7"/>
      <c r="I457" s="7">
        <v>348262</v>
      </c>
      <c r="J457" s="244"/>
      <c r="K457" s="7">
        <f t="shared" si="80"/>
        <v>3474042</v>
      </c>
      <c r="L457" s="6"/>
      <c r="M457" s="438">
        <f t="shared" si="81"/>
        <v>2.0988606555182328E-4</v>
      </c>
      <c r="N457" s="29"/>
      <c r="O457" s="29"/>
      <c r="P457" s="29"/>
      <c r="Q457" s="332">
        <f t="shared" si="82"/>
        <v>729</v>
      </c>
      <c r="R457" s="6"/>
      <c r="S457" s="7">
        <f>53492+26316+8257</f>
        <v>88065</v>
      </c>
      <c r="T457" s="6"/>
      <c r="U457" s="243">
        <f t="shared" si="83"/>
        <v>2.5349434462795785E-2</v>
      </c>
      <c r="W457">
        <f t="shared" si="65"/>
        <v>447</v>
      </c>
      <c r="Y457" s="56"/>
    </row>
    <row r="458" spans="3:25" x14ac:dyDescent="0.3">
      <c r="C458" s="157">
        <f t="shared" si="75"/>
        <v>44357</v>
      </c>
      <c r="E458" s="241">
        <v>2108000</v>
      </c>
      <c r="F458" s="7"/>
      <c r="G458" s="7">
        <v>1018700</v>
      </c>
      <c r="H458" s="7"/>
      <c r="I458" s="7">
        <v>348300</v>
      </c>
      <c r="J458" s="244"/>
      <c r="K458" s="7">
        <f t="shared" si="80"/>
        <v>3475000</v>
      </c>
      <c r="L458" s="6"/>
      <c r="M458" s="438">
        <f t="shared" si="81"/>
        <v>2.7575947556189589E-4</v>
      </c>
      <c r="N458" s="29"/>
      <c r="O458" s="29"/>
      <c r="P458" s="29"/>
      <c r="Q458" s="332">
        <f t="shared" si="82"/>
        <v>958</v>
      </c>
      <c r="R458" s="6"/>
      <c r="S458" s="7">
        <f>53492+26316+8257</f>
        <v>88065</v>
      </c>
      <c r="T458" s="6"/>
      <c r="U458" s="243">
        <f t="shared" si="83"/>
        <v>2.5342446043165469E-2</v>
      </c>
      <c r="W458">
        <f t="shared" si="65"/>
        <v>448</v>
      </c>
      <c r="Y458" s="56"/>
    </row>
    <row r="459" spans="3:25" x14ac:dyDescent="0.3">
      <c r="C459" s="157">
        <f t="shared" si="75"/>
        <v>44358</v>
      </c>
      <c r="E459" s="241">
        <v>2108510</v>
      </c>
      <c r="F459" s="7"/>
      <c r="G459" s="7">
        <v>1019107</v>
      </c>
      <c r="H459" s="7"/>
      <c r="I459" s="7">
        <v>348350</v>
      </c>
      <c r="J459" s="244"/>
      <c r="K459" s="7">
        <f t="shared" si="80"/>
        <v>3475967</v>
      </c>
      <c r="L459" s="6"/>
      <c r="M459" s="438">
        <f t="shared" si="81"/>
        <v>2.7827338129496402E-4</v>
      </c>
      <c r="N459" s="29"/>
      <c r="O459" s="29"/>
      <c r="P459" s="29"/>
      <c r="Q459" s="332">
        <f t="shared" si="82"/>
        <v>967</v>
      </c>
      <c r="R459" s="6"/>
      <c r="S459" s="7">
        <f>53522+26324+8261</f>
        <v>88107</v>
      </c>
      <c r="T459" s="6"/>
      <c r="U459" s="243">
        <f t="shared" si="83"/>
        <v>2.5347478845455091E-2</v>
      </c>
      <c r="W459">
        <f t="shared" si="65"/>
        <v>449</v>
      </c>
      <c r="Y459" s="56"/>
    </row>
    <row r="460" spans="3:25" x14ac:dyDescent="0.3">
      <c r="C460" s="157">
        <f t="shared" si="75"/>
        <v>44359</v>
      </c>
      <c r="E460" s="241">
        <v>2108950</v>
      </c>
      <c r="F460" s="7"/>
      <c r="G460" s="7">
        <v>1019107</v>
      </c>
      <c r="H460" s="7"/>
      <c r="I460" s="7">
        <v>348350</v>
      </c>
      <c r="J460" s="244"/>
      <c r="K460" s="7">
        <f t="shared" si="80"/>
        <v>3476407</v>
      </c>
      <c r="L460" s="6"/>
      <c r="M460" s="438">
        <f t="shared" si="81"/>
        <v>1.2658348022291351E-4</v>
      </c>
      <c r="N460" s="29"/>
      <c r="O460" s="29"/>
      <c r="P460" s="29"/>
      <c r="Q460" s="332">
        <f t="shared" si="82"/>
        <v>440</v>
      </c>
      <c r="R460" s="6"/>
      <c r="S460" s="7">
        <f>53539+26324+8261</f>
        <v>88124</v>
      </c>
      <c r="T460" s="6"/>
      <c r="U460" s="243">
        <f t="shared" si="83"/>
        <v>2.5349160785834341E-2</v>
      </c>
      <c r="W460">
        <f t="shared" si="65"/>
        <v>450</v>
      </c>
      <c r="Y460" s="56"/>
    </row>
    <row r="461" spans="3:25" x14ac:dyDescent="0.3">
      <c r="C461" s="157">
        <f t="shared" si="75"/>
        <v>44360</v>
      </c>
      <c r="E461" s="241">
        <v>2109313</v>
      </c>
      <c r="F461" s="7"/>
      <c r="G461" s="7">
        <v>1019563</v>
      </c>
      <c r="H461" s="7"/>
      <c r="I461" s="7">
        <v>348350</v>
      </c>
      <c r="J461" s="244"/>
      <c r="K461" s="7">
        <f t="shared" si="80"/>
        <v>3477226</v>
      </c>
      <c r="L461" s="6"/>
      <c r="M461" s="438">
        <f t="shared" si="81"/>
        <v>2.3558806549405751E-4</v>
      </c>
      <c r="N461" s="29"/>
      <c r="O461" s="29"/>
      <c r="P461" s="29"/>
      <c r="Q461" s="332">
        <f t="shared" si="82"/>
        <v>819</v>
      </c>
      <c r="R461" s="6"/>
      <c r="S461" s="7">
        <f>53549+26330+8261</f>
        <v>88140</v>
      </c>
      <c r="T461" s="6"/>
      <c r="U461" s="243">
        <f t="shared" si="83"/>
        <v>2.5347791601696295E-2</v>
      </c>
      <c r="W461">
        <f t="shared" si="65"/>
        <v>451</v>
      </c>
      <c r="Y461" s="56"/>
    </row>
    <row r="462" spans="3:25" x14ac:dyDescent="0.3">
      <c r="C462" s="157">
        <f t="shared" si="75"/>
        <v>44361</v>
      </c>
      <c r="D462" s="549" t="s">
        <v>26</v>
      </c>
      <c r="E462" s="241">
        <v>2109800</v>
      </c>
      <c r="F462" s="7"/>
      <c r="G462" s="7">
        <v>1019700</v>
      </c>
      <c r="H462" s="7"/>
      <c r="I462" s="7">
        <v>348400</v>
      </c>
      <c r="J462" s="244"/>
      <c r="K462" s="7">
        <f t="shared" si="80"/>
        <v>3477900</v>
      </c>
      <c r="L462" s="6"/>
      <c r="M462" s="438">
        <f t="shared" si="81"/>
        <v>1.9383267006516114E-4</v>
      </c>
      <c r="N462" s="29"/>
      <c r="O462" s="29"/>
      <c r="P462" s="29"/>
      <c r="Q462" s="332">
        <f t="shared" si="82"/>
        <v>674</v>
      </c>
      <c r="R462" s="6"/>
      <c r="S462" s="7">
        <f>53549+26330+8261</f>
        <v>88140</v>
      </c>
      <c r="T462" s="6"/>
      <c r="U462" s="243">
        <f t="shared" si="83"/>
        <v>2.5342879323729837E-2</v>
      </c>
      <c r="W462">
        <f t="shared" si="65"/>
        <v>452</v>
      </c>
      <c r="Y462" s="56"/>
    </row>
    <row r="463" spans="3:25" x14ac:dyDescent="0.3">
      <c r="C463" s="157">
        <f t="shared" si="75"/>
        <v>44362</v>
      </c>
      <c r="E463" s="241">
        <v>2110004</v>
      </c>
      <c r="F463" s="7"/>
      <c r="G463" s="7">
        <v>1020120</v>
      </c>
      <c r="H463" s="7"/>
      <c r="I463" s="7">
        <v>348521</v>
      </c>
      <c r="J463" s="244"/>
      <c r="K463" s="7">
        <f t="shared" si="80"/>
        <v>3478645</v>
      </c>
      <c r="L463" s="6"/>
      <c r="M463" s="438">
        <f t="shared" si="81"/>
        <v>2.1420972425889186E-4</v>
      </c>
      <c r="N463" s="29"/>
      <c r="O463" s="29"/>
      <c r="P463" s="29"/>
      <c r="Q463" s="332">
        <f t="shared" si="82"/>
        <v>745</v>
      </c>
      <c r="R463" s="6"/>
      <c r="S463" s="7">
        <f>53574+26344+8263</f>
        <v>88181</v>
      </c>
      <c r="T463" s="6"/>
      <c r="U463" s="243">
        <f t="shared" si="83"/>
        <v>2.5349237993529089E-2</v>
      </c>
      <c r="W463">
        <f t="shared" si="65"/>
        <v>453</v>
      </c>
      <c r="Y463" s="56"/>
    </row>
    <row r="464" spans="3:25" x14ac:dyDescent="0.3">
      <c r="C464" s="157">
        <f t="shared" si="75"/>
        <v>44363</v>
      </c>
      <c r="E464" s="241">
        <v>2110310</v>
      </c>
      <c r="F464" s="7"/>
      <c r="G464" s="7">
        <v>1020326</v>
      </c>
      <c r="H464" s="7"/>
      <c r="I464" s="7">
        <v>348560</v>
      </c>
      <c r="J464" s="244"/>
      <c r="K464" s="7">
        <f t="shared" si="80"/>
        <v>3479196</v>
      </c>
      <c r="L464" s="6"/>
      <c r="M464" s="438">
        <f t="shared" si="81"/>
        <v>1.5839500725138667E-4</v>
      </c>
      <c r="N464" s="29"/>
      <c r="O464" s="29"/>
      <c r="P464" s="29"/>
      <c r="Q464" s="332">
        <f t="shared" si="82"/>
        <v>551</v>
      </c>
      <c r="R464" s="6"/>
      <c r="S464" s="7">
        <f>53576+26357+8265</f>
        <v>88198</v>
      </c>
      <c r="T464" s="6"/>
      <c r="U464" s="243">
        <f t="shared" si="83"/>
        <v>2.5350109623027851E-2</v>
      </c>
      <c r="W464">
        <f t="shared" si="65"/>
        <v>454</v>
      </c>
      <c r="Y464" s="56"/>
    </row>
    <row r="465" spans="3:25" x14ac:dyDescent="0.3">
      <c r="C465" s="157">
        <f t="shared" si="75"/>
        <v>44364</v>
      </c>
      <c r="D465" s="549" t="s">
        <v>26</v>
      </c>
      <c r="E465" s="241">
        <v>2110700</v>
      </c>
      <c r="F465" s="7"/>
      <c r="G465" s="7">
        <v>1020500</v>
      </c>
      <c r="H465" s="7"/>
      <c r="I465" s="7">
        <v>348600</v>
      </c>
      <c r="J465" s="244"/>
      <c r="K465" s="7">
        <f t="shared" si="80"/>
        <v>3479800</v>
      </c>
      <c r="L465" s="6"/>
      <c r="M465" s="438">
        <f t="shared" si="81"/>
        <v>1.7360332674560443E-4</v>
      </c>
      <c r="N465" s="29"/>
      <c r="O465" s="29"/>
      <c r="P465" s="29"/>
      <c r="Q465" s="332">
        <f t="shared" si="82"/>
        <v>604</v>
      </c>
      <c r="R465" s="6"/>
      <c r="S465" s="7">
        <f>53576+26357+8265</f>
        <v>88198</v>
      </c>
      <c r="T465" s="6"/>
      <c r="U465" s="243">
        <f t="shared" si="83"/>
        <v>2.5345709523535834E-2</v>
      </c>
      <c r="W465">
        <f t="shared" si="65"/>
        <v>455</v>
      </c>
      <c r="Y465" s="56"/>
    </row>
    <row r="466" spans="3:25" x14ac:dyDescent="0.3">
      <c r="C466" s="157">
        <f t="shared" si="75"/>
        <v>44365</v>
      </c>
      <c r="E466" s="241">
        <v>2111162</v>
      </c>
      <c r="F466" s="7"/>
      <c r="G466" s="7">
        <v>1020830</v>
      </c>
      <c r="H466" s="7"/>
      <c r="I466" s="7">
        <v>348665</v>
      </c>
      <c r="J466" s="244"/>
      <c r="K466" s="7">
        <f t="shared" si="80"/>
        <v>3480657</v>
      </c>
      <c r="L466" s="6"/>
      <c r="M466" s="438">
        <f t="shared" si="81"/>
        <v>2.4627852175412379E-4</v>
      </c>
      <c r="N466" s="29"/>
      <c r="O466" s="29"/>
      <c r="P466" s="29"/>
      <c r="Q466" s="332">
        <f t="shared" si="82"/>
        <v>857</v>
      </c>
      <c r="R466" s="6"/>
      <c r="S466" s="7">
        <f>53597+26368+8270</f>
        <v>88235</v>
      </c>
      <c r="T466" s="6"/>
      <c r="U466" s="243">
        <f t="shared" si="83"/>
        <v>2.5350099133583114E-2</v>
      </c>
      <c r="W466">
        <f t="shared" si="65"/>
        <v>456</v>
      </c>
      <c r="Y466" s="56"/>
    </row>
    <row r="467" spans="3:25" x14ac:dyDescent="0.3">
      <c r="C467" s="157">
        <f t="shared" si="75"/>
        <v>44366</v>
      </c>
      <c r="E467" s="241">
        <v>2111600</v>
      </c>
      <c r="F467" s="7"/>
      <c r="G467" s="7">
        <v>1021000</v>
      </c>
      <c r="H467" s="7"/>
      <c r="I467" s="7">
        <v>348665</v>
      </c>
      <c r="J467" s="244"/>
      <c r="K467" s="7">
        <f t="shared" si="80"/>
        <v>3481265</v>
      </c>
      <c r="L467" s="6"/>
      <c r="M467" s="438">
        <f t="shared" si="81"/>
        <v>1.7467966536202791E-4</v>
      </c>
      <c r="N467" s="29"/>
      <c r="O467" s="29"/>
      <c r="P467" s="29"/>
      <c r="Q467" s="332">
        <f t="shared" si="82"/>
        <v>608</v>
      </c>
      <c r="R467" s="6"/>
      <c r="S467" s="7">
        <f>53606+26374+8270</f>
        <v>88250</v>
      </c>
      <c r="T467" s="6"/>
      <c r="U467" s="243">
        <f t="shared" si="83"/>
        <v>2.5349980538683495E-2</v>
      </c>
      <c r="W467">
        <f t="shared" si="65"/>
        <v>457</v>
      </c>
      <c r="Y467" s="56"/>
    </row>
    <row r="468" spans="3:25" x14ac:dyDescent="0.3">
      <c r="C468" s="157">
        <f t="shared" si="75"/>
        <v>44367</v>
      </c>
      <c r="D468" s="549" t="s">
        <v>26</v>
      </c>
      <c r="E468" s="241">
        <v>2111845</v>
      </c>
      <c r="F468" s="7"/>
      <c r="G468" s="7">
        <v>1021182</v>
      </c>
      <c r="H468" s="7"/>
      <c r="I468" s="7">
        <v>348665</v>
      </c>
      <c r="J468" s="244"/>
      <c r="K468" s="7">
        <f t="shared" si="80"/>
        <v>3481692</v>
      </c>
      <c r="L468" s="6"/>
      <c r="M468" s="438">
        <f t="shared" si="81"/>
        <v>1.2265656305969239E-4</v>
      </c>
      <c r="N468" s="29"/>
      <c r="O468" s="29"/>
      <c r="P468" s="29"/>
      <c r="Q468" s="332">
        <f t="shared" si="82"/>
        <v>427</v>
      </c>
      <c r="R468" s="6"/>
      <c r="S468" s="7">
        <f>53606+26374+8270</f>
        <v>88250</v>
      </c>
      <c r="T468" s="6"/>
      <c r="U468" s="243">
        <f t="shared" si="83"/>
        <v>2.5346871578531358E-2</v>
      </c>
      <c r="W468">
        <f t="shared" si="65"/>
        <v>458</v>
      </c>
      <c r="Y468" s="56"/>
    </row>
    <row r="469" spans="3:25" x14ac:dyDescent="0.3">
      <c r="C469" s="157">
        <f t="shared" si="75"/>
        <v>44368</v>
      </c>
      <c r="D469" s="549" t="s">
        <v>26</v>
      </c>
      <c r="E469" s="241">
        <v>2112000</v>
      </c>
      <c r="F469" s="7"/>
      <c r="G469" s="7">
        <v>1021300</v>
      </c>
      <c r="H469" s="7"/>
      <c r="I469" s="7">
        <v>348700</v>
      </c>
      <c r="J469" s="244"/>
      <c r="K469" s="7">
        <f t="shared" si="80"/>
        <v>3482000</v>
      </c>
      <c r="L469" s="6"/>
      <c r="M469" s="438">
        <f t="shared" si="81"/>
        <v>8.8462735934137775E-5</v>
      </c>
      <c r="N469" s="29"/>
      <c r="O469" s="29"/>
      <c r="P469" s="29"/>
      <c r="Q469" s="332">
        <f t="shared" si="82"/>
        <v>308</v>
      </c>
      <c r="R469" s="6"/>
      <c r="S469" s="7">
        <f>53632+26392+8271</f>
        <v>88295</v>
      </c>
      <c r="T469" s="6"/>
      <c r="U469" s="243">
        <f t="shared" si="83"/>
        <v>2.5357553130384836E-2</v>
      </c>
      <c r="W469">
        <f t="shared" si="65"/>
        <v>459</v>
      </c>
      <c r="Y469" s="56"/>
    </row>
    <row r="470" spans="3:25" x14ac:dyDescent="0.3">
      <c r="C470" s="157">
        <f t="shared" si="75"/>
        <v>44369</v>
      </c>
      <c r="D470" s="549" t="s">
        <v>26</v>
      </c>
      <c r="E470" s="241">
        <v>2112200</v>
      </c>
      <c r="F470" s="7"/>
      <c r="G470" s="7">
        <v>1021400</v>
      </c>
      <c r="H470" s="7"/>
      <c r="I470" s="7">
        <v>348750</v>
      </c>
      <c r="J470" s="244"/>
      <c r="K470" s="7">
        <f t="shared" si="80"/>
        <v>3482350</v>
      </c>
      <c r="L470" s="6"/>
      <c r="M470" s="438">
        <f t="shared" si="81"/>
        <v>1.0051694428489374E-4</v>
      </c>
      <c r="N470" s="29"/>
      <c r="O470" s="29"/>
      <c r="P470" s="29"/>
      <c r="Q470" s="332">
        <f t="shared" si="82"/>
        <v>350</v>
      </c>
      <c r="R470" s="6"/>
      <c r="S470" s="7">
        <f>53632+26392+8271</f>
        <v>88295</v>
      </c>
      <c r="T470" s="6"/>
      <c r="U470" s="243">
        <f t="shared" si="83"/>
        <v>2.5355004522807874E-2</v>
      </c>
      <c r="W470">
        <f t="shared" si="65"/>
        <v>460</v>
      </c>
      <c r="Y470" s="56"/>
    </row>
    <row r="471" spans="3:25" x14ac:dyDescent="0.3">
      <c r="C471" s="157">
        <f t="shared" si="75"/>
        <v>44370</v>
      </c>
      <c r="E471" s="241">
        <v>2112388</v>
      </c>
      <c r="F471" s="7"/>
      <c r="G471" s="7">
        <v>1021554</v>
      </c>
      <c r="H471" s="7"/>
      <c r="I471" s="7">
        <v>348802</v>
      </c>
      <c r="J471" s="244"/>
      <c r="K471" s="7">
        <f t="shared" si="80"/>
        <v>3482744</v>
      </c>
      <c r="L471" s="6"/>
      <c r="M471" s="438">
        <f t="shared" si="81"/>
        <v>1.1314198745100292E-4</v>
      </c>
      <c r="N471" s="29"/>
      <c r="O471" s="29"/>
      <c r="P471" s="29"/>
      <c r="Q471" s="332">
        <f t="shared" si="82"/>
        <v>394</v>
      </c>
      <c r="R471" s="6"/>
      <c r="S471" s="7">
        <f>53632+26392+8271</f>
        <v>88295</v>
      </c>
      <c r="T471" s="6"/>
      <c r="U471" s="243">
        <f t="shared" si="83"/>
        <v>2.53521361317398E-2</v>
      </c>
      <c r="W471">
        <f>+W470+1</f>
        <v>461</v>
      </c>
      <c r="Y471" s="56"/>
    </row>
    <row r="472" spans="3:25" x14ac:dyDescent="0.3">
      <c r="C472" s="157">
        <f t="shared" si="75"/>
        <v>44371</v>
      </c>
      <c r="E472" s="241">
        <v>2113046</v>
      </c>
      <c r="F472" s="7"/>
      <c r="G472" s="7">
        <v>1022094</v>
      </c>
      <c r="H472" s="7"/>
      <c r="I472" s="7">
        <v>348993</v>
      </c>
      <c r="J472" s="244"/>
      <c r="K472" s="7">
        <f t="shared" si="80"/>
        <v>3484133</v>
      </c>
      <c r="L472" s="6"/>
      <c r="M472" s="438">
        <f t="shared" si="81"/>
        <v>3.9882345644698549E-4</v>
      </c>
      <c r="N472" s="29"/>
      <c r="O472" s="29"/>
      <c r="P472" s="29"/>
      <c r="Q472" s="332">
        <f t="shared" si="82"/>
        <v>1389</v>
      </c>
      <c r="R472" s="6"/>
      <c r="S472" s="7">
        <f>53635+26416+8274</f>
        <v>88325</v>
      </c>
      <c r="T472" s="6"/>
      <c r="U472" s="243">
        <f t="shared" si="83"/>
        <v>2.5350639599579006E-2</v>
      </c>
      <c r="W472">
        <f t="shared" si="65"/>
        <v>462</v>
      </c>
      <c r="Y472" s="56"/>
    </row>
    <row r="473" spans="3:25" x14ac:dyDescent="0.3">
      <c r="C473" s="157">
        <f t="shared" si="75"/>
        <v>44372</v>
      </c>
      <c r="E473" s="241">
        <v>2113398</v>
      </c>
      <c r="F473" s="7"/>
      <c r="G473" s="7">
        <v>1022680</v>
      </c>
      <c r="H473" s="7"/>
      <c r="I473" s="7">
        <v>349120</v>
      </c>
      <c r="J473" s="244"/>
      <c r="K473" s="7">
        <f t="shared" ref="K473:K504" si="84">SUM(E473:I473)</f>
        <v>3485198</v>
      </c>
      <c r="L473" s="6"/>
      <c r="M473" s="438">
        <f t="shared" ref="M473:M504" si="85">+(K473-K472)/K472</f>
        <v>3.0567145398869677E-4</v>
      </c>
      <c r="N473" s="29"/>
      <c r="O473" s="29"/>
      <c r="P473" s="29"/>
      <c r="Q473" s="332">
        <f t="shared" ref="Q473:Q504" si="86">+K473-K472</f>
        <v>1065</v>
      </c>
      <c r="R473" s="6"/>
      <c r="S473" s="7">
        <f>53646+26434+8275</f>
        <v>88355</v>
      </c>
      <c r="T473" s="6"/>
      <c r="U473" s="243">
        <f t="shared" ref="U473:U504" si="87">+S473/K473</f>
        <v>2.5351500832951242E-2</v>
      </c>
      <c r="W473">
        <f t="shared" si="65"/>
        <v>463</v>
      </c>
      <c r="Y473" s="56"/>
    </row>
    <row r="474" spans="3:25" x14ac:dyDescent="0.3">
      <c r="C474" s="157">
        <f t="shared" si="75"/>
        <v>44373</v>
      </c>
      <c r="D474" s="549" t="s">
        <v>26</v>
      </c>
      <c r="E474" s="241">
        <v>2113800</v>
      </c>
      <c r="F474" s="7"/>
      <c r="G474" s="7">
        <v>1022750</v>
      </c>
      <c r="H474" s="7"/>
      <c r="I474" s="7">
        <v>349120</v>
      </c>
      <c r="J474" s="244"/>
      <c r="K474" s="7">
        <f t="shared" si="84"/>
        <v>3485670</v>
      </c>
      <c r="L474" s="6"/>
      <c r="M474" s="438">
        <f t="shared" si="85"/>
        <v>1.3542989523120352E-4</v>
      </c>
      <c r="N474" s="29"/>
      <c r="O474" s="29"/>
      <c r="P474" s="29"/>
      <c r="Q474" s="332">
        <f t="shared" si="86"/>
        <v>472</v>
      </c>
      <c r="R474" s="6"/>
      <c r="S474" s="7">
        <f>53664+26437+8275</f>
        <v>88376</v>
      </c>
      <c r="T474" s="6"/>
      <c r="U474" s="243">
        <f t="shared" si="87"/>
        <v>2.535409261347173E-2</v>
      </c>
      <c r="W474">
        <f t="shared" si="65"/>
        <v>464</v>
      </c>
      <c r="Y474" s="56"/>
    </row>
    <row r="475" spans="3:25" x14ac:dyDescent="0.3">
      <c r="C475" s="157">
        <f t="shared" si="75"/>
        <v>44374</v>
      </c>
      <c r="E475" s="241">
        <v>2114123</v>
      </c>
      <c r="F475" s="7"/>
      <c r="G475" s="7">
        <v>1022830</v>
      </c>
      <c r="H475" s="7"/>
      <c r="I475" s="7">
        <v>349120</v>
      </c>
      <c r="J475" s="244"/>
      <c r="K475" s="7">
        <f t="shared" si="84"/>
        <v>3486073</v>
      </c>
      <c r="L475" s="6"/>
      <c r="M475" s="438">
        <f t="shared" si="85"/>
        <v>1.1561622299299705E-4</v>
      </c>
      <c r="N475" s="29"/>
      <c r="O475" s="29"/>
      <c r="P475" s="29"/>
      <c r="Q475" s="332">
        <f t="shared" si="86"/>
        <v>403</v>
      </c>
      <c r="R475" s="6"/>
      <c r="S475" s="7">
        <f>53664+26437+8275</f>
        <v>88376</v>
      </c>
      <c r="T475" s="6"/>
      <c r="U475" s="243">
        <f t="shared" si="87"/>
        <v>2.5351161607918136E-2</v>
      </c>
      <c r="W475">
        <f t="shared" si="65"/>
        <v>465</v>
      </c>
      <c r="Y475" s="56"/>
    </row>
    <row r="476" spans="3:25" x14ac:dyDescent="0.3">
      <c r="C476" s="157">
        <f t="shared" si="75"/>
        <v>44375</v>
      </c>
      <c r="E476" s="241">
        <v>2114323</v>
      </c>
      <c r="F476" s="7"/>
      <c r="G476" s="7">
        <v>1022950</v>
      </c>
      <c r="H476" s="7"/>
      <c r="I476" s="7">
        <v>349250</v>
      </c>
      <c r="J476" s="244"/>
      <c r="K476" s="7">
        <f t="shared" si="84"/>
        <v>3486523</v>
      </c>
      <c r="L476" s="6"/>
      <c r="M476" s="438">
        <f t="shared" si="85"/>
        <v>1.2908507653167331E-4</v>
      </c>
      <c r="N476" s="29"/>
      <c r="O476" s="29"/>
      <c r="P476" s="29"/>
      <c r="Q476" s="332">
        <f t="shared" si="86"/>
        <v>450</v>
      </c>
      <c r="R476" s="6"/>
      <c r="S476" s="7">
        <f>53664+26437+8275</f>
        <v>88376</v>
      </c>
      <c r="T476" s="6"/>
      <c r="U476" s="243">
        <f t="shared" si="87"/>
        <v>2.5347889573652603E-2</v>
      </c>
      <c r="W476">
        <f t="shared" si="65"/>
        <v>466</v>
      </c>
      <c r="Y476" s="56"/>
    </row>
    <row r="477" spans="3:25" x14ac:dyDescent="0.3">
      <c r="C477" s="157">
        <f t="shared" si="75"/>
        <v>44376</v>
      </c>
      <c r="D477" s="549" t="s">
        <v>26</v>
      </c>
      <c r="E477" s="241">
        <v>2114686</v>
      </c>
      <c r="F477" s="7"/>
      <c r="G477" s="7">
        <v>1023200</v>
      </c>
      <c r="H477" s="7"/>
      <c r="I477" s="7">
        <v>349301</v>
      </c>
      <c r="J477" s="244"/>
      <c r="K477" s="7">
        <f t="shared" si="84"/>
        <v>3487187</v>
      </c>
      <c r="L477" s="6"/>
      <c r="M477" s="438">
        <f t="shared" si="85"/>
        <v>1.9044761787029657E-4</v>
      </c>
      <c r="N477" s="29"/>
      <c r="O477" s="29"/>
      <c r="P477" s="29"/>
      <c r="Q477" s="332">
        <f t="shared" si="86"/>
        <v>664</v>
      </c>
      <c r="R477" s="6"/>
      <c r="S477" s="7">
        <f>53676+26444+8276</f>
        <v>88396</v>
      </c>
      <c r="T477" s="6"/>
      <c r="U477" s="243">
        <f t="shared" si="87"/>
        <v>2.534879832942713E-2</v>
      </c>
      <c r="W477">
        <f t="shared" ref="W477:W540" si="88">+W476+1</f>
        <v>467</v>
      </c>
      <c r="Y477" s="56"/>
    </row>
    <row r="478" spans="3:25" x14ac:dyDescent="0.3">
      <c r="C478" s="157">
        <f t="shared" si="75"/>
        <v>44377</v>
      </c>
      <c r="E478" s="241">
        <v>2114986</v>
      </c>
      <c r="F478" s="7"/>
      <c r="G478" s="7">
        <v>1023395</v>
      </c>
      <c r="H478" s="7"/>
      <c r="I478" s="7">
        <v>349352</v>
      </c>
      <c r="J478" s="244"/>
      <c r="K478" s="7">
        <f t="shared" si="84"/>
        <v>3487733</v>
      </c>
      <c r="L478" s="6"/>
      <c r="M478" s="438">
        <f t="shared" si="85"/>
        <v>1.5657319208863763E-4</v>
      </c>
      <c r="N478" s="29"/>
      <c r="O478" s="29"/>
      <c r="P478" s="29"/>
      <c r="Q478" s="332">
        <f t="shared" si="86"/>
        <v>546</v>
      </c>
      <c r="R478" s="6"/>
      <c r="S478" s="7">
        <f>53679+26457+8278</f>
        <v>88414</v>
      </c>
      <c r="T478" s="6"/>
      <c r="U478" s="243">
        <f t="shared" si="87"/>
        <v>2.5349990954009381E-2</v>
      </c>
      <c r="W478">
        <f t="shared" si="88"/>
        <v>468</v>
      </c>
      <c r="Y478" s="56"/>
    </row>
    <row r="479" spans="3:25" x14ac:dyDescent="0.3">
      <c r="C479" s="157">
        <f t="shared" si="75"/>
        <v>44378</v>
      </c>
      <c r="E479" s="241">
        <v>2115377</v>
      </c>
      <c r="F479" s="7"/>
      <c r="G479" s="7">
        <v>1023613</v>
      </c>
      <c r="H479" s="7"/>
      <c r="I479" s="7">
        <v>349387</v>
      </c>
      <c r="J479" s="244"/>
      <c r="K479" s="7">
        <f t="shared" si="84"/>
        <v>3488377</v>
      </c>
      <c r="L479" s="6"/>
      <c r="M479" s="438">
        <f t="shared" si="85"/>
        <v>1.8464716192437896E-4</v>
      </c>
      <c r="N479" s="29"/>
      <c r="O479" s="29"/>
      <c r="P479" s="29"/>
      <c r="Q479" s="332">
        <f t="shared" si="86"/>
        <v>644</v>
      </c>
      <c r="R479" s="6"/>
      <c r="S479" s="7">
        <f>53690+26462+8279</f>
        <v>88431</v>
      </c>
      <c r="T479" s="6"/>
      <c r="U479" s="243">
        <f t="shared" si="87"/>
        <v>2.5350184340740694E-2</v>
      </c>
      <c r="W479">
        <f t="shared" si="88"/>
        <v>469</v>
      </c>
      <c r="Y479" s="56"/>
    </row>
    <row r="480" spans="3:25" x14ac:dyDescent="0.3">
      <c r="C480" s="157">
        <f t="shared" si="75"/>
        <v>44379</v>
      </c>
      <c r="E480" s="241">
        <v>2115880</v>
      </c>
      <c r="F480" s="7"/>
      <c r="G480" s="7">
        <v>1023923</v>
      </c>
      <c r="H480" s="7"/>
      <c r="I480" s="7">
        <v>349476</v>
      </c>
      <c r="J480" s="244"/>
      <c r="K480" s="7">
        <f t="shared" si="84"/>
        <v>3489279</v>
      </c>
      <c r="L480" s="6"/>
      <c r="M480" s="438">
        <f t="shared" si="85"/>
        <v>2.5857296960735609E-4</v>
      </c>
      <c r="N480" s="29"/>
      <c r="O480" s="29"/>
      <c r="P480" s="29"/>
      <c r="Q480" s="332">
        <f t="shared" si="86"/>
        <v>902</v>
      </c>
      <c r="R480" s="6"/>
      <c r="S480" s="7">
        <f>53692+26467+8279</f>
        <v>88438</v>
      </c>
      <c r="T480" s="6"/>
      <c r="U480" s="243">
        <f t="shared" si="87"/>
        <v>2.5345637307879365E-2</v>
      </c>
      <c r="W480">
        <f t="shared" si="88"/>
        <v>470</v>
      </c>
      <c r="Y480" s="56"/>
    </row>
    <row r="481" spans="3:25" x14ac:dyDescent="0.3">
      <c r="C481" s="157">
        <f t="shared" si="75"/>
        <v>44380</v>
      </c>
      <c r="E481" s="241">
        <v>2116166</v>
      </c>
      <c r="F481" s="7"/>
      <c r="G481" s="7">
        <v>1024113</v>
      </c>
      <c r="H481" s="7"/>
      <c r="I481" s="7">
        <v>349476</v>
      </c>
      <c r="J481" s="244"/>
      <c r="K481" s="7">
        <f t="shared" si="84"/>
        <v>3489755</v>
      </c>
      <c r="L481" s="6"/>
      <c r="M481" s="438">
        <f t="shared" si="85"/>
        <v>1.3641786741616248E-4</v>
      </c>
      <c r="N481" s="29"/>
      <c r="O481" s="29"/>
      <c r="P481" s="29"/>
      <c r="Q481" s="332">
        <f t="shared" si="86"/>
        <v>476</v>
      </c>
      <c r="R481" s="6"/>
      <c r="S481" s="7">
        <f>53692+26472+8279</f>
        <v>88443</v>
      </c>
      <c r="T481" s="6"/>
      <c r="U481" s="243">
        <f t="shared" si="87"/>
        <v>2.5343612947040694E-2</v>
      </c>
      <c r="W481">
        <f t="shared" si="88"/>
        <v>471</v>
      </c>
      <c r="Y481" s="56"/>
    </row>
    <row r="482" spans="3:25" x14ac:dyDescent="0.3">
      <c r="C482" s="157">
        <f t="shared" si="75"/>
        <v>44381</v>
      </c>
      <c r="E482" s="241">
        <v>2116516</v>
      </c>
      <c r="F482" s="7"/>
      <c r="G482" s="7">
        <v>1024225</v>
      </c>
      <c r="H482" s="7"/>
      <c r="I482" s="7">
        <v>349476</v>
      </c>
      <c r="J482" s="244"/>
      <c r="K482" s="7">
        <f t="shared" si="84"/>
        <v>3490217</v>
      </c>
      <c r="L482" s="6"/>
      <c r="M482" s="438">
        <f t="shared" si="85"/>
        <v>1.3238751717527448E-4</v>
      </c>
      <c r="N482" s="29"/>
      <c r="O482" s="29"/>
      <c r="P482" s="29"/>
      <c r="Q482" s="332">
        <f t="shared" si="86"/>
        <v>462</v>
      </c>
      <c r="R482" s="6"/>
      <c r="S482" s="7">
        <f>53701+26473+8279</f>
        <v>88453</v>
      </c>
      <c r="T482" s="6"/>
      <c r="U482" s="243">
        <f t="shared" si="87"/>
        <v>2.5343123364535786E-2</v>
      </c>
      <c r="W482">
        <f t="shared" si="88"/>
        <v>472</v>
      </c>
      <c r="Y482" s="56"/>
    </row>
    <row r="483" spans="3:25" x14ac:dyDescent="0.3">
      <c r="C483" s="157">
        <f t="shared" si="75"/>
        <v>44382</v>
      </c>
      <c r="E483" s="241">
        <v>2116888</v>
      </c>
      <c r="F483" s="7"/>
      <c r="G483" s="7">
        <v>1024311</v>
      </c>
      <c r="H483" s="7"/>
      <c r="I483" s="7">
        <v>349476</v>
      </c>
      <c r="J483" s="244"/>
      <c r="K483" s="7">
        <f t="shared" si="84"/>
        <v>3490675</v>
      </c>
      <c r="L483" s="6"/>
      <c r="M483" s="438">
        <f t="shared" si="85"/>
        <v>1.3122393249474174E-4</v>
      </c>
      <c r="N483" s="29"/>
      <c r="O483" s="29"/>
      <c r="P483" s="29"/>
      <c r="Q483" s="332">
        <f t="shared" si="86"/>
        <v>458</v>
      </c>
      <c r="R483" s="6"/>
      <c r="S483" s="7">
        <f>53705+26477+8279</f>
        <v>88461</v>
      </c>
      <c r="T483" s="6"/>
      <c r="U483" s="243">
        <f t="shared" si="87"/>
        <v>2.5342089996920367E-2</v>
      </c>
      <c r="W483">
        <f t="shared" si="88"/>
        <v>473</v>
      </c>
      <c r="Y483" s="56"/>
    </row>
    <row r="484" spans="3:25" x14ac:dyDescent="0.3">
      <c r="C484" s="157">
        <f t="shared" si="75"/>
        <v>44383</v>
      </c>
      <c r="E484" s="241">
        <v>2117186</v>
      </c>
      <c r="F484" s="7"/>
      <c r="G484" s="7">
        <v>1024465</v>
      </c>
      <c r="H484" s="7"/>
      <c r="I484" s="7">
        <v>349651</v>
      </c>
      <c r="J484" s="244"/>
      <c r="K484" s="7">
        <f t="shared" si="84"/>
        <v>3491302</v>
      </c>
      <c r="L484" s="6"/>
      <c r="M484" s="438">
        <f t="shared" si="85"/>
        <v>1.7962141992594556E-4</v>
      </c>
      <c r="N484" s="29"/>
      <c r="O484" s="29"/>
      <c r="P484" s="29"/>
      <c r="Q484" s="332">
        <f t="shared" si="86"/>
        <v>627</v>
      </c>
      <c r="R484" s="6"/>
      <c r="S484" s="7">
        <f>53711+26477+8279</f>
        <v>88467</v>
      </c>
      <c r="T484" s="6"/>
      <c r="U484" s="243">
        <f t="shared" si="87"/>
        <v>2.5339257388790771E-2</v>
      </c>
      <c r="W484">
        <f t="shared" si="88"/>
        <v>474</v>
      </c>
      <c r="Y484" s="56"/>
    </row>
    <row r="485" spans="3:25" x14ac:dyDescent="0.3">
      <c r="C485" s="157">
        <f t="shared" si="75"/>
        <v>44384</v>
      </c>
      <c r="E485" s="241">
        <v>2117549</v>
      </c>
      <c r="F485" s="7"/>
      <c r="G485" s="7">
        <v>1024748</v>
      </c>
      <c r="H485" s="7"/>
      <c r="I485" s="7">
        <v>349743</v>
      </c>
      <c r="J485" s="244"/>
      <c r="K485" s="7">
        <f t="shared" si="84"/>
        <v>3492040</v>
      </c>
      <c r="L485" s="6"/>
      <c r="M485" s="438">
        <f t="shared" si="85"/>
        <v>2.1138245846391977E-4</v>
      </c>
      <c r="N485" s="29"/>
      <c r="O485" s="29"/>
      <c r="P485" s="29"/>
      <c r="Q485" s="332">
        <f t="shared" si="86"/>
        <v>738</v>
      </c>
      <c r="R485" s="6"/>
      <c r="S485" s="7">
        <f>53717+26490+8278</f>
        <v>88485</v>
      </c>
      <c r="T485" s="6"/>
      <c r="U485" s="243">
        <f t="shared" si="87"/>
        <v>2.5339056826382288E-2</v>
      </c>
      <c r="W485">
        <f t="shared" si="88"/>
        <v>475</v>
      </c>
      <c r="Y485" s="56"/>
    </row>
    <row r="486" spans="3:25" x14ac:dyDescent="0.3">
      <c r="C486" s="157">
        <f t="shared" si="75"/>
        <v>44385</v>
      </c>
      <c r="E486" s="241">
        <v>2118216</v>
      </c>
      <c r="F486" s="7"/>
      <c r="G486" s="7">
        <v>1025079</v>
      </c>
      <c r="H486" s="7"/>
      <c r="I486" s="7">
        <v>349798</v>
      </c>
      <c r="J486" s="244"/>
      <c r="K486" s="7">
        <f t="shared" si="84"/>
        <v>3493093</v>
      </c>
      <c r="L486" s="6"/>
      <c r="M486" s="438">
        <f t="shared" si="85"/>
        <v>3.0154293765248964E-4</v>
      </c>
      <c r="N486" s="29"/>
      <c r="O486" s="29"/>
      <c r="P486" s="29"/>
      <c r="Q486" s="332">
        <f t="shared" si="86"/>
        <v>1053</v>
      </c>
      <c r="R486" s="6"/>
      <c r="S486" s="7">
        <f>53721+26493+8279</f>
        <v>88493</v>
      </c>
      <c r="T486" s="6"/>
      <c r="U486" s="243">
        <f t="shared" si="87"/>
        <v>2.5333708549987073E-2</v>
      </c>
      <c r="W486">
        <f t="shared" si="88"/>
        <v>476</v>
      </c>
      <c r="Y486" s="56"/>
    </row>
    <row r="487" spans="3:25" x14ac:dyDescent="0.3">
      <c r="C487" s="157">
        <f t="shared" si="75"/>
        <v>44386</v>
      </c>
      <c r="E487" s="241">
        <v>2118960</v>
      </c>
      <c r="F487" s="7"/>
      <c r="G487" s="7">
        <v>1025477</v>
      </c>
      <c r="H487" s="7"/>
      <c r="I487" s="7">
        <v>349969</v>
      </c>
      <c r="J487" s="244"/>
      <c r="K487" s="7">
        <f t="shared" si="84"/>
        <v>3494406</v>
      </c>
      <c r="L487" s="6"/>
      <c r="M487" s="438">
        <f t="shared" si="85"/>
        <v>3.7588463862828729E-4</v>
      </c>
      <c r="N487" s="29"/>
      <c r="O487" s="29"/>
      <c r="P487" s="29"/>
      <c r="Q487" s="332">
        <f t="shared" si="86"/>
        <v>1313</v>
      </c>
      <c r="R487" s="6"/>
      <c r="S487" s="7">
        <f>53726+26496+8279</f>
        <v>88501</v>
      </c>
      <c r="T487" s="6"/>
      <c r="U487" s="243">
        <f t="shared" si="87"/>
        <v>2.5326478949498139E-2</v>
      </c>
      <c r="W487">
        <f t="shared" si="88"/>
        <v>477</v>
      </c>
      <c r="Y487" s="56"/>
    </row>
    <row r="488" spans="3:25" x14ac:dyDescent="0.3">
      <c r="C488" s="157">
        <f t="shared" si="75"/>
        <v>44387</v>
      </c>
      <c r="E488" s="241">
        <v>2119692</v>
      </c>
      <c r="F488" s="7"/>
      <c r="G488" s="7">
        <v>1025888</v>
      </c>
      <c r="H488" s="7"/>
      <c r="I488" s="7">
        <v>349969</v>
      </c>
      <c r="J488" s="244"/>
      <c r="K488" s="7">
        <f t="shared" si="84"/>
        <v>3495549</v>
      </c>
      <c r="L488" s="6"/>
      <c r="M488" s="438">
        <f t="shared" si="85"/>
        <v>3.2709421858822358E-4</v>
      </c>
      <c r="N488" s="29"/>
      <c r="O488" s="29"/>
      <c r="P488" s="29"/>
      <c r="Q488" s="332">
        <f t="shared" si="86"/>
        <v>1143</v>
      </c>
      <c r="R488" s="6"/>
      <c r="S488" s="7">
        <f>53733+26501+8279</f>
        <v>88513</v>
      </c>
      <c r="T488" s="6"/>
      <c r="U488" s="243">
        <f t="shared" si="87"/>
        <v>2.5321630450610189E-2</v>
      </c>
      <c r="W488">
        <f t="shared" si="88"/>
        <v>478</v>
      </c>
      <c r="Y488" s="56"/>
    </row>
    <row r="489" spans="3:25" x14ac:dyDescent="0.3">
      <c r="C489" s="157">
        <f t="shared" si="75"/>
        <v>44388</v>
      </c>
      <c r="E489" s="241">
        <v>2120486</v>
      </c>
      <c r="F489" s="7"/>
      <c r="G489" s="7">
        <v>1026071</v>
      </c>
      <c r="H489" s="7"/>
      <c r="I489" s="7">
        <v>349969</v>
      </c>
      <c r="J489" s="244"/>
      <c r="K489" s="7">
        <f t="shared" si="84"/>
        <v>3496526</v>
      </c>
      <c r="L489" s="6"/>
      <c r="M489" s="438">
        <f t="shared" si="85"/>
        <v>2.7949829912268429E-4</v>
      </c>
      <c r="N489" s="29"/>
      <c r="O489" s="29"/>
      <c r="P489" s="29"/>
      <c r="Q489" s="332">
        <f t="shared" si="86"/>
        <v>977</v>
      </c>
      <c r="R489" s="6"/>
      <c r="S489" s="7">
        <f>53735+26505+8279</f>
        <v>88519</v>
      </c>
      <c r="T489" s="6"/>
      <c r="U489" s="243">
        <f t="shared" si="87"/>
        <v>2.531627106447943E-2</v>
      </c>
      <c r="W489">
        <f t="shared" si="88"/>
        <v>479</v>
      </c>
      <c r="Y489" s="56"/>
    </row>
    <row r="490" spans="3:25" x14ac:dyDescent="0.3">
      <c r="C490" s="157">
        <f t="shared" si="75"/>
        <v>44389</v>
      </c>
      <c r="E490" s="241">
        <v>2121119</v>
      </c>
      <c r="F490" s="7"/>
      <c r="G490" s="7">
        <v>1026286</v>
      </c>
      <c r="H490" s="7"/>
      <c r="I490" s="7">
        <v>350039</v>
      </c>
      <c r="J490" s="244"/>
      <c r="K490" s="7">
        <f t="shared" si="84"/>
        <v>3497444</v>
      </c>
      <c r="L490" s="6"/>
      <c r="M490" s="438">
        <f t="shared" si="85"/>
        <v>2.6254631025194724E-4</v>
      </c>
      <c r="N490" s="29"/>
      <c r="O490" s="29"/>
      <c r="P490" s="29"/>
      <c r="Q490" s="332">
        <f t="shared" si="86"/>
        <v>918</v>
      </c>
      <c r="R490" s="6"/>
      <c r="S490" s="7">
        <f>53737+26509+8279</f>
        <v>88525</v>
      </c>
      <c r="T490" s="6"/>
      <c r="U490" s="243">
        <f t="shared" si="87"/>
        <v>2.531134165407652E-2</v>
      </c>
      <c r="W490">
        <f t="shared" si="88"/>
        <v>480</v>
      </c>
      <c r="Y490" s="56"/>
    </row>
    <row r="491" spans="3:25" x14ac:dyDescent="0.3">
      <c r="C491" s="157">
        <f t="shared" si="75"/>
        <v>44390</v>
      </c>
      <c r="E491" s="241">
        <v>2121761</v>
      </c>
      <c r="F491" s="7"/>
      <c r="G491" s="7">
        <v>1026649</v>
      </c>
      <c r="H491" s="7"/>
      <c r="I491" s="7">
        <v>350245</v>
      </c>
      <c r="J491" s="244"/>
      <c r="K491" s="7">
        <f t="shared" si="84"/>
        <v>3498655</v>
      </c>
      <c r="L491" s="6"/>
      <c r="M491" s="438">
        <f t="shared" si="85"/>
        <v>3.4625286351975903E-4</v>
      </c>
      <c r="N491" s="29"/>
      <c r="O491" s="29"/>
      <c r="P491" s="29"/>
      <c r="Q491" s="332">
        <f t="shared" si="86"/>
        <v>1211</v>
      </c>
      <c r="R491" s="6"/>
      <c r="S491" s="7">
        <f>53743+26516+8279</f>
        <v>88538</v>
      </c>
      <c r="T491" s="6"/>
      <c r="U491" s="243">
        <f t="shared" si="87"/>
        <v>2.5306296276712052E-2</v>
      </c>
      <c r="W491">
        <f t="shared" si="88"/>
        <v>481</v>
      </c>
      <c r="Y491" s="56"/>
    </row>
    <row r="492" spans="3:25" x14ac:dyDescent="0.3">
      <c r="C492" s="157">
        <f t="shared" si="75"/>
        <v>44391</v>
      </c>
      <c r="E492" s="241">
        <v>2122502</v>
      </c>
      <c r="F492" s="7"/>
      <c r="G492" s="7">
        <v>1027014</v>
      </c>
      <c r="H492" s="7"/>
      <c r="I492" s="7">
        <v>350386</v>
      </c>
      <c r="J492" s="244"/>
      <c r="K492" s="7">
        <f t="shared" si="84"/>
        <v>3499902</v>
      </c>
      <c r="L492" s="6"/>
      <c r="M492" s="438">
        <f t="shared" si="85"/>
        <v>3.5642268243081982E-4</v>
      </c>
      <c r="N492" s="29"/>
      <c r="O492" s="29"/>
      <c r="P492" s="29"/>
      <c r="Q492" s="332">
        <f t="shared" si="86"/>
        <v>1247</v>
      </c>
      <c r="R492" s="6"/>
      <c r="S492" s="7">
        <f>53754+26527+8279</f>
        <v>88560</v>
      </c>
      <c r="T492" s="6"/>
      <c r="U492" s="243">
        <f t="shared" si="87"/>
        <v>2.5303565642695137E-2</v>
      </c>
      <c r="W492">
        <f t="shared" si="88"/>
        <v>482</v>
      </c>
      <c r="Y492" s="56"/>
    </row>
    <row r="493" spans="3:25" x14ac:dyDescent="0.3">
      <c r="C493" s="157">
        <f t="shared" si="75"/>
        <v>44392</v>
      </c>
      <c r="E493" s="241">
        <v>2123452</v>
      </c>
      <c r="F493" s="7"/>
      <c r="G493" s="7">
        <v>1027460</v>
      </c>
      <c r="H493" s="7"/>
      <c r="I493" s="7">
        <v>350536</v>
      </c>
      <c r="J493" s="244"/>
      <c r="K493" s="7">
        <f t="shared" si="84"/>
        <v>3501448</v>
      </c>
      <c r="L493" s="6"/>
      <c r="M493" s="438">
        <f t="shared" si="85"/>
        <v>4.4172665406059939E-4</v>
      </c>
      <c r="N493" s="29"/>
      <c r="O493" s="29"/>
      <c r="P493" s="29"/>
      <c r="Q493" s="332">
        <f t="shared" si="86"/>
        <v>1546</v>
      </c>
      <c r="R493" s="6"/>
      <c r="S493" s="7">
        <f>53759+26529+8282</f>
        <v>88570</v>
      </c>
      <c r="T493" s="6"/>
      <c r="U493" s="243">
        <f t="shared" si="87"/>
        <v>2.529524927972656E-2</v>
      </c>
      <c r="W493">
        <f t="shared" si="88"/>
        <v>483</v>
      </c>
      <c r="Y493" s="56"/>
    </row>
    <row r="494" spans="3:25" x14ac:dyDescent="0.3">
      <c r="C494" s="157">
        <f t="shared" si="75"/>
        <v>44393</v>
      </c>
      <c r="E494" s="241">
        <v>2124168</v>
      </c>
      <c r="F494" s="7"/>
      <c r="G494" s="7">
        <v>1027954</v>
      </c>
      <c r="H494" s="7"/>
      <c r="I494" s="7">
        <v>350675</v>
      </c>
      <c r="J494" s="244"/>
      <c r="K494" s="7">
        <f t="shared" si="84"/>
        <v>3502797</v>
      </c>
      <c r="L494" s="6"/>
      <c r="M494" s="438">
        <f t="shared" si="85"/>
        <v>3.8526918006493311E-4</v>
      </c>
      <c r="N494" s="29"/>
      <c r="O494" s="29"/>
      <c r="P494" s="29"/>
      <c r="Q494" s="332">
        <f t="shared" si="86"/>
        <v>1349</v>
      </c>
      <c r="R494" s="6"/>
      <c r="S494" s="7">
        <f>53760+26531+8282</f>
        <v>88573</v>
      </c>
      <c r="T494" s="6"/>
      <c r="U494" s="243">
        <f t="shared" si="87"/>
        <v>2.5286364011388614E-2</v>
      </c>
      <c r="W494">
        <f t="shared" si="88"/>
        <v>484</v>
      </c>
      <c r="Y494" s="56"/>
    </row>
    <row r="495" spans="3:25" x14ac:dyDescent="0.3">
      <c r="C495" s="157">
        <f t="shared" si="75"/>
        <v>44394</v>
      </c>
      <c r="E495" s="241">
        <v>2125535</v>
      </c>
      <c r="F495" s="7"/>
      <c r="G495" s="7">
        <v>1028503</v>
      </c>
      <c r="H495" s="7"/>
      <c r="I495" s="7">
        <v>350675</v>
      </c>
      <c r="J495" s="244"/>
      <c r="K495" s="7">
        <f t="shared" si="84"/>
        <v>3504713</v>
      </c>
      <c r="L495" s="6"/>
      <c r="M495" s="438">
        <f t="shared" si="85"/>
        <v>5.4699144712068665E-4</v>
      </c>
      <c r="N495" s="29"/>
      <c r="O495" s="29"/>
      <c r="P495" s="29"/>
      <c r="Q495" s="332">
        <f t="shared" si="86"/>
        <v>1916</v>
      </c>
      <c r="R495" s="6"/>
      <c r="S495" s="7">
        <f>53765+26536+8282</f>
        <v>88583</v>
      </c>
      <c r="T495" s="6"/>
      <c r="U495" s="243">
        <f t="shared" si="87"/>
        <v>2.5275393448764564E-2</v>
      </c>
      <c r="W495">
        <f t="shared" si="88"/>
        <v>485</v>
      </c>
      <c r="Y495" s="56"/>
    </row>
    <row r="496" spans="3:25" x14ac:dyDescent="0.3">
      <c r="C496" s="157">
        <f t="shared" si="75"/>
        <v>44395</v>
      </c>
      <c r="E496" s="241">
        <v>2126680</v>
      </c>
      <c r="F496" s="7"/>
      <c r="G496" s="7">
        <v>1028931</v>
      </c>
      <c r="H496" s="7"/>
      <c r="I496" s="7">
        <v>350675</v>
      </c>
      <c r="J496" s="244"/>
      <c r="K496" s="7">
        <f t="shared" si="84"/>
        <v>3506286</v>
      </c>
      <c r="L496" s="6"/>
      <c r="M496" s="438">
        <f t="shared" si="85"/>
        <v>4.488241975876484E-4</v>
      </c>
      <c r="N496" s="29"/>
      <c r="O496" s="29"/>
      <c r="P496" s="29"/>
      <c r="Q496" s="332">
        <f t="shared" si="86"/>
        <v>1573</v>
      </c>
      <c r="R496" s="6"/>
      <c r="S496" s="7">
        <f>53775+8282+26539</f>
        <v>88596</v>
      </c>
      <c r="T496" s="6"/>
      <c r="U496" s="243">
        <f t="shared" si="87"/>
        <v>2.5267761956668681E-2</v>
      </c>
      <c r="W496">
        <f t="shared" si="88"/>
        <v>486</v>
      </c>
      <c r="Y496" s="56"/>
    </row>
    <row r="497" spans="3:25" x14ac:dyDescent="0.3">
      <c r="C497" s="157">
        <f t="shared" si="75"/>
        <v>44396</v>
      </c>
      <c r="E497" s="241">
        <v>2127592</v>
      </c>
      <c r="F497" s="7"/>
      <c r="G497" s="7">
        <v>1029243</v>
      </c>
      <c r="H497" s="7"/>
      <c r="I497" s="7">
        <v>351084</v>
      </c>
      <c r="J497" s="244"/>
      <c r="K497" s="7">
        <f t="shared" si="84"/>
        <v>3507919</v>
      </c>
      <c r="L497" s="6"/>
      <c r="M497" s="438">
        <f t="shared" si="85"/>
        <v>4.6573496856788067E-4</v>
      </c>
      <c r="N497" s="29"/>
      <c r="O497" s="29"/>
      <c r="P497" s="29"/>
      <c r="Q497" s="332">
        <f t="shared" si="86"/>
        <v>1633</v>
      </c>
      <c r="R497" s="6"/>
      <c r="S497" s="7">
        <f>53780+26545+8282</f>
        <v>88607</v>
      </c>
      <c r="T497" s="6"/>
      <c r="U497" s="243">
        <f t="shared" si="87"/>
        <v>2.5259135116859881E-2</v>
      </c>
      <c r="W497">
        <f t="shared" si="88"/>
        <v>487</v>
      </c>
      <c r="Y497" s="56"/>
    </row>
    <row r="498" spans="3:25" x14ac:dyDescent="0.3">
      <c r="C498" s="157">
        <f t="shared" si="75"/>
        <v>44397</v>
      </c>
      <c r="E498" s="241">
        <v>2128710</v>
      </c>
      <c r="F498" s="7"/>
      <c r="G498" s="7">
        <v>1029901</v>
      </c>
      <c r="H498" s="7"/>
      <c r="I498" s="7">
        <v>351302</v>
      </c>
      <c r="J498" s="244"/>
      <c r="K498" s="7">
        <f t="shared" si="84"/>
        <v>3509913</v>
      </c>
      <c r="L498" s="6"/>
      <c r="M498" s="438">
        <f t="shared" si="85"/>
        <v>5.6842817636325131E-4</v>
      </c>
      <c r="N498" s="29"/>
      <c r="O498" s="29"/>
      <c r="P498" s="29"/>
      <c r="Q498" s="332">
        <f t="shared" si="86"/>
        <v>1994</v>
      </c>
      <c r="R498" s="6"/>
      <c r="S498" s="7">
        <f>53784+26557+8282</f>
        <v>88623</v>
      </c>
      <c r="T498" s="6"/>
      <c r="U498" s="243">
        <f t="shared" si="87"/>
        <v>2.52493437871537E-2</v>
      </c>
      <c r="W498">
        <f t="shared" si="88"/>
        <v>488</v>
      </c>
      <c r="Y498" s="56"/>
    </row>
    <row r="499" spans="3:25" x14ac:dyDescent="0.3">
      <c r="C499" s="157">
        <f t="shared" si="75"/>
        <v>44398</v>
      </c>
      <c r="E499" s="241">
        <v>2129897</v>
      </c>
      <c r="F499" s="7"/>
      <c r="G499" s="7">
        <v>1030600</v>
      </c>
      <c r="H499" s="7"/>
      <c r="I499" s="7">
        <v>351530</v>
      </c>
      <c r="J499" s="244"/>
      <c r="K499" s="7">
        <f t="shared" si="84"/>
        <v>3512027</v>
      </c>
      <c r="L499" s="6"/>
      <c r="M499" s="438">
        <f t="shared" si="85"/>
        <v>6.0229413093714856E-4</v>
      </c>
      <c r="N499" s="29"/>
      <c r="O499" s="29"/>
      <c r="P499" s="29"/>
      <c r="Q499" s="332">
        <f t="shared" si="86"/>
        <v>2114</v>
      </c>
      <c r="R499" s="6"/>
      <c r="S499" s="7">
        <f>53791+26562+8282</f>
        <v>88635</v>
      </c>
      <c r="T499" s="6"/>
      <c r="U499" s="243">
        <f t="shared" si="87"/>
        <v>2.5237562239698044E-2</v>
      </c>
      <c r="W499">
        <f t="shared" si="88"/>
        <v>489</v>
      </c>
      <c r="Y499" s="56"/>
    </row>
    <row r="500" spans="3:25" x14ac:dyDescent="0.3">
      <c r="C500" s="157">
        <f t="shared" si="75"/>
        <v>44399</v>
      </c>
      <c r="E500" s="241">
        <v>2131535</v>
      </c>
      <c r="F500" s="7"/>
      <c r="G500" s="7">
        <v>1031346</v>
      </c>
      <c r="H500" s="7"/>
      <c r="I500" s="7">
        <v>351825</v>
      </c>
      <c r="J500" s="244"/>
      <c r="K500" s="7">
        <f t="shared" si="84"/>
        <v>3514706</v>
      </c>
      <c r="L500" s="6"/>
      <c r="M500" s="438">
        <f t="shared" si="85"/>
        <v>7.6280734743781864E-4</v>
      </c>
      <c r="N500" s="29"/>
      <c r="O500" s="29"/>
      <c r="P500" s="29"/>
      <c r="Q500" s="332">
        <f t="shared" si="86"/>
        <v>2679</v>
      </c>
      <c r="R500" s="6"/>
      <c r="S500" s="7">
        <f>53798+26564+8286</f>
        <v>88648</v>
      </c>
      <c r="T500" s="6"/>
      <c r="U500" s="243">
        <f t="shared" si="87"/>
        <v>2.5222024260350653E-2</v>
      </c>
      <c r="W500">
        <f t="shared" si="88"/>
        <v>490</v>
      </c>
      <c r="Y500" s="56"/>
    </row>
    <row r="501" spans="3:25" x14ac:dyDescent="0.3">
      <c r="C501" s="157">
        <f t="shared" si="75"/>
        <v>44400</v>
      </c>
      <c r="E501" s="241">
        <v>2133264</v>
      </c>
      <c r="F501" s="7"/>
      <c r="G501" s="7">
        <v>1032256</v>
      </c>
      <c r="H501" s="7"/>
      <c r="I501" s="7">
        <v>352037</v>
      </c>
      <c r="J501" s="244"/>
      <c r="K501" s="7">
        <f t="shared" si="84"/>
        <v>3517557</v>
      </c>
      <c r="L501" s="6"/>
      <c r="M501" s="438">
        <f t="shared" si="85"/>
        <v>8.1116315276441326E-4</v>
      </c>
      <c r="N501" s="29"/>
      <c r="O501" s="29"/>
      <c r="P501" s="29"/>
      <c r="Q501" s="332">
        <f t="shared" si="86"/>
        <v>2851</v>
      </c>
      <c r="R501" s="6"/>
      <c r="S501" s="7">
        <f>53801+26568+8286</f>
        <v>88655</v>
      </c>
      <c r="T501" s="6"/>
      <c r="U501" s="243">
        <f t="shared" si="87"/>
        <v>2.5203571683415506E-2</v>
      </c>
      <c r="W501">
        <f t="shared" si="88"/>
        <v>491</v>
      </c>
      <c r="Y501" s="56"/>
    </row>
    <row r="502" spans="3:25" x14ac:dyDescent="0.3">
      <c r="C502" s="157">
        <f t="shared" si="75"/>
        <v>44401</v>
      </c>
      <c r="E502" s="241">
        <v>2135161</v>
      </c>
      <c r="F502" s="7"/>
      <c r="G502" s="7">
        <v>1033116</v>
      </c>
      <c r="H502" s="7"/>
      <c r="I502" s="7">
        <v>352037</v>
      </c>
      <c r="J502" s="244"/>
      <c r="K502" s="7">
        <f t="shared" si="84"/>
        <v>3520314</v>
      </c>
      <c r="L502" s="6"/>
      <c r="M502" s="438">
        <f t="shared" si="85"/>
        <v>7.837826082135982E-4</v>
      </c>
      <c r="N502" s="29"/>
      <c r="O502" s="29"/>
      <c r="P502" s="29"/>
      <c r="Q502" s="332">
        <f t="shared" si="86"/>
        <v>2757</v>
      </c>
      <c r="R502" s="6"/>
      <c r="S502" s="7">
        <f>53804+26573+8286</f>
        <v>88663</v>
      </c>
      <c r="T502" s="6"/>
      <c r="U502" s="243">
        <f t="shared" si="87"/>
        <v>2.5186105557629235E-2</v>
      </c>
      <c r="W502">
        <f t="shared" si="88"/>
        <v>492</v>
      </c>
      <c r="Y502" s="56"/>
    </row>
    <row r="503" spans="3:25" x14ac:dyDescent="0.3">
      <c r="C503" s="157">
        <f t="shared" si="75"/>
        <v>44402</v>
      </c>
      <c r="E503" s="241">
        <v>2136032</v>
      </c>
      <c r="F503" s="7"/>
      <c r="G503" s="7">
        <v>1033712</v>
      </c>
      <c r="H503" s="7"/>
      <c r="I503" s="7">
        <v>352037</v>
      </c>
      <c r="J503" s="244"/>
      <c r="K503" s="7">
        <f t="shared" si="84"/>
        <v>3521781</v>
      </c>
      <c r="L503" s="6"/>
      <c r="M503" s="438">
        <f t="shared" si="85"/>
        <v>4.1672418994441972E-4</v>
      </c>
      <c r="N503" s="29"/>
      <c r="O503" s="29"/>
      <c r="P503" s="29"/>
      <c r="Q503" s="332">
        <f t="shared" si="86"/>
        <v>1467</v>
      </c>
      <c r="R503" s="6"/>
      <c r="S503" s="7">
        <f>53813+26575+8286</f>
        <v>88674</v>
      </c>
      <c r="T503" s="6"/>
      <c r="U503" s="243">
        <f t="shared" si="87"/>
        <v>2.5178737689822279E-2</v>
      </c>
      <c r="W503">
        <f t="shared" si="88"/>
        <v>493</v>
      </c>
      <c r="Y503" s="56"/>
    </row>
    <row r="504" spans="3:25" x14ac:dyDescent="0.3">
      <c r="C504" s="157">
        <f t="shared" si="75"/>
        <v>44403</v>
      </c>
      <c r="E504" s="241">
        <v>2138643</v>
      </c>
      <c r="F504" s="7"/>
      <c r="G504" s="7">
        <v>1034233</v>
      </c>
      <c r="H504" s="7"/>
      <c r="I504" s="7">
        <v>352626</v>
      </c>
      <c r="J504" s="244"/>
      <c r="K504" s="7">
        <f t="shared" si="84"/>
        <v>3525502</v>
      </c>
      <c r="L504" s="6"/>
      <c r="M504" s="438">
        <f t="shared" si="85"/>
        <v>1.0565676854977638E-3</v>
      </c>
      <c r="N504" s="29"/>
      <c r="O504" s="29"/>
      <c r="P504" s="29"/>
      <c r="Q504" s="332">
        <f t="shared" si="86"/>
        <v>3721</v>
      </c>
      <c r="R504" s="6"/>
      <c r="S504" s="7">
        <f>53610+26579+8288</f>
        <v>88477</v>
      </c>
      <c r="T504" s="6"/>
      <c r="U504" s="243">
        <f t="shared" si="87"/>
        <v>2.5096284160383401E-2</v>
      </c>
      <c r="W504">
        <f t="shared" si="88"/>
        <v>494</v>
      </c>
      <c r="Y504" s="56"/>
    </row>
    <row r="505" spans="3:25" x14ac:dyDescent="0.3">
      <c r="C505" s="157">
        <f t="shared" si="75"/>
        <v>44404</v>
      </c>
      <c r="E505" s="241">
        <v>2140258</v>
      </c>
      <c r="F505" s="7"/>
      <c r="G505" s="7">
        <v>1035027</v>
      </c>
      <c r="H505" s="7"/>
      <c r="I505" s="7">
        <v>353114</v>
      </c>
      <c r="J505" s="244"/>
      <c r="K505" s="7">
        <f t="shared" ref="K505:K536" si="89">SUM(E505:I505)</f>
        <v>3528399</v>
      </c>
      <c r="L505" s="6"/>
      <c r="M505" s="438">
        <f t="shared" ref="M505:M536" si="90">+(K505-K504)/K504</f>
        <v>8.2172694838919395E-4</v>
      </c>
      <c r="N505" s="29"/>
      <c r="O505" s="29"/>
      <c r="P505" s="29"/>
      <c r="Q505" s="332">
        <f t="shared" ref="Q505:Q535" si="91">+K505-K504</f>
        <v>2897</v>
      </c>
      <c r="R505" s="6"/>
      <c r="S505" s="7">
        <f>53611+26586+8288</f>
        <v>88485</v>
      </c>
      <c r="T505" s="6"/>
      <c r="U505" s="243">
        <f t="shared" ref="U505:U537" si="92">+S505/K505</f>
        <v>2.5077946116638168E-2</v>
      </c>
      <c r="W505">
        <f t="shared" si="88"/>
        <v>495</v>
      </c>
      <c r="Y505" s="56"/>
    </row>
    <row r="506" spans="3:25" x14ac:dyDescent="0.3">
      <c r="C506" s="157">
        <f t="shared" si="75"/>
        <v>44405</v>
      </c>
      <c r="E506" s="241">
        <v>2142132</v>
      </c>
      <c r="F506" s="7"/>
      <c r="G506" s="7">
        <v>1035975</v>
      </c>
      <c r="H506" s="7"/>
      <c r="I506" s="7">
        <v>353505</v>
      </c>
      <c r="J506" s="244"/>
      <c r="K506" s="7">
        <f t="shared" si="89"/>
        <v>3531612</v>
      </c>
      <c r="L506" s="6"/>
      <c r="M506" s="438">
        <f t="shared" si="90"/>
        <v>9.1061129991250995E-4</v>
      </c>
      <c r="N506" s="29"/>
      <c r="O506" s="29"/>
      <c r="P506" s="29"/>
      <c r="Q506" s="332">
        <f t="shared" si="91"/>
        <v>3213</v>
      </c>
      <c r="R506" s="6"/>
      <c r="S506" s="7">
        <f>53623+26589+8288</f>
        <v>88500</v>
      </c>
      <c r="T506" s="6"/>
      <c r="U506" s="243">
        <f t="shared" si="92"/>
        <v>2.5059377983764921E-2</v>
      </c>
      <c r="W506">
        <f t="shared" si="88"/>
        <v>496</v>
      </c>
      <c r="Y506" s="56"/>
    </row>
    <row r="507" spans="3:25" x14ac:dyDescent="0.3">
      <c r="C507" s="157">
        <f t="shared" si="75"/>
        <v>44406</v>
      </c>
      <c r="E507" s="241">
        <v>2144741</v>
      </c>
      <c r="F507" s="7"/>
      <c r="G507" s="7">
        <v>1037052</v>
      </c>
      <c r="H507" s="7"/>
      <c r="I507" s="7">
        <v>353844</v>
      </c>
      <c r="J507" s="244"/>
      <c r="K507" s="7">
        <f t="shared" si="89"/>
        <v>3535637</v>
      </c>
      <c r="L507" s="6"/>
      <c r="M507" s="438">
        <f t="shared" si="90"/>
        <v>1.1397061738378962E-3</v>
      </c>
      <c r="N507" s="29"/>
      <c r="O507" s="29"/>
      <c r="P507" s="29"/>
      <c r="Q507" s="332">
        <f t="shared" si="91"/>
        <v>4025</v>
      </c>
      <c r="R507" s="6"/>
      <c r="S507" s="7">
        <f>53625+26590+8293</f>
        <v>88508</v>
      </c>
      <c r="T507" s="6"/>
      <c r="U507" s="243">
        <f t="shared" si="92"/>
        <v>2.5033112845012088E-2</v>
      </c>
      <c r="W507">
        <f t="shared" si="88"/>
        <v>497</v>
      </c>
      <c r="Y507" s="56"/>
    </row>
    <row r="508" spans="3:25" x14ac:dyDescent="0.3">
      <c r="C508" s="157">
        <f t="shared" ref="C508:C766" si="93">+C507+1</f>
        <v>44407</v>
      </c>
      <c r="E508" s="241">
        <v>2147318</v>
      </c>
      <c r="F508" s="7"/>
      <c r="G508" s="7">
        <v>1038171</v>
      </c>
      <c r="H508" s="7"/>
      <c r="I508" s="7">
        <v>354335</v>
      </c>
      <c r="J508" s="244"/>
      <c r="K508" s="7">
        <f t="shared" si="89"/>
        <v>3539824</v>
      </c>
      <c r="L508" s="6"/>
      <c r="M508" s="438">
        <f t="shared" si="90"/>
        <v>1.1842279057493741E-3</v>
      </c>
      <c r="N508" s="29"/>
      <c r="O508" s="29"/>
      <c r="P508" s="29"/>
      <c r="Q508" s="332">
        <f t="shared" si="91"/>
        <v>4187</v>
      </c>
      <c r="R508" s="6"/>
      <c r="S508" s="7">
        <f>53632+26595+8293</f>
        <v>88520</v>
      </c>
      <c r="T508" s="6"/>
      <c r="U508" s="243">
        <f t="shared" si="92"/>
        <v>2.5006892998069959E-2</v>
      </c>
      <c r="W508">
        <f t="shared" si="88"/>
        <v>498</v>
      </c>
      <c r="Y508" s="56"/>
    </row>
    <row r="509" spans="3:25" x14ac:dyDescent="0.3">
      <c r="C509" s="157">
        <f t="shared" si="93"/>
        <v>44408</v>
      </c>
      <c r="E509" s="241">
        <v>2150390</v>
      </c>
      <c r="F509" s="7"/>
      <c r="G509" s="7">
        <v>1039353</v>
      </c>
      <c r="H509" s="7"/>
      <c r="I509" s="7">
        <v>354335</v>
      </c>
      <c r="J509" s="244"/>
      <c r="K509" s="7">
        <f t="shared" si="89"/>
        <v>3544078</v>
      </c>
      <c r="L509" s="6"/>
      <c r="M509" s="438">
        <f t="shared" si="90"/>
        <v>1.2017546635086941E-3</v>
      </c>
      <c r="N509" s="29"/>
      <c r="O509" s="29"/>
      <c r="P509" s="29"/>
      <c r="Q509" s="332">
        <f t="shared" si="91"/>
        <v>4254</v>
      </c>
      <c r="R509" s="6"/>
      <c r="S509" s="7">
        <f>53641+26602+8293</f>
        <v>88536</v>
      </c>
      <c r="T509" s="6"/>
      <c r="U509" s="243">
        <f t="shared" si="92"/>
        <v>2.498139149307662E-2</v>
      </c>
      <c r="W509">
        <f t="shared" si="88"/>
        <v>499</v>
      </c>
      <c r="Y509" s="56"/>
    </row>
    <row r="510" spans="3:25" x14ac:dyDescent="0.3">
      <c r="C510" s="157">
        <f t="shared" si="93"/>
        <v>44409</v>
      </c>
      <c r="E510" s="241">
        <v>2152964</v>
      </c>
      <c r="F510" s="7"/>
      <c r="G510" s="7">
        <v>1040281</v>
      </c>
      <c r="H510" s="7"/>
      <c r="I510" s="7">
        <v>354335</v>
      </c>
      <c r="J510" s="244"/>
      <c r="K510" s="7">
        <f t="shared" si="89"/>
        <v>3547580</v>
      </c>
      <c r="L510" s="6"/>
      <c r="M510" s="438">
        <f t="shared" si="90"/>
        <v>9.8812723647730095E-4</v>
      </c>
      <c r="N510" s="29"/>
      <c r="O510" s="29"/>
      <c r="P510" s="29"/>
      <c r="Q510" s="332">
        <f t="shared" si="91"/>
        <v>3502</v>
      </c>
      <c r="R510" s="6"/>
      <c r="S510" s="7">
        <f>53650+26607+8293</f>
        <v>88550</v>
      </c>
      <c r="T510" s="6"/>
      <c r="U510" s="243">
        <f t="shared" si="92"/>
        <v>2.4960677419536698E-2</v>
      </c>
      <c r="W510">
        <f t="shared" si="88"/>
        <v>500</v>
      </c>
      <c r="Y510" s="56"/>
    </row>
    <row r="511" spans="3:25" x14ac:dyDescent="0.3">
      <c r="C511" s="157">
        <f t="shared" si="93"/>
        <v>44410</v>
      </c>
      <c r="E511" s="241">
        <v>2155356</v>
      </c>
      <c r="F511" s="7"/>
      <c r="G511" s="7">
        <v>1041159</v>
      </c>
      <c r="H511" s="7"/>
      <c r="I511" s="7">
        <v>355580</v>
      </c>
      <c r="J511" s="244"/>
      <c r="K511" s="7">
        <f t="shared" si="89"/>
        <v>3552095</v>
      </c>
      <c r="L511" s="6"/>
      <c r="M511" s="438">
        <f t="shared" si="90"/>
        <v>1.2726985719842823E-3</v>
      </c>
      <c r="N511" s="29"/>
      <c r="O511" s="29"/>
      <c r="P511" s="29"/>
      <c r="Q511" s="332">
        <f t="shared" si="91"/>
        <v>4515</v>
      </c>
      <c r="R511" s="6"/>
      <c r="S511" s="7">
        <f>53657+26606+8293</f>
        <v>88556</v>
      </c>
      <c r="T511" s="6"/>
      <c r="U511" s="243">
        <f t="shared" si="92"/>
        <v>2.4930639523999217E-2</v>
      </c>
      <c r="W511">
        <f t="shared" si="88"/>
        <v>501</v>
      </c>
      <c r="Y511" s="56"/>
    </row>
    <row r="512" spans="3:25" x14ac:dyDescent="0.3">
      <c r="C512" s="157">
        <f t="shared" si="93"/>
        <v>44411</v>
      </c>
      <c r="E512" s="241">
        <v>2158388</v>
      </c>
      <c r="F512" s="7"/>
      <c r="G512" s="7">
        <v>1042472</v>
      </c>
      <c r="H512" s="7"/>
      <c r="I512" s="7">
        <v>356164</v>
      </c>
      <c r="J512" s="244"/>
      <c r="K512" s="7">
        <f t="shared" si="89"/>
        <v>3557024</v>
      </c>
      <c r="L512" s="6"/>
      <c r="M512" s="438">
        <f t="shared" si="90"/>
        <v>1.3876318060187017E-3</v>
      </c>
      <c r="N512" s="29"/>
      <c r="O512" s="29"/>
      <c r="P512" s="29"/>
      <c r="Q512" s="332">
        <f t="shared" si="91"/>
        <v>4929</v>
      </c>
      <c r="R512" s="6"/>
      <c r="S512" s="7">
        <f>53670+26614+8292</f>
        <v>88576</v>
      </c>
      <c r="T512" s="6"/>
      <c r="U512" s="243">
        <f t="shared" si="92"/>
        <v>2.4901715591460725E-2</v>
      </c>
      <c r="W512">
        <f t="shared" si="88"/>
        <v>502</v>
      </c>
      <c r="Y512" s="56"/>
    </row>
    <row r="513" spans="3:25" x14ac:dyDescent="0.3">
      <c r="C513" s="157">
        <f t="shared" si="93"/>
        <v>44412</v>
      </c>
      <c r="E513" s="241">
        <v>2161314</v>
      </c>
      <c r="F513" s="7"/>
      <c r="G513" s="7">
        <v>1043702</v>
      </c>
      <c r="H513" s="7"/>
      <c r="I513" s="7">
        <v>356701</v>
      </c>
      <c r="J513" s="244"/>
      <c r="K513" s="7">
        <f t="shared" si="89"/>
        <v>3561717</v>
      </c>
      <c r="L513" s="6"/>
      <c r="M513" s="438">
        <f t="shared" si="90"/>
        <v>1.3193613537608967E-3</v>
      </c>
      <c r="N513" s="29"/>
      <c r="O513" s="29"/>
      <c r="P513" s="29"/>
      <c r="Q513" s="332">
        <f t="shared" si="91"/>
        <v>4693</v>
      </c>
      <c r="R513" s="6"/>
      <c r="S513" s="7">
        <f>53676+26625+8292</f>
        <v>88593</v>
      </c>
      <c r="T513" s="6"/>
      <c r="U513" s="243">
        <f t="shared" si="92"/>
        <v>2.487367749880184E-2</v>
      </c>
      <c r="W513">
        <f t="shared" si="88"/>
        <v>503</v>
      </c>
      <c r="Y513" s="56"/>
    </row>
    <row r="514" spans="3:25" x14ac:dyDescent="0.3">
      <c r="C514" s="157">
        <f t="shared" si="93"/>
        <v>44413</v>
      </c>
      <c r="E514" s="241">
        <v>2164850</v>
      </c>
      <c r="F514" s="7"/>
      <c r="G514" s="7">
        <v>1045168</v>
      </c>
      <c r="H514" s="7"/>
      <c r="I514" s="7">
        <v>357345</v>
      </c>
      <c r="J514" s="244"/>
      <c r="K514" s="7">
        <f t="shared" si="89"/>
        <v>3567363</v>
      </c>
      <c r="L514" s="6"/>
      <c r="M514" s="438">
        <f t="shared" si="90"/>
        <v>1.5851905134517986E-3</v>
      </c>
      <c r="N514" s="29"/>
      <c r="O514" s="29"/>
      <c r="P514" s="29"/>
      <c r="Q514" s="332">
        <f t="shared" si="91"/>
        <v>5646</v>
      </c>
      <c r="R514" s="6"/>
      <c r="S514" s="7">
        <f>53691+26629+8296</f>
        <v>88616</v>
      </c>
      <c r="T514" s="6"/>
      <c r="U514" s="243">
        <f t="shared" si="92"/>
        <v>2.4840757724963788E-2</v>
      </c>
      <c r="W514">
        <f t="shared" si="88"/>
        <v>504</v>
      </c>
      <c r="Y514" s="56"/>
    </row>
    <row r="515" spans="3:25" x14ac:dyDescent="0.3">
      <c r="C515" s="157">
        <f t="shared" si="93"/>
        <v>44414</v>
      </c>
      <c r="E515" s="241">
        <v>2168589</v>
      </c>
      <c r="F515" s="7"/>
      <c r="G515" s="7">
        <v>1046514</v>
      </c>
      <c r="H515" s="7"/>
      <c r="I515" s="7">
        <v>358076</v>
      </c>
      <c r="J515" s="244"/>
      <c r="K515" s="7">
        <f t="shared" si="89"/>
        <v>3573179</v>
      </c>
      <c r="L515" s="6"/>
      <c r="M515" s="438">
        <f t="shared" si="90"/>
        <v>1.6303359091855805E-3</v>
      </c>
      <c r="N515" s="29"/>
      <c r="O515" s="29"/>
      <c r="P515" s="29"/>
      <c r="Q515" s="332">
        <f t="shared" si="91"/>
        <v>5816</v>
      </c>
      <c r="R515" s="6"/>
      <c r="S515" s="7">
        <f>53694+26636+8296</f>
        <v>88626</v>
      </c>
      <c r="T515" s="6"/>
      <c r="U515" s="243">
        <f t="shared" si="92"/>
        <v>2.4803123493113557E-2</v>
      </c>
      <c r="W515">
        <f t="shared" si="88"/>
        <v>505</v>
      </c>
      <c r="Y515" s="56"/>
    </row>
    <row r="516" spans="3:25" x14ac:dyDescent="0.3">
      <c r="C516" s="157">
        <f t="shared" si="93"/>
        <v>44415</v>
      </c>
      <c r="E516" s="241">
        <v>2173080</v>
      </c>
      <c r="F516" s="7"/>
      <c r="G516" s="7">
        <v>1048053</v>
      </c>
      <c r="H516" s="7"/>
      <c r="I516" s="7">
        <v>358076</v>
      </c>
      <c r="J516" s="244"/>
      <c r="K516" s="7">
        <f t="shared" si="89"/>
        <v>3579209</v>
      </c>
      <c r="L516" s="6"/>
      <c r="M516" s="438">
        <f t="shared" si="90"/>
        <v>1.687572886776733E-3</v>
      </c>
      <c r="N516" s="29"/>
      <c r="O516" s="29"/>
      <c r="P516" s="29"/>
      <c r="Q516" s="332">
        <f t="shared" si="91"/>
        <v>6030</v>
      </c>
      <c r="R516" s="6"/>
      <c r="S516" s="7">
        <f>53729+26645+8296</f>
        <v>88670</v>
      </c>
      <c r="T516" s="6"/>
      <c r="U516" s="243">
        <f t="shared" si="92"/>
        <v>2.4773630151242915E-2</v>
      </c>
      <c r="W516">
        <f t="shared" si="88"/>
        <v>506</v>
      </c>
      <c r="Y516" s="56"/>
    </row>
    <row r="517" spans="3:25" x14ac:dyDescent="0.3">
      <c r="C517" s="157">
        <f t="shared" si="93"/>
        <v>44416</v>
      </c>
      <c r="E517" s="241">
        <v>2176658</v>
      </c>
      <c r="F517" s="7"/>
      <c r="G517" s="7">
        <v>1049222</v>
      </c>
      <c r="H517" s="7"/>
      <c r="I517" s="7">
        <v>358076</v>
      </c>
      <c r="J517" s="244"/>
      <c r="K517" s="7">
        <f t="shared" si="89"/>
        <v>3583956</v>
      </c>
      <c r="L517" s="6"/>
      <c r="M517" s="438">
        <f t="shared" si="90"/>
        <v>1.3262706927703858E-3</v>
      </c>
      <c r="N517" s="29"/>
      <c r="O517" s="29"/>
      <c r="P517" s="29"/>
      <c r="Q517" s="332">
        <f t="shared" si="91"/>
        <v>4747</v>
      </c>
      <c r="R517" s="6"/>
      <c r="S517" s="7">
        <f>53744+26650+8296</f>
        <v>88690</v>
      </c>
      <c r="T517" s="6"/>
      <c r="U517" s="243">
        <f t="shared" si="92"/>
        <v>2.4746397556219997E-2</v>
      </c>
      <c r="W517">
        <f t="shared" si="88"/>
        <v>507</v>
      </c>
      <c r="Y517" s="56"/>
    </row>
    <row r="518" spans="3:25" x14ac:dyDescent="0.3">
      <c r="C518" s="157">
        <f t="shared" si="93"/>
        <v>44417</v>
      </c>
      <c r="E518" s="241">
        <v>2178724</v>
      </c>
      <c r="F518" s="7"/>
      <c r="G518" s="7">
        <v>1050083</v>
      </c>
      <c r="H518" s="7"/>
      <c r="I518" s="7">
        <v>359363</v>
      </c>
      <c r="J518" s="244"/>
      <c r="K518" s="7">
        <f t="shared" si="89"/>
        <v>3588170</v>
      </c>
      <c r="L518" s="6"/>
      <c r="M518" s="438">
        <f t="shared" si="90"/>
        <v>1.1757956849916685E-3</v>
      </c>
      <c r="N518" s="29"/>
      <c r="O518" s="29"/>
      <c r="P518" s="29"/>
      <c r="Q518" s="332">
        <f t="shared" si="91"/>
        <v>4214</v>
      </c>
      <c r="R518" s="6"/>
      <c r="S518" s="7">
        <f>53750+26650+8296</f>
        <v>88696</v>
      </c>
      <c r="T518" s="6"/>
      <c r="U518" s="243">
        <f t="shared" si="92"/>
        <v>2.4719007181933966E-2</v>
      </c>
      <c r="W518">
        <f t="shared" si="88"/>
        <v>508</v>
      </c>
      <c r="Y518" s="56"/>
    </row>
    <row r="519" spans="3:25" x14ac:dyDescent="0.3">
      <c r="C519" s="157">
        <f t="shared" si="93"/>
        <v>44418</v>
      </c>
      <c r="E519" s="241">
        <v>2180696</v>
      </c>
      <c r="F519" s="7"/>
      <c r="G519" s="7">
        <v>1051712</v>
      </c>
      <c r="H519" s="7"/>
      <c r="I519" s="7">
        <v>359638</v>
      </c>
      <c r="J519" s="244"/>
      <c r="K519" s="7">
        <f t="shared" si="89"/>
        <v>3592046</v>
      </c>
      <c r="L519" s="6"/>
      <c r="M519" s="438">
        <f t="shared" si="90"/>
        <v>1.0802163777078567E-3</v>
      </c>
      <c r="N519" s="29"/>
      <c r="O519" s="29"/>
      <c r="P519" s="29"/>
      <c r="Q519" s="332">
        <f t="shared" si="91"/>
        <v>3876</v>
      </c>
      <c r="R519" s="6"/>
      <c r="S519" s="7">
        <f>53758+26659+8297</f>
        <v>88714</v>
      </c>
      <c r="T519" s="6"/>
      <c r="U519" s="243">
        <f t="shared" si="92"/>
        <v>2.4697345189900129E-2</v>
      </c>
      <c r="W519">
        <f t="shared" si="88"/>
        <v>509</v>
      </c>
      <c r="Y519" s="56"/>
    </row>
    <row r="520" spans="3:25" x14ac:dyDescent="0.3">
      <c r="C520" s="157">
        <f t="shared" si="93"/>
        <v>44419</v>
      </c>
      <c r="E520" s="241">
        <v>2187349</v>
      </c>
      <c r="F520" s="7"/>
      <c r="G520" s="7">
        <v>1053398</v>
      </c>
      <c r="H520" s="7"/>
      <c r="I520" s="7">
        <v>360552</v>
      </c>
      <c r="J520" s="244"/>
      <c r="K520" s="7">
        <f t="shared" si="89"/>
        <v>3601299</v>
      </c>
      <c r="L520" s="6"/>
      <c r="M520" s="438">
        <f t="shared" si="90"/>
        <v>2.5759692387012862E-3</v>
      </c>
      <c r="N520" s="29"/>
      <c r="O520" s="29"/>
      <c r="P520" s="29"/>
      <c r="Q520" s="332">
        <f t="shared" si="91"/>
        <v>9253</v>
      </c>
      <c r="R520" s="6"/>
      <c r="S520" s="7">
        <f>53797+26665+8297</f>
        <v>88759</v>
      </c>
      <c r="T520" s="6"/>
      <c r="U520" s="243">
        <f t="shared" si="92"/>
        <v>2.4646384540689344E-2</v>
      </c>
      <c r="W520">
        <f t="shared" si="88"/>
        <v>510</v>
      </c>
      <c r="Y520" s="56"/>
    </row>
    <row r="521" spans="3:25" x14ac:dyDescent="0.3">
      <c r="C521" s="157">
        <f t="shared" si="93"/>
        <v>44420</v>
      </c>
      <c r="E521" s="241">
        <v>2192224</v>
      </c>
      <c r="F521" s="7"/>
      <c r="G521" s="7">
        <v>1055252</v>
      </c>
      <c r="H521" s="7"/>
      <c r="I521" s="7">
        <v>361294</v>
      </c>
      <c r="J521" s="244"/>
      <c r="K521" s="7">
        <f t="shared" si="89"/>
        <v>3608770</v>
      </c>
      <c r="L521" s="6"/>
      <c r="M521" s="438">
        <f t="shared" si="90"/>
        <v>2.0745292184847744E-3</v>
      </c>
      <c r="N521" s="29"/>
      <c r="O521" s="29"/>
      <c r="P521" s="29"/>
      <c r="Q521" s="332">
        <f t="shared" si="91"/>
        <v>7471</v>
      </c>
      <c r="R521" s="6"/>
      <c r="S521" s="7">
        <f>53828+26672+8307</f>
        <v>88807</v>
      </c>
      <c r="T521" s="6"/>
      <c r="U521" s="243">
        <f t="shared" si="92"/>
        <v>2.4608661676970268E-2</v>
      </c>
      <c r="W521">
        <f t="shared" si="88"/>
        <v>511</v>
      </c>
      <c r="Y521" s="56"/>
    </row>
    <row r="522" spans="3:25" x14ac:dyDescent="0.3">
      <c r="C522" s="157">
        <f t="shared" si="93"/>
        <v>44421</v>
      </c>
      <c r="E522" s="241">
        <v>2196866</v>
      </c>
      <c r="F522" s="7"/>
      <c r="G522" s="7">
        <v>1057096</v>
      </c>
      <c r="H522" s="7"/>
      <c r="I522" s="7">
        <v>361836</v>
      </c>
      <c r="J522" s="244"/>
      <c r="K522" s="7">
        <f t="shared" si="89"/>
        <v>3615798</v>
      </c>
      <c r="L522" s="6"/>
      <c r="M522" s="438">
        <f t="shared" si="90"/>
        <v>1.9474779495506779E-3</v>
      </c>
      <c r="N522" s="29"/>
      <c r="O522" s="29"/>
      <c r="P522" s="29"/>
      <c r="Q522" s="332">
        <f t="shared" si="91"/>
        <v>7028</v>
      </c>
      <c r="R522" s="6"/>
      <c r="S522" s="7">
        <f>53840+26681+8307</f>
        <v>88828</v>
      </c>
      <c r="T522" s="6"/>
      <c r="U522" s="243">
        <f t="shared" si="92"/>
        <v>2.4566637848685131E-2</v>
      </c>
      <c r="W522">
        <f t="shared" si="88"/>
        <v>512</v>
      </c>
      <c r="Y522" s="56"/>
    </row>
    <row r="523" spans="3:25" x14ac:dyDescent="0.3">
      <c r="C523" s="157">
        <f t="shared" si="93"/>
        <v>44422</v>
      </c>
      <c r="E523" s="241">
        <v>2201468</v>
      </c>
      <c r="F523" s="7"/>
      <c r="G523" s="7">
        <v>1059660</v>
      </c>
      <c r="H523" s="7"/>
      <c r="I523" s="7">
        <v>361836</v>
      </c>
      <c r="J523" s="244"/>
      <c r="K523" s="7">
        <f t="shared" si="89"/>
        <v>3622964</v>
      </c>
      <c r="L523" s="6"/>
      <c r="M523" s="438">
        <f t="shared" si="90"/>
        <v>1.9818584998387632E-3</v>
      </c>
      <c r="N523" s="29"/>
      <c r="O523" s="29"/>
      <c r="P523" s="29"/>
      <c r="Q523" s="332">
        <f t="shared" si="91"/>
        <v>7166</v>
      </c>
      <c r="R523" s="6"/>
      <c r="S523" s="7">
        <f>53855+26692+8307</f>
        <v>88854</v>
      </c>
      <c r="T523" s="6"/>
      <c r="U523" s="243">
        <f t="shared" si="92"/>
        <v>2.4525222994211369E-2</v>
      </c>
      <c r="W523">
        <f t="shared" si="88"/>
        <v>513</v>
      </c>
      <c r="Y523" s="56"/>
    </row>
    <row r="524" spans="3:25" x14ac:dyDescent="0.3">
      <c r="C524" s="157">
        <f t="shared" si="93"/>
        <v>44423</v>
      </c>
      <c r="E524" s="241">
        <v>2201523</v>
      </c>
      <c r="F524" s="7"/>
      <c r="G524" s="7">
        <v>1060934</v>
      </c>
      <c r="H524" s="7"/>
      <c r="I524" s="7">
        <v>361836</v>
      </c>
      <c r="J524" s="244"/>
      <c r="K524" s="7">
        <f t="shared" si="89"/>
        <v>3624293</v>
      </c>
      <c r="L524" s="6"/>
      <c r="M524" s="438">
        <f t="shared" si="90"/>
        <v>3.668267197797163E-4</v>
      </c>
      <c r="N524" s="29"/>
      <c r="O524" s="29"/>
      <c r="P524" s="29"/>
      <c r="Q524" s="332">
        <f t="shared" si="91"/>
        <v>1329</v>
      </c>
      <c r="R524" s="6"/>
      <c r="S524" s="7">
        <f>54067+26695+8307</f>
        <v>89069</v>
      </c>
      <c r="T524" s="6"/>
      <c r="U524" s="243">
        <f t="shared" si="92"/>
        <v>2.457555170070411E-2</v>
      </c>
      <c r="W524">
        <f t="shared" si="88"/>
        <v>514</v>
      </c>
      <c r="Y524" s="56"/>
    </row>
    <row r="525" spans="3:25" x14ac:dyDescent="0.3">
      <c r="C525" s="157">
        <f t="shared" si="93"/>
        <v>44424</v>
      </c>
      <c r="E525" s="241">
        <v>2208000</v>
      </c>
      <c r="F525" s="7"/>
      <c r="G525" s="7">
        <v>1062500</v>
      </c>
      <c r="H525" s="7"/>
      <c r="I525" s="7">
        <v>362500</v>
      </c>
      <c r="J525" s="244"/>
      <c r="K525" s="7">
        <f t="shared" si="89"/>
        <v>3633000</v>
      </c>
      <c r="L525" s="6"/>
      <c r="M525" s="438">
        <f t="shared" si="90"/>
        <v>2.4023995852432462E-3</v>
      </c>
      <c r="N525" s="29"/>
      <c r="O525" s="29"/>
      <c r="P525" s="29"/>
      <c r="Q525" s="332">
        <f t="shared" si="91"/>
        <v>8707</v>
      </c>
      <c r="R525" s="6"/>
      <c r="S525" s="7">
        <f>54067+26695+8307</f>
        <v>89069</v>
      </c>
      <c r="T525" s="6"/>
      <c r="U525" s="243">
        <f t="shared" si="92"/>
        <v>2.4516652903936141E-2</v>
      </c>
      <c r="W525">
        <f t="shared" si="88"/>
        <v>515</v>
      </c>
      <c r="Y525" s="56"/>
    </row>
    <row r="526" spans="3:25" x14ac:dyDescent="0.3">
      <c r="C526" s="157">
        <f t="shared" si="93"/>
        <v>44425</v>
      </c>
      <c r="E526" s="241">
        <v>2213176</v>
      </c>
      <c r="F526" s="7"/>
      <c r="G526" s="7">
        <v>1064059</v>
      </c>
      <c r="H526" s="7"/>
      <c r="I526" s="7">
        <v>363417</v>
      </c>
      <c r="J526" s="244"/>
      <c r="K526" s="7">
        <f t="shared" si="89"/>
        <v>3640652</v>
      </c>
      <c r="L526" s="6"/>
      <c r="M526" s="438">
        <f t="shared" si="90"/>
        <v>2.1062482796586845E-3</v>
      </c>
      <c r="N526" s="29"/>
      <c r="O526" s="29"/>
      <c r="P526" s="29"/>
      <c r="Q526" s="332">
        <f t="shared" si="91"/>
        <v>7652</v>
      </c>
      <c r="R526" s="6"/>
      <c r="S526" s="7">
        <f>54136+26716+8304</f>
        <v>89156</v>
      </c>
      <c r="T526" s="6"/>
      <c r="U526" s="243">
        <f t="shared" si="92"/>
        <v>2.4489020098597724E-2</v>
      </c>
      <c r="W526">
        <f t="shared" si="88"/>
        <v>516</v>
      </c>
      <c r="Y526" s="56"/>
    </row>
    <row r="527" spans="3:25" x14ac:dyDescent="0.3">
      <c r="C527" s="157">
        <f t="shared" si="93"/>
        <v>44426</v>
      </c>
      <c r="E527" s="241">
        <v>2217969</v>
      </c>
      <c r="F527" s="7"/>
      <c r="G527" s="7">
        <v>1065736</v>
      </c>
      <c r="H527" s="7"/>
      <c r="I527" s="7">
        <v>364891</v>
      </c>
      <c r="J527" s="244"/>
      <c r="K527" s="7">
        <f t="shared" si="89"/>
        <v>3648596</v>
      </c>
      <c r="L527" s="6"/>
      <c r="M527" s="438">
        <f t="shared" si="90"/>
        <v>2.1820267358703882E-3</v>
      </c>
      <c r="N527" s="29"/>
      <c r="O527" s="29"/>
      <c r="P527" s="29"/>
      <c r="Q527" s="332">
        <f t="shared" si="91"/>
        <v>7944</v>
      </c>
      <c r="R527" s="6"/>
      <c r="S527" s="7">
        <f>53939+26721+8307</f>
        <v>88967</v>
      </c>
      <c r="T527" s="6"/>
      <c r="U527" s="243">
        <f t="shared" si="92"/>
        <v>2.4383899998794055E-2</v>
      </c>
      <c r="W527">
        <f t="shared" si="88"/>
        <v>517</v>
      </c>
      <c r="Y527" s="56"/>
    </row>
    <row r="528" spans="3:25" x14ac:dyDescent="0.3">
      <c r="C528" s="157">
        <f t="shared" si="93"/>
        <v>44427</v>
      </c>
      <c r="E528" s="241">
        <v>2223052</v>
      </c>
      <c r="F528" s="7"/>
      <c r="G528" s="7">
        <v>1067758</v>
      </c>
      <c r="H528" s="7"/>
      <c r="I528" s="7">
        <v>365425</v>
      </c>
      <c r="J528" s="244"/>
      <c r="K528" s="7">
        <f t="shared" si="89"/>
        <v>3656235</v>
      </c>
      <c r="L528" s="6"/>
      <c r="M528" s="438">
        <f t="shared" si="90"/>
        <v>2.0936820629085819E-3</v>
      </c>
      <c r="N528" s="29"/>
      <c r="O528" s="29"/>
      <c r="P528" s="29"/>
      <c r="Q528" s="332">
        <f t="shared" si="91"/>
        <v>7639</v>
      </c>
      <c r="R528" s="6"/>
      <c r="S528" s="7">
        <f>53959+26731+8330</f>
        <v>89020</v>
      </c>
      <c r="T528" s="6"/>
      <c r="U528" s="243">
        <f t="shared" si="92"/>
        <v>2.4347450314326075E-2</v>
      </c>
      <c r="W528">
        <f t="shared" si="88"/>
        <v>518</v>
      </c>
      <c r="Y528" s="56"/>
    </row>
    <row r="529" spans="3:25" x14ac:dyDescent="0.3">
      <c r="C529" s="157">
        <f t="shared" si="93"/>
        <v>44428</v>
      </c>
      <c r="E529" s="241">
        <v>2227140</v>
      </c>
      <c r="F529" s="7"/>
      <c r="G529" s="7">
        <v>1070698</v>
      </c>
      <c r="H529" s="7"/>
      <c r="I529" s="7">
        <v>365856</v>
      </c>
      <c r="J529" s="244"/>
      <c r="K529" s="7">
        <f t="shared" si="89"/>
        <v>3663694</v>
      </c>
      <c r="L529" s="6"/>
      <c r="M529" s="438">
        <f t="shared" si="90"/>
        <v>2.040076745613999E-3</v>
      </c>
      <c r="N529" s="29"/>
      <c r="O529" s="29"/>
      <c r="P529" s="29"/>
      <c r="Q529" s="332">
        <f t="shared" si="91"/>
        <v>7459</v>
      </c>
      <c r="R529" s="6"/>
      <c r="S529" s="7">
        <f>53974+26739+8337</f>
        <v>89050</v>
      </c>
      <c r="T529" s="6"/>
      <c r="U529" s="243">
        <f t="shared" si="92"/>
        <v>2.4306069229580854E-2</v>
      </c>
      <c r="W529">
        <f t="shared" si="88"/>
        <v>519</v>
      </c>
      <c r="Y529" s="56"/>
    </row>
    <row r="530" spans="3:25" x14ac:dyDescent="0.3">
      <c r="C530" s="157">
        <f t="shared" si="93"/>
        <v>44429</v>
      </c>
      <c r="E530" s="241">
        <v>2233083</v>
      </c>
      <c r="F530" s="7"/>
      <c r="G530" s="7">
        <v>1072856</v>
      </c>
      <c r="H530" s="7"/>
      <c r="I530" s="7">
        <v>365856</v>
      </c>
      <c r="J530" s="244"/>
      <c r="K530" s="7">
        <f t="shared" si="89"/>
        <v>3671795</v>
      </c>
      <c r="L530" s="6"/>
      <c r="M530" s="438">
        <f t="shared" si="90"/>
        <v>2.2111562810649579E-3</v>
      </c>
      <c r="N530" s="29"/>
      <c r="O530" s="29"/>
      <c r="P530" s="29"/>
      <c r="Q530" s="332">
        <f t="shared" si="91"/>
        <v>8101</v>
      </c>
      <c r="R530" s="6"/>
      <c r="S530" s="7">
        <f>54012+26750+8337</f>
        <v>89099</v>
      </c>
      <c r="T530" s="6"/>
      <c r="U530" s="243">
        <f t="shared" si="92"/>
        <v>2.4265788258876108E-2</v>
      </c>
      <c r="W530">
        <f t="shared" si="88"/>
        <v>520</v>
      </c>
      <c r="Y530" s="56"/>
    </row>
    <row r="531" spans="3:25" x14ac:dyDescent="0.3">
      <c r="C531" s="157">
        <f t="shared" si="93"/>
        <v>44430</v>
      </c>
      <c r="E531" s="241">
        <v>2237639</v>
      </c>
      <c r="F531" s="7"/>
      <c r="G531" s="7">
        <v>1074306</v>
      </c>
      <c r="H531" s="7"/>
      <c r="I531" s="7">
        <v>365856</v>
      </c>
      <c r="J531" s="244"/>
      <c r="K531" s="7">
        <f t="shared" si="89"/>
        <v>3677801</v>
      </c>
      <c r="L531" s="6"/>
      <c r="M531" s="438">
        <f t="shared" si="90"/>
        <v>1.635712233389936E-3</v>
      </c>
      <c r="N531" s="29"/>
      <c r="O531" s="29"/>
      <c r="P531" s="29"/>
      <c r="Q531" s="332">
        <f t="shared" si="91"/>
        <v>6006</v>
      </c>
      <c r="R531" s="6"/>
      <c r="S531" s="7">
        <f>54029+26752+8337</f>
        <v>89118</v>
      </c>
      <c r="T531" s="6"/>
      <c r="U531" s="243">
        <f t="shared" si="92"/>
        <v>2.4231327361105181E-2</v>
      </c>
      <c r="W531">
        <f t="shared" si="88"/>
        <v>521</v>
      </c>
      <c r="Y531" s="56"/>
    </row>
    <row r="532" spans="3:25" x14ac:dyDescent="0.3">
      <c r="C532" s="157">
        <f t="shared" si="93"/>
        <v>44431</v>
      </c>
      <c r="E532" s="241">
        <v>2241468</v>
      </c>
      <c r="F532" s="7"/>
      <c r="G532" s="7">
        <v>1075930</v>
      </c>
      <c r="H532" s="7"/>
      <c r="I532" s="7">
        <v>367410</v>
      </c>
      <c r="J532" s="244"/>
      <c r="K532" s="7">
        <f t="shared" si="89"/>
        <v>3684808</v>
      </c>
      <c r="L532" s="6"/>
      <c r="M532" s="438">
        <f t="shared" si="90"/>
        <v>1.9052145561981194E-3</v>
      </c>
      <c r="N532" s="29"/>
      <c r="O532" s="29"/>
      <c r="P532" s="29"/>
      <c r="Q532" s="332">
        <f t="shared" si="91"/>
        <v>7007</v>
      </c>
      <c r="R532" s="6"/>
      <c r="S532" s="7">
        <f>54054+26755+8335</f>
        <v>89144</v>
      </c>
      <c r="T532" s="6"/>
      <c r="U532" s="243">
        <f t="shared" si="92"/>
        <v>2.4192305270722383E-2</v>
      </c>
      <c r="W532">
        <f t="shared" si="88"/>
        <v>522</v>
      </c>
      <c r="Y532" s="56"/>
    </row>
    <row r="533" spans="3:25" x14ac:dyDescent="0.3">
      <c r="C533" s="157">
        <f t="shared" si="93"/>
        <v>44432</v>
      </c>
      <c r="E533" s="241">
        <v>2241468</v>
      </c>
      <c r="F533" s="7"/>
      <c r="G533" s="7">
        <v>1077787</v>
      </c>
      <c r="H533" s="7"/>
      <c r="I533" s="7">
        <v>367410</v>
      </c>
      <c r="J533" s="244"/>
      <c r="K533" s="7">
        <f t="shared" si="89"/>
        <v>3686665</v>
      </c>
      <c r="L533" s="6"/>
      <c r="M533" s="438">
        <f t="shared" si="90"/>
        <v>5.0396112904661523E-4</v>
      </c>
      <c r="N533" s="29"/>
      <c r="O533" s="29"/>
      <c r="P533" s="29"/>
      <c r="Q533" s="332">
        <f t="shared" si="91"/>
        <v>1857</v>
      </c>
      <c r="R533" s="6"/>
      <c r="S533" s="7">
        <f>54054+26775+8335</f>
        <v>89164</v>
      </c>
      <c r="T533" s="6"/>
      <c r="U533" s="243">
        <f t="shared" si="92"/>
        <v>2.4185544387678296E-2</v>
      </c>
      <c r="W533">
        <f t="shared" si="88"/>
        <v>523</v>
      </c>
      <c r="Y533" s="56"/>
    </row>
    <row r="534" spans="3:25" x14ac:dyDescent="0.3">
      <c r="C534" s="157">
        <f t="shared" si="93"/>
        <v>44433</v>
      </c>
      <c r="E534" s="241">
        <v>2248791</v>
      </c>
      <c r="F534" s="7"/>
      <c r="G534" s="7">
        <v>1079900</v>
      </c>
      <c r="H534" s="7"/>
      <c r="I534" s="7">
        <v>369132</v>
      </c>
      <c r="J534" s="244"/>
      <c r="K534" s="7">
        <f t="shared" si="89"/>
        <v>3697823</v>
      </c>
      <c r="L534" s="6"/>
      <c r="M534" s="438">
        <f t="shared" si="90"/>
        <v>3.0265836467376342E-3</v>
      </c>
      <c r="N534" s="29"/>
      <c r="O534" s="29"/>
      <c r="P534" s="29"/>
      <c r="Q534" s="332">
        <f t="shared" si="91"/>
        <v>11158</v>
      </c>
      <c r="R534" s="6"/>
      <c r="S534" s="7">
        <f>54100+26796+8335</f>
        <v>89231</v>
      </c>
      <c r="T534" s="6"/>
      <c r="U534" s="243">
        <f t="shared" si="92"/>
        <v>2.4130684459477914E-2</v>
      </c>
      <c r="W534">
        <f t="shared" si="88"/>
        <v>524</v>
      </c>
      <c r="Y534" s="56"/>
    </row>
    <row r="535" spans="3:25" x14ac:dyDescent="0.3">
      <c r="C535" s="157">
        <f t="shared" si="93"/>
        <v>44434</v>
      </c>
      <c r="E535" s="241">
        <v>2254155</v>
      </c>
      <c r="F535" s="7"/>
      <c r="G535" s="7">
        <v>1081954</v>
      </c>
      <c r="H535" s="7"/>
      <c r="I535" s="7">
        <v>369920</v>
      </c>
      <c r="J535" s="244"/>
      <c r="K535" s="7">
        <f t="shared" si="89"/>
        <v>3706029</v>
      </c>
      <c r="L535" s="6"/>
      <c r="M535" s="438">
        <f t="shared" si="90"/>
        <v>2.2191435339117098E-3</v>
      </c>
      <c r="N535" s="29"/>
      <c r="O535" s="29"/>
      <c r="P535" s="29"/>
      <c r="Q535" s="332">
        <f t="shared" si="91"/>
        <v>8206</v>
      </c>
      <c r="R535" s="6"/>
      <c r="S535" s="7">
        <f>54130+26807+8355</f>
        <v>89292</v>
      </c>
      <c r="T535" s="6"/>
      <c r="U535" s="243">
        <f t="shared" si="92"/>
        <v>2.409371324401401E-2</v>
      </c>
      <c r="W535">
        <f t="shared" si="88"/>
        <v>525</v>
      </c>
      <c r="Y535" s="56"/>
    </row>
    <row r="536" spans="3:25" x14ac:dyDescent="0.3">
      <c r="C536" s="157">
        <f t="shared" si="93"/>
        <v>44435</v>
      </c>
      <c r="E536" s="241">
        <v>2260536</v>
      </c>
      <c r="F536" s="7"/>
      <c r="G536" s="7">
        <v>1084546</v>
      </c>
      <c r="H536" s="7"/>
      <c r="I536" s="7">
        <v>370708</v>
      </c>
      <c r="J536" s="244"/>
      <c r="K536" s="7">
        <f t="shared" si="89"/>
        <v>3715790</v>
      </c>
      <c r="L536" s="6"/>
      <c r="M536" s="438">
        <f t="shared" si="90"/>
        <v>2.633816411042655E-3</v>
      </c>
      <c r="N536" s="29"/>
      <c r="O536" s="29"/>
      <c r="P536" s="29"/>
      <c r="Q536" s="332">
        <f t="shared" ref="Q536:Q542" si="94">+K536-K535</f>
        <v>9761</v>
      </c>
      <c r="R536" s="6"/>
      <c r="S536" s="7">
        <f>54152+26826+8358</f>
        <v>89336</v>
      </c>
      <c r="T536" s="6"/>
      <c r="U536" s="243">
        <f t="shared" si="92"/>
        <v>2.4042262883532169E-2</v>
      </c>
      <c r="W536">
        <f t="shared" si="88"/>
        <v>526</v>
      </c>
      <c r="Y536" s="56"/>
    </row>
    <row r="537" spans="3:25" x14ac:dyDescent="0.3">
      <c r="C537" s="157">
        <f t="shared" si="93"/>
        <v>44436</v>
      </c>
      <c r="E537" s="241">
        <v>2262893</v>
      </c>
      <c r="F537" s="7"/>
      <c r="G537" s="7">
        <v>1086480</v>
      </c>
      <c r="H537" s="7"/>
      <c r="I537" s="7">
        <v>370708</v>
      </c>
      <c r="J537" s="244"/>
      <c r="K537" s="7">
        <f t="shared" ref="K537:K552" si="95">SUM(E537:I537)</f>
        <v>3720081</v>
      </c>
      <c r="L537" s="6"/>
      <c r="M537" s="438">
        <f t="shared" ref="M537:M552" si="96">+(K537-K536)/K536</f>
        <v>1.1548015361470911E-3</v>
      </c>
      <c r="N537" s="29"/>
      <c r="O537" s="29"/>
      <c r="P537" s="29"/>
      <c r="Q537" s="332">
        <f t="shared" si="94"/>
        <v>4291</v>
      </c>
      <c r="R537" s="6"/>
      <c r="S537" s="7">
        <f>54159+26844+8358</f>
        <v>89361</v>
      </c>
      <c r="T537" s="6"/>
      <c r="U537" s="243">
        <f t="shared" si="92"/>
        <v>2.402125115017657E-2</v>
      </c>
      <c r="W537">
        <f t="shared" si="88"/>
        <v>527</v>
      </c>
      <c r="Y537" s="56"/>
    </row>
    <row r="538" spans="3:25" x14ac:dyDescent="0.3">
      <c r="C538" s="157">
        <f t="shared" si="93"/>
        <v>44437</v>
      </c>
      <c r="E538" s="241">
        <v>2269038</v>
      </c>
      <c r="F538" s="7"/>
      <c r="G538" s="7">
        <v>1088330</v>
      </c>
      <c r="H538" s="7"/>
      <c r="I538" s="7">
        <v>370708</v>
      </c>
      <c r="J538" s="244"/>
      <c r="K538" s="7">
        <f t="shared" si="95"/>
        <v>3728076</v>
      </c>
      <c r="L538" s="6"/>
      <c r="M538" s="438">
        <f t="shared" si="96"/>
        <v>2.1491467524497451E-3</v>
      </c>
      <c r="N538" s="29"/>
      <c r="O538" s="29"/>
      <c r="P538" s="29"/>
      <c r="Q538" s="332">
        <f t="shared" si="94"/>
        <v>7995</v>
      </c>
      <c r="R538" s="6"/>
      <c r="S538" s="7">
        <f>54199+26849+8358</f>
        <v>89406</v>
      </c>
      <c r="T538" s="6"/>
      <c r="U538" s="243">
        <v>2.402125115017657E-2</v>
      </c>
      <c r="W538">
        <f t="shared" si="88"/>
        <v>528</v>
      </c>
      <c r="Y538" s="56"/>
    </row>
    <row r="539" spans="3:25" x14ac:dyDescent="0.3">
      <c r="C539" s="157">
        <f t="shared" si="93"/>
        <v>44438</v>
      </c>
      <c r="E539" s="241">
        <v>2274680</v>
      </c>
      <c r="F539" s="7"/>
      <c r="G539" s="7">
        <v>1089838</v>
      </c>
      <c r="H539" s="7"/>
      <c r="I539" s="7">
        <v>372069</v>
      </c>
      <c r="J539" s="244"/>
      <c r="K539" s="7">
        <f t="shared" si="95"/>
        <v>3736587</v>
      </c>
      <c r="L539" s="6"/>
      <c r="M539" s="438">
        <f t="shared" si="96"/>
        <v>2.2829470214663005E-3</v>
      </c>
      <c r="N539" s="29"/>
      <c r="O539" s="29"/>
      <c r="P539" s="29"/>
      <c r="Q539" s="332">
        <f t="shared" si="94"/>
        <v>8511</v>
      </c>
      <c r="R539" s="6"/>
      <c r="S539" s="7">
        <f>54230+26864+8358</f>
        <v>89452</v>
      </c>
      <c r="T539" s="6"/>
      <c r="U539" s="243">
        <v>2.402125115017657E-2</v>
      </c>
      <c r="W539">
        <f t="shared" si="88"/>
        <v>529</v>
      </c>
      <c r="Y539" s="56"/>
    </row>
    <row r="540" spans="3:25" x14ac:dyDescent="0.3">
      <c r="C540" s="157">
        <f t="shared" si="93"/>
        <v>44439</v>
      </c>
      <c r="E540" s="241">
        <v>2278590</v>
      </c>
      <c r="F540" s="7"/>
      <c r="G540" s="7">
        <v>1091966</v>
      </c>
      <c r="H540" s="7"/>
      <c r="I540" s="7">
        <v>373072</v>
      </c>
      <c r="J540" s="244"/>
      <c r="K540" s="7">
        <f t="shared" si="95"/>
        <v>3743628</v>
      </c>
      <c r="L540" s="6"/>
      <c r="M540" s="438">
        <f t="shared" si="96"/>
        <v>1.8843399069792834E-3</v>
      </c>
      <c r="N540" s="29"/>
      <c r="O540" s="29"/>
      <c r="P540" s="29"/>
      <c r="Q540" s="332">
        <f t="shared" si="94"/>
        <v>7041</v>
      </c>
      <c r="R540" s="6"/>
      <c r="S540" s="7">
        <f>54264+26882+8358</f>
        <v>89504</v>
      </c>
      <c r="T540" s="6"/>
      <c r="U540" s="243">
        <v>2.402125115017657E-2</v>
      </c>
      <c r="W540">
        <f t="shared" si="88"/>
        <v>530</v>
      </c>
      <c r="Y540" s="56"/>
    </row>
    <row r="541" spans="3:25" x14ac:dyDescent="0.3">
      <c r="C541" s="157">
        <f t="shared" si="93"/>
        <v>44440</v>
      </c>
      <c r="E541" s="241">
        <v>2282836</v>
      </c>
      <c r="F541" s="7"/>
      <c r="G541" s="7">
        <v>1094249</v>
      </c>
      <c r="H541" s="7"/>
      <c r="I541" s="7">
        <v>373784</v>
      </c>
      <c r="J541" s="244"/>
      <c r="K541" s="7">
        <f t="shared" si="95"/>
        <v>3750869</v>
      </c>
      <c r="L541" s="6"/>
      <c r="M541" s="438">
        <f t="shared" si="96"/>
        <v>1.9342199598891771E-3</v>
      </c>
      <c r="N541" s="29"/>
      <c r="O541" s="29"/>
      <c r="P541" s="29"/>
      <c r="Q541" s="332">
        <f t="shared" si="94"/>
        <v>7241</v>
      </c>
      <c r="R541" s="6"/>
      <c r="S541" s="7">
        <f>54282+26902+8358</f>
        <v>89542</v>
      </c>
      <c r="T541" s="6"/>
      <c r="U541" s="243">
        <v>2.402125115017657E-2</v>
      </c>
      <c r="W541">
        <f t="shared" ref="W541:W762" si="97">+W540+1</f>
        <v>531</v>
      </c>
      <c r="Y541" s="56"/>
    </row>
    <row r="542" spans="3:25" x14ac:dyDescent="0.3">
      <c r="C542" s="157">
        <f t="shared" si="93"/>
        <v>44441</v>
      </c>
      <c r="E542" s="241">
        <v>2288001</v>
      </c>
      <c r="F542" s="7"/>
      <c r="G542" s="7">
        <v>1096791</v>
      </c>
      <c r="H542" s="7"/>
      <c r="I542" s="7">
        <v>374470</v>
      </c>
      <c r="J542" s="244"/>
      <c r="K542" s="7">
        <f t="shared" si="95"/>
        <v>3759262</v>
      </c>
      <c r="L542" s="6"/>
      <c r="M542" s="438">
        <f t="shared" si="96"/>
        <v>2.2376148033962265E-3</v>
      </c>
      <c r="N542" s="29"/>
      <c r="O542" s="29"/>
      <c r="P542" s="29"/>
      <c r="Q542" s="332">
        <f t="shared" si="94"/>
        <v>8393</v>
      </c>
      <c r="R542" s="6"/>
      <c r="S542" s="7">
        <f>54333+26939+8394</f>
        <v>89666</v>
      </c>
      <c r="T542" s="6"/>
      <c r="U542" s="243">
        <v>2.402125115017657E-2</v>
      </c>
      <c r="W542">
        <f t="shared" si="97"/>
        <v>532</v>
      </c>
      <c r="Y542" s="56"/>
    </row>
    <row r="543" spans="3:25" x14ac:dyDescent="0.3">
      <c r="C543" s="157">
        <f t="shared" si="93"/>
        <v>44442</v>
      </c>
      <c r="E543" s="241">
        <v>2293966</v>
      </c>
      <c r="F543" s="7"/>
      <c r="G543" s="7">
        <v>1098626</v>
      </c>
      <c r="H543" s="7"/>
      <c r="I543" s="7">
        <v>375135</v>
      </c>
      <c r="J543" s="244"/>
      <c r="K543" s="7">
        <f t="shared" si="95"/>
        <v>3767727</v>
      </c>
      <c r="L543" s="6"/>
      <c r="M543" s="438">
        <f t="shared" si="96"/>
        <v>2.2517717573289652E-3</v>
      </c>
      <c r="N543" s="29"/>
      <c r="O543" s="29"/>
      <c r="P543" s="29"/>
      <c r="Q543" s="332">
        <f t="shared" ref="Q543:Q552" si="98">+K543-K542</f>
        <v>8465</v>
      </c>
      <c r="R543" s="6"/>
      <c r="S543" s="7">
        <f>54361+26929+8394</f>
        <v>89684</v>
      </c>
      <c r="T543" s="6"/>
      <c r="U543" s="243">
        <v>2.402125115017657E-2</v>
      </c>
      <c r="W543">
        <f t="shared" si="97"/>
        <v>533</v>
      </c>
      <c r="Y543" s="56"/>
    </row>
    <row r="544" spans="3:25" x14ac:dyDescent="0.3">
      <c r="C544" s="157">
        <f t="shared" si="93"/>
        <v>44443</v>
      </c>
      <c r="E544" s="241">
        <v>2297542</v>
      </c>
      <c r="F544" s="7"/>
      <c r="G544" s="7">
        <v>1100774</v>
      </c>
      <c r="H544" s="7"/>
      <c r="I544" s="7">
        <v>375135</v>
      </c>
      <c r="J544" s="244"/>
      <c r="K544" s="7">
        <f t="shared" si="95"/>
        <v>3773451</v>
      </c>
      <c r="L544" s="6"/>
      <c r="M544" s="438">
        <f t="shared" si="96"/>
        <v>1.5192183510111003E-3</v>
      </c>
      <c r="N544" s="29"/>
      <c r="O544" s="29"/>
      <c r="P544" s="29"/>
      <c r="Q544" s="332">
        <f t="shared" si="98"/>
        <v>5724</v>
      </c>
      <c r="R544" s="6"/>
      <c r="S544" s="7">
        <f>54361+26929+8394</f>
        <v>89684</v>
      </c>
      <c r="T544" s="6"/>
      <c r="U544" s="243">
        <v>2.402125115017657E-2</v>
      </c>
      <c r="W544">
        <f t="shared" si="97"/>
        <v>534</v>
      </c>
      <c r="Y544" s="56"/>
    </row>
    <row r="545" spans="3:25" x14ac:dyDescent="0.3">
      <c r="C545" s="157">
        <f t="shared" si="93"/>
        <v>44444</v>
      </c>
      <c r="E545" s="241">
        <v>2303739</v>
      </c>
      <c r="F545" s="7"/>
      <c r="G545" s="7">
        <v>1102488</v>
      </c>
      <c r="H545" s="7"/>
      <c r="I545" s="7">
        <v>375135</v>
      </c>
      <c r="J545" s="244"/>
      <c r="K545" s="7">
        <f t="shared" si="95"/>
        <v>3781362</v>
      </c>
      <c r="L545" s="6"/>
      <c r="M545" s="438">
        <f t="shared" si="96"/>
        <v>2.0964893939261434E-3</v>
      </c>
      <c r="N545" s="29"/>
      <c r="O545" s="29"/>
      <c r="P545" s="29"/>
      <c r="Q545" s="332">
        <f t="shared" si="98"/>
        <v>7911</v>
      </c>
      <c r="R545" s="6"/>
      <c r="S545" s="7">
        <f>54420+26948+8394</f>
        <v>89762</v>
      </c>
      <c r="T545" s="6"/>
      <c r="U545" s="243">
        <v>2.402125115017657E-2</v>
      </c>
      <c r="W545">
        <f t="shared" si="97"/>
        <v>535</v>
      </c>
      <c r="Y545" s="56"/>
    </row>
    <row r="546" spans="3:25" x14ac:dyDescent="0.3">
      <c r="C546" s="157">
        <f t="shared" si="93"/>
        <v>44445</v>
      </c>
      <c r="E546" s="241">
        <v>2307414</v>
      </c>
      <c r="F546" s="7"/>
      <c r="G546" s="7">
        <v>1104139</v>
      </c>
      <c r="H546" s="7"/>
      <c r="I546" s="7">
        <v>375135</v>
      </c>
      <c r="J546" s="244"/>
      <c r="K546" s="7">
        <f t="shared" si="95"/>
        <v>3786688</v>
      </c>
      <c r="L546" s="6"/>
      <c r="M546" s="438">
        <f t="shared" si="96"/>
        <v>1.4084872064615871E-3</v>
      </c>
      <c r="N546" s="29"/>
      <c r="O546" s="29"/>
      <c r="P546" s="29"/>
      <c r="Q546" s="332">
        <f t="shared" si="98"/>
        <v>5326</v>
      </c>
      <c r="R546" s="6"/>
      <c r="S546" s="7">
        <f>54449+26952+8394</f>
        <v>89795</v>
      </c>
      <c r="T546" s="6"/>
      <c r="U546" s="243">
        <v>2.402125115017657E-2</v>
      </c>
      <c r="W546">
        <f t="shared" si="97"/>
        <v>536</v>
      </c>
      <c r="Y546" s="56"/>
    </row>
    <row r="547" spans="3:25" x14ac:dyDescent="0.3">
      <c r="C547" s="157">
        <f t="shared" si="93"/>
        <v>44446</v>
      </c>
      <c r="E547" s="241">
        <v>2310000</v>
      </c>
      <c r="F547" s="7"/>
      <c r="G547" s="7">
        <v>1106000</v>
      </c>
      <c r="H547" s="7"/>
      <c r="I547" s="7">
        <v>377682</v>
      </c>
      <c r="J547" s="579" t="s">
        <v>26</v>
      </c>
      <c r="K547" s="7">
        <f t="shared" si="95"/>
        <v>3793682</v>
      </c>
      <c r="L547" s="6"/>
      <c r="M547" s="438">
        <f t="shared" si="96"/>
        <v>1.8469966366386668E-3</v>
      </c>
      <c r="N547" s="29"/>
      <c r="O547" s="29"/>
      <c r="P547" s="29"/>
      <c r="Q547" s="332">
        <f t="shared" si="98"/>
        <v>6994</v>
      </c>
      <c r="R547" s="6"/>
      <c r="S547" s="7">
        <f>54500+27007+8415</f>
        <v>89922</v>
      </c>
      <c r="T547" s="6"/>
      <c r="U547" s="243">
        <v>2.402125115017657E-2</v>
      </c>
      <c r="W547">
        <f t="shared" si="97"/>
        <v>537</v>
      </c>
      <c r="Y547" s="56"/>
    </row>
    <row r="548" spans="3:25" x14ac:dyDescent="0.3">
      <c r="C548" s="157">
        <f t="shared" si="93"/>
        <v>44447</v>
      </c>
      <c r="E548" s="241">
        <v>2313361</v>
      </c>
      <c r="F548" s="7"/>
      <c r="G548" s="7">
        <v>1108291</v>
      </c>
      <c r="H548" s="7"/>
      <c r="I548" s="7">
        <v>377682</v>
      </c>
      <c r="J548" s="244"/>
      <c r="K548" s="7">
        <f t="shared" si="95"/>
        <v>3799334</v>
      </c>
      <c r="L548" s="6"/>
      <c r="M548" s="438">
        <f t="shared" si="96"/>
        <v>1.489845485204084E-3</v>
      </c>
      <c r="N548" s="29"/>
      <c r="O548" s="29"/>
      <c r="P548" s="29"/>
      <c r="Q548" s="332">
        <f t="shared" si="98"/>
        <v>5652</v>
      </c>
      <c r="R548" s="6"/>
      <c r="S548" s="7">
        <f>54500+27007+8415</f>
        <v>89922</v>
      </c>
      <c r="T548" s="6"/>
      <c r="U548" s="243">
        <v>2.402125115017657E-2</v>
      </c>
      <c r="W548">
        <f t="shared" si="97"/>
        <v>538</v>
      </c>
      <c r="Y548" s="56"/>
    </row>
    <row r="549" spans="3:25" x14ac:dyDescent="0.3">
      <c r="C549" s="157">
        <f t="shared" si="93"/>
        <v>44448</v>
      </c>
      <c r="E549" s="241">
        <v>2319680</v>
      </c>
      <c r="F549" s="7"/>
      <c r="G549" s="7">
        <v>1110501</v>
      </c>
      <c r="H549" s="7"/>
      <c r="I549" s="7">
        <v>378308</v>
      </c>
      <c r="J549" s="244"/>
      <c r="K549" s="7">
        <f t="shared" si="95"/>
        <v>3808489</v>
      </c>
      <c r="L549" s="6"/>
      <c r="M549" s="438">
        <f t="shared" si="96"/>
        <v>2.4096328461777777E-3</v>
      </c>
      <c r="N549" s="29"/>
      <c r="O549" s="29"/>
      <c r="P549" s="29"/>
      <c r="Q549" s="332">
        <f t="shared" si="98"/>
        <v>9155</v>
      </c>
      <c r="R549" s="6"/>
      <c r="S549" s="7">
        <f>54569+27024+8416</f>
        <v>90009</v>
      </c>
      <c r="T549" s="6"/>
      <c r="U549" s="243">
        <v>2.402125115017657E-2</v>
      </c>
      <c r="W549">
        <f t="shared" si="97"/>
        <v>539</v>
      </c>
      <c r="Y549" s="56"/>
    </row>
    <row r="550" spans="3:25" x14ac:dyDescent="0.3">
      <c r="C550" s="157">
        <f t="shared" si="93"/>
        <v>44449</v>
      </c>
      <c r="E550" s="241">
        <v>2325332</v>
      </c>
      <c r="F550" s="7"/>
      <c r="G550" s="7">
        <v>1113165</v>
      </c>
      <c r="H550" s="7"/>
      <c r="I550" s="7">
        <v>378933</v>
      </c>
      <c r="J550" s="244"/>
      <c r="K550" s="7">
        <f t="shared" si="95"/>
        <v>3817430</v>
      </c>
      <c r="L550" s="6"/>
      <c r="M550" s="438">
        <f t="shared" si="96"/>
        <v>2.3476502098338735E-3</v>
      </c>
      <c r="N550" s="29"/>
      <c r="O550" s="29"/>
      <c r="P550" s="29"/>
      <c r="Q550" s="332">
        <f t="shared" si="98"/>
        <v>8941</v>
      </c>
      <c r="R550" s="6"/>
      <c r="S550" s="7">
        <f>54602+27039+8424</f>
        <v>90065</v>
      </c>
      <c r="T550" s="6"/>
      <c r="U550" s="243">
        <v>2.402125115017657E-2</v>
      </c>
      <c r="W550">
        <f t="shared" si="97"/>
        <v>540</v>
      </c>
      <c r="Y550" s="56"/>
    </row>
    <row r="551" spans="3:25" x14ac:dyDescent="0.3">
      <c r="C551" s="157">
        <f t="shared" si="93"/>
        <v>44450</v>
      </c>
      <c r="E551" s="241">
        <v>2331615</v>
      </c>
      <c r="F551" s="7"/>
      <c r="G551" s="7">
        <v>1115659</v>
      </c>
      <c r="H551" s="7"/>
      <c r="I551" s="7">
        <v>378933</v>
      </c>
      <c r="J551" s="244"/>
      <c r="K551" s="7">
        <f t="shared" si="95"/>
        <v>3826207</v>
      </c>
      <c r="L551" s="6"/>
      <c r="M551" s="438">
        <f t="shared" si="96"/>
        <v>2.2991908168584624E-3</v>
      </c>
      <c r="N551" s="29"/>
      <c r="O551" s="29"/>
      <c r="P551" s="29"/>
      <c r="Q551" s="332">
        <f t="shared" si="98"/>
        <v>8777</v>
      </c>
      <c r="R551" s="6"/>
      <c r="S551" s="7">
        <f>54636+27054+8424</f>
        <v>90114</v>
      </c>
      <c r="T551" s="6"/>
      <c r="U551" s="243">
        <v>2.402125115017657E-2</v>
      </c>
      <c r="W551">
        <f t="shared" si="97"/>
        <v>541</v>
      </c>
      <c r="Y551" s="56"/>
    </row>
    <row r="552" spans="3:25" x14ac:dyDescent="0.3">
      <c r="C552" s="157">
        <f t="shared" si="93"/>
        <v>44451</v>
      </c>
      <c r="E552" s="241">
        <v>2335720</v>
      </c>
      <c r="F552" s="7"/>
      <c r="G552" s="7">
        <v>1117506</v>
      </c>
      <c r="H552" s="7"/>
      <c r="I552" s="7">
        <v>378933</v>
      </c>
      <c r="J552" s="244"/>
      <c r="K552" s="7">
        <f t="shared" si="95"/>
        <v>3832159</v>
      </c>
      <c r="L552" s="6"/>
      <c r="M552" s="438">
        <f t="shared" si="96"/>
        <v>1.5555875570767604E-3</v>
      </c>
      <c r="N552" s="29"/>
      <c r="O552" s="29"/>
      <c r="P552" s="29"/>
      <c r="Q552" s="332">
        <f t="shared" si="98"/>
        <v>5952</v>
      </c>
      <c r="R552" s="6"/>
      <c r="S552" s="7">
        <f>54656+27058+8424</f>
        <v>90138</v>
      </c>
      <c r="T552" s="6"/>
      <c r="U552" s="243">
        <v>2.402125115017657E-2</v>
      </c>
      <c r="W552">
        <f t="shared" si="97"/>
        <v>542</v>
      </c>
      <c r="Y552" s="56"/>
    </row>
    <row r="553" spans="3:25" x14ac:dyDescent="0.3">
      <c r="C553" s="157">
        <f t="shared" si="93"/>
        <v>44452</v>
      </c>
      <c r="E553" s="241">
        <v>2340950</v>
      </c>
      <c r="F553" s="7"/>
      <c r="G553" s="7">
        <v>1119051</v>
      </c>
      <c r="H553" s="7"/>
      <c r="I553" s="7">
        <v>380281</v>
      </c>
      <c r="J553" s="244"/>
      <c r="K553" s="7">
        <f t="shared" ref="K553:K584" si="99">SUM(E553:I553)</f>
        <v>3840282</v>
      </c>
      <c r="L553" s="6"/>
      <c r="M553" s="438">
        <f t="shared" ref="M553:M584" si="100">+(K553-K552)/K552</f>
        <v>2.1196928415548521E-3</v>
      </c>
      <c r="N553" s="29"/>
      <c r="O553" s="29"/>
      <c r="P553" s="29"/>
      <c r="Q553" s="332">
        <f t="shared" ref="Q553:Q584" si="101">+K553-K552</f>
        <v>8123</v>
      </c>
      <c r="R553" s="6"/>
      <c r="S553" s="7">
        <f>54672+27079+8424</f>
        <v>90175</v>
      </c>
      <c r="T553" s="6"/>
      <c r="U553" s="243">
        <v>2.402125115017657E-2</v>
      </c>
      <c r="W553">
        <f t="shared" si="97"/>
        <v>543</v>
      </c>
      <c r="Y553" s="56"/>
    </row>
    <row r="554" spans="3:25" x14ac:dyDescent="0.3">
      <c r="C554" s="157">
        <f t="shared" si="93"/>
        <v>44453</v>
      </c>
      <c r="E554" s="241">
        <v>2345068</v>
      </c>
      <c r="F554" s="7"/>
      <c r="G554" s="7">
        <v>1121089</v>
      </c>
      <c r="H554" s="7"/>
      <c r="I554" s="7">
        <v>381331</v>
      </c>
      <c r="J554" s="244"/>
      <c r="K554" s="7">
        <f t="shared" si="99"/>
        <v>3847488</v>
      </c>
      <c r="L554" s="6"/>
      <c r="M554" s="438">
        <f t="shared" si="100"/>
        <v>1.8764247000610892E-3</v>
      </c>
      <c r="N554" s="29"/>
      <c r="O554" s="29"/>
      <c r="P554" s="29"/>
      <c r="Q554" s="332">
        <f t="shared" si="101"/>
        <v>7206</v>
      </c>
      <c r="R554" s="6"/>
      <c r="S554" s="7">
        <f>54693+27101+8446</f>
        <v>90240</v>
      </c>
      <c r="T554" s="6"/>
      <c r="U554" s="243">
        <v>2.402125115017657E-2</v>
      </c>
      <c r="W554">
        <f t="shared" si="97"/>
        <v>544</v>
      </c>
      <c r="Y554" s="56"/>
    </row>
    <row r="555" spans="3:25" x14ac:dyDescent="0.3">
      <c r="C555" s="157">
        <f t="shared" si="93"/>
        <v>44454</v>
      </c>
      <c r="E555" s="241">
        <v>2349898</v>
      </c>
      <c r="F555" s="7"/>
      <c r="G555" s="7">
        <v>1123364</v>
      </c>
      <c r="H555" s="7"/>
      <c r="I555" s="7">
        <v>381732</v>
      </c>
      <c r="J555" s="244"/>
      <c r="K555" s="7">
        <f t="shared" si="99"/>
        <v>3854994</v>
      </c>
      <c r="L555" s="6"/>
      <c r="M555" s="438">
        <f t="shared" si="100"/>
        <v>1.9508832776086631E-3</v>
      </c>
      <c r="N555" s="29"/>
      <c r="O555" s="29"/>
      <c r="P555" s="29"/>
      <c r="Q555" s="332">
        <f t="shared" si="101"/>
        <v>7506</v>
      </c>
      <c r="R555" s="6"/>
      <c r="S555" s="7">
        <f>54717+27122+8447</f>
        <v>90286</v>
      </c>
      <c r="T555" s="6"/>
      <c r="U555" s="243">
        <v>2.402125115017657E-2</v>
      </c>
      <c r="W555">
        <f t="shared" si="97"/>
        <v>545</v>
      </c>
      <c r="Y555" s="56"/>
    </row>
    <row r="556" spans="3:25" x14ac:dyDescent="0.3">
      <c r="C556" s="157">
        <f t="shared" si="93"/>
        <v>44455</v>
      </c>
      <c r="E556" s="241">
        <v>2356680</v>
      </c>
      <c r="F556" s="7"/>
      <c r="G556" s="7">
        <v>1126322</v>
      </c>
      <c r="H556" s="7"/>
      <c r="I556" s="7">
        <v>382798</v>
      </c>
      <c r="J556" s="244"/>
      <c r="K556" s="7">
        <f t="shared" si="99"/>
        <v>3865800</v>
      </c>
      <c r="L556" s="6"/>
      <c r="M556" s="438">
        <f t="shared" si="100"/>
        <v>2.8031172032952582E-3</v>
      </c>
      <c r="N556" s="29"/>
      <c r="O556" s="29"/>
      <c r="P556" s="29"/>
      <c r="Q556" s="332">
        <f t="shared" si="101"/>
        <v>10806</v>
      </c>
      <c r="R556" s="6"/>
      <c r="S556" s="7">
        <f>54741+27148+8447</f>
        <v>90336</v>
      </c>
      <c r="T556" s="6"/>
      <c r="U556" s="243">
        <v>2.402125115017657E-2</v>
      </c>
      <c r="W556">
        <f t="shared" si="97"/>
        <v>546</v>
      </c>
      <c r="Y556" s="56"/>
    </row>
    <row r="557" spans="3:25" x14ac:dyDescent="0.3">
      <c r="C557" s="157">
        <f t="shared" si="93"/>
        <v>44456</v>
      </c>
      <c r="E557" s="241">
        <v>2362682</v>
      </c>
      <c r="F557" s="7"/>
      <c r="G557" s="7">
        <v>1128696</v>
      </c>
      <c r="H557" s="7"/>
      <c r="I557" s="7">
        <v>384342</v>
      </c>
      <c r="J557" s="244"/>
      <c r="K557" s="7">
        <f t="shared" si="99"/>
        <v>3875720</v>
      </c>
      <c r="L557" s="6"/>
      <c r="M557" s="438">
        <f t="shared" si="100"/>
        <v>2.5660924000206944E-3</v>
      </c>
      <c r="N557" s="29"/>
      <c r="O557" s="29"/>
      <c r="P557" s="29"/>
      <c r="Q557" s="332">
        <f t="shared" si="101"/>
        <v>9920</v>
      </c>
      <c r="R557" s="6"/>
      <c r="S557" s="7">
        <f>54846+27165+8463</f>
        <v>90474</v>
      </c>
      <c r="T557" s="6"/>
      <c r="U557" s="243">
        <v>2.402125115017657E-2</v>
      </c>
      <c r="W557">
        <f t="shared" si="97"/>
        <v>547</v>
      </c>
      <c r="Y557" s="56"/>
    </row>
    <row r="558" spans="3:25" x14ac:dyDescent="0.3">
      <c r="C558" s="157">
        <f t="shared" si="93"/>
        <v>44457</v>
      </c>
      <c r="E558" s="241">
        <v>2368441</v>
      </c>
      <c r="F558" s="7"/>
      <c r="G558" s="7">
        <v>1131319</v>
      </c>
      <c r="H558" s="7"/>
      <c r="I558" s="7">
        <v>384342</v>
      </c>
      <c r="J558" s="244"/>
      <c r="K558" s="7">
        <f t="shared" si="99"/>
        <v>3884102</v>
      </c>
      <c r="L558" s="6"/>
      <c r="M558" s="438">
        <f t="shared" si="100"/>
        <v>2.162694931522401E-3</v>
      </c>
      <c r="N558" s="29"/>
      <c r="O558" s="29"/>
      <c r="P558" s="29"/>
      <c r="Q558" s="332">
        <f t="shared" si="101"/>
        <v>8382</v>
      </c>
      <c r="R558" s="6"/>
      <c r="S558" s="7">
        <f>54865+27182+8463</f>
        <v>90510</v>
      </c>
      <c r="T558" s="6"/>
      <c r="U558" s="243">
        <v>2.402125115017657E-2</v>
      </c>
      <c r="W558">
        <f t="shared" si="97"/>
        <v>548</v>
      </c>
      <c r="Y558" s="56"/>
    </row>
    <row r="559" spans="3:25" x14ac:dyDescent="0.3">
      <c r="C559" s="157">
        <f t="shared" si="93"/>
        <v>44458</v>
      </c>
      <c r="E559" s="241">
        <v>2373659</v>
      </c>
      <c r="F559" s="7"/>
      <c r="G559" s="7">
        <v>1133228</v>
      </c>
      <c r="H559" s="7"/>
      <c r="I559" s="7">
        <v>384342</v>
      </c>
      <c r="J559" s="244"/>
      <c r="K559" s="7">
        <f t="shared" si="99"/>
        <v>3891229</v>
      </c>
      <c r="L559" s="6"/>
      <c r="M559" s="438">
        <f t="shared" si="100"/>
        <v>1.8349157668876874E-3</v>
      </c>
      <c r="N559" s="29"/>
      <c r="O559" s="29"/>
      <c r="P559" s="29"/>
      <c r="Q559" s="332">
        <f t="shared" si="101"/>
        <v>7127</v>
      </c>
      <c r="R559" s="6"/>
      <c r="S559" s="7">
        <f>54904+27190+8463</f>
        <v>90557</v>
      </c>
      <c r="T559" s="6"/>
      <c r="U559" s="243">
        <v>2.402125115017657E-2</v>
      </c>
      <c r="W559">
        <f t="shared" si="97"/>
        <v>549</v>
      </c>
      <c r="Y559" s="56"/>
    </row>
    <row r="560" spans="3:25" x14ac:dyDescent="0.3">
      <c r="C560" s="157">
        <f t="shared" si="93"/>
        <v>44459</v>
      </c>
      <c r="E560" s="241">
        <v>2377102</v>
      </c>
      <c r="F560" s="7"/>
      <c r="G560" s="7">
        <v>1134851</v>
      </c>
      <c r="H560" s="7"/>
      <c r="I560" s="7">
        <v>385788</v>
      </c>
      <c r="J560" s="244"/>
      <c r="K560" s="7">
        <f t="shared" si="99"/>
        <v>3897741</v>
      </c>
      <c r="L560" s="6"/>
      <c r="M560" s="438">
        <f t="shared" si="100"/>
        <v>1.673507264671393E-3</v>
      </c>
      <c r="N560" s="29"/>
      <c r="O560" s="29"/>
      <c r="P560" s="29"/>
      <c r="Q560" s="332">
        <f t="shared" si="101"/>
        <v>6512</v>
      </c>
      <c r="R560" s="6"/>
      <c r="S560" s="7">
        <f>54927+27202+8462</f>
        <v>90591</v>
      </c>
      <c r="T560" s="6"/>
      <c r="U560" s="243">
        <v>2.402125115017657E-2</v>
      </c>
      <c r="W560">
        <f t="shared" si="97"/>
        <v>550</v>
      </c>
      <c r="Y560" s="56"/>
    </row>
    <row r="561" spans="3:25" x14ac:dyDescent="0.3">
      <c r="C561" s="157">
        <f t="shared" si="93"/>
        <v>44460</v>
      </c>
      <c r="E561" s="241">
        <v>2382450</v>
      </c>
      <c r="F561" s="7"/>
      <c r="G561" s="7">
        <v>1137016</v>
      </c>
      <c r="H561" s="7"/>
      <c r="I561" s="7">
        <v>386182</v>
      </c>
      <c r="J561" s="244"/>
      <c r="K561" s="7">
        <f t="shared" si="99"/>
        <v>3905648</v>
      </c>
      <c r="L561" s="6"/>
      <c r="M561" s="438">
        <f t="shared" si="100"/>
        <v>2.0286109313061079E-3</v>
      </c>
      <c r="N561" s="29"/>
      <c r="O561" s="29"/>
      <c r="P561" s="29"/>
      <c r="Q561" s="332">
        <f t="shared" si="101"/>
        <v>7907</v>
      </c>
      <c r="R561" s="6"/>
      <c r="S561" s="7">
        <f>54983+27240+8477</f>
        <v>90700</v>
      </c>
      <c r="T561" s="6"/>
      <c r="U561" s="243">
        <v>2.402125115017657E-2</v>
      </c>
      <c r="W561">
        <f t="shared" si="97"/>
        <v>551</v>
      </c>
      <c r="Y561" s="56"/>
    </row>
    <row r="562" spans="3:25" x14ac:dyDescent="0.3">
      <c r="C562" s="157">
        <f t="shared" si="93"/>
        <v>44461</v>
      </c>
      <c r="E562" s="241">
        <v>2387008</v>
      </c>
      <c r="F562" s="7"/>
      <c r="G562" s="7">
        <v>1139367</v>
      </c>
      <c r="H562" s="7"/>
      <c r="I562" s="7">
        <v>386672</v>
      </c>
      <c r="J562" s="244"/>
      <c r="K562" s="7">
        <f t="shared" si="99"/>
        <v>3913047</v>
      </c>
      <c r="L562" s="6"/>
      <c r="M562" s="438">
        <f t="shared" si="100"/>
        <v>1.8944359553139454E-3</v>
      </c>
      <c r="N562" s="29"/>
      <c r="O562" s="29"/>
      <c r="P562" s="29"/>
      <c r="Q562" s="332">
        <f t="shared" si="101"/>
        <v>7399</v>
      </c>
      <c r="R562" s="6"/>
      <c r="S562" s="7">
        <f>55028+27264+8484</f>
        <v>90776</v>
      </c>
      <c r="T562" s="6"/>
      <c r="U562" s="243">
        <v>2.402125115017657E-2</v>
      </c>
      <c r="W562">
        <f t="shared" si="97"/>
        <v>552</v>
      </c>
      <c r="Y562" s="56"/>
    </row>
    <row r="563" spans="3:25" x14ac:dyDescent="0.3">
      <c r="C563" s="157">
        <f t="shared" si="93"/>
        <v>44462</v>
      </c>
      <c r="E563" s="241">
        <v>2392060</v>
      </c>
      <c r="F563" s="7"/>
      <c r="G563" s="7">
        <v>1141619</v>
      </c>
      <c r="H563" s="7"/>
      <c r="I563" s="7">
        <v>387263</v>
      </c>
      <c r="J563" s="244"/>
      <c r="K563" s="7">
        <f t="shared" si="99"/>
        <v>3920942</v>
      </c>
      <c r="L563" s="6"/>
      <c r="M563" s="438">
        <f t="shared" si="100"/>
        <v>2.0176092952627453E-3</v>
      </c>
      <c r="N563" s="29"/>
      <c r="O563" s="29"/>
      <c r="P563" s="29"/>
      <c r="Q563" s="332">
        <f t="shared" si="101"/>
        <v>7895</v>
      </c>
      <c r="R563" s="6"/>
      <c r="S563" s="7">
        <f>55066+27288+8483</f>
        <v>90837</v>
      </c>
      <c r="T563" s="6"/>
      <c r="U563" s="243">
        <v>2.402125115017657E-2</v>
      </c>
      <c r="W563">
        <f t="shared" si="97"/>
        <v>553</v>
      </c>
      <c r="Y563" s="56"/>
    </row>
    <row r="564" spans="3:25" x14ac:dyDescent="0.3">
      <c r="C564" s="157">
        <f t="shared" si="93"/>
        <v>44463</v>
      </c>
      <c r="E564" s="241">
        <v>2398152</v>
      </c>
      <c r="F564" s="7"/>
      <c r="G564" s="7">
        <v>1143855</v>
      </c>
      <c r="H564" s="7"/>
      <c r="I564" s="7">
        <v>387733</v>
      </c>
      <c r="J564" s="244"/>
      <c r="K564" s="7">
        <f t="shared" si="99"/>
        <v>3929740</v>
      </c>
      <c r="L564" s="6"/>
      <c r="M564" s="438">
        <f t="shared" si="100"/>
        <v>2.2438485445589349E-3</v>
      </c>
      <c r="N564" s="29"/>
      <c r="O564" s="29"/>
      <c r="P564" s="29"/>
      <c r="Q564" s="332">
        <f t="shared" si="101"/>
        <v>8798</v>
      </c>
      <c r="R564" s="6"/>
      <c r="S564" s="7">
        <f>55107+27307+8501</f>
        <v>90915</v>
      </c>
      <c r="T564" s="6"/>
      <c r="U564" s="243">
        <v>2.402125115017657E-2</v>
      </c>
      <c r="W564">
        <f t="shared" si="97"/>
        <v>554</v>
      </c>
      <c r="Y564" s="56"/>
    </row>
    <row r="565" spans="3:25" x14ac:dyDescent="0.3">
      <c r="C565" s="157">
        <f t="shared" si="93"/>
        <v>44464</v>
      </c>
      <c r="E565" s="241">
        <v>2402248</v>
      </c>
      <c r="F565" s="7"/>
      <c r="G565" s="7">
        <v>1146089</v>
      </c>
      <c r="H565" s="7"/>
      <c r="I565" s="7">
        <v>387733</v>
      </c>
      <c r="J565" s="244"/>
      <c r="K565" s="7">
        <f t="shared" si="99"/>
        <v>3936070</v>
      </c>
      <c r="L565" s="6"/>
      <c r="M565" s="438">
        <f t="shared" si="100"/>
        <v>1.6107935893977718E-3</v>
      </c>
      <c r="N565" s="29"/>
      <c r="O565" s="29"/>
      <c r="P565" s="29"/>
      <c r="Q565" s="332">
        <f t="shared" si="101"/>
        <v>6330</v>
      </c>
      <c r="R565" s="6"/>
      <c r="S565" s="7">
        <f>55131+27323+8501</f>
        <v>90955</v>
      </c>
      <c r="T565" s="6"/>
      <c r="U565" s="243">
        <v>2.402125115017657E-2</v>
      </c>
      <c r="W565">
        <f t="shared" si="97"/>
        <v>555</v>
      </c>
      <c r="Y565" s="56"/>
    </row>
    <row r="566" spans="3:25" x14ac:dyDescent="0.3">
      <c r="C566" s="157">
        <f t="shared" si="93"/>
        <v>44465</v>
      </c>
      <c r="E566" s="241">
        <v>2406000</v>
      </c>
      <c r="F566" s="7"/>
      <c r="G566" s="7">
        <v>1147500</v>
      </c>
      <c r="H566" s="7"/>
      <c r="I566" s="7">
        <v>387500</v>
      </c>
      <c r="J566" s="244"/>
      <c r="K566" s="7">
        <f t="shared" si="99"/>
        <v>3941000</v>
      </c>
      <c r="L566" s="6"/>
      <c r="M566" s="438">
        <f t="shared" si="100"/>
        <v>1.2525183749272752E-3</v>
      </c>
      <c r="N566" s="29"/>
      <c r="O566" s="29"/>
      <c r="P566" s="29"/>
      <c r="Q566" s="332">
        <f t="shared" si="101"/>
        <v>4930</v>
      </c>
      <c r="R566" s="6"/>
      <c r="S566" s="7">
        <f>55131+27323+8501</f>
        <v>90955</v>
      </c>
      <c r="T566" s="6"/>
      <c r="U566" s="243">
        <v>2.402125115017657E-2</v>
      </c>
      <c r="W566">
        <f t="shared" si="97"/>
        <v>556</v>
      </c>
      <c r="Y566" s="56"/>
    </row>
    <row r="567" spans="3:25" x14ac:dyDescent="0.3">
      <c r="C567" s="157">
        <f t="shared" si="93"/>
        <v>44466</v>
      </c>
      <c r="E567" s="241">
        <v>2411626</v>
      </c>
      <c r="F567" s="7"/>
      <c r="G567" s="7">
        <v>1148358</v>
      </c>
      <c r="H567" s="584" t="s">
        <v>26</v>
      </c>
      <c r="I567" s="7">
        <v>389177</v>
      </c>
      <c r="J567" s="244"/>
      <c r="K567" s="7">
        <f t="shared" si="99"/>
        <v>3949161</v>
      </c>
      <c r="L567" s="6"/>
      <c r="M567" s="438">
        <f t="shared" si="100"/>
        <v>2.0707942146663285E-3</v>
      </c>
      <c r="N567" s="29"/>
      <c r="O567" s="29"/>
      <c r="P567" s="29"/>
      <c r="Q567" s="332">
        <f t="shared" si="101"/>
        <v>8161</v>
      </c>
      <c r="R567" s="6"/>
      <c r="S567" s="7">
        <f>55204+27346+8593</f>
        <v>91143</v>
      </c>
      <c r="T567" s="6"/>
      <c r="U567" s="243">
        <v>2.402125115017657E-2</v>
      </c>
      <c r="W567">
        <f t="shared" si="97"/>
        <v>557</v>
      </c>
      <c r="Y567" s="56"/>
    </row>
    <row r="568" spans="3:25" x14ac:dyDescent="0.3">
      <c r="C568" s="157">
        <f t="shared" si="93"/>
        <v>44467</v>
      </c>
      <c r="E568" s="241">
        <v>2416683</v>
      </c>
      <c r="F568" s="7"/>
      <c r="G568" s="7">
        <v>1148358</v>
      </c>
      <c r="H568" s="7"/>
      <c r="I568" s="7">
        <v>389177</v>
      </c>
      <c r="J568" s="244"/>
      <c r="K568" s="7">
        <f t="shared" si="99"/>
        <v>3954218</v>
      </c>
      <c r="L568" s="6"/>
      <c r="M568" s="438">
        <f t="shared" si="100"/>
        <v>1.2805251545834671E-3</v>
      </c>
      <c r="N568" s="29"/>
      <c r="O568" s="29"/>
      <c r="P568" s="29"/>
      <c r="Q568" s="332">
        <f t="shared" si="101"/>
        <v>5057</v>
      </c>
      <c r="R568" s="6"/>
      <c r="S568" s="7">
        <f>55204+27346+8593</f>
        <v>91143</v>
      </c>
      <c r="T568" s="6"/>
      <c r="U568" s="243">
        <v>2.402125115017657E-2</v>
      </c>
      <c r="W568">
        <f t="shared" si="97"/>
        <v>558</v>
      </c>
      <c r="Y568" s="56"/>
    </row>
    <row r="569" spans="3:25" x14ac:dyDescent="0.3">
      <c r="C569" s="157">
        <f t="shared" si="93"/>
        <v>44468</v>
      </c>
      <c r="E569" s="241">
        <v>2421755</v>
      </c>
      <c r="F569" s="7"/>
      <c r="G569" s="7">
        <v>1152243</v>
      </c>
      <c r="H569" s="7"/>
      <c r="I569" s="7">
        <v>390180</v>
      </c>
      <c r="J569" s="244"/>
      <c r="K569" s="7">
        <f t="shared" si="99"/>
        <v>3964178</v>
      </c>
      <c r="L569" s="6"/>
      <c r="M569" s="438">
        <f t="shared" si="100"/>
        <v>2.5188292602987493E-3</v>
      </c>
      <c r="N569" s="29"/>
      <c r="O569" s="29"/>
      <c r="P569" s="29"/>
      <c r="Q569" s="332">
        <f t="shared" si="101"/>
        <v>9960</v>
      </c>
      <c r="R569" s="6"/>
      <c r="S569" s="7">
        <f>55310+27400+8629</f>
        <v>91339</v>
      </c>
      <c r="T569" s="6"/>
      <c r="U569" s="243">
        <v>2.402125115017657E-2</v>
      </c>
      <c r="W569">
        <f t="shared" si="97"/>
        <v>559</v>
      </c>
      <c r="Y569" s="56"/>
    </row>
    <row r="570" spans="3:25" x14ac:dyDescent="0.3">
      <c r="C570" s="157">
        <f t="shared" si="93"/>
        <v>44469</v>
      </c>
      <c r="E570" s="241">
        <v>2426683</v>
      </c>
      <c r="F570" s="7"/>
      <c r="G570" s="7">
        <v>1154570</v>
      </c>
      <c r="H570" s="7"/>
      <c r="I570" s="7">
        <v>390345</v>
      </c>
      <c r="J570" s="244"/>
      <c r="K570" s="7">
        <f t="shared" si="99"/>
        <v>3971598</v>
      </c>
      <c r="L570" s="6"/>
      <c r="M570" s="438">
        <f t="shared" si="100"/>
        <v>1.8717625696928846E-3</v>
      </c>
      <c r="N570" s="29"/>
      <c r="O570" s="29"/>
      <c r="P570" s="29"/>
      <c r="Q570" s="332">
        <f t="shared" si="101"/>
        <v>7420</v>
      </c>
      <c r="R570" s="6"/>
      <c r="S570" s="7">
        <f>55358+27427+8629</f>
        <v>91414</v>
      </c>
      <c r="T570" s="6"/>
      <c r="U570" s="243">
        <v>2.402125115017657E-2</v>
      </c>
      <c r="W570">
        <f t="shared" si="97"/>
        <v>560</v>
      </c>
      <c r="Y570" s="56"/>
    </row>
    <row r="571" spans="3:25" x14ac:dyDescent="0.3">
      <c r="C571" s="157">
        <f t="shared" si="93"/>
        <v>44470</v>
      </c>
      <c r="E571" s="241">
        <v>2432444</v>
      </c>
      <c r="F571" s="7"/>
      <c r="G571" s="7">
        <v>1156243</v>
      </c>
      <c r="H571" s="7"/>
      <c r="I571" s="7">
        <v>391066</v>
      </c>
      <c r="J571" s="244"/>
      <c r="K571" s="7">
        <f t="shared" si="99"/>
        <v>3979753</v>
      </c>
      <c r="L571" s="6"/>
      <c r="M571" s="438">
        <f t="shared" si="100"/>
        <v>2.0533296673026827E-3</v>
      </c>
      <c r="N571" s="29"/>
      <c r="O571" s="29"/>
      <c r="P571" s="29"/>
      <c r="Q571" s="332">
        <f t="shared" si="101"/>
        <v>8155</v>
      </c>
      <c r="R571" s="6"/>
      <c r="S571" s="7">
        <f>55416+27443+8650</f>
        <v>91509</v>
      </c>
      <c r="T571" s="6"/>
      <c r="U571" s="243">
        <v>2.402125115017657E-2</v>
      </c>
      <c r="W571">
        <f t="shared" si="97"/>
        <v>561</v>
      </c>
      <c r="Y571" s="56"/>
    </row>
    <row r="572" spans="3:25" x14ac:dyDescent="0.3">
      <c r="C572" s="157">
        <f t="shared" si="93"/>
        <v>44471</v>
      </c>
      <c r="E572" s="241">
        <v>2436048</v>
      </c>
      <c r="F572" s="7"/>
      <c r="G572" s="7">
        <v>1158178</v>
      </c>
      <c r="H572" s="7"/>
      <c r="I572" s="7">
        <v>391006</v>
      </c>
      <c r="J572" s="244"/>
      <c r="K572" s="7">
        <f t="shared" si="99"/>
        <v>3985232</v>
      </c>
      <c r="L572" s="6"/>
      <c r="M572" s="438">
        <f t="shared" si="100"/>
        <v>1.3767186054008879E-3</v>
      </c>
      <c r="N572" s="29"/>
      <c r="O572" s="29"/>
      <c r="P572" s="29"/>
      <c r="Q572" s="332">
        <f t="shared" si="101"/>
        <v>5479</v>
      </c>
      <c r="R572" s="6"/>
      <c r="S572" s="7">
        <f>55434+27465+8650</f>
        <v>91549</v>
      </c>
      <c r="T572" s="6"/>
      <c r="U572" s="243">
        <v>2.402125115017657E-2</v>
      </c>
      <c r="W572">
        <f t="shared" si="97"/>
        <v>562</v>
      </c>
      <c r="Y572" s="56"/>
    </row>
    <row r="573" spans="3:25" x14ac:dyDescent="0.3">
      <c r="C573" s="347">
        <f t="shared" si="93"/>
        <v>44472</v>
      </c>
      <c r="E573" s="241">
        <v>2439639</v>
      </c>
      <c r="F573" s="7"/>
      <c r="G573" s="7">
        <v>1159632</v>
      </c>
      <c r="H573" s="7"/>
      <c r="I573" s="7">
        <v>391066</v>
      </c>
      <c r="J573" s="244"/>
      <c r="K573" s="7">
        <f t="shared" si="99"/>
        <v>3990337</v>
      </c>
      <c r="L573" s="6"/>
      <c r="M573" s="438">
        <f t="shared" si="100"/>
        <v>1.2809793758556591E-3</v>
      </c>
      <c r="N573" s="29"/>
      <c r="O573" s="29"/>
      <c r="P573" s="29"/>
      <c r="Q573" s="332">
        <f t="shared" si="101"/>
        <v>5105</v>
      </c>
      <c r="R573" s="6"/>
      <c r="S573" s="7">
        <f>55457+27472+8650</f>
        <v>91579</v>
      </c>
      <c r="T573" s="6"/>
      <c r="U573" s="243">
        <v>2.402125115017657E-2</v>
      </c>
      <c r="W573">
        <f t="shared" si="97"/>
        <v>563</v>
      </c>
      <c r="Y573" s="56"/>
    </row>
    <row r="574" spans="3:25" x14ac:dyDescent="0.3">
      <c r="C574" s="158">
        <f t="shared" si="93"/>
        <v>44473</v>
      </c>
      <c r="E574" s="241">
        <v>2445371</v>
      </c>
      <c r="F574" s="7"/>
      <c r="G574" s="7">
        <v>1160878</v>
      </c>
      <c r="H574" s="7"/>
      <c r="I574" s="7">
        <v>392163</v>
      </c>
      <c r="J574" s="244"/>
      <c r="K574" s="7">
        <f t="shared" si="99"/>
        <v>3998412</v>
      </c>
      <c r="L574" s="6"/>
      <c r="M574" s="438">
        <f t="shared" si="100"/>
        <v>2.0236386049599319E-3</v>
      </c>
      <c r="N574" s="29"/>
      <c r="O574" s="29"/>
      <c r="P574" s="29"/>
      <c r="Q574" s="332">
        <f t="shared" si="101"/>
        <v>8075</v>
      </c>
      <c r="R574" s="6"/>
      <c r="S574" s="7">
        <f>55498+27488+8650</f>
        <v>91636</v>
      </c>
      <c r="T574" s="6"/>
      <c r="U574" s="243">
        <v>2.402125115017657E-2</v>
      </c>
      <c r="W574">
        <f t="shared" si="97"/>
        <v>564</v>
      </c>
      <c r="Y574" s="56"/>
    </row>
    <row r="575" spans="3:25" x14ac:dyDescent="0.3">
      <c r="C575" s="158">
        <f t="shared" si="93"/>
        <v>44474</v>
      </c>
      <c r="E575" s="241">
        <v>2449261</v>
      </c>
      <c r="F575" s="7"/>
      <c r="G575" s="7">
        <v>1162526</v>
      </c>
      <c r="H575" s="7"/>
      <c r="I575" s="7">
        <v>392574</v>
      </c>
      <c r="J575" s="244"/>
      <c r="K575" s="7">
        <f t="shared" si="99"/>
        <v>4004361</v>
      </c>
      <c r="L575" s="6"/>
      <c r="M575" s="438">
        <f t="shared" si="100"/>
        <v>1.4878406727470805E-3</v>
      </c>
      <c r="N575" s="29"/>
      <c r="O575" s="29"/>
      <c r="P575" s="29"/>
      <c r="Q575" s="332">
        <f t="shared" si="101"/>
        <v>5949</v>
      </c>
      <c r="R575" s="6"/>
      <c r="S575" s="7">
        <f>55531+27525+8666</f>
        <v>91722</v>
      </c>
      <c r="T575" s="6"/>
      <c r="U575" s="243">
        <v>2.402125115017657E-2</v>
      </c>
      <c r="W575">
        <f t="shared" si="97"/>
        <v>565</v>
      </c>
      <c r="Y575" s="56"/>
    </row>
    <row r="576" spans="3:25" x14ac:dyDescent="0.3">
      <c r="C576" s="158">
        <f t="shared" si="93"/>
        <v>44475</v>
      </c>
      <c r="E576" s="241">
        <v>2455444</v>
      </c>
      <c r="F576" s="7"/>
      <c r="G576" s="7">
        <v>1164378</v>
      </c>
      <c r="H576" s="7"/>
      <c r="I576" s="7">
        <v>392951</v>
      </c>
      <c r="J576" s="244"/>
      <c r="K576" s="7">
        <f t="shared" si="99"/>
        <v>4012773</v>
      </c>
      <c r="L576" s="6"/>
      <c r="M576" s="438">
        <f t="shared" si="100"/>
        <v>2.1007097012482141E-3</v>
      </c>
      <c r="N576" s="29"/>
      <c r="O576" s="29"/>
      <c r="P576" s="29"/>
      <c r="Q576" s="332">
        <f t="shared" si="101"/>
        <v>8412</v>
      </c>
      <c r="R576" s="6"/>
      <c r="S576" s="7">
        <f>55571+27542+8667</f>
        <v>91780</v>
      </c>
      <c r="T576" s="6"/>
      <c r="U576" s="243">
        <v>2.402125115017657E-2</v>
      </c>
      <c r="W576">
        <f t="shared" si="97"/>
        <v>566</v>
      </c>
      <c r="Y576" s="56"/>
    </row>
    <row r="577" spans="3:25" x14ac:dyDescent="0.3">
      <c r="C577" s="158">
        <f t="shared" si="93"/>
        <v>44476</v>
      </c>
      <c r="E577" s="241">
        <v>2460966</v>
      </c>
      <c r="F577" s="7"/>
      <c r="G577" s="7">
        <v>1166443</v>
      </c>
      <c r="H577" s="7"/>
      <c r="I577" s="7">
        <v>393499</v>
      </c>
      <c r="J577" s="244"/>
      <c r="K577" s="7">
        <f t="shared" si="99"/>
        <v>4020908</v>
      </c>
      <c r="L577" s="6"/>
      <c r="M577" s="438">
        <f t="shared" si="100"/>
        <v>2.0272763996368598E-3</v>
      </c>
      <c r="N577" s="29"/>
      <c r="O577" s="29"/>
      <c r="P577" s="29"/>
      <c r="Q577" s="332">
        <f t="shared" si="101"/>
        <v>8135</v>
      </c>
      <c r="R577" s="6"/>
      <c r="S577" s="7">
        <f>55590+27551+8667</f>
        <v>91808</v>
      </c>
      <c r="T577" s="6"/>
      <c r="U577" s="243">
        <v>2.402125115017657E-2</v>
      </c>
      <c r="W577">
        <f t="shared" si="97"/>
        <v>567</v>
      </c>
      <c r="Y577" s="56"/>
    </row>
    <row r="578" spans="3:25" x14ac:dyDescent="0.3">
      <c r="C578" s="158">
        <f t="shared" si="93"/>
        <v>44477</v>
      </c>
      <c r="E578" s="241">
        <v>2466780</v>
      </c>
      <c r="F578" s="7"/>
      <c r="G578" s="7">
        <v>1168312</v>
      </c>
      <c r="H578" s="7"/>
      <c r="I578" s="7">
        <v>394008</v>
      </c>
      <c r="J578" s="244"/>
      <c r="K578" s="7">
        <f t="shared" si="99"/>
        <v>4029100</v>
      </c>
      <c r="L578" s="6"/>
      <c r="M578" s="438">
        <f t="shared" si="100"/>
        <v>2.0373507675380785E-3</v>
      </c>
      <c r="N578" s="29"/>
      <c r="O578" s="29"/>
      <c r="P578" s="29"/>
      <c r="Q578" s="332">
        <f t="shared" si="101"/>
        <v>8192</v>
      </c>
      <c r="R578" s="6"/>
      <c r="S578" s="7">
        <f>55645+27570+8667</f>
        <v>91882</v>
      </c>
      <c r="T578" s="6"/>
      <c r="U578" s="243">
        <v>2.402125115017657E-2</v>
      </c>
      <c r="W578">
        <f t="shared" si="97"/>
        <v>568</v>
      </c>
      <c r="Y578" s="56"/>
    </row>
    <row r="579" spans="3:25" x14ac:dyDescent="0.3">
      <c r="C579" s="158">
        <f t="shared" si="93"/>
        <v>44478</v>
      </c>
      <c r="E579" s="241">
        <v>2470550</v>
      </c>
      <c r="F579" s="7"/>
      <c r="G579" s="7">
        <v>1170140</v>
      </c>
      <c r="H579" s="7"/>
      <c r="I579" s="7">
        <v>394008</v>
      </c>
      <c r="J579" s="244"/>
      <c r="K579" s="7">
        <f t="shared" si="99"/>
        <v>4034698</v>
      </c>
      <c r="L579" s="6"/>
      <c r="M579" s="438">
        <f t="shared" si="100"/>
        <v>1.3893921719490706E-3</v>
      </c>
      <c r="N579" s="29"/>
      <c r="O579" s="29"/>
      <c r="P579" s="29"/>
      <c r="Q579" s="332">
        <f t="shared" si="101"/>
        <v>5598</v>
      </c>
      <c r="R579" s="6"/>
      <c r="S579" s="7">
        <f>55673+27590+8667</f>
        <v>91930</v>
      </c>
      <c r="T579" s="6"/>
      <c r="U579" s="243">
        <v>2.402125115017657E-2</v>
      </c>
      <c r="W579">
        <f t="shared" si="97"/>
        <v>569</v>
      </c>
      <c r="Y579" s="56"/>
    </row>
    <row r="580" spans="3:25" x14ac:dyDescent="0.3">
      <c r="C580" s="347">
        <f t="shared" si="93"/>
        <v>44479</v>
      </c>
      <c r="E580" s="241">
        <v>2472757</v>
      </c>
      <c r="F580" s="7"/>
      <c r="G580" s="7">
        <v>1171573</v>
      </c>
      <c r="H580" s="7"/>
      <c r="I580" s="7">
        <v>394008</v>
      </c>
      <c r="J580" s="244"/>
      <c r="K580" s="7">
        <f t="shared" si="99"/>
        <v>4038338</v>
      </c>
      <c r="L580" s="6"/>
      <c r="M580" s="438">
        <f t="shared" si="100"/>
        <v>9.0217409084893097E-4</v>
      </c>
      <c r="N580" s="29"/>
      <c r="O580" s="29"/>
      <c r="P580" s="29"/>
      <c r="Q580" s="332">
        <f t="shared" si="101"/>
        <v>3640</v>
      </c>
      <c r="R580" s="6"/>
      <c r="S580" s="7">
        <f>55698+27597+8667</f>
        <v>91962</v>
      </c>
      <c r="T580" s="6"/>
      <c r="U580" s="243">
        <v>2.402125115017657E-2</v>
      </c>
      <c r="W580">
        <f t="shared" si="97"/>
        <v>570</v>
      </c>
      <c r="Y580" s="56"/>
    </row>
    <row r="581" spans="3:25" x14ac:dyDescent="0.3">
      <c r="C581" s="158">
        <f t="shared" si="93"/>
        <v>44480</v>
      </c>
      <c r="E581" s="241">
        <f>+E580+5000</f>
        <v>2477757</v>
      </c>
      <c r="F581" s="584" t="s">
        <v>26</v>
      </c>
      <c r="G581" s="7">
        <f>+G580+1250</f>
        <v>1172823</v>
      </c>
      <c r="H581" s="584" t="s">
        <v>26</v>
      </c>
      <c r="I581" s="7">
        <f>+I580+600</f>
        <v>394608</v>
      </c>
      <c r="J581" s="244"/>
      <c r="K581" s="7">
        <f t="shared" si="99"/>
        <v>4045188</v>
      </c>
      <c r="L581" s="6"/>
      <c r="M581" s="438">
        <f t="shared" si="100"/>
        <v>1.6962423650521575E-3</v>
      </c>
      <c r="N581" s="29"/>
      <c r="O581" s="29"/>
      <c r="P581" s="29"/>
      <c r="Q581" s="332">
        <f t="shared" si="101"/>
        <v>6850</v>
      </c>
      <c r="R581" s="6"/>
      <c r="S581" s="7">
        <f>+S580+80</f>
        <v>92042</v>
      </c>
      <c r="T581" s="6"/>
      <c r="U581" s="243">
        <v>2.402125115017657E-2</v>
      </c>
      <c r="W581">
        <f t="shared" si="97"/>
        <v>571</v>
      </c>
      <c r="Y581" s="56"/>
    </row>
    <row r="582" spans="3:25" x14ac:dyDescent="0.3">
      <c r="C582" s="158">
        <f t="shared" si="93"/>
        <v>44481</v>
      </c>
      <c r="E582" s="241">
        <f>+E581+5000</f>
        <v>2482757</v>
      </c>
      <c r="F582" s="584" t="s">
        <v>26</v>
      </c>
      <c r="G582" s="7">
        <f>+G581+1250</f>
        <v>1174073</v>
      </c>
      <c r="H582" s="584" t="s">
        <v>26</v>
      </c>
      <c r="I582" s="7">
        <f>+I581+600</f>
        <v>395208</v>
      </c>
      <c r="J582" s="244"/>
      <c r="K582" s="7">
        <f t="shared" si="99"/>
        <v>4052038</v>
      </c>
      <c r="L582" s="6"/>
      <c r="M582" s="438">
        <f t="shared" si="100"/>
        <v>1.6933699991199421E-3</v>
      </c>
      <c r="N582" s="29"/>
      <c r="O582" s="29"/>
      <c r="P582" s="29"/>
      <c r="Q582" s="332">
        <f t="shared" si="101"/>
        <v>6850</v>
      </c>
      <c r="R582" s="6"/>
      <c r="S582" s="7">
        <f>+S581+80</f>
        <v>92122</v>
      </c>
      <c r="T582" s="6"/>
      <c r="U582" s="243">
        <v>2.402125115017657E-2</v>
      </c>
      <c r="W582">
        <f t="shared" si="97"/>
        <v>572</v>
      </c>
      <c r="Y582" s="56"/>
    </row>
    <row r="583" spans="3:25" x14ac:dyDescent="0.3">
      <c r="C583" s="158">
        <f t="shared" si="93"/>
        <v>44482</v>
      </c>
      <c r="E583" s="241">
        <v>2487921</v>
      </c>
      <c r="F583" s="7"/>
      <c r="G583" s="7">
        <v>1175915</v>
      </c>
      <c r="H583" s="7"/>
      <c r="I583" s="7">
        <v>395721</v>
      </c>
      <c r="J583" s="244"/>
      <c r="K583" s="7">
        <f t="shared" si="99"/>
        <v>4059557</v>
      </c>
      <c r="L583" s="6"/>
      <c r="M583" s="438">
        <f t="shared" si="100"/>
        <v>1.8556094488748624E-3</v>
      </c>
      <c r="N583" s="29"/>
      <c r="O583" s="29"/>
      <c r="P583" s="29"/>
      <c r="Q583" s="332">
        <f t="shared" si="101"/>
        <v>7519</v>
      </c>
      <c r="R583" s="6"/>
      <c r="S583" s="7">
        <f>55852+27653+8705</f>
        <v>92210</v>
      </c>
      <c r="T583" s="6"/>
      <c r="U583" s="243">
        <v>2.402125115017657E-2</v>
      </c>
      <c r="W583">
        <f t="shared" si="97"/>
        <v>573</v>
      </c>
      <c r="Y583" s="56"/>
    </row>
    <row r="584" spans="3:25" x14ac:dyDescent="0.3">
      <c r="C584" s="158">
        <f t="shared" si="93"/>
        <v>44483</v>
      </c>
      <c r="E584" s="241">
        <v>2492423</v>
      </c>
      <c r="F584" s="7"/>
      <c r="G584" s="7">
        <v>1177553</v>
      </c>
      <c r="H584" s="7"/>
      <c r="I584" s="7">
        <v>396629</v>
      </c>
      <c r="J584" s="244"/>
      <c r="K584" s="7">
        <f t="shared" si="99"/>
        <v>4066605</v>
      </c>
      <c r="L584" s="6"/>
      <c r="M584" s="438">
        <f t="shared" si="100"/>
        <v>1.7361500281927315E-3</v>
      </c>
      <c r="N584" s="29"/>
      <c r="O584" s="29"/>
      <c r="P584" s="29"/>
      <c r="Q584" s="332">
        <f t="shared" si="101"/>
        <v>7048</v>
      </c>
      <c r="R584" s="6"/>
      <c r="S584" s="7">
        <f>55852+27637+8707</f>
        <v>92196</v>
      </c>
      <c r="T584" s="6"/>
      <c r="U584" s="243">
        <v>2.402125115017657E-2</v>
      </c>
      <c r="W584">
        <f t="shared" si="97"/>
        <v>574</v>
      </c>
      <c r="Y584" s="56"/>
    </row>
    <row r="585" spans="3:25" x14ac:dyDescent="0.3">
      <c r="C585" s="158">
        <f t="shared" si="93"/>
        <v>44484</v>
      </c>
      <c r="E585" s="241">
        <v>2498646</v>
      </c>
      <c r="F585" s="7"/>
      <c r="G585" s="7">
        <v>1178936</v>
      </c>
      <c r="H585" s="7"/>
      <c r="I585" s="7">
        <v>397123</v>
      </c>
      <c r="J585" s="244"/>
      <c r="K585" s="7">
        <f t="shared" ref="K585:K616" si="102">SUM(E585:I585)</f>
        <v>4074705</v>
      </c>
      <c r="L585" s="6"/>
      <c r="M585" s="438">
        <f t="shared" ref="M585:M616" si="103">+(K585-K584)/K584</f>
        <v>1.9918334827208443E-3</v>
      </c>
      <c r="N585" s="29"/>
      <c r="O585" s="29"/>
      <c r="P585" s="29"/>
      <c r="Q585" s="332">
        <f t="shared" ref="Q585:Q616" si="104">+K585-K584</f>
        <v>8100</v>
      </c>
      <c r="R585" s="6"/>
      <c r="S585" s="7">
        <f>55916+27692+8718</f>
        <v>92326</v>
      </c>
      <c r="T585" s="6"/>
      <c r="U585" s="243">
        <v>2.402125115017657E-2</v>
      </c>
      <c r="W585">
        <f t="shared" si="97"/>
        <v>575</v>
      </c>
      <c r="Y585" s="56"/>
    </row>
    <row r="586" spans="3:25" x14ac:dyDescent="0.3">
      <c r="C586" s="158">
        <f t="shared" si="93"/>
        <v>44485</v>
      </c>
      <c r="E586" s="241">
        <v>2502914</v>
      </c>
      <c r="F586" s="7"/>
      <c r="G586" s="7">
        <v>1180388</v>
      </c>
      <c r="H586" s="7"/>
      <c r="I586" s="7">
        <v>397123</v>
      </c>
      <c r="J586" s="244"/>
      <c r="K586" s="7">
        <f t="shared" si="102"/>
        <v>4080425</v>
      </c>
      <c r="L586" s="6"/>
      <c r="M586" s="438">
        <f t="shared" si="103"/>
        <v>1.403782605121107E-3</v>
      </c>
      <c r="N586" s="29"/>
      <c r="O586" s="29"/>
      <c r="P586" s="29"/>
      <c r="Q586" s="332">
        <f t="shared" si="104"/>
        <v>5720</v>
      </c>
      <c r="R586" s="6"/>
      <c r="S586" s="7">
        <f>55935+27720+8718</f>
        <v>92373</v>
      </c>
      <c r="T586" s="6"/>
      <c r="U586" s="243">
        <v>2.402125115017657E-2</v>
      </c>
      <c r="W586">
        <f t="shared" si="97"/>
        <v>576</v>
      </c>
      <c r="Y586" s="56"/>
    </row>
    <row r="587" spans="3:25" x14ac:dyDescent="0.3">
      <c r="C587" s="347">
        <f t="shared" si="93"/>
        <v>44486</v>
      </c>
      <c r="E587" s="241">
        <v>2506247</v>
      </c>
      <c r="F587" s="7"/>
      <c r="G587" s="7">
        <v>1181284</v>
      </c>
      <c r="H587" s="7"/>
      <c r="I587" s="7">
        <v>397123</v>
      </c>
      <c r="J587" s="244"/>
      <c r="K587" s="7">
        <f t="shared" si="102"/>
        <v>4084654</v>
      </c>
      <c r="L587" s="6"/>
      <c r="M587" s="438">
        <f t="shared" si="103"/>
        <v>1.0364116482964396E-3</v>
      </c>
      <c r="N587" s="29"/>
      <c r="O587" s="29"/>
      <c r="P587" s="29"/>
      <c r="Q587" s="332">
        <f t="shared" si="104"/>
        <v>4229</v>
      </c>
      <c r="R587" s="6"/>
      <c r="S587" s="7">
        <f>55965+27725+8718</f>
        <v>92408</v>
      </c>
      <c r="T587" s="6"/>
      <c r="U587" s="243">
        <v>2.402125115017657E-2</v>
      </c>
      <c r="W587">
        <f t="shared" si="97"/>
        <v>577</v>
      </c>
      <c r="Y587" s="56"/>
    </row>
    <row r="588" spans="3:25" x14ac:dyDescent="0.3">
      <c r="C588" s="158">
        <f t="shared" si="93"/>
        <v>44487</v>
      </c>
      <c r="E588" s="241">
        <v>2511182</v>
      </c>
      <c r="F588" s="7"/>
      <c r="G588" s="7">
        <v>1182051</v>
      </c>
      <c r="H588" s="7"/>
      <c r="I588" s="7">
        <v>398270</v>
      </c>
      <c r="J588" s="244"/>
      <c r="K588" s="7">
        <f t="shared" si="102"/>
        <v>4091503</v>
      </c>
      <c r="L588" s="6"/>
      <c r="M588" s="438">
        <f t="shared" si="103"/>
        <v>1.676763809125571E-3</v>
      </c>
      <c r="N588" s="29"/>
      <c r="O588" s="29"/>
      <c r="P588" s="29"/>
      <c r="Q588" s="332">
        <f t="shared" si="104"/>
        <v>6849</v>
      </c>
      <c r="R588" s="6"/>
      <c r="S588" s="7">
        <f>56008+27737+8718</f>
        <v>92463</v>
      </c>
      <c r="T588" s="6"/>
      <c r="U588" s="243">
        <v>2.402125115017657E-2</v>
      </c>
      <c r="W588">
        <f t="shared" si="97"/>
        <v>578</v>
      </c>
      <c r="Y588" s="56"/>
    </row>
    <row r="589" spans="3:25" x14ac:dyDescent="0.3">
      <c r="C589" s="158">
        <f t="shared" si="93"/>
        <v>44488</v>
      </c>
      <c r="E589" s="241">
        <v>2514422</v>
      </c>
      <c r="F589" s="7"/>
      <c r="G589" s="7">
        <v>1183289</v>
      </c>
      <c r="H589" s="7"/>
      <c r="I589" s="7">
        <v>398979</v>
      </c>
      <c r="J589" s="244"/>
      <c r="K589" s="7">
        <f t="shared" si="102"/>
        <v>4096690</v>
      </c>
      <c r="L589" s="6"/>
      <c r="M589" s="438">
        <f t="shared" si="103"/>
        <v>1.267749284309458E-3</v>
      </c>
      <c r="N589" s="29"/>
      <c r="O589" s="29"/>
      <c r="P589" s="29"/>
      <c r="Q589" s="332">
        <f t="shared" si="104"/>
        <v>5187</v>
      </c>
      <c r="R589" s="6"/>
      <c r="S589" s="7">
        <f>56038+27768+8721</f>
        <v>92527</v>
      </c>
      <c r="T589" s="6"/>
      <c r="U589" s="243">
        <v>2.402125115017657E-2</v>
      </c>
      <c r="W589">
        <f t="shared" si="97"/>
        <v>579</v>
      </c>
      <c r="Y589" s="56"/>
    </row>
    <row r="590" spans="3:25" x14ac:dyDescent="0.3">
      <c r="C590" s="158">
        <f t="shared" si="93"/>
        <v>44489</v>
      </c>
      <c r="E590" s="241">
        <v>2519197</v>
      </c>
      <c r="F590" s="7"/>
      <c r="G590" s="7">
        <v>1184395</v>
      </c>
      <c r="H590" s="7"/>
      <c r="I590" s="7">
        <v>399363</v>
      </c>
      <c r="J590" s="244"/>
      <c r="K590" s="7">
        <f t="shared" si="102"/>
        <v>4102955</v>
      </c>
      <c r="L590" s="6"/>
      <c r="M590" s="438">
        <f t="shared" si="103"/>
        <v>1.5292833970839874E-3</v>
      </c>
      <c r="N590" s="29"/>
      <c r="O590" s="29"/>
      <c r="P590" s="29"/>
      <c r="Q590" s="332">
        <f t="shared" si="104"/>
        <v>6265</v>
      </c>
      <c r="R590" s="6"/>
      <c r="S590" s="7">
        <f>56077+27783+8721</f>
        <v>92581</v>
      </c>
      <c r="T590" s="6"/>
      <c r="U590" s="243">
        <v>2.402125115017657E-2</v>
      </c>
      <c r="W590">
        <f t="shared" si="97"/>
        <v>580</v>
      </c>
      <c r="Y590" s="56"/>
    </row>
    <row r="591" spans="3:25" x14ac:dyDescent="0.3">
      <c r="C591" s="158">
        <f t="shared" si="93"/>
        <v>44490</v>
      </c>
      <c r="E591" s="241">
        <v>2523560</v>
      </c>
      <c r="F591" s="7"/>
      <c r="G591" s="7">
        <v>1185863</v>
      </c>
      <c r="H591" s="7"/>
      <c r="I591" s="7">
        <v>399773</v>
      </c>
      <c r="J591" s="244"/>
      <c r="K591" s="7">
        <f t="shared" si="102"/>
        <v>4109196</v>
      </c>
      <c r="L591" s="6"/>
      <c r="M591" s="438">
        <f t="shared" si="103"/>
        <v>1.5210988178032661E-3</v>
      </c>
      <c r="N591" s="29"/>
      <c r="O591" s="29"/>
      <c r="P591" s="29"/>
      <c r="Q591" s="332">
        <f t="shared" si="104"/>
        <v>6241</v>
      </c>
      <c r="R591" s="6"/>
      <c r="S591" s="7">
        <f>56130+27805+8721</f>
        <v>92656</v>
      </c>
      <c r="T591" s="6"/>
      <c r="U591" s="243">
        <v>2.402125115017657E-2</v>
      </c>
      <c r="W591">
        <f t="shared" si="97"/>
        <v>581</v>
      </c>
      <c r="Y591" s="56"/>
    </row>
    <row r="592" spans="3:25" x14ac:dyDescent="0.3">
      <c r="C592" s="158">
        <f t="shared" si="93"/>
        <v>44491</v>
      </c>
      <c r="E592" s="241">
        <v>2527230</v>
      </c>
      <c r="F592" s="7"/>
      <c r="G592" s="7">
        <v>1187569</v>
      </c>
      <c r="H592" s="7"/>
      <c r="I592" s="7">
        <v>400226</v>
      </c>
      <c r="J592" s="244"/>
      <c r="K592" s="7">
        <f t="shared" si="102"/>
        <v>4115025</v>
      </c>
      <c r="L592" s="6"/>
      <c r="M592" s="438">
        <f t="shared" si="103"/>
        <v>1.4185256677948679E-3</v>
      </c>
      <c r="N592" s="29"/>
      <c r="O592" s="29"/>
      <c r="P592" s="29"/>
      <c r="Q592" s="332">
        <f t="shared" si="104"/>
        <v>5829</v>
      </c>
      <c r="R592" s="6"/>
      <c r="S592" s="7">
        <f>56169+27828+8739</f>
        <v>92736</v>
      </c>
      <c r="T592" s="6"/>
      <c r="U592" s="243">
        <v>2.402125115017657E-2</v>
      </c>
      <c r="W592">
        <f t="shared" si="97"/>
        <v>582</v>
      </c>
      <c r="Y592" s="56"/>
    </row>
    <row r="593" spans="3:25" x14ac:dyDescent="0.3">
      <c r="C593" s="158">
        <f t="shared" si="93"/>
        <v>44492</v>
      </c>
      <c r="E593" s="241">
        <v>2530860</v>
      </c>
      <c r="F593" s="7"/>
      <c r="G593" s="7">
        <v>1188709</v>
      </c>
      <c r="H593" s="7"/>
      <c r="I593" s="7">
        <v>400226</v>
      </c>
      <c r="J593" s="244"/>
      <c r="K593" s="7">
        <f t="shared" si="102"/>
        <v>4119795</v>
      </c>
      <c r="L593" s="6"/>
      <c r="M593" s="438">
        <f t="shared" si="103"/>
        <v>1.1591667122313959E-3</v>
      </c>
      <c r="N593" s="29"/>
      <c r="O593" s="29"/>
      <c r="P593" s="29"/>
      <c r="Q593" s="332">
        <f t="shared" si="104"/>
        <v>4770</v>
      </c>
      <c r="R593" s="6"/>
      <c r="S593" s="7">
        <f>56199+27848+8739</f>
        <v>92786</v>
      </c>
      <c r="T593" s="6"/>
      <c r="U593" s="243">
        <v>2.402125115017657E-2</v>
      </c>
      <c r="W593">
        <f t="shared" si="97"/>
        <v>583</v>
      </c>
      <c r="Y593" s="56"/>
    </row>
    <row r="594" spans="3:25" x14ac:dyDescent="0.3">
      <c r="C594" s="347">
        <f t="shared" si="93"/>
        <v>44493</v>
      </c>
      <c r="E594" s="241">
        <v>2533155</v>
      </c>
      <c r="F594" s="7"/>
      <c r="G594" s="7">
        <v>1189496</v>
      </c>
      <c r="H594" s="7"/>
      <c r="I594" s="7">
        <v>400226</v>
      </c>
      <c r="J594" s="244"/>
      <c r="K594" s="7">
        <f t="shared" si="102"/>
        <v>4122877</v>
      </c>
      <c r="L594" s="6"/>
      <c r="M594" s="438">
        <f t="shared" si="103"/>
        <v>7.4809547562439398E-4</v>
      </c>
      <c r="N594" s="29"/>
      <c r="O594" s="29"/>
      <c r="P594" s="29"/>
      <c r="Q594" s="332">
        <f t="shared" si="104"/>
        <v>3082</v>
      </c>
      <c r="R594" s="6"/>
      <c r="S594" s="7">
        <f>56222+27851+8739</f>
        <v>92812</v>
      </c>
      <c r="T594" s="6"/>
      <c r="U594" s="243">
        <v>2.402125115017657E-2</v>
      </c>
      <c r="W594">
        <f t="shared" si="97"/>
        <v>584</v>
      </c>
      <c r="Y594" s="56"/>
    </row>
    <row r="595" spans="3:25" x14ac:dyDescent="0.3">
      <c r="C595" s="158">
        <f t="shared" si="93"/>
        <v>44494</v>
      </c>
      <c r="E595" s="241">
        <v>2537823</v>
      </c>
      <c r="F595" s="7"/>
      <c r="G595" s="7">
        <v>1190439</v>
      </c>
      <c r="H595" s="7"/>
      <c r="I595" s="7">
        <v>401125</v>
      </c>
      <c r="J595" s="244"/>
      <c r="K595" s="7">
        <f t="shared" si="102"/>
        <v>4129387</v>
      </c>
      <c r="L595" s="6"/>
      <c r="M595" s="438">
        <f t="shared" si="103"/>
        <v>1.5789944740044392E-3</v>
      </c>
      <c r="N595" s="29"/>
      <c r="O595" s="29"/>
      <c r="P595" s="29"/>
      <c r="Q595" s="332">
        <f t="shared" si="104"/>
        <v>6510</v>
      </c>
      <c r="R595" s="6"/>
      <c r="S595" s="7">
        <f>56270+27863+8739</f>
        <v>92872</v>
      </c>
      <c r="T595" s="6"/>
      <c r="U595" s="243">
        <v>2.402125115017657E-2</v>
      </c>
      <c r="W595">
        <f t="shared" si="97"/>
        <v>585</v>
      </c>
      <c r="Y595" s="56"/>
    </row>
    <row r="596" spans="3:25" x14ac:dyDescent="0.3">
      <c r="C596" s="158">
        <f t="shared" si="93"/>
        <v>44495</v>
      </c>
      <c r="E596" s="241">
        <v>2540255</v>
      </c>
      <c r="F596" s="7"/>
      <c r="G596" s="7">
        <v>1191912</v>
      </c>
      <c r="H596" s="7"/>
      <c r="I596" s="7">
        <v>401379</v>
      </c>
      <c r="J596" s="244"/>
      <c r="K596" s="7">
        <f t="shared" si="102"/>
        <v>4133546</v>
      </c>
      <c r="L596" s="6"/>
      <c r="M596" s="438">
        <f t="shared" si="103"/>
        <v>1.0071712823235023E-3</v>
      </c>
      <c r="N596" s="29"/>
      <c r="O596" s="29"/>
      <c r="P596" s="29"/>
      <c r="Q596" s="332">
        <f t="shared" si="104"/>
        <v>4159</v>
      </c>
      <c r="R596" s="6"/>
      <c r="S596" s="7">
        <f>56302+27896+8752</f>
        <v>92950</v>
      </c>
      <c r="T596" s="6"/>
      <c r="U596" s="243">
        <v>2.402125115017657E-2</v>
      </c>
      <c r="W596">
        <f t="shared" si="97"/>
        <v>586</v>
      </c>
      <c r="Y596" s="56"/>
    </row>
    <row r="597" spans="3:25" x14ac:dyDescent="0.3">
      <c r="C597" s="158">
        <f t="shared" si="93"/>
        <v>44496</v>
      </c>
      <c r="E597" s="241">
        <v>2544431</v>
      </c>
      <c r="F597" s="7"/>
      <c r="G597" s="7">
        <v>1193201</v>
      </c>
      <c r="H597" s="7"/>
      <c r="I597" s="7">
        <v>401716</v>
      </c>
      <c r="J597" s="244"/>
      <c r="K597" s="7">
        <f t="shared" si="102"/>
        <v>4139348</v>
      </c>
      <c r="L597" s="6"/>
      <c r="M597" s="438">
        <f t="shared" si="103"/>
        <v>1.4036374580082089E-3</v>
      </c>
      <c r="N597" s="29"/>
      <c r="O597" s="29"/>
      <c r="P597" s="29"/>
      <c r="Q597" s="332">
        <f t="shared" si="104"/>
        <v>5802</v>
      </c>
      <c r="R597" s="6"/>
      <c r="S597" s="7">
        <f>56341+27929+8752</f>
        <v>93022</v>
      </c>
      <c r="T597" s="6"/>
      <c r="U597" s="243">
        <v>2.402125115017657E-2</v>
      </c>
      <c r="W597">
        <f t="shared" si="97"/>
        <v>587</v>
      </c>
      <c r="Y597" s="56"/>
    </row>
    <row r="598" spans="3:25" x14ac:dyDescent="0.3">
      <c r="C598" s="158">
        <f t="shared" si="93"/>
        <v>44497</v>
      </c>
      <c r="E598" s="241">
        <v>2547865</v>
      </c>
      <c r="F598" s="7"/>
      <c r="G598" s="7">
        <v>1195166</v>
      </c>
      <c r="H598" s="7"/>
      <c r="I598" s="7">
        <v>402159</v>
      </c>
      <c r="J598" s="244"/>
      <c r="K598" s="7">
        <f t="shared" si="102"/>
        <v>4145190</v>
      </c>
      <c r="L598" s="6"/>
      <c r="M598" s="438">
        <f t="shared" si="103"/>
        <v>1.411333379073226E-3</v>
      </c>
      <c r="N598" s="29"/>
      <c r="O598" s="29"/>
      <c r="P598" s="29"/>
      <c r="Q598" s="332">
        <f t="shared" si="104"/>
        <v>5842</v>
      </c>
      <c r="R598" s="6"/>
      <c r="S598" s="7">
        <f>56371+27949+8751</f>
        <v>93071</v>
      </c>
      <c r="T598" s="6"/>
      <c r="U598" s="243">
        <v>2.402125115017657E-2</v>
      </c>
      <c r="W598">
        <f t="shared" si="97"/>
        <v>588</v>
      </c>
      <c r="Y598" s="56"/>
    </row>
    <row r="599" spans="3:25" x14ac:dyDescent="0.3">
      <c r="C599" s="158">
        <f t="shared" si="93"/>
        <v>44498</v>
      </c>
      <c r="E599" s="241">
        <v>2553446</v>
      </c>
      <c r="F599" s="7"/>
      <c r="G599" s="7">
        <v>1196472</v>
      </c>
      <c r="H599" s="7"/>
      <c r="I599" s="7">
        <v>402583</v>
      </c>
      <c r="J599" s="244"/>
      <c r="K599" s="7">
        <f t="shared" si="102"/>
        <v>4152501</v>
      </c>
      <c r="L599" s="6"/>
      <c r="M599" s="438">
        <f t="shared" si="103"/>
        <v>1.7637309749372165E-3</v>
      </c>
      <c r="N599" s="29"/>
      <c r="O599" s="29"/>
      <c r="P599" s="29"/>
      <c r="Q599" s="332">
        <f t="shared" si="104"/>
        <v>7311</v>
      </c>
      <c r="R599" s="6"/>
      <c r="S599" s="7">
        <f>56410+27961+8764</f>
        <v>93135</v>
      </c>
      <c r="T599" s="6"/>
      <c r="U599" s="243">
        <v>2.402125115017657E-2</v>
      </c>
      <c r="W599">
        <f t="shared" si="97"/>
        <v>589</v>
      </c>
      <c r="Y599" s="56"/>
    </row>
    <row r="600" spans="3:25" x14ac:dyDescent="0.3">
      <c r="C600" s="158">
        <f t="shared" si="93"/>
        <v>44499</v>
      </c>
      <c r="E600" s="241">
        <v>2555500</v>
      </c>
      <c r="F600" s="584" t="s">
        <v>26</v>
      </c>
      <c r="G600" s="7">
        <v>1197500</v>
      </c>
      <c r="H600" s="584" t="s">
        <v>26</v>
      </c>
      <c r="I600" s="7">
        <v>402583</v>
      </c>
      <c r="J600" s="584" t="s">
        <v>26</v>
      </c>
      <c r="K600" s="7">
        <f t="shared" si="102"/>
        <v>4155583</v>
      </c>
      <c r="L600" s="6"/>
      <c r="M600" s="438">
        <f t="shared" si="103"/>
        <v>7.4220331313586683E-4</v>
      </c>
      <c r="N600" s="29"/>
      <c r="O600" s="29"/>
      <c r="P600" s="29"/>
      <c r="Q600" s="332">
        <f t="shared" si="104"/>
        <v>3082</v>
      </c>
      <c r="R600" s="6"/>
      <c r="S600" s="7">
        <f>56410+27961+8764</f>
        <v>93135</v>
      </c>
      <c r="T600" s="6"/>
      <c r="U600" s="243">
        <v>2.402125115017657E-2</v>
      </c>
      <c r="W600">
        <f t="shared" si="97"/>
        <v>590</v>
      </c>
      <c r="Y600" s="56"/>
    </row>
    <row r="601" spans="3:25" x14ac:dyDescent="0.3">
      <c r="C601" s="347">
        <f t="shared" si="93"/>
        <v>44500</v>
      </c>
      <c r="E601" s="241">
        <v>2556628</v>
      </c>
      <c r="F601" s="7"/>
      <c r="G601" s="7">
        <v>1198917</v>
      </c>
      <c r="H601" s="7"/>
      <c r="I601" s="7">
        <v>402583</v>
      </c>
      <c r="J601" s="244"/>
      <c r="K601" s="7">
        <f t="shared" si="102"/>
        <v>4158128</v>
      </c>
      <c r="L601" s="6"/>
      <c r="M601" s="438">
        <f t="shared" si="103"/>
        <v>6.1242911042806746E-4</v>
      </c>
      <c r="N601" s="29"/>
      <c r="O601" s="29"/>
      <c r="P601" s="29"/>
      <c r="Q601" s="332">
        <f t="shared" si="104"/>
        <v>2545</v>
      </c>
      <c r="R601" s="6"/>
      <c r="S601" s="7">
        <f>56413+27972+8764</f>
        <v>93149</v>
      </c>
      <c r="T601" s="6"/>
      <c r="U601" s="243">
        <v>2.402125115017657E-2</v>
      </c>
      <c r="W601">
        <f t="shared" si="97"/>
        <v>591</v>
      </c>
      <c r="Y601" s="56"/>
    </row>
    <row r="602" spans="3:25" x14ac:dyDescent="0.3">
      <c r="C602" s="158">
        <f t="shared" si="93"/>
        <v>44501</v>
      </c>
      <c r="E602" s="241">
        <v>2564789</v>
      </c>
      <c r="F602" s="7"/>
      <c r="G602" s="7">
        <v>1199738</v>
      </c>
      <c r="H602" s="7"/>
      <c r="I602" s="7">
        <v>403415</v>
      </c>
      <c r="J602" s="244"/>
      <c r="K602" s="7">
        <f t="shared" si="102"/>
        <v>4167942</v>
      </c>
      <c r="L602" s="6"/>
      <c r="M602" s="438">
        <f t="shared" si="103"/>
        <v>2.360196703901371E-3</v>
      </c>
      <c r="N602" s="29"/>
      <c r="O602" s="29"/>
      <c r="P602" s="29"/>
      <c r="Q602" s="332">
        <f t="shared" si="104"/>
        <v>9814</v>
      </c>
      <c r="R602" s="6"/>
      <c r="S602" s="7">
        <f>56510+27980+8766</f>
        <v>93256</v>
      </c>
      <c r="T602" s="6"/>
      <c r="U602" s="243">
        <v>2.402125115017657E-2</v>
      </c>
      <c r="W602">
        <f t="shared" si="97"/>
        <v>592</v>
      </c>
      <c r="Y602" s="56"/>
    </row>
    <row r="603" spans="3:25" x14ac:dyDescent="0.3">
      <c r="C603" s="158">
        <f t="shared" si="93"/>
        <v>44502</v>
      </c>
      <c r="E603" s="241">
        <v>2567747</v>
      </c>
      <c r="F603" s="7"/>
      <c r="G603" s="7">
        <v>1200953</v>
      </c>
      <c r="H603" s="7"/>
      <c r="I603" s="7">
        <v>403827</v>
      </c>
      <c r="J603" s="244"/>
      <c r="K603" s="7">
        <f t="shared" si="102"/>
        <v>4172527</v>
      </c>
      <c r="L603" s="6"/>
      <c r="M603" s="438">
        <f t="shared" si="103"/>
        <v>1.1000632926273927E-3</v>
      </c>
      <c r="N603" s="29"/>
      <c r="O603" s="29"/>
      <c r="P603" s="29"/>
      <c r="Q603" s="332">
        <f t="shared" si="104"/>
        <v>4585</v>
      </c>
      <c r="R603" s="6"/>
      <c r="S603" s="7">
        <f>56533+28004+8776</f>
        <v>93313</v>
      </c>
      <c r="T603" s="6"/>
      <c r="U603" s="243">
        <v>2.402125115017657E-2</v>
      </c>
      <c r="W603">
        <f t="shared" si="97"/>
        <v>593</v>
      </c>
      <c r="Y603" s="56"/>
    </row>
    <row r="604" spans="3:25" x14ac:dyDescent="0.3">
      <c r="C604" s="158">
        <f t="shared" si="93"/>
        <v>44503</v>
      </c>
      <c r="E604" s="241">
        <v>2571761</v>
      </c>
      <c r="F604" s="7"/>
      <c r="G604" s="7">
        <v>1202251</v>
      </c>
      <c r="H604" s="7"/>
      <c r="I604" s="7">
        <v>404218</v>
      </c>
      <c r="J604" s="244"/>
      <c r="K604" s="7">
        <f t="shared" si="102"/>
        <v>4178230</v>
      </c>
      <c r="L604" s="6"/>
      <c r="M604" s="438">
        <f t="shared" si="103"/>
        <v>1.3667976264743163E-3</v>
      </c>
      <c r="N604" s="29"/>
      <c r="O604" s="29"/>
      <c r="P604" s="29"/>
      <c r="Q604" s="332">
        <f t="shared" si="104"/>
        <v>5703</v>
      </c>
      <c r="R604" s="6"/>
      <c r="S604" s="7">
        <f>56579+28001+8776</f>
        <v>93356</v>
      </c>
      <c r="T604" s="6"/>
      <c r="U604" s="243">
        <v>2.402125115017657E-2</v>
      </c>
      <c r="W604">
        <f t="shared" si="97"/>
        <v>594</v>
      </c>
      <c r="Y604" s="56"/>
    </row>
    <row r="605" spans="3:25" x14ac:dyDescent="0.3">
      <c r="C605" s="158">
        <f t="shared" si="93"/>
        <v>44504</v>
      </c>
      <c r="E605" s="241">
        <v>2576396</v>
      </c>
      <c r="F605" s="7"/>
      <c r="G605" s="7">
        <v>1203755</v>
      </c>
      <c r="H605" s="7"/>
      <c r="I605" s="7">
        <v>404649</v>
      </c>
      <c r="J605" s="244"/>
      <c r="K605" s="7">
        <f t="shared" si="102"/>
        <v>4184800</v>
      </c>
      <c r="L605" s="6"/>
      <c r="M605" s="438">
        <f t="shared" si="103"/>
        <v>1.572436175126788E-3</v>
      </c>
      <c r="N605" s="29"/>
      <c r="O605" s="29"/>
      <c r="P605" s="29"/>
      <c r="Q605" s="332">
        <f t="shared" si="104"/>
        <v>6570</v>
      </c>
      <c r="R605" s="6"/>
      <c r="S605" s="7">
        <f>56610+28011+8776</f>
        <v>93397</v>
      </c>
      <c r="T605" s="6"/>
      <c r="U605" s="243">
        <v>2.402125115017657E-2</v>
      </c>
      <c r="W605">
        <f t="shared" si="97"/>
        <v>595</v>
      </c>
      <c r="Y605" s="56"/>
    </row>
    <row r="606" spans="3:25" x14ac:dyDescent="0.3">
      <c r="C606" s="158">
        <f t="shared" si="93"/>
        <v>44505</v>
      </c>
      <c r="E606" s="241">
        <v>2581256</v>
      </c>
      <c r="F606" s="7"/>
      <c r="G606" s="7">
        <v>1205140</v>
      </c>
      <c r="H606" s="7"/>
      <c r="I606" s="7">
        <v>404969</v>
      </c>
      <c r="J606" s="244"/>
      <c r="K606" s="7">
        <f t="shared" si="102"/>
        <v>4191365</v>
      </c>
      <c r="L606" s="6"/>
      <c r="M606" s="438">
        <f t="shared" si="103"/>
        <v>1.5687727012043586E-3</v>
      </c>
      <c r="N606" s="29"/>
      <c r="O606" s="29"/>
      <c r="P606" s="29"/>
      <c r="Q606" s="332">
        <f t="shared" si="104"/>
        <v>6565</v>
      </c>
      <c r="R606" s="6"/>
      <c r="S606" s="7">
        <f>56660+28062+8790</f>
        <v>93512</v>
      </c>
      <c r="T606" s="6"/>
      <c r="U606" s="243">
        <v>2.402125115017657E-2</v>
      </c>
      <c r="W606">
        <f t="shared" si="97"/>
        <v>596</v>
      </c>
      <c r="Y606" s="56"/>
    </row>
    <row r="607" spans="3:25" x14ac:dyDescent="0.3">
      <c r="C607" s="158">
        <f t="shared" si="93"/>
        <v>44506</v>
      </c>
      <c r="E607" s="241">
        <v>2585365</v>
      </c>
      <c r="F607" s="7"/>
      <c r="G607" s="7">
        <v>1206543</v>
      </c>
      <c r="H607" s="7"/>
      <c r="I607" s="7">
        <v>404969</v>
      </c>
      <c r="J607" s="244"/>
      <c r="K607" s="7">
        <f t="shared" si="102"/>
        <v>4196877</v>
      </c>
      <c r="L607" s="6"/>
      <c r="M607" s="438">
        <f t="shared" si="103"/>
        <v>1.3150847039091083E-3</v>
      </c>
      <c r="N607" s="29"/>
      <c r="O607" s="29"/>
      <c r="P607" s="29"/>
      <c r="Q607" s="332">
        <f t="shared" si="104"/>
        <v>5512</v>
      </c>
      <c r="R607" s="6"/>
      <c r="S607" s="7">
        <f>56692+28080+8790</f>
        <v>93562</v>
      </c>
      <c r="T607" s="6"/>
      <c r="U607" s="243">
        <v>2.402125115017657E-2</v>
      </c>
      <c r="W607">
        <f t="shared" si="97"/>
        <v>597</v>
      </c>
      <c r="Y607" s="56"/>
    </row>
    <row r="608" spans="3:25" x14ac:dyDescent="0.3">
      <c r="C608" s="347">
        <f t="shared" si="93"/>
        <v>44507</v>
      </c>
      <c r="E608" s="241">
        <v>2589297</v>
      </c>
      <c r="F608" s="7"/>
      <c r="G608" s="7">
        <v>1207469</v>
      </c>
      <c r="H608" s="7"/>
      <c r="I608" s="7">
        <v>404969</v>
      </c>
      <c r="J608" s="244"/>
      <c r="K608" s="7">
        <f t="shared" si="102"/>
        <v>4201735</v>
      </c>
      <c r="L608" s="6"/>
      <c r="M608" s="438">
        <f t="shared" si="103"/>
        <v>1.1575273709474925E-3</v>
      </c>
      <c r="N608" s="29"/>
      <c r="O608" s="29"/>
      <c r="P608" s="29"/>
      <c r="Q608" s="332">
        <f t="shared" si="104"/>
        <v>4858</v>
      </c>
      <c r="R608" s="6"/>
      <c r="S608" s="7">
        <f>56712+28085+8790</f>
        <v>93587</v>
      </c>
      <c r="T608" s="6"/>
      <c r="U608" s="243">
        <v>2.402125115017657E-2</v>
      </c>
      <c r="W608">
        <f t="shared" si="97"/>
        <v>598</v>
      </c>
      <c r="Y608" s="56"/>
    </row>
    <row r="609" spans="3:25" x14ac:dyDescent="0.3">
      <c r="C609" s="158">
        <f t="shared" si="93"/>
        <v>44508</v>
      </c>
      <c r="E609" s="241">
        <v>2594515</v>
      </c>
      <c r="F609" s="7"/>
      <c r="G609" s="7">
        <v>1208321</v>
      </c>
      <c r="H609" s="7"/>
      <c r="I609" s="7">
        <v>405910</v>
      </c>
      <c r="J609" s="244"/>
      <c r="K609" s="7">
        <f t="shared" si="102"/>
        <v>4208746</v>
      </c>
      <c r="L609" s="6"/>
      <c r="M609" s="438">
        <f t="shared" si="103"/>
        <v>1.6685964250482241E-3</v>
      </c>
      <c r="N609" s="29"/>
      <c r="O609" s="29"/>
      <c r="P609" s="29"/>
      <c r="Q609" s="332">
        <f t="shared" si="104"/>
        <v>7011</v>
      </c>
      <c r="R609" s="6"/>
      <c r="S609" s="7">
        <f>56749+28092+8790</f>
        <v>93631</v>
      </c>
      <c r="T609" s="6"/>
      <c r="U609" s="243">
        <v>2.402125115017657E-2</v>
      </c>
      <c r="W609">
        <f t="shared" si="97"/>
        <v>599</v>
      </c>
      <c r="Y609" s="56"/>
    </row>
    <row r="610" spans="3:25" x14ac:dyDescent="0.3">
      <c r="C610" s="158">
        <f t="shared" si="93"/>
        <v>44509</v>
      </c>
      <c r="E610" s="241">
        <v>2598730</v>
      </c>
      <c r="F610" s="7"/>
      <c r="G610" s="7">
        <v>1209785</v>
      </c>
      <c r="H610" s="7"/>
      <c r="I610" s="7">
        <v>406219</v>
      </c>
      <c r="J610" s="244"/>
      <c r="K610" s="7">
        <f t="shared" si="102"/>
        <v>4214734</v>
      </c>
      <c r="L610" s="6"/>
      <c r="M610" s="438">
        <f t="shared" si="103"/>
        <v>1.4227515749346718E-3</v>
      </c>
      <c r="N610" s="29"/>
      <c r="O610" s="29"/>
      <c r="P610" s="29"/>
      <c r="Q610" s="332">
        <f t="shared" si="104"/>
        <v>5988</v>
      </c>
      <c r="R610" s="6"/>
      <c r="S610" s="7">
        <f>56793+28119+8806</f>
        <v>93718</v>
      </c>
      <c r="T610" s="6"/>
      <c r="U610" s="243">
        <v>2.402125115017657E-2</v>
      </c>
      <c r="W610">
        <f t="shared" si="97"/>
        <v>600</v>
      </c>
      <c r="Y610" s="56"/>
    </row>
    <row r="611" spans="3:25" x14ac:dyDescent="0.3">
      <c r="C611" s="158">
        <f t="shared" si="93"/>
        <v>44510</v>
      </c>
      <c r="E611" s="241">
        <v>2603833</v>
      </c>
      <c r="F611" s="7"/>
      <c r="G611" s="7">
        <v>1211423</v>
      </c>
      <c r="H611" s="7"/>
      <c r="I611" s="7">
        <v>406752</v>
      </c>
      <c r="J611" s="244"/>
      <c r="K611" s="7">
        <f t="shared" si="102"/>
        <v>4222008</v>
      </c>
      <c r="L611" s="6"/>
      <c r="M611" s="438">
        <f t="shared" si="103"/>
        <v>1.7258503146343281E-3</v>
      </c>
      <c r="N611" s="29"/>
      <c r="O611" s="29"/>
      <c r="P611" s="29"/>
      <c r="Q611" s="332">
        <f t="shared" si="104"/>
        <v>7274</v>
      </c>
      <c r="R611" s="6"/>
      <c r="S611" s="7">
        <f>56828+28134+8809</f>
        <v>93771</v>
      </c>
      <c r="T611" s="6"/>
      <c r="U611" s="243">
        <v>2.402125115017657E-2</v>
      </c>
      <c r="W611">
        <f t="shared" si="97"/>
        <v>601</v>
      </c>
      <c r="Y611" s="56"/>
    </row>
    <row r="612" spans="3:25" x14ac:dyDescent="0.3">
      <c r="C612" s="158">
        <f t="shared" si="93"/>
        <v>44511</v>
      </c>
      <c r="E612" s="241">
        <v>2610481</v>
      </c>
      <c r="F612" s="7"/>
      <c r="G612" s="7">
        <v>1213246</v>
      </c>
      <c r="H612" s="7"/>
      <c r="I612" s="7">
        <v>407292</v>
      </c>
      <c r="J612" s="244"/>
      <c r="K612" s="7">
        <f t="shared" si="102"/>
        <v>4231019</v>
      </c>
      <c r="L612" s="6"/>
      <c r="M612" s="438">
        <f t="shared" si="103"/>
        <v>2.1342924977877827E-3</v>
      </c>
      <c r="N612" s="29"/>
      <c r="O612" s="29"/>
      <c r="P612" s="29"/>
      <c r="Q612" s="332">
        <f t="shared" si="104"/>
        <v>9011</v>
      </c>
      <c r="R612" s="6"/>
      <c r="S612" s="7">
        <f>56868+28146+8809</f>
        <v>93823</v>
      </c>
      <c r="T612" s="6"/>
      <c r="U612" s="243">
        <v>2.402125115017657E-2</v>
      </c>
      <c r="W612">
        <f t="shared" si="97"/>
        <v>602</v>
      </c>
      <c r="Y612" s="56"/>
    </row>
    <row r="613" spans="3:25" x14ac:dyDescent="0.3">
      <c r="C613" s="158">
        <f t="shared" si="93"/>
        <v>44512</v>
      </c>
      <c r="E613" s="241">
        <v>2616725</v>
      </c>
      <c r="F613" s="7"/>
      <c r="G613" s="7">
        <v>1215067</v>
      </c>
      <c r="H613" s="7"/>
      <c r="I613" s="7">
        <v>407750</v>
      </c>
      <c r="J613" s="244"/>
      <c r="K613" s="7">
        <f t="shared" si="102"/>
        <v>4239542</v>
      </c>
      <c r="L613" s="6"/>
      <c r="M613" s="438">
        <f t="shared" si="103"/>
        <v>2.0144083493834463E-3</v>
      </c>
      <c r="N613" s="29"/>
      <c r="O613" s="29"/>
      <c r="P613" s="29"/>
      <c r="Q613" s="332">
        <f t="shared" si="104"/>
        <v>8523</v>
      </c>
      <c r="R613" s="6"/>
      <c r="S613" s="7">
        <f>56907+28152+8809</f>
        <v>93868</v>
      </c>
      <c r="T613" s="6"/>
      <c r="U613" s="243">
        <v>2.402125115017657E-2</v>
      </c>
      <c r="W613">
        <f t="shared" si="97"/>
        <v>603</v>
      </c>
      <c r="Y613" s="56"/>
    </row>
    <row r="614" spans="3:25" x14ac:dyDescent="0.3">
      <c r="C614" s="158">
        <f t="shared" si="93"/>
        <v>44513</v>
      </c>
      <c r="E614" s="241">
        <v>2622131</v>
      </c>
      <c r="F614" s="7"/>
      <c r="G614" s="7">
        <v>1216705</v>
      </c>
      <c r="H614" s="7"/>
      <c r="I614" s="7">
        <v>407750</v>
      </c>
      <c r="J614" s="244"/>
      <c r="K614" s="7">
        <f t="shared" si="102"/>
        <v>4246586</v>
      </c>
      <c r="L614" s="6"/>
      <c r="M614" s="438">
        <f t="shared" si="103"/>
        <v>1.6615002280906759E-3</v>
      </c>
      <c r="N614" s="29"/>
      <c r="O614" s="29"/>
      <c r="P614" s="29"/>
      <c r="Q614" s="332">
        <f t="shared" si="104"/>
        <v>7044</v>
      </c>
      <c r="R614" s="6"/>
      <c r="S614" s="7">
        <f>56922+28169+8809</f>
        <v>93900</v>
      </c>
      <c r="T614" s="6"/>
      <c r="U614" s="243">
        <v>2.402125115017657E-2</v>
      </c>
      <c r="W614">
        <f t="shared" si="97"/>
        <v>604</v>
      </c>
      <c r="Y614" s="56"/>
    </row>
    <row r="615" spans="3:25" x14ac:dyDescent="0.3">
      <c r="C615" s="347">
        <f t="shared" si="93"/>
        <v>44514</v>
      </c>
      <c r="E615" s="241">
        <v>2626522</v>
      </c>
      <c r="F615" s="7"/>
      <c r="G615" s="7">
        <v>1218406</v>
      </c>
      <c r="H615" s="7"/>
      <c r="I615" s="7">
        <v>407750</v>
      </c>
      <c r="J615" s="244"/>
      <c r="K615" s="7">
        <f t="shared" si="102"/>
        <v>4252678</v>
      </c>
      <c r="L615" s="6"/>
      <c r="M615" s="438">
        <f t="shared" si="103"/>
        <v>1.434564141642251E-3</v>
      </c>
      <c r="N615" s="29"/>
      <c r="O615" s="29"/>
      <c r="P615" s="29"/>
      <c r="Q615" s="332">
        <f t="shared" si="104"/>
        <v>6092</v>
      </c>
      <c r="R615" s="6"/>
      <c r="S615" s="7">
        <f>56944+28172+8809</f>
        <v>93925</v>
      </c>
      <c r="T615" s="6"/>
      <c r="U615" s="243">
        <v>2.402125115017657E-2</v>
      </c>
      <c r="W615">
        <f t="shared" si="97"/>
        <v>605</v>
      </c>
      <c r="Y615" s="56"/>
    </row>
    <row r="616" spans="3:25" x14ac:dyDescent="0.3">
      <c r="C616" s="158">
        <f t="shared" si="93"/>
        <v>44515</v>
      </c>
      <c r="E616" s="241">
        <v>2633082</v>
      </c>
      <c r="F616" s="7"/>
      <c r="G616" s="7">
        <v>1219768</v>
      </c>
      <c r="H616" s="7"/>
      <c r="I616" s="7">
        <v>409929</v>
      </c>
      <c r="J616" s="244"/>
      <c r="K616" s="7">
        <f t="shared" si="102"/>
        <v>4262779</v>
      </c>
      <c r="L616" s="6"/>
      <c r="M616" s="438">
        <f t="shared" si="103"/>
        <v>2.3752092211072645E-3</v>
      </c>
      <c r="N616" s="29"/>
      <c r="O616" s="29"/>
      <c r="P616" s="29"/>
      <c r="Q616" s="332">
        <f t="shared" si="104"/>
        <v>10101</v>
      </c>
      <c r="R616" s="6"/>
      <c r="S616" s="7">
        <f>56976+28177+8826</f>
        <v>93979</v>
      </c>
      <c r="T616" s="6"/>
      <c r="U616" s="243">
        <v>2.402125115017657E-2</v>
      </c>
      <c r="W616">
        <f t="shared" si="97"/>
        <v>606</v>
      </c>
      <c r="Y616" s="56"/>
    </row>
    <row r="617" spans="3:25" x14ac:dyDescent="0.3">
      <c r="C617" s="158">
        <f t="shared" si="93"/>
        <v>44516</v>
      </c>
      <c r="E617" s="241">
        <v>2638106</v>
      </c>
      <c r="F617" s="7"/>
      <c r="G617" s="7">
        <v>1221507</v>
      </c>
      <c r="H617" s="7"/>
      <c r="I617" s="7">
        <v>410473</v>
      </c>
      <c r="J617" s="244"/>
      <c r="K617" s="7">
        <f t="shared" ref="K617:K648" si="105">SUM(E617:I617)</f>
        <v>4270086</v>
      </c>
      <c r="L617" s="6"/>
      <c r="M617" s="438">
        <f t="shared" ref="M617:M648" si="106">+(K617-K616)/K616</f>
        <v>1.7141400011588684E-3</v>
      </c>
      <c r="N617" s="29"/>
      <c r="O617" s="29"/>
      <c r="P617" s="29"/>
      <c r="Q617" s="332">
        <f t="shared" ref="Q617:Q648" si="107">+K617-K616</f>
        <v>7307</v>
      </c>
      <c r="R617" s="6"/>
      <c r="S617" s="7">
        <f>57020+28200+8826</f>
        <v>94046</v>
      </c>
      <c r="T617" s="6"/>
      <c r="U617" s="243">
        <v>2.402125115017657E-2</v>
      </c>
      <c r="W617">
        <f t="shared" si="97"/>
        <v>607</v>
      </c>
      <c r="Y617" s="56"/>
    </row>
    <row r="618" spans="3:25" x14ac:dyDescent="0.3">
      <c r="C618" s="158">
        <f t="shared" si="93"/>
        <v>44517</v>
      </c>
      <c r="E618" s="241">
        <v>2644177</v>
      </c>
      <c r="F618" s="7"/>
      <c r="G618" s="7">
        <v>1223455</v>
      </c>
      <c r="H618" s="7"/>
      <c r="I618" s="7">
        <v>411311</v>
      </c>
      <c r="J618" s="244"/>
      <c r="K618" s="7">
        <f t="shared" si="105"/>
        <v>4278943</v>
      </c>
      <c r="L618" s="6"/>
      <c r="M618" s="438">
        <f t="shared" si="106"/>
        <v>2.0741971004799437E-3</v>
      </c>
      <c r="N618" s="29"/>
      <c r="O618" s="29"/>
      <c r="P618" s="29"/>
      <c r="Q618" s="332">
        <f t="shared" si="107"/>
        <v>8857</v>
      </c>
      <c r="R618" s="6"/>
      <c r="S618" s="7">
        <f>57053+28220+8834</f>
        <v>94107</v>
      </c>
      <c r="T618" s="6"/>
      <c r="U618" s="243">
        <v>2.402125115017657E-2</v>
      </c>
      <c r="W618">
        <f t="shared" si="97"/>
        <v>608</v>
      </c>
      <c r="Y618" s="56"/>
    </row>
    <row r="619" spans="3:25" x14ac:dyDescent="0.3">
      <c r="C619" s="158">
        <f t="shared" si="93"/>
        <v>44518</v>
      </c>
      <c r="E619" s="241">
        <v>2652280</v>
      </c>
      <c r="F619" s="7"/>
      <c r="G619" s="7">
        <v>1225928</v>
      </c>
      <c r="H619" s="7"/>
      <c r="I619" s="7">
        <v>412058</v>
      </c>
      <c r="J619" s="244"/>
      <c r="K619" s="7">
        <f t="shared" si="105"/>
        <v>4290266</v>
      </c>
      <c r="L619" s="6"/>
      <c r="M619" s="438">
        <f t="shared" si="106"/>
        <v>2.6462142636627783E-3</v>
      </c>
      <c r="N619" s="29"/>
      <c r="O619" s="29"/>
      <c r="P619" s="29"/>
      <c r="Q619" s="332">
        <f t="shared" si="107"/>
        <v>11323</v>
      </c>
      <c r="R619" s="6"/>
      <c r="S619" s="7">
        <f>57097+28230+8834</f>
        <v>94161</v>
      </c>
      <c r="T619" s="6"/>
      <c r="U619" s="243">
        <v>2.402125115017657E-2</v>
      </c>
      <c r="W619">
        <f t="shared" si="97"/>
        <v>609</v>
      </c>
      <c r="Y619" s="56"/>
    </row>
    <row r="620" spans="3:25" x14ac:dyDescent="0.3">
      <c r="C620" s="158">
        <f t="shared" si="93"/>
        <v>44519</v>
      </c>
      <c r="E620" s="241">
        <v>2659870</v>
      </c>
      <c r="F620" s="7"/>
      <c r="G620" s="7">
        <v>1228167</v>
      </c>
      <c r="H620" s="7"/>
      <c r="I620" s="7">
        <v>412918</v>
      </c>
      <c r="J620" s="244"/>
      <c r="K620" s="7">
        <f t="shared" si="105"/>
        <v>4300955</v>
      </c>
      <c r="L620" s="6"/>
      <c r="M620" s="438">
        <f t="shared" si="106"/>
        <v>2.4914539098508113E-3</v>
      </c>
      <c r="N620" s="29"/>
      <c r="O620" s="29"/>
      <c r="P620" s="29"/>
      <c r="Q620" s="332">
        <f t="shared" si="107"/>
        <v>10689</v>
      </c>
      <c r="R620" s="6"/>
      <c r="S620" s="7">
        <f>57141+28243+8850</f>
        <v>94234</v>
      </c>
      <c r="T620" s="6"/>
      <c r="U620" s="243">
        <v>2.402125115017657E-2</v>
      </c>
      <c r="W620">
        <f t="shared" si="97"/>
        <v>610</v>
      </c>
      <c r="Y620" s="56"/>
    </row>
    <row r="621" spans="3:25" x14ac:dyDescent="0.3">
      <c r="C621" s="158">
        <f t="shared" si="93"/>
        <v>44520</v>
      </c>
      <c r="E621" s="241">
        <v>2665759</v>
      </c>
      <c r="F621" s="7"/>
      <c r="G621" s="7">
        <v>1230366</v>
      </c>
      <c r="H621" s="7"/>
      <c r="I621" s="7">
        <v>412918</v>
      </c>
      <c r="J621" s="244"/>
      <c r="K621" s="7">
        <f t="shared" si="105"/>
        <v>4309043</v>
      </c>
      <c r="L621" s="6"/>
      <c r="M621" s="438">
        <f t="shared" si="106"/>
        <v>1.8805125838331255E-3</v>
      </c>
      <c r="N621" s="29"/>
      <c r="O621" s="29"/>
      <c r="P621" s="29"/>
      <c r="Q621" s="332">
        <f t="shared" si="107"/>
        <v>8088</v>
      </c>
      <c r="R621" s="6"/>
      <c r="S621" s="7">
        <f>57158+28250+8850</f>
        <v>94258</v>
      </c>
      <c r="T621" s="6"/>
      <c r="U621" s="243">
        <v>2.402125115017657E-2</v>
      </c>
      <c r="W621">
        <f t="shared" si="97"/>
        <v>611</v>
      </c>
      <c r="Y621" s="56"/>
    </row>
    <row r="622" spans="3:25" x14ac:dyDescent="0.3">
      <c r="C622" s="347">
        <f t="shared" si="93"/>
        <v>44521</v>
      </c>
      <c r="E622" s="241">
        <v>2675150</v>
      </c>
      <c r="F622" s="7"/>
      <c r="G622" s="7">
        <v>1233511</v>
      </c>
      <c r="H622" s="7"/>
      <c r="I622" s="7">
        <v>412918</v>
      </c>
      <c r="J622" s="244"/>
      <c r="K622" s="7">
        <f t="shared" si="105"/>
        <v>4321579</v>
      </c>
      <c r="L622" s="6"/>
      <c r="M622" s="438">
        <f t="shared" si="106"/>
        <v>2.9092306574800947E-3</v>
      </c>
      <c r="N622" s="29"/>
      <c r="O622" s="29"/>
      <c r="P622" s="29"/>
      <c r="Q622" s="332">
        <f t="shared" si="107"/>
        <v>12536</v>
      </c>
      <c r="R622" s="6"/>
      <c r="S622" s="7">
        <f>57190+28265+8850</f>
        <v>94305</v>
      </c>
      <c r="T622" s="6"/>
      <c r="U622" s="243">
        <v>2.402125115017657E-2</v>
      </c>
      <c r="W622">
        <f t="shared" si="97"/>
        <v>612</v>
      </c>
      <c r="Y622" s="56"/>
    </row>
    <row r="623" spans="3:25" x14ac:dyDescent="0.3">
      <c r="C623" s="158">
        <f>+C622+1</f>
        <v>44522</v>
      </c>
      <c r="E623" s="241">
        <v>2679503</v>
      </c>
      <c r="F623" s="7"/>
      <c r="G623" s="7">
        <v>1233611</v>
      </c>
      <c r="H623" s="7"/>
      <c r="I623" s="7">
        <v>414978</v>
      </c>
      <c r="J623" s="244"/>
      <c r="K623" s="7">
        <f t="shared" si="105"/>
        <v>4328092</v>
      </c>
      <c r="L623" s="6"/>
      <c r="M623" s="438">
        <f t="shared" si="106"/>
        <v>1.5070880342578489E-3</v>
      </c>
      <c r="N623" s="29"/>
      <c r="O623" s="29"/>
      <c r="P623" s="29"/>
      <c r="Q623" s="332">
        <f t="shared" si="107"/>
        <v>6513</v>
      </c>
      <c r="R623" s="6"/>
      <c r="S623" s="7">
        <f>57215+28265+8853</f>
        <v>94333</v>
      </c>
      <c r="T623" s="6"/>
      <c r="U623" s="243">
        <v>2.402125115017657E-2</v>
      </c>
      <c r="W623">
        <f t="shared" si="97"/>
        <v>613</v>
      </c>
      <c r="Y623" s="56"/>
    </row>
    <row r="624" spans="3:25" x14ac:dyDescent="0.3">
      <c r="C624" s="158">
        <f t="shared" ref="C624:C650" si="108">+C623+1</f>
        <v>44523</v>
      </c>
      <c r="E624" s="241">
        <v>2685067</v>
      </c>
      <c r="F624" s="7"/>
      <c r="G624" s="7">
        <v>1236151</v>
      </c>
      <c r="H624" s="7"/>
      <c r="I624" s="7">
        <v>415732</v>
      </c>
      <c r="J624" s="244"/>
      <c r="K624" s="7">
        <f t="shared" si="105"/>
        <v>4336950</v>
      </c>
      <c r="L624" s="6"/>
      <c r="M624" s="438">
        <f t="shared" si="106"/>
        <v>2.0466293230365713E-3</v>
      </c>
      <c r="N624" s="29"/>
      <c r="O624" s="29"/>
      <c r="P624" s="29"/>
      <c r="Q624" s="332">
        <f t="shared" si="107"/>
        <v>8858</v>
      </c>
      <c r="R624" s="6"/>
      <c r="S624" s="7">
        <f>57250+28295+8853</f>
        <v>94398</v>
      </c>
      <c r="T624" s="6"/>
      <c r="U624" s="243">
        <v>2.402125115017657E-2</v>
      </c>
      <c r="W624">
        <f t="shared" si="97"/>
        <v>614</v>
      </c>
      <c r="Y624" s="56"/>
    </row>
    <row r="625" spans="3:25" x14ac:dyDescent="0.3">
      <c r="C625" s="158">
        <f t="shared" si="108"/>
        <v>44524</v>
      </c>
      <c r="E625" s="241">
        <v>2692142</v>
      </c>
      <c r="F625" s="7"/>
      <c r="G625" s="7">
        <v>1238359</v>
      </c>
      <c r="H625" s="7"/>
      <c r="I625" s="7">
        <v>416573</v>
      </c>
      <c r="J625" s="244"/>
      <c r="K625" s="7">
        <f t="shared" si="105"/>
        <v>4347074</v>
      </c>
      <c r="L625" s="6"/>
      <c r="M625" s="438">
        <f t="shared" si="106"/>
        <v>2.3343594000391982E-3</v>
      </c>
      <c r="N625" s="29"/>
      <c r="O625" s="29"/>
      <c r="P625" s="29"/>
      <c r="Q625" s="332">
        <f t="shared" si="107"/>
        <v>10124</v>
      </c>
      <c r="R625" s="6"/>
      <c r="S625" s="7">
        <f>57250+28295+8853</f>
        <v>94398</v>
      </c>
      <c r="T625" s="6"/>
      <c r="U625" s="243">
        <v>2.402125115017657E-2</v>
      </c>
      <c r="W625">
        <f t="shared" si="97"/>
        <v>615</v>
      </c>
      <c r="Y625" s="56"/>
    </row>
    <row r="626" spans="3:25" x14ac:dyDescent="0.3">
      <c r="C626" s="158">
        <f t="shared" si="108"/>
        <v>44525</v>
      </c>
      <c r="E626" s="241">
        <v>2701841</v>
      </c>
      <c r="F626" s="7"/>
      <c r="G626" s="7">
        <v>1243354</v>
      </c>
      <c r="H626" s="7"/>
      <c r="I626" s="7">
        <v>416573</v>
      </c>
      <c r="J626" s="244"/>
      <c r="K626" s="7">
        <f t="shared" si="105"/>
        <v>4361768</v>
      </c>
      <c r="L626" s="6"/>
      <c r="M626" s="438">
        <f t="shared" si="106"/>
        <v>3.3802047078103571E-3</v>
      </c>
      <c r="N626" s="29"/>
      <c r="O626" s="29"/>
      <c r="P626" s="29"/>
      <c r="Q626" s="332">
        <f t="shared" si="107"/>
        <v>14694</v>
      </c>
      <c r="R626" s="6"/>
      <c r="S626" s="7">
        <f>57343+28326+8865</f>
        <v>94534</v>
      </c>
      <c r="T626" s="6"/>
      <c r="U626" s="243">
        <v>2.402125115017657E-2</v>
      </c>
      <c r="W626">
        <f t="shared" si="97"/>
        <v>616</v>
      </c>
      <c r="Y626" s="56"/>
    </row>
    <row r="627" spans="3:25" x14ac:dyDescent="0.3">
      <c r="C627" s="158">
        <f t="shared" si="108"/>
        <v>44526</v>
      </c>
      <c r="E627" s="241">
        <v>2707049</v>
      </c>
      <c r="F627" s="7"/>
      <c r="G627" s="7">
        <v>1243354</v>
      </c>
      <c r="H627" s="7"/>
      <c r="I627" s="7">
        <v>418473</v>
      </c>
      <c r="J627" s="244"/>
      <c r="K627" s="7">
        <f t="shared" si="105"/>
        <v>4368876</v>
      </c>
      <c r="L627" s="6"/>
      <c r="M627" s="438">
        <f t="shared" si="106"/>
        <v>1.6296144132379347E-3</v>
      </c>
      <c r="N627" s="29"/>
      <c r="O627" s="29"/>
      <c r="P627" s="29"/>
      <c r="Q627" s="332">
        <f t="shared" si="107"/>
        <v>7108</v>
      </c>
      <c r="R627" s="6"/>
      <c r="S627" s="7">
        <f>57343+28326+8865</f>
        <v>94534</v>
      </c>
      <c r="T627" s="6"/>
      <c r="U627" s="243">
        <v>2.402125115017657E-2</v>
      </c>
      <c r="W627">
        <f t="shared" si="97"/>
        <v>617</v>
      </c>
      <c r="Y627" s="56"/>
    </row>
    <row r="628" spans="3:25" x14ac:dyDescent="0.3">
      <c r="C628" s="158">
        <f t="shared" si="108"/>
        <v>44527</v>
      </c>
      <c r="E628" s="241">
        <v>2710507</v>
      </c>
      <c r="F628" s="7"/>
      <c r="G628" s="7">
        <v>1245344</v>
      </c>
      <c r="H628" s="7"/>
      <c r="I628" s="7">
        <v>418473</v>
      </c>
      <c r="J628" s="244"/>
      <c r="K628" s="7">
        <f t="shared" si="105"/>
        <v>4374324</v>
      </c>
      <c r="L628" s="6"/>
      <c r="M628" s="438">
        <f t="shared" si="106"/>
        <v>1.2470026615541388E-3</v>
      </c>
      <c r="N628" s="29"/>
      <c r="O628" s="29"/>
      <c r="P628" s="29"/>
      <c r="Q628" s="332">
        <f t="shared" si="107"/>
        <v>5448</v>
      </c>
      <c r="R628" s="6"/>
      <c r="S628" s="7">
        <f>57401+28335+8865</f>
        <v>94601</v>
      </c>
      <c r="T628" s="6"/>
      <c r="U628" s="243">
        <v>2.402125115017657E-2</v>
      </c>
      <c r="W628">
        <f t="shared" si="97"/>
        <v>618</v>
      </c>
      <c r="Y628" s="56"/>
    </row>
    <row r="629" spans="3:25" x14ac:dyDescent="0.3">
      <c r="C629" s="347">
        <f t="shared" si="108"/>
        <v>44528</v>
      </c>
      <c r="E629" s="241">
        <v>2715335</v>
      </c>
      <c r="F629" s="7"/>
      <c r="G629" s="7">
        <v>1247213</v>
      </c>
      <c r="H629" s="7"/>
      <c r="I629" s="7">
        <v>418473</v>
      </c>
      <c r="J629" s="244"/>
      <c r="K629" s="7">
        <f t="shared" si="105"/>
        <v>4381021</v>
      </c>
      <c r="L629" s="6"/>
      <c r="M629" s="438">
        <f t="shared" si="106"/>
        <v>1.5309794153336607E-3</v>
      </c>
      <c r="N629" s="29"/>
      <c r="O629" s="29"/>
      <c r="P629" s="29"/>
      <c r="Q629" s="332">
        <f t="shared" si="107"/>
        <v>6697</v>
      </c>
      <c r="R629" s="6"/>
      <c r="S629" s="7">
        <f>57428+28339+8865</f>
        <v>94632</v>
      </c>
      <c r="T629" s="6"/>
      <c r="U629" s="243">
        <v>2.402125115017657E-2</v>
      </c>
      <c r="W629">
        <f t="shared" si="97"/>
        <v>619</v>
      </c>
      <c r="Y629" s="56"/>
    </row>
    <row r="630" spans="3:25" x14ac:dyDescent="0.3">
      <c r="C630" s="158">
        <f t="shared" si="108"/>
        <v>44529</v>
      </c>
      <c r="E630" s="241">
        <v>2724160</v>
      </c>
      <c r="F630" s="7"/>
      <c r="G630" s="7">
        <v>1252705</v>
      </c>
      <c r="H630" s="7"/>
      <c r="I630" s="7">
        <v>420785</v>
      </c>
      <c r="J630" s="244"/>
      <c r="K630" s="7">
        <f t="shared" si="105"/>
        <v>4397650</v>
      </c>
      <c r="L630" s="6"/>
      <c r="M630" s="438">
        <f t="shared" si="106"/>
        <v>3.7956905479339179E-3</v>
      </c>
      <c r="N630" s="29"/>
      <c r="O630" s="29"/>
      <c r="P630" s="29"/>
      <c r="Q630" s="332">
        <f t="shared" si="107"/>
        <v>16629</v>
      </c>
      <c r="R630" s="6"/>
      <c r="S630" s="7">
        <f>57497+28390+8864</f>
        <v>94751</v>
      </c>
      <c r="T630" s="6"/>
      <c r="U630" s="243">
        <v>2.402125115017657E-2</v>
      </c>
      <c r="W630">
        <f t="shared" si="97"/>
        <v>620</v>
      </c>
      <c r="Y630" s="56"/>
    </row>
    <row r="631" spans="3:25" x14ac:dyDescent="0.3">
      <c r="C631" s="158">
        <f t="shared" si="108"/>
        <v>44530</v>
      </c>
      <c r="E631" s="241">
        <v>2738968</v>
      </c>
      <c r="F631" s="7"/>
      <c r="G631" s="7">
        <v>1255893</v>
      </c>
      <c r="H631" s="7"/>
      <c r="I631" s="7">
        <v>422785</v>
      </c>
      <c r="J631" s="244"/>
      <c r="K631" s="7">
        <f t="shared" si="105"/>
        <v>4417646</v>
      </c>
      <c r="L631" s="6"/>
      <c r="M631" s="438">
        <f t="shared" si="106"/>
        <v>4.546973951997089E-3</v>
      </c>
      <c r="N631" s="29"/>
      <c r="O631" s="29"/>
      <c r="P631" s="29"/>
      <c r="Q631" s="332">
        <f t="shared" si="107"/>
        <v>19996</v>
      </c>
      <c r="R631" s="6"/>
      <c r="S631" s="7">
        <f>57593+28409+8909</f>
        <v>94911</v>
      </c>
      <c r="T631" s="6"/>
      <c r="U631" s="243">
        <v>2.402125115017657E-2</v>
      </c>
      <c r="W631">
        <f t="shared" si="97"/>
        <v>621</v>
      </c>
      <c r="Y631" s="56"/>
    </row>
    <row r="632" spans="3:25" x14ac:dyDescent="0.3">
      <c r="C632" s="158">
        <f t="shared" si="108"/>
        <v>44531</v>
      </c>
      <c r="E632" s="241">
        <v>2750327</v>
      </c>
      <c r="F632" s="7"/>
      <c r="G632" s="7">
        <v>1260355</v>
      </c>
      <c r="H632" s="7"/>
      <c r="I632" s="7">
        <v>424412</v>
      </c>
      <c r="J632" s="244"/>
      <c r="K632" s="7">
        <f t="shared" si="105"/>
        <v>4435094</v>
      </c>
      <c r="L632" s="6"/>
      <c r="M632" s="438">
        <f t="shared" si="106"/>
        <v>3.9496147948477542E-3</v>
      </c>
      <c r="N632" s="29"/>
      <c r="O632" s="29"/>
      <c r="P632" s="29"/>
      <c r="Q632" s="332">
        <f t="shared" si="107"/>
        <v>17448</v>
      </c>
      <c r="R632" s="6"/>
      <c r="S632" s="7">
        <f>57643+28420+8909</f>
        <v>94972</v>
      </c>
      <c r="T632" s="6"/>
      <c r="U632" s="243">
        <v>2.402125115017657E-2</v>
      </c>
      <c r="W632">
        <f t="shared" si="97"/>
        <v>622</v>
      </c>
      <c r="Y632" s="56"/>
    </row>
    <row r="633" spans="3:25" x14ac:dyDescent="0.3">
      <c r="C633" s="158">
        <f t="shared" si="108"/>
        <v>44532</v>
      </c>
      <c r="E633" s="241">
        <v>2752299</v>
      </c>
      <c r="F633" s="7"/>
      <c r="G633" s="7">
        <v>1264818</v>
      </c>
      <c r="H633" s="7"/>
      <c r="I633" s="7">
        <v>425275</v>
      </c>
      <c r="J633" s="244"/>
      <c r="K633" s="7">
        <f t="shared" si="105"/>
        <v>4442392</v>
      </c>
      <c r="L633" s="6"/>
      <c r="M633" s="438">
        <f t="shared" si="106"/>
        <v>1.6455119102323423E-3</v>
      </c>
      <c r="N633" s="29"/>
      <c r="O633" s="29"/>
      <c r="P633" s="29"/>
      <c r="Q633" s="332">
        <f t="shared" si="107"/>
        <v>7298</v>
      </c>
      <c r="R633" s="6"/>
      <c r="S633" s="7">
        <f>57654+28434+8925</f>
        <v>95013</v>
      </c>
      <c r="T633" s="6"/>
      <c r="U633" s="243">
        <v>2.402125115017657E-2</v>
      </c>
      <c r="W633">
        <f t="shared" si="97"/>
        <v>623</v>
      </c>
      <c r="Y633" s="56"/>
    </row>
    <row r="634" spans="3:25" x14ac:dyDescent="0.3">
      <c r="C634" s="158">
        <f t="shared" si="108"/>
        <v>44533</v>
      </c>
      <c r="E634" s="241">
        <v>2761545</v>
      </c>
      <c r="F634" s="7"/>
      <c r="G634" s="7">
        <v>1264818</v>
      </c>
      <c r="H634" s="7"/>
      <c r="I634" s="7">
        <v>425275</v>
      </c>
      <c r="J634" s="244"/>
      <c r="K634" s="7">
        <f t="shared" si="105"/>
        <v>4451638</v>
      </c>
      <c r="L634" s="6"/>
      <c r="M634" s="438">
        <f t="shared" si="106"/>
        <v>2.0813111494888338E-3</v>
      </c>
      <c r="N634" s="29"/>
      <c r="O634" s="29"/>
      <c r="P634" s="29"/>
      <c r="Q634" s="332">
        <f t="shared" si="107"/>
        <v>9246</v>
      </c>
      <c r="R634" s="6"/>
      <c r="S634" s="7">
        <f>57695+28434+8925</f>
        <v>95054</v>
      </c>
      <c r="T634" s="6"/>
      <c r="U634" s="243">
        <v>2.402125115017657E-2</v>
      </c>
      <c r="W634">
        <f t="shared" si="97"/>
        <v>624</v>
      </c>
      <c r="Y634" s="56"/>
    </row>
    <row r="635" spans="3:25" x14ac:dyDescent="0.3">
      <c r="C635" s="158">
        <f t="shared" si="108"/>
        <v>44534</v>
      </c>
      <c r="E635" s="241">
        <v>2769624</v>
      </c>
      <c r="F635" s="7"/>
      <c r="G635" s="7">
        <v>1272728</v>
      </c>
      <c r="H635" s="7"/>
      <c r="I635" s="7">
        <v>425275</v>
      </c>
      <c r="J635" s="244"/>
      <c r="K635" s="7">
        <f t="shared" si="105"/>
        <v>4467627</v>
      </c>
      <c r="L635" s="6"/>
      <c r="M635" s="438">
        <f t="shared" si="106"/>
        <v>3.5917116351329554E-3</v>
      </c>
      <c r="N635" s="29"/>
      <c r="O635" s="29"/>
      <c r="P635" s="29"/>
      <c r="Q635" s="332">
        <f t="shared" si="107"/>
        <v>15989</v>
      </c>
      <c r="R635" s="6"/>
      <c r="S635" s="7">
        <f>57725+28457+8925</f>
        <v>95107</v>
      </c>
      <c r="T635" s="6"/>
      <c r="U635" s="243">
        <v>2.402125115017657E-2</v>
      </c>
      <c r="W635">
        <f t="shared" si="97"/>
        <v>625</v>
      </c>
      <c r="Y635" s="56"/>
    </row>
    <row r="636" spans="3:25" x14ac:dyDescent="0.3">
      <c r="C636" s="347">
        <f t="shared" si="108"/>
        <v>44535</v>
      </c>
      <c r="E636" s="241">
        <v>2777942</v>
      </c>
      <c r="F636" s="7"/>
      <c r="G636" s="7">
        <v>1272728</v>
      </c>
      <c r="H636" s="7"/>
      <c r="I636" s="7">
        <v>425276</v>
      </c>
      <c r="J636" s="244"/>
      <c r="K636" s="7">
        <f t="shared" si="105"/>
        <v>4475946</v>
      </c>
      <c r="L636" s="6"/>
      <c r="M636" s="438">
        <f t="shared" si="106"/>
        <v>1.862062343163384E-3</v>
      </c>
      <c r="N636" s="29"/>
      <c r="O636" s="29"/>
      <c r="P636" s="29"/>
      <c r="Q636" s="332">
        <f t="shared" si="107"/>
        <v>8319</v>
      </c>
      <c r="R636" s="6"/>
      <c r="S636" s="7">
        <f>57757+28457+8925</f>
        <v>95139</v>
      </c>
      <c r="T636" s="6"/>
      <c r="U636" s="243">
        <v>2.402125115017657E-2</v>
      </c>
      <c r="W636">
        <f t="shared" si="97"/>
        <v>626</v>
      </c>
      <c r="Y636" s="56"/>
    </row>
    <row r="637" spans="3:25" x14ac:dyDescent="0.3">
      <c r="C637" s="158">
        <f t="shared" si="108"/>
        <v>44536</v>
      </c>
      <c r="E637" s="241">
        <v>2790577</v>
      </c>
      <c r="F637" s="7"/>
      <c r="G637" s="7">
        <v>1279667</v>
      </c>
      <c r="H637" s="7"/>
      <c r="I637" s="7">
        <v>432675</v>
      </c>
      <c r="J637" s="244"/>
      <c r="K637" s="7">
        <f t="shared" si="105"/>
        <v>4502919</v>
      </c>
      <c r="L637" s="6"/>
      <c r="M637" s="438">
        <f t="shared" si="106"/>
        <v>6.0262121124785685E-3</v>
      </c>
      <c r="N637" s="29"/>
      <c r="O637" s="29"/>
      <c r="P637" s="29"/>
      <c r="Q637" s="332">
        <f t="shared" si="107"/>
        <v>26973</v>
      </c>
      <c r="R637" s="6"/>
      <c r="S637" s="7">
        <f>57839+28494+8945</f>
        <v>95278</v>
      </c>
      <c r="T637" s="6"/>
      <c r="U637" s="243">
        <v>2.402125115017657E-2</v>
      </c>
      <c r="W637">
        <f t="shared" si="97"/>
        <v>627</v>
      </c>
      <c r="Y637" s="56"/>
    </row>
    <row r="638" spans="3:25" x14ac:dyDescent="0.3">
      <c r="C638" s="158">
        <f t="shared" si="108"/>
        <v>44537</v>
      </c>
      <c r="E638" s="241">
        <v>2796990</v>
      </c>
      <c r="F638" s="7"/>
      <c r="G638" s="7">
        <v>1279667</v>
      </c>
      <c r="H638" s="7"/>
      <c r="I638" s="7">
        <v>432675</v>
      </c>
      <c r="J638" s="244"/>
      <c r="K638" s="7">
        <f t="shared" si="105"/>
        <v>4509332</v>
      </c>
      <c r="L638" s="6"/>
      <c r="M638" s="438">
        <f t="shared" si="106"/>
        <v>1.424187288290107E-3</v>
      </c>
      <c r="N638" s="29"/>
      <c r="O638" s="29"/>
      <c r="P638" s="29"/>
      <c r="Q638" s="332">
        <f t="shared" si="107"/>
        <v>6413</v>
      </c>
      <c r="R638" s="6"/>
      <c r="S638" s="7">
        <f>57880+28494+8945</f>
        <v>95319</v>
      </c>
      <c r="T638" s="6"/>
      <c r="U638" s="243">
        <v>2.402125115017657E-2</v>
      </c>
      <c r="W638">
        <f t="shared" si="97"/>
        <v>628</v>
      </c>
      <c r="Y638" s="56"/>
    </row>
    <row r="639" spans="3:25" x14ac:dyDescent="0.3">
      <c r="C639" s="158">
        <f t="shared" si="108"/>
        <v>44538</v>
      </c>
      <c r="E639" s="241">
        <v>2806456</v>
      </c>
      <c r="F639" s="7"/>
      <c r="G639" s="7">
        <v>1283925</v>
      </c>
      <c r="H639" s="7"/>
      <c r="I639" s="7">
        <v>433464</v>
      </c>
      <c r="J639" s="244"/>
      <c r="K639" s="7">
        <f t="shared" si="105"/>
        <v>4523845</v>
      </c>
      <c r="L639" s="6"/>
      <c r="M639" s="438">
        <f t="shared" si="106"/>
        <v>3.2184367884201029E-3</v>
      </c>
      <c r="N639" s="29"/>
      <c r="O639" s="29"/>
      <c r="P639" s="29"/>
      <c r="Q639" s="332">
        <f t="shared" si="107"/>
        <v>14513</v>
      </c>
      <c r="R639" s="6"/>
      <c r="S639" s="7">
        <f>57934+28518+8946</f>
        <v>95398</v>
      </c>
      <c r="T639" s="6"/>
      <c r="U639" s="243">
        <v>2.402125115017657E-2</v>
      </c>
      <c r="W639">
        <f t="shared" si="97"/>
        <v>629</v>
      </c>
      <c r="Y639" s="56"/>
    </row>
    <row r="640" spans="3:25" x14ac:dyDescent="0.3">
      <c r="C640" s="158">
        <f t="shared" si="108"/>
        <v>44539</v>
      </c>
      <c r="E640" s="241">
        <v>2818176</v>
      </c>
      <c r="F640" s="7"/>
      <c r="G640" s="7">
        <v>1289542</v>
      </c>
      <c r="H640" s="7"/>
      <c r="I640" s="7">
        <v>436143</v>
      </c>
      <c r="J640" s="244"/>
      <c r="K640" s="7">
        <f t="shared" si="105"/>
        <v>4543861</v>
      </c>
      <c r="L640" s="6"/>
      <c r="M640" s="438">
        <f t="shared" si="106"/>
        <v>4.4245547758599161E-3</v>
      </c>
      <c r="N640" s="29"/>
      <c r="O640" s="29"/>
      <c r="P640" s="29"/>
      <c r="Q640" s="332">
        <f t="shared" si="107"/>
        <v>20016</v>
      </c>
      <c r="R640" s="6"/>
      <c r="S640" s="7">
        <f>57934+28518+8946</f>
        <v>95398</v>
      </c>
      <c r="T640" s="6"/>
      <c r="U640" s="243">
        <v>2.402125115017657E-2</v>
      </c>
      <c r="W640">
        <f t="shared" si="97"/>
        <v>630</v>
      </c>
      <c r="Y640" s="56"/>
    </row>
    <row r="641" spans="3:25" x14ac:dyDescent="0.3">
      <c r="C641" s="158">
        <f t="shared" si="108"/>
        <v>44540</v>
      </c>
      <c r="E641" s="241">
        <v>2829502</v>
      </c>
      <c r="F641" s="7"/>
      <c r="G641" s="7">
        <v>1295005</v>
      </c>
      <c r="H641" s="7"/>
      <c r="I641" s="7">
        <v>439423</v>
      </c>
      <c r="J641" s="244"/>
      <c r="K641" s="7">
        <f t="shared" si="105"/>
        <v>4563930</v>
      </c>
      <c r="L641" s="6"/>
      <c r="M641" s="438">
        <f t="shared" si="106"/>
        <v>4.4167284166483087E-3</v>
      </c>
      <c r="N641" s="29"/>
      <c r="O641" s="29"/>
      <c r="P641" s="29"/>
      <c r="Q641" s="332">
        <f t="shared" si="107"/>
        <v>20069</v>
      </c>
      <c r="R641" s="6"/>
      <c r="S641" s="7">
        <f>58072+28543+8972</f>
        <v>95587</v>
      </c>
      <c r="T641" s="6"/>
      <c r="U641" s="243">
        <v>2.402125115017657E-2</v>
      </c>
      <c r="W641">
        <f t="shared" si="97"/>
        <v>631</v>
      </c>
      <c r="Y641" s="56"/>
    </row>
    <row r="642" spans="3:25" x14ac:dyDescent="0.3">
      <c r="C642" s="158">
        <f t="shared" si="108"/>
        <v>44541</v>
      </c>
      <c r="E642" s="241">
        <v>2839326</v>
      </c>
      <c r="F642" s="7"/>
      <c r="G642" s="7">
        <v>1299601</v>
      </c>
      <c r="H642" s="7"/>
      <c r="I642" s="7">
        <v>439423</v>
      </c>
      <c r="J642" s="244"/>
      <c r="K642" s="7">
        <f t="shared" si="105"/>
        <v>4578350</v>
      </c>
      <c r="L642" s="6"/>
      <c r="M642" s="438">
        <f t="shared" si="106"/>
        <v>3.1595576619273301E-3</v>
      </c>
      <c r="N642" s="29"/>
      <c r="O642" s="29"/>
      <c r="P642" s="29"/>
      <c r="Q642" s="332">
        <f t="shared" si="107"/>
        <v>14420</v>
      </c>
      <c r="R642" s="6"/>
      <c r="S642" s="7">
        <f>58122+28568+8972</f>
        <v>95662</v>
      </c>
      <c r="T642" s="6"/>
      <c r="U642" s="243">
        <v>2.402125115017657E-2</v>
      </c>
      <c r="W642">
        <f t="shared" si="97"/>
        <v>632</v>
      </c>
      <c r="Y642" s="56"/>
    </row>
    <row r="643" spans="3:25" x14ac:dyDescent="0.3">
      <c r="C643" s="347">
        <f t="shared" si="108"/>
        <v>44542</v>
      </c>
      <c r="E643" s="241">
        <v>2846533</v>
      </c>
      <c r="F643" s="7"/>
      <c r="G643" s="7">
        <v>1303443</v>
      </c>
      <c r="H643" s="7"/>
      <c r="I643" s="7">
        <v>439423</v>
      </c>
      <c r="J643" s="244"/>
      <c r="K643" s="7">
        <f t="shared" si="105"/>
        <v>4589399</v>
      </c>
      <c r="L643" s="6"/>
      <c r="M643" s="438">
        <f t="shared" si="106"/>
        <v>2.4133148404993066E-3</v>
      </c>
      <c r="N643" s="29"/>
      <c r="O643" s="29"/>
      <c r="P643" s="29"/>
      <c r="Q643" s="332">
        <f t="shared" si="107"/>
        <v>11049</v>
      </c>
      <c r="R643" s="6"/>
      <c r="S643" s="7">
        <f>58168+28576+8972</f>
        <v>95716</v>
      </c>
      <c r="T643" s="6"/>
      <c r="U643" s="243">
        <v>2.402125115017657E-2</v>
      </c>
      <c r="W643">
        <f t="shared" si="97"/>
        <v>633</v>
      </c>
      <c r="Y643" s="56"/>
    </row>
    <row r="644" spans="3:25" x14ac:dyDescent="0.3">
      <c r="C644" s="158">
        <f t="shared" si="108"/>
        <v>44543</v>
      </c>
      <c r="E644" s="241">
        <v>2860036</v>
      </c>
      <c r="F644" s="7"/>
      <c r="G644" s="7">
        <v>1303443</v>
      </c>
      <c r="H644" s="7"/>
      <c r="I644" s="7">
        <v>447316</v>
      </c>
      <c r="J644" s="244"/>
      <c r="K644" s="7">
        <f t="shared" si="105"/>
        <v>4610795</v>
      </c>
      <c r="L644" s="6"/>
      <c r="M644" s="438">
        <f t="shared" si="106"/>
        <v>4.6620483422774965E-3</v>
      </c>
      <c r="N644" s="29"/>
      <c r="O644" s="29"/>
      <c r="P644" s="29"/>
      <c r="Q644" s="332">
        <f t="shared" si="107"/>
        <v>21396</v>
      </c>
      <c r="R644" s="6"/>
      <c r="S644" s="7">
        <f>58222+28589+8972</f>
        <v>95783</v>
      </c>
      <c r="T644" s="6"/>
      <c r="U644" s="243">
        <v>2.402125115017657E-2</v>
      </c>
      <c r="W644">
        <f t="shared" si="97"/>
        <v>634</v>
      </c>
      <c r="Y644" s="56"/>
    </row>
    <row r="645" spans="3:25" x14ac:dyDescent="0.3">
      <c r="C645" s="158">
        <f t="shared" si="108"/>
        <v>44544</v>
      </c>
      <c r="E645" s="241">
        <v>2868885</v>
      </c>
      <c r="F645" s="7"/>
      <c r="G645" s="7">
        <v>1311119</v>
      </c>
      <c r="H645" s="7"/>
      <c r="I645" s="7">
        <v>450315</v>
      </c>
      <c r="J645" s="244"/>
      <c r="K645" s="7">
        <f t="shared" si="105"/>
        <v>4630319</v>
      </c>
      <c r="L645" s="6"/>
      <c r="M645" s="438">
        <f t="shared" si="106"/>
        <v>4.2344107686418499E-3</v>
      </c>
      <c r="N645" s="29"/>
      <c r="O645" s="29"/>
      <c r="P645" s="29"/>
      <c r="Q645" s="332">
        <f t="shared" si="107"/>
        <v>19524</v>
      </c>
      <c r="R645" s="6"/>
      <c r="S645" s="7">
        <f>58287+28613+9000</f>
        <v>95900</v>
      </c>
      <c r="T645" s="6"/>
      <c r="U645" s="243">
        <v>2.402125115017657E-2</v>
      </c>
      <c r="W645">
        <f t="shared" si="97"/>
        <v>635</v>
      </c>
      <c r="Y645" s="56"/>
    </row>
    <row r="646" spans="3:25" x14ac:dyDescent="0.3">
      <c r="C646" s="158">
        <f t="shared" si="108"/>
        <v>44545</v>
      </c>
      <c r="E646" s="241">
        <v>2881565</v>
      </c>
      <c r="F646" s="7"/>
      <c r="G646" s="7">
        <v>1316108</v>
      </c>
      <c r="H646" s="7"/>
      <c r="I646" s="7">
        <v>452038</v>
      </c>
      <c r="J646" s="244"/>
      <c r="K646" s="7">
        <f t="shared" si="105"/>
        <v>4649711</v>
      </c>
      <c r="L646" s="6"/>
      <c r="M646" s="438">
        <f t="shared" si="106"/>
        <v>4.1880483828436012E-3</v>
      </c>
      <c r="N646" s="29"/>
      <c r="O646" s="29"/>
      <c r="P646" s="29"/>
      <c r="Q646" s="332">
        <f t="shared" si="107"/>
        <v>19392</v>
      </c>
      <c r="R646" s="6"/>
      <c r="S646" s="7">
        <f>58368+28643+9002</f>
        <v>96013</v>
      </c>
      <c r="T646" s="6"/>
      <c r="U646" s="243">
        <v>2.402125115017657E-2</v>
      </c>
      <c r="W646">
        <f t="shared" si="97"/>
        <v>636</v>
      </c>
      <c r="Y646" s="56"/>
    </row>
    <row r="647" spans="3:25" x14ac:dyDescent="0.3">
      <c r="C647" s="158">
        <f t="shared" si="108"/>
        <v>44546</v>
      </c>
      <c r="E647" s="241">
        <v>2899469</v>
      </c>
      <c r="F647" s="7"/>
      <c r="G647" s="7">
        <v>1323331</v>
      </c>
      <c r="H647" s="7"/>
      <c r="I647" s="7">
        <v>454123</v>
      </c>
      <c r="J647" s="244"/>
      <c r="K647" s="7">
        <f t="shared" si="105"/>
        <v>4676923</v>
      </c>
      <c r="L647" s="6"/>
      <c r="M647" s="438">
        <f t="shared" si="106"/>
        <v>5.852406740978095E-3</v>
      </c>
      <c r="N647" s="29"/>
      <c r="O647" s="29"/>
      <c r="P647" s="29"/>
      <c r="Q647" s="332">
        <f t="shared" si="107"/>
        <v>27212</v>
      </c>
      <c r="R647" s="6"/>
      <c r="S647" s="7">
        <f>58412+28659+9002</f>
        <v>96073</v>
      </c>
      <c r="T647" s="6"/>
      <c r="U647" s="243">
        <v>2.402125115017657E-2</v>
      </c>
      <c r="W647">
        <f t="shared" si="97"/>
        <v>637</v>
      </c>
      <c r="Y647" s="56"/>
    </row>
    <row r="648" spans="3:25" x14ac:dyDescent="0.3">
      <c r="C648" s="158">
        <f t="shared" si="108"/>
        <v>44547</v>
      </c>
      <c r="E648" s="241">
        <v>2920366</v>
      </c>
      <c r="F648" s="7"/>
      <c r="G648" s="7">
        <v>1330728</v>
      </c>
      <c r="H648" s="7"/>
      <c r="I648" s="7">
        <v>455566</v>
      </c>
      <c r="J648" s="244"/>
      <c r="K648" s="7">
        <f t="shared" si="105"/>
        <v>4706660</v>
      </c>
      <c r="L648" s="6"/>
      <c r="M648" s="438">
        <f t="shared" si="106"/>
        <v>6.3582402361552675E-3</v>
      </c>
      <c r="N648" s="29"/>
      <c r="O648" s="29"/>
      <c r="P648" s="29"/>
      <c r="Q648" s="332">
        <f t="shared" si="107"/>
        <v>29737</v>
      </c>
      <c r="R648" s="6"/>
      <c r="S648" s="7">
        <f>58492+28675+9002</f>
        <v>96169</v>
      </c>
      <c r="T648" s="6"/>
      <c r="U648" s="243">
        <v>2.402125115017657E-2</v>
      </c>
      <c r="W648">
        <f t="shared" si="97"/>
        <v>638</v>
      </c>
      <c r="Y648" s="56"/>
    </row>
    <row r="649" spans="3:25" x14ac:dyDescent="0.3">
      <c r="C649" s="158">
        <f t="shared" si="108"/>
        <v>44548</v>
      </c>
      <c r="E649" s="241">
        <v>2934453</v>
      </c>
      <c r="F649" s="7"/>
      <c r="G649" s="7">
        <v>1338372</v>
      </c>
      <c r="H649" s="7"/>
      <c r="I649" s="7">
        <v>455566</v>
      </c>
      <c r="J649" s="244"/>
      <c r="K649" s="7">
        <f t="shared" ref="K649:K678" si="109">SUM(E649:I649)</f>
        <v>4728391</v>
      </c>
      <c r="L649" s="6"/>
      <c r="M649" s="438">
        <f t="shared" ref="M649:M678" si="110">+(K649-K648)/K648</f>
        <v>4.6170745284341763E-3</v>
      </c>
      <c r="N649" s="29"/>
      <c r="O649" s="29"/>
      <c r="P649" s="29"/>
      <c r="Q649" s="332">
        <f t="shared" ref="Q649:Q678" si="111">+K649-K648</f>
        <v>21731</v>
      </c>
      <c r="R649" s="6"/>
      <c r="S649" s="7">
        <f>58540+28708+9002</f>
        <v>96250</v>
      </c>
      <c r="T649" s="6"/>
      <c r="U649" s="243">
        <v>2.402125115017657E-2</v>
      </c>
      <c r="W649">
        <f t="shared" si="97"/>
        <v>639</v>
      </c>
      <c r="Y649" s="56"/>
    </row>
    <row r="650" spans="3:25" x14ac:dyDescent="0.3">
      <c r="C650" s="347">
        <f t="shared" si="108"/>
        <v>44549</v>
      </c>
      <c r="E650" s="241">
        <v>2960416</v>
      </c>
      <c r="F650" s="7"/>
      <c r="G650" s="7">
        <v>1345717</v>
      </c>
      <c r="H650" s="7"/>
      <c r="I650" s="7">
        <v>455566</v>
      </c>
      <c r="J650" s="244"/>
      <c r="K650" s="7">
        <f t="shared" si="109"/>
        <v>4761699</v>
      </c>
      <c r="L650" s="6"/>
      <c r="M650" s="438">
        <f t="shared" si="110"/>
        <v>7.0442567038132E-3</v>
      </c>
      <c r="N650" s="29"/>
      <c r="O650" s="29"/>
      <c r="P650" s="29"/>
      <c r="Q650" s="332">
        <f t="shared" si="111"/>
        <v>33308</v>
      </c>
      <c r="R650" s="6"/>
      <c r="S650" s="7">
        <f>58600+28714+9002</f>
        <v>96316</v>
      </c>
      <c r="T650" s="6"/>
      <c r="U650" s="243">
        <v>2.402125115017657E-2</v>
      </c>
      <c r="W650">
        <f t="shared" si="97"/>
        <v>640</v>
      </c>
      <c r="Y650" s="56"/>
    </row>
    <row r="651" spans="3:25" x14ac:dyDescent="0.3">
      <c r="C651" s="158">
        <f>+C650+1</f>
        <v>44550</v>
      </c>
      <c r="E651" s="241">
        <v>2982994</v>
      </c>
      <c r="F651" s="7"/>
      <c r="G651" s="7">
        <v>1352812</v>
      </c>
      <c r="H651" s="7"/>
      <c r="I651" s="7">
        <v>461775</v>
      </c>
      <c r="J651" s="244"/>
      <c r="K651" s="7">
        <f t="shared" si="109"/>
        <v>4797581</v>
      </c>
      <c r="L651" s="6"/>
      <c r="M651" s="438">
        <f t="shared" si="110"/>
        <v>7.5355456109258484E-3</v>
      </c>
      <c r="N651" s="29"/>
      <c r="O651" s="29"/>
      <c r="P651" s="29"/>
      <c r="Q651" s="332">
        <f t="shared" si="111"/>
        <v>35882</v>
      </c>
      <c r="R651" s="6"/>
      <c r="S651" s="7">
        <f>58649+28730+9042</f>
        <v>96421</v>
      </c>
      <c r="T651" s="6"/>
      <c r="U651" s="243">
        <v>2.402125115017657E-2</v>
      </c>
      <c r="W651">
        <f t="shared" si="97"/>
        <v>641</v>
      </c>
      <c r="Y651" s="56"/>
    </row>
    <row r="652" spans="3:25" x14ac:dyDescent="0.3">
      <c r="C652" s="158">
        <f t="shared" ref="C652:C662" si="112">+C651+1</f>
        <v>44551</v>
      </c>
      <c r="E652" s="241">
        <v>3010000</v>
      </c>
      <c r="F652" s="7"/>
      <c r="G652" s="7">
        <v>1363000</v>
      </c>
      <c r="H652" s="7"/>
      <c r="I652" s="7">
        <v>465000</v>
      </c>
      <c r="J652" s="244"/>
      <c r="K652" s="7">
        <f t="shared" si="109"/>
        <v>4838000</v>
      </c>
      <c r="L652" s="6"/>
      <c r="M652" s="438">
        <f t="shared" si="110"/>
        <v>8.4248707838387726E-3</v>
      </c>
      <c r="N652" s="29"/>
      <c r="O652" s="29"/>
      <c r="P652" s="29"/>
      <c r="Q652" s="332">
        <f t="shared" si="111"/>
        <v>40419</v>
      </c>
      <c r="R652" s="6"/>
      <c r="S652" s="7">
        <f>58649+28730+9042</f>
        <v>96421</v>
      </c>
      <c r="T652" s="6"/>
      <c r="U652" s="243">
        <v>2.402125115017657E-2</v>
      </c>
      <c r="W652">
        <f t="shared" si="97"/>
        <v>642</v>
      </c>
      <c r="Y652" s="56"/>
    </row>
    <row r="653" spans="3:25" x14ac:dyDescent="0.3">
      <c r="C653" s="158">
        <f t="shared" si="112"/>
        <v>44552</v>
      </c>
      <c r="E653" s="241">
        <v>3035474</v>
      </c>
      <c r="F653" s="7"/>
      <c r="G653" s="7">
        <v>1373212</v>
      </c>
      <c r="H653" s="7"/>
      <c r="I653" s="7">
        <v>471141</v>
      </c>
      <c r="J653" s="244"/>
      <c r="K653" s="7">
        <f t="shared" si="109"/>
        <v>4879827</v>
      </c>
      <c r="L653" s="6"/>
      <c r="M653" s="438">
        <f t="shared" si="110"/>
        <v>8.6455146754857385E-3</v>
      </c>
      <c r="N653" s="29"/>
      <c r="O653" s="29"/>
      <c r="P653" s="29"/>
      <c r="Q653" s="332">
        <f t="shared" si="111"/>
        <v>41827</v>
      </c>
      <c r="R653" s="6"/>
      <c r="S653" s="7">
        <f>58649+28730+9042</f>
        <v>96421</v>
      </c>
      <c r="T653" s="6"/>
      <c r="U653" s="243">
        <v>2.402125115017657E-2</v>
      </c>
      <c r="W653">
        <f t="shared" si="97"/>
        <v>643</v>
      </c>
      <c r="Y653" s="56"/>
    </row>
    <row r="654" spans="3:25" x14ac:dyDescent="0.3">
      <c r="C654" s="158">
        <f t="shared" si="112"/>
        <v>44553</v>
      </c>
      <c r="E654" s="241">
        <v>3070884</v>
      </c>
      <c r="F654" s="7"/>
      <c r="G654" s="7">
        <v>1391334</v>
      </c>
      <c r="H654" s="7"/>
      <c r="I654" s="7">
        <v>474557</v>
      </c>
      <c r="J654" s="244"/>
      <c r="K654" s="7">
        <f t="shared" si="109"/>
        <v>4936775</v>
      </c>
      <c r="L654" s="6"/>
      <c r="M654" s="438">
        <f t="shared" si="110"/>
        <v>1.16700858452564E-2</v>
      </c>
      <c r="N654" s="29"/>
      <c r="O654" s="29"/>
      <c r="P654" s="29"/>
      <c r="Q654" s="332">
        <f t="shared" si="111"/>
        <v>56948</v>
      </c>
      <c r="R654" s="6"/>
      <c r="S654" s="7">
        <f>58889+28822+9077</f>
        <v>96788</v>
      </c>
      <c r="T654" s="6"/>
      <c r="U654" s="243">
        <v>2.402125115017657E-2</v>
      </c>
      <c r="W654">
        <f t="shared" si="97"/>
        <v>644</v>
      </c>
      <c r="Y654" s="56"/>
    </row>
    <row r="655" spans="3:25" x14ac:dyDescent="0.3">
      <c r="C655" s="158">
        <f t="shared" si="112"/>
        <v>44554</v>
      </c>
      <c r="E655" s="241">
        <v>3102022</v>
      </c>
      <c r="F655" s="7"/>
      <c r="G655" s="7">
        <v>1410275</v>
      </c>
      <c r="H655" s="7"/>
      <c r="I655" s="7">
        <v>474557</v>
      </c>
      <c r="J655" s="244"/>
      <c r="K655" s="7">
        <f t="shared" si="109"/>
        <v>4986854</v>
      </c>
      <c r="L655" s="6"/>
      <c r="M655" s="438">
        <f t="shared" si="110"/>
        <v>1.0144071787756177E-2</v>
      </c>
      <c r="N655" s="29"/>
      <c r="O655" s="29"/>
      <c r="P655" s="29"/>
      <c r="Q655" s="332">
        <f t="shared" si="111"/>
        <v>50079</v>
      </c>
      <c r="R655" s="6"/>
      <c r="S655" s="7">
        <f>58937+28884+9077</f>
        <v>96898</v>
      </c>
      <c r="T655" s="6"/>
      <c r="U655" s="243">
        <v>2.402125115017657E-2</v>
      </c>
      <c r="W655">
        <f t="shared" si="97"/>
        <v>645</v>
      </c>
      <c r="Y655" s="56"/>
    </row>
    <row r="656" spans="3:25" x14ac:dyDescent="0.3">
      <c r="C656" s="158">
        <f t="shared" si="112"/>
        <v>44555</v>
      </c>
      <c r="E656" s="241">
        <v>3102002</v>
      </c>
      <c r="F656" s="7"/>
      <c r="G656" s="7">
        <v>1429756</v>
      </c>
      <c r="H656" s="7"/>
      <c r="I656" s="7">
        <v>474557</v>
      </c>
      <c r="J656" s="244"/>
      <c r="K656" s="7">
        <f t="shared" si="109"/>
        <v>5006315</v>
      </c>
      <c r="L656" s="6"/>
      <c r="M656" s="438">
        <f t="shared" si="110"/>
        <v>3.9024603487489307E-3</v>
      </c>
      <c r="N656" s="29"/>
      <c r="O656" s="29"/>
      <c r="P656" s="29"/>
      <c r="Q656" s="332">
        <f t="shared" si="111"/>
        <v>19461</v>
      </c>
      <c r="R656" s="6"/>
      <c r="S656" s="7">
        <f>58937+28854+9077</f>
        <v>96868</v>
      </c>
      <c r="T656" s="6"/>
      <c r="U656" s="243">
        <v>2.402125115017657E-2</v>
      </c>
      <c r="W656">
        <f t="shared" si="97"/>
        <v>646</v>
      </c>
      <c r="Y656" s="56"/>
    </row>
    <row r="657" spans="3:25" x14ac:dyDescent="0.3">
      <c r="C657" s="347">
        <f t="shared" si="112"/>
        <v>44556</v>
      </c>
      <c r="E657" s="241">
        <v>3184372</v>
      </c>
      <c r="F657" s="7"/>
      <c r="G657" s="7">
        <v>1443915</v>
      </c>
      <c r="H657" s="7"/>
      <c r="I657" s="7">
        <v>474557</v>
      </c>
      <c r="J657" s="244"/>
      <c r="K657" s="7">
        <f t="shared" si="109"/>
        <v>5102844</v>
      </c>
      <c r="L657" s="6"/>
      <c r="M657" s="438">
        <f t="shared" si="110"/>
        <v>1.9281447531767377E-2</v>
      </c>
      <c r="N657" s="29"/>
      <c r="O657" s="29"/>
      <c r="P657" s="29"/>
      <c r="Q657" s="332">
        <f t="shared" si="111"/>
        <v>96529</v>
      </c>
      <c r="R657" s="6"/>
      <c r="S657" s="7">
        <f>58980+28861+9077</f>
        <v>96918</v>
      </c>
      <c r="T657" s="6"/>
      <c r="U657" s="243">
        <v>2.402125115017657E-2</v>
      </c>
      <c r="W657">
        <f t="shared" si="97"/>
        <v>647</v>
      </c>
      <c r="Y657" s="56"/>
    </row>
    <row r="658" spans="3:25" x14ac:dyDescent="0.3">
      <c r="C658" s="158">
        <f t="shared" si="112"/>
        <v>44557</v>
      </c>
      <c r="E658" s="241">
        <v>3221100</v>
      </c>
      <c r="F658" s="7"/>
      <c r="G658" s="7">
        <v>1453647</v>
      </c>
      <c r="H658" s="7"/>
      <c r="I658" s="7">
        <v>489211</v>
      </c>
      <c r="J658" s="244"/>
      <c r="K658" s="7">
        <f t="shared" si="109"/>
        <v>5163958</v>
      </c>
      <c r="L658" s="6"/>
      <c r="M658" s="438">
        <f t="shared" si="110"/>
        <v>1.1976458617978523E-2</v>
      </c>
      <c r="N658" s="29"/>
      <c r="O658" s="29"/>
      <c r="P658" s="29"/>
      <c r="Q658" s="332">
        <f t="shared" si="111"/>
        <v>61114</v>
      </c>
      <c r="R658" s="6"/>
      <c r="S658" s="7">
        <f>59119+28869+9103</f>
        <v>97091</v>
      </c>
      <c r="T658" s="6"/>
      <c r="U658" s="243">
        <v>2.402125115017657E-2</v>
      </c>
      <c r="W658">
        <f t="shared" si="97"/>
        <v>648</v>
      </c>
      <c r="Y658" s="56"/>
    </row>
    <row r="659" spans="3:25" x14ac:dyDescent="0.3">
      <c r="C659" s="158">
        <f t="shared" si="112"/>
        <v>44558</v>
      </c>
      <c r="E659" s="241">
        <v>3268202</v>
      </c>
      <c r="F659" s="7"/>
      <c r="G659" s="7">
        <v>1495354</v>
      </c>
      <c r="H659" s="7"/>
      <c r="I659" s="7">
        <v>494964</v>
      </c>
      <c r="J659" s="244"/>
      <c r="K659" s="7">
        <f t="shared" si="109"/>
        <v>5258520</v>
      </c>
      <c r="L659" s="6"/>
      <c r="M659" s="438">
        <f t="shared" si="110"/>
        <v>1.8311922753825653E-2</v>
      </c>
      <c r="N659" s="29"/>
      <c r="O659" s="29"/>
      <c r="P659" s="29"/>
      <c r="Q659" s="332">
        <f t="shared" si="111"/>
        <v>94562</v>
      </c>
      <c r="R659" s="6"/>
      <c r="S659" s="7">
        <f>59169+28967+9156</f>
        <v>97292</v>
      </c>
      <c r="T659" s="6"/>
      <c r="U659" s="243">
        <v>2.402125115017657E-2</v>
      </c>
      <c r="W659">
        <f t="shared" si="97"/>
        <v>649</v>
      </c>
      <c r="Y659" s="56"/>
    </row>
    <row r="660" spans="3:25" x14ac:dyDescent="0.3">
      <c r="C660" s="158">
        <f t="shared" si="112"/>
        <v>44559</v>
      </c>
      <c r="E660" s="241">
        <v>3350000</v>
      </c>
      <c r="F660" s="7"/>
      <c r="G660" s="7">
        <v>1500000</v>
      </c>
      <c r="H660" s="7"/>
      <c r="I660" s="7">
        <v>510188</v>
      </c>
      <c r="J660" s="244"/>
      <c r="K660" s="7">
        <f t="shared" si="109"/>
        <v>5360188</v>
      </c>
      <c r="L660" s="6"/>
      <c r="M660" s="438">
        <f t="shared" si="110"/>
        <v>1.9333957082981523E-2</v>
      </c>
      <c r="N660" s="29"/>
      <c r="O660" s="29"/>
      <c r="P660" s="29"/>
      <c r="Q660" s="332">
        <f t="shared" si="111"/>
        <v>101668</v>
      </c>
      <c r="R660" s="6"/>
      <c r="S660" s="7">
        <f>59434+28994+9160</f>
        <v>97588</v>
      </c>
      <c r="T660" s="6"/>
      <c r="U660" s="243">
        <v>2.402125115017657E-2</v>
      </c>
      <c r="W660">
        <f t="shared" si="97"/>
        <v>650</v>
      </c>
      <c r="Y660" s="56"/>
    </row>
    <row r="661" spans="3:25" x14ac:dyDescent="0.3">
      <c r="C661" s="158">
        <f t="shared" si="112"/>
        <v>44560</v>
      </c>
      <c r="E661" s="241">
        <v>3400000</v>
      </c>
      <c r="F661" s="7"/>
      <c r="G661" s="7">
        <v>1550000</v>
      </c>
      <c r="H661" s="7"/>
      <c r="I661" s="7">
        <v>510188</v>
      </c>
      <c r="J661" s="244"/>
      <c r="K661" s="7">
        <f t="shared" si="109"/>
        <v>5460188</v>
      </c>
      <c r="L661" s="6"/>
      <c r="M661" s="438">
        <f t="shared" si="110"/>
        <v>1.8656062063494787E-2</v>
      </c>
      <c r="N661" s="29"/>
      <c r="O661" s="29"/>
      <c r="P661" s="29"/>
      <c r="Q661" s="332">
        <f t="shared" si="111"/>
        <v>100000</v>
      </c>
      <c r="R661" s="6"/>
      <c r="S661" s="7">
        <f>59434+28994+9160</f>
        <v>97588</v>
      </c>
      <c r="T661" s="6"/>
      <c r="U661" s="243">
        <v>2.402125115017657E-2</v>
      </c>
      <c r="W661">
        <f t="shared" si="97"/>
        <v>651</v>
      </c>
      <c r="Y661" s="56"/>
    </row>
    <row r="662" spans="3:25" x14ac:dyDescent="0.3">
      <c r="C662" s="158">
        <f t="shared" si="112"/>
        <v>44561</v>
      </c>
      <c r="E662" s="241">
        <v>3480280</v>
      </c>
      <c r="F662" s="7"/>
      <c r="G662" s="7">
        <v>1564253</v>
      </c>
      <c r="H662" s="7"/>
      <c r="I662" s="7">
        <v>510188</v>
      </c>
      <c r="J662" s="244"/>
      <c r="K662" s="7">
        <f t="shared" si="109"/>
        <v>5554721</v>
      </c>
      <c r="L662" s="6"/>
      <c r="M662" s="438">
        <f t="shared" si="110"/>
        <v>1.7313140133636423E-2</v>
      </c>
      <c r="N662" s="29"/>
      <c r="O662" s="29"/>
      <c r="P662" s="29"/>
      <c r="Q662" s="332">
        <f t="shared" si="111"/>
        <v>94533</v>
      </c>
      <c r="R662" s="6"/>
      <c r="S662" s="7">
        <f>59508+29037+9160</f>
        <v>97705</v>
      </c>
      <c r="T662" s="6"/>
      <c r="U662" s="243">
        <v>2.402125115017657E-2</v>
      </c>
      <c r="W662">
        <f t="shared" si="97"/>
        <v>652</v>
      </c>
      <c r="Y662" s="56"/>
    </row>
    <row r="663" spans="3:25" x14ac:dyDescent="0.3">
      <c r="C663" s="158">
        <f>+C662+1</f>
        <v>44562</v>
      </c>
      <c r="E663" s="241">
        <v>3517696</v>
      </c>
      <c r="F663" s="7"/>
      <c r="G663" s="7">
        <v>1596644</v>
      </c>
      <c r="H663" s="7"/>
      <c r="I663" s="7">
        <v>510188</v>
      </c>
      <c r="J663" s="244"/>
      <c r="K663" s="7">
        <f t="shared" si="109"/>
        <v>5624528</v>
      </c>
      <c r="L663" s="6"/>
      <c r="M663" s="438">
        <f t="shared" si="110"/>
        <v>1.2567147836948067E-2</v>
      </c>
      <c r="N663" s="29"/>
      <c r="O663" s="29"/>
      <c r="P663" s="29"/>
      <c r="Q663" s="332">
        <f t="shared" si="111"/>
        <v>69807</v>
      </c>
      <c r="R663" s="6"/>
      <c r="S663" s="7">
        <f>59585+29053+9160</f>
        <v>97798</v>
      </c>
      <c r="T663" s="6"/>
      <c r="U663" s="243">
        <v>2.402125115017657E-2</v>
      </c>
      <c r="W663">
        <f t="shared" si="97"/>
        <v>653</v>
      </c>
      <c r="Y663" s="56"/>
    </row>
    <row r="664" spans="3:25" x14ac:dyDescent="0.3">
      <c r="C664" s="347">
        <f>+C663+1</f>
        <v>44563</v>
      </c>
      <c r="E664" s="241">
        <v>3552059</v>
      </c>
      <c r="F664" s="7"/>
      <c r="G664" s="7">
        <v>1623096</v>
      </c>
      <c r="H664" s="7"/>
      <c r="I664" s="7">
        <v>510188</v>
      </c>
      <c r="J664" s="244"/>
      <c r="K664" s="7">
        <f t="shared" si="109"/>
        <v>5685343</v>
      </c>
      <c r="L664" s="6"/>
      <c r="M664" s="438">
        <f t="shared" si="110"/>
        <v>1.0812462841326418E-2</v>
      </c>
      <c r="N664" s="29"/>
      <c r="O664" s="29"/>
      <c r="P664" s="29"/>
      <c r="Q664" s="332">
        <f t="shared" si="111"/>
        <v>60815</v>
      </c>
      <c r="R664" s="6"/>
      <c r="S664" s="7">
        <f>59682+29056+9160</f>
        <v>97898</v>
      </c>
      <c r="T664" s="6"/>
      <c r="U664" s="243">
        <v>2.402125115017657E-2</v>
      </c>
      <c r="W664">
        <f t="shared" si="97"/>
        <v>654</v>
      </c>
      <c r="Y664" s="56"/>
    </row>
    <row r="665" spans="3:25" x14ac:dyDescent="0.3">
      <c r="C665" s="158">
        <f>+C664+1</f>
        <v>44564</v>
      </c>
      <c r="E665" s="241">
        <v>3684152</v>
      </c>
      <c r="F665" s="7"/>
      <c r="G665" s="7">
        <v>1644839</v>
      </c>
      <c r="H665" s="7"/>
      <c r="I665" s="7">
        <v>533866</v>
      </c>
      <c r="J665" s="244"/>
      <c r="K665" s="7">
        <f t="shared" si="109"/>
        <v>5862857</v>
      </c>
      <c r="L665" s="6"/>
      <c r="M665" s="438">
        <f t="shared" si="110"/>
        <v>3.1223094191502605E-2</v>
      </c>
      <c r="N665" s="29"/>
      <c r="O665" s="29"/>
      <c r="P665" s="29"/>
      <c r="Q665" s="332">
        <f t="shared" si="111"/>
        <v>177514</v>
      </c>
      <c r="R665" s="6"/>
      <c r="S665" s="7">
        <f>59760+29073+9210</f>
        <v>98043</v>
      </c>
      <c r="T665" s="6"/>
      <c r="U665" s="243">
        <v>2.402125115017657E-2</v>
      </c>
      <c r="W665">
        <f t="shared" si="97"/>
        <v>655</v>
      </c>
      <c r="Y665" s="56"/>
    </row>
    <row r="666" spans="3:25" x14ac:dyDescent="0.3">
      <c r="C666" s="158">
        <f>+C665+1</f>
        <v>44565</v>
      </c>
      <c r="E666" s="241">
        <v>3736399</v>
      </c>
      <c r="F666" s="7"/>
      <c r="G666" s="7">
        <v>1674453</v>
      </c>
      <c r="H666" s="7"/>
      <c r="I666" s="7">
        <v>544468</v>
      </c>
      <c r="J666" s="244"/>
      <c r="K666" s="7">
        <f t="shared" si="109"/>
        <v>5955320</v>
      </c>
      <c r="L666" s="6"/>
      <c r="M666" s="438">
        <f t="shared" si="110"/>
        <v>1.5770979916446878E-2</v>
      </c>
      <c r="N666" s="29"/>
      <c r="O666" s="29"/>
      <c r="P666" s="29"/>
      <c r="Q666" s="332">
        <f t="shared" si="111"/>
        <v>92463</v>
      </c>
      <c r="R666" s="6"/>
      <c r="S666" s="7">
        <f>59865+29151+9274</f>
        <v>98290</v>
      </c>
      <c r="T666" s="6"/>
      <c r="U666" s="243">
        <v>2.402125115017657E-2</v>
      </c>
      <c r="W666">
        <f t="shared" si="97"/>
        <v>656</v>
      </c>
      <c r="Y666" s="56"/>
    </row>
    <row r="667" spans="3:25" x14ac:dyDescent="0.3">
      <c r="C667" s="158">
        <f t="shared" ref="C667:C678" si="113">+C666+1</f>
        <v>44566</v>
      </c>
      <c r="E667" s="241">
        <v>3812399</v>
      </c>
      <c r="F667" s="7"/>
      <c r="G667" s="7">
        <v>1711738</v>
      </c>
      <c r="H667" s="7"/>
      <c r="I667" s="7">
        <v>554812</v>
      </c>
      <c r="J667" s="244"/>
      <c r="K667" s="7">
        <f t="shared" si="109"/>
        <v>6078949</v>
      </c>
      <c r="L667" s="6"/>
      <c r="M667" s="438">
        <f t="shared" si="110"/>
        <v>2.0759421827878266E-2</v>
      </c>
      <c r="N667" s="29"/>
      <c r="O667" s="29"/>
      <c r="P667" s="29"/>
      <c r="Q667" s="332">
        <f t="shared" si="111"/>
        <v>123629</v>
      </c>
      <c r="R667" s="6"/>
      <c r="S667" s="7">
        <f>60023+29209+9281</f>
        <v>98513</v>
      </c>
      <c r="T667" s="6"/>
      <c r="U667" s="243">
        <v>2.402125115017657E-2</v>
      </c>
      <c r="W667">
        <f t="shared" si="97"/>
        <v>657</v>
      </c>
      <c r="Y667" s="56"/>
    </row>
    <row r="668" spans="3:25" x14ac:dyDescent="0.3">
      <c r="C668" s="158">
        <f t="shared" si="113"/>
        <v>44567</v>
      </c>
      <c r="E668" s="241">
        <v>3890666</v>
      </c>
      <c r="F668" s="7"/>
      <c r="G668" s="7">
        <v>1744002</v>
      </c>
      <c r="H668" s="7"/>
      <c r="I668" s="7">
        <v>563635</v>
      </c>
      <c r="J668" s="244"/>
      <c r="K668" s="7">
        <f t="shared" si="109"/>
        <v>6198303</v>
      </c>
      <c r="L668" s="6"/>
      <c r="M668" s="438">
        <f t="shared" si="110"/>
        <v>1.9633986072263479E-2</v>
      </c>
      <c r="N668" s="29"/>
      <c r="O668" s="29"/>
      <c r="P668" s="29"/>
      <c r="Q668" s="332">
        <f t="shared" si="111"/>
        <v>119354</v>
      </c>
      <c r="R668" s="6"/>
      <c r="S668" s="7">
        <f>60166+29315+9281</f>
        <v>98762</v>
      </c>
      <c r="T668" s="6"/>
      <c r="U668" s="243">
        <v>2.402125115017657E-2</v>
      </c>
      <c r="W668">
        <f t="shared" si="97"/>
        <v>658</v>
      </c>
      <c r="Y668" s="56"/>
    </row>
    <row r="669" spans="3:25" x14ac:dyDescent="0.3">
      <c r="C669" s="158">
        <f t="shared" si="113"/>
        <v>44568</v>
      </c>
      <c r="E669" s="241">
        <v>3975745</v>
      </c>
      <c r="F669" s="7"/>
      <c r="G669" s="7">
        <v>1782463</v>
      </c>
      <c r="H669" s="7"/>
      <c r="I669" s="7">
        <v>573711</v>
      </c>
      <c r="J669" s="244"/>
      <c r="K669" s="7">
        <f t="shared" si="109"/>
        <v>6331919</v>
      </c>
      <c r="L669" s="6"/>
      <c r="M669" s="438">
        <f t="shared" si="110"/>
        <v>2.155686806533982E-2</v>
      </c>
      <c r="N669" s="29"/>
      <c r="O669" s="29"/>
      <c r="P669" s="29"/>
      <c r="Q669" s="332">
        <f t="shared" si="111"/>
        <v>133616</v>
      </c>
      <c r="R669" s="6"/>
      <c r="S669" s="7">
        <f>60356+29374+9377</f>
        <v>99107</v>
      </c>
      <c r="T669" s="6"/>
      <c r="U669" s="243">
        <v>2.402125115017657E-2</v>
      </c>
      <c r="W669">
        <f t="shared" si="97"/>
        <v>659</v>
      </c>
      <c r="Y669" s="56"/>
    </row>
    <row r="670" spans="3:25" x14ac:dyDescent="0.3">
      <c r="C670" s="158">
        <f t="shared" si="113"/>
        <v>44569</v>
      </c>
      <c r="E670" s="241">
        <v>4057133</v>
      </c>
      <c r="F670" s="7"/>
      <c r="G670" s="7">
        <v>1815163</v>
      </c>
      <c r="H670" s="7"/>
      <c r="I670" s="7">
        <v>573711</v>
      </c>
      <c r="J670" s="244"/>
      <c r="K670" s="7">
        <f t="shared" si="109"/>
        <v>6446007</v>
      </c>
      <c r="L670" s="6"/>
      <c r="M670" s="438">
        <f t="shared" si="110"/>
        <v>1.8017918422519302E-2</v>
      </c>
      <c r="N670" s="29"/>
      <c r="O670" s="29"/>
      <c r="P670" s="29"/>
      <c r="Q670" s="332">
        <f t="shared" si="111"/>
        <v>114088</v>
      </c>
      <c r="R670" s="6"/>
      <c r="S670" s="7">
        <f>60441+29444+9377</f>
        <v>99262</v>
      </c>
      <c r="T670" s="6"/>
      <c r="U670" s="243">
        <v>2.402125115017657E-2</v>
      </c>
      <c r="W670">
        <f t="shared" si="97"/>
        <v>660</v>
      </c>
      <c r="Y670" s="56"/>
    </row>
    <row r="671" spans="3:25" x14ac:dyDescent="0.3">
      <c r="C671" s="347">
        <f t="shared" si="113"/>
        <v>44570</v>
      </c>
      <c r="E671" s="241">
        <v>4147154</v>
      </c>
      <c r="F671" s="7"/>
      <c r="G671" s="7">
        <v>1843677</v>
      </c>
      <c r="H671" s="7"/>
      <c r="I671" s="7">
        <v>573711</v>
      </c>
      <c r="J671" s="244"/>
      <c r="K671" s="7">
        <f t="shared" si="109"/>
        <v>6564542</v>
      </c>
      <c r="L671" s="6"/>
      <c r="M671" s="438">
        <f t="shared" si="110"/>
        <v>1.838890339399259E-2</v>
      </c>
      <c r="N671" s="29"/>
      <c r="O671" s="29"/>
      <c r="P671" s="29"/>
      <c r="Q671" s="332">
        <f t="shared" si="111"/>
        <v>118535</v>
      </c>
      <c r="R671" s="6"/>
      <c r="S671" s="7">
        <f>60611+29955+9377</f>
        <v>99943</v>
      </c>
      <c r="T671" s="6"/>
      <c r="U671" s="243">
        <v>2.402125115017657E-2</v>
      </c>
      <c r="W671">
        <f t="shared" si="97"/>
        <v>661</v>
      </c>
      <c r="Y671" s="56"/>
    </row>
    <row r="672" spans="3:25" x14ac:dyDescent="0.3">
      <c r="C672" s="158">
        <f t="shared" si="113"/>
        <v>44571</v>
      </c>
      <c r="E672" s="241">
        <v>4200000</v>
      </c>
      <c r="F672" s="7"/>
      <c r="G672" s="7">
        <v>1850000</v>
      </c>
      <c r="H672" s="7"/>
      <c r="I672" s="7">
        <v>590000</v>
      </c>
      <c r="J672" s="244"/>
      <c r="K672" s="7">
        <f t="shared" si="109"/>
        <v>6640000</v>
      </c>
      <c r="L672" s="6"/>
      <c r="M672" s="438">
        <f t="shared" si="110"/>
        <v>1.1494785165514974E-2</v>
      </c>
      <c r="N672" s="29"/>
      <c r="O672" s="29"/>
      <c r="P672" s="29"/>
      <c r="Q672" s="332">
        <f t="shared" si="111"/>
        <v>75458</v>
      </c>
      <c r="R672" s="6"/>
      <c r="S672" s="7">
        <f>60611+29955+9377</f>
        <v>99943</v>
      </c>
      <c r="T672" s="6"/>
      <c r="U672" s="243">
        <v>2.402125115017657E-2</v>
      </c>
      <c r="W672">
        <f t="shared" si="97"/>
        <v>662</v>
      </c>
      <c r="Y672" s="56"/>
    </row>
    <row r="673" spans="3:25" x14ac:dyDescent="0.3">
      <c r="C673" s="158">
        <f t="shared" si="113"/>
        <v>44572</v>
      </c>
      <c r="E673" s="241">
        <v>4257408</v>
      </c>
      <c r="F673" s="7"/>
      <c r="G673" s="7">
        <v>1892142</v>
      </c>
      <c r="H673" s="7"/>
      <c r="I673" s="7">
        <v>611867</v>
      </c>
      <c r="J673" s="244"/>
      <c r="K673" s="7">
        <f t="shared" si="109"/>
        <v>6761417</v>
      </c>
      <c r="L673" s="6"/>
      <c r="M673" s="438">
        <f t="shared" si="110"/>
        <v>1.8285692771084338E-2</v>
      </c>
      <c r="N673" s="29"/>
      <c r="O673" s="29"/>
      <c r="P673" s="29"/>
      <c r="Q673" s="332">
        <f t="shared" si="111"/>
        <v>121417</v>
      </c>
      <c r="R673" s="6"/>
      <c r="S673" s="7">
        <f>60986+29634+9435</f>
        <v>100055</v>
      </c>
      <c r="T673" s="6"/>
      <c r="U673" s="243">
        <v>2.402125115017657E-2</v>
      </c>
      <c r="W673">
        <f t="shared" si="97"/>
        <v>663</v>
      </c>
      <c r="Y673" s="56"/>
    </row>
    <row r="674" spans="3:25" x14ac:dyDescent="0.3">
      <c r="C674" s="158">
        <f t="shared" si="113"/>
        <v>44573</v>
      </c>
      <c r="E674" s="241">
        <v>4312866</v>
      </c>
      <c r="F674" s="7"/>
      <c r="G674" s="7">
        <v>1915417</v>
      </c>
      <c r="H674" s="7"/>
      <c r="I674" s="7">
        <v>619185</v>
      </c>
      <c r="J674" s="244"/>
      <c r="K674" s="7">
        <f t="shared" si="109"/>
        <v>6847468</v>
      </c>
      <c r="L674" s="6"/>
      <c r="M674" s="438">
        <f t="shared" si="110"/>
        <v>1.2726770143004048E-2</v>
      </c>
      <c r="N674" s="29"/>
      <c r="O674" s="29"/>
      <c r="P674" s="29"/>
      <c r="Q674" s="332">
        <f t="shared" si="111"/>
        <v>86051</v>
      </c>
      <c r="R674" s="6"/>
      <c r="S674" s="7">
        <f>61195+29737+9442</f>
        <v>100374</v>
      </c>
      <c r="T674" s="6"/>
      <c r="U674" s="243">
        <v>2.402125115017657E-2</v>
      </c>
      <c r="W674">
        <f t="shared" si="97"/>
        <v>664</v>
      </c>
      <c r="Y674" s="56"/>
    </row>
    <row r="675" spans="3:25" x14ac:dyDescent="0.3">
      <c r="C675" s="158">
        <f t="shared" si="113"/>
        <v>44574</v>
      </c>
      <c r="E675" s="241">
        <v>4374042</v>
      </c>
      <c r="F675" s="7"/>
      <c r="G675" s="7">
        <v>1939089</v>
      </c>
      <c r="H675" s="7"/>
      <c r="I675" s="7">
        <v>628789</v>
      </c>
      <c r="J675" s="244"/>
      <c r="K675" s="7">
        <f t="shared" si="109"/>
        <v>6941920</v>
      </c>
      <c r="L675" s="6"/>
      <c r="M675" s="438">
        <f t="shared" si="110"/>
        <v>1.3793711777842554E-2</v>
      </c>
      <c r="N675" s="29"/>
      <c r="O675" s="29"/>
      <c r="P675" s="29"/>
      <c r="Q675" s="332">
        <f t="shared" si="111"/>
        <v>94452</v>
      </c>
      <c r="R675" s="6"/>
      <c r="S675" s="7">
        <f>61303+30412+9442</f>
        <v>101157</v>
      </c>
      <c r="T675" s="6"/>
      <c r="U675" s="243">
        <v>2.402125115017657E-2</v>
      </c>
      <c r="W675">
        <f t="shared" si="97"/>
        <v>665</v>
      </c>
      <c r="Y675" s="56"/>
    </row>
    <row r="676" spans="3:25" x14ac:dyDescent="0.3">
      <c r="C676" s="158">
        <f t="shared" si="113"/>
        <v>44575</v>
      </c>
      <c r="E676" s="241">
        <v>4420245</v>
      </c>
      <c r="F676" s="7"/>
      <c r="G676" s="7">
        <v>1962198</v>
      </c>
      <c r="H676" s="7"/>
      <c r="I676" s="7">
        <v>637572</v>
      </c>
      <c r="J676" s="244"/>
      <c r="K676" s="7">
        <f t="shared" si="109"/>
        <v>7020015</v>
      </c>
      <c r="L676" s="6"/>
      <c r="M676" s="438">
        <f t="shared" si="110"/>
        <v>1.1249769516214534E-2</v>
      </c>
      <c r="N676" s="29"/>
      <c r="O676" s="29"/>
      <c r="P676" s="29"/>
      <c r="Q676" s="332">
        <f t="shared" si="111"/>
        <v>78095</v>
      </c>
      <c r="R676" s="6"/>
      <c r="S676" s="7">
        <f>61654+29959+9556</f>
        <v>101169</v>
      </c>
      <c r="T676" s="6"/>
      <c r="U676" s="243">
        <v>2.402125115017657E-2</v>
      </c>
      <c r="W676">
        <f t="shared" si="97"/>
        <v>666</v>
      </c>
      <c r="Y676" s="56"/>
    </row>
    <row r="677" spans="3:25" x14ac:dyDescent="0.3">
      <c r="C677" s="158">
        <f t="shared" si="113"/>
        <v>44576</v>
      </c>
      <c r="E677" s="241">
        <v>4460856</v>
      </c>
      <c r="F677" s="7"/>
      <c r="G677" s="7">
        <v>1979057</v>
      </c>
      <c r="H677" s="7"/>
      <c r="I677" s="7">
        <v>637572</v>
      </c>
      <c r="J677" s="244"/>
      <c r="K677" s="7">
        <f t="shared" si="109"/>
        <v>7077485</v>
      </c>
      <c r="L677" s="6"/>
      <c r="M677" s="438">
        <f t="shared" si="110"/>
        <v>8.1865921938913244E-3</v>
      </c>
      <c r="N677" s="29"/>
      <c r="O677" s="29"/>
      <c r="P677" s="29"/>
      <c r="Q677" s="332">
        <f t="shared" si="111"/>
        <v>57470</v>
      </c>
      <c r="R677" s="6"/>
      <c r="S677" s="7">
        <f>61746+30079+9556</f>
        <v>101381</v>
      </c>
      <c r="T677" s="6"/>
      <c r="U677" s="243">
        <v>2.402125115017657E-2</v>
      </c>
      <c r="W677">
        <f t="shared" si="97"/>
        <v>667</v>
      </c>
      <c r="Y677" s="56"/>
    </row>
    <row r="678" spans="3:25" x14ac:dyDescent="0.3">
      <c r="C678" s="347">
        <f t="shared" si="113"/>
        <v>44577</v>
      </c>
      <c r="E678" s="241">
        <v>4507714</v>
      </c>
      <c r="F678" s="7"/>
      <c r="G678" s="7">
        <v>1994502</v>
      </c>
      <c r="H678" s="7"/>
      <c r="I678" s="7">
        <v>637572</v>
      </c>
      <c r="J678" s="244"/>
      <c r="K678" s="7">
        <f t="shared" si="109"/>
        <v>7139788</v>
      </c>
      <c r="L678" s="6"/>
      <c r="M678" s="438">
        <f t="shared" si="110"/>
        <v>8.8029858063987422E-3</v>
      </c>
      <c r="N678" s="29"/>
      <c r="O678" s="29"/>
      <c r="P678" s="29"/>
      <c r="Q678" s="332">
        <f t="shared" si="111"/>
        <v>62303</v>
      </c>
      <c r="R678" s="6"/>
      <c r="S678" s="7">
        <f>61812+30089+9556</f>
        <v>101457</v>
      </c>
      <c r="T678" s="6"/>
      <c r="U678" s="243">
        <v>2.402125115017657E-2</v>
      </c>
      <c r="W678">
        <f t="shared" si="97"/>
        <v>668</v>
      </c>
      <c r="Y678" s="56"/>
    </row>
    <row r="679" spans="3:25" x14ac:dyDescent="0.3">
      <c r="C679" s="158">
        <f>+C678+1</f>
        <v>44578</v>
      </c>
      <c r="E679" s="241">
        <v>4547472</v>
      </c>
      <c r="F679" s="7"/>
      <c r="G679" s="7">
        <v>2003455</v>
      </c>
      <c r="H679" s="7"/>
      <c r="I679" s="7">
        <v>653416</v>
      </c>
      <c r="J679" s="244"/>
      <c r="K679" s="7">
        <f t="shared" ref="K679" si="114">SUM(E679:I679)</f>
        <v>7204343</v>
      </c>
      <c r="L679" s="6"/>
      <c r="M679" s="438">
        <f t="shared" ref="M679" si="115">+(K679-K678)/K678</f>
        <v>9.0415849882377452E-3</v>
      </c>
      <c r="N679" s="29"/>
      <c r="O679" s="29"/>
      <c r="P679" s="29"/>
      <c r="Q679" s="332">
        <f t="shared" ref="Q679" si="116">+K679-K678</f>
        <v>64555</v>
      </c>
      <c r="R679" s="6"/>
      <c r="S679" s="7">
        <f>62073+30389+9554</f>
        <v>102016</v>
      </c>
      <c r="T679" s="6"/>
      <c r="U679" s="243">
        <v>2.402125115017657E-2</v>
      </c>
      <c r="W679">
        <f t="shared" si="97"/>
        <v>669</v>
      </c>
      <c r="Y679" s="56"/>
    </row>
    <row r="680" spans="3:25" x14ac:dyDescent="0.3">
      <c r="C680" s="158">
        <f t="shared" ref="C680:C720" si="117">+C679+1</f>
        <v>44579</v>
      </c>
      <c r="E680" s="241">
        <v>4571356</v>
      </c>
      <c r="F680" s="7"/>
      <c r="G680" s="7">
        <v>2014702</v>
      </c>
      <c r="H680" s="7"/>
      <c r="I680" s="7">
        <v>657680</v>
      </c>
      <c r="J680" s="244"/>
      <c r="K680" s="7">
        <f t="shared" ref="K680" si="118">SUM(E680:I680)</f>
        <v>7243738</v>
      </c>
      <c r="L680" s="6"/>
      <c r="M680" s="438">
        <f t="shared" ref="M680" si="119">+(K680-K679)/K679</f>
        <v>5.4682293721995193E-3</v>
      </c>
      <c r="N680" s="29"/>
      <c r="O680" s="29"/>
      <c r="P680" s="29"/>
      <c r="Q680" s="332">
        <f t="shared" ref="Q680" si="120">+K680-K679</f>
        <v>39395</v>
      </c>
      <c r="R680" s="6"/>
      <c r="S680" s="7">
        <f>62407+30170+9564</f>
        <v>102141</v>
      </c>
      <c r="T680" s="6"/>
      <c r="U680" s="243">
        <v>2.402125115017657E-2</v>
      </c>
      <c r="W680">
        <f t="shared" si="97"/>
        <v>670</v>
      </c>
      <c r="Y680" s="56"/>
    </row>
    <row r="681" spans="3:25" x14ac:dyDescent="0.3">
      <c r="C681" s="158">
        <f t="shared" si="117"/>
        <v>44580</v>
      </c>
      <c r="E681" s="241">
        <v>4594182</v>
      </c>
      <c r="F681" s="7"/>
      <c r="G681" s="7">
        <v>2025616</v>
      </c>
      <c r="H681" s="7"/>
      <c r="I681" s="7">
        <v>662425</v>
      </c>
      <c r="J681" s="244"/>
      <c r="K681" s="7">
        <f t="shared" ref="K681" si="121">SUM(E681:I681)</f>
        <v>7282223</v>
      </c>
      <c r="L681" s="6"/>
      <c r="M681" s="438">
        <f t="shared" ref="M681" si="122">+(K681-K680)/K680</f>
        <v>5.3128647115619036E-3</v>
      </c>
      <c r="N681" s="29"/>
      <c r="O681" s="29"/>
      <c r="P681" s="29"/>
      <c r="Q681" s="332">
        <f t="shared" ref="Q681" si="123">+K681-K680</f>
        <v>38485</v>
      </c>
      <c r="R681" s="6"/>
      <c r="S681" s="7">
        <f>62672+30315+9670</f>
        <v>102657</v>
      </c>
      <c r="T681" s="6"/>
      <c r="U681" s="243">
        <v>2.402125115017657E-2</v>
      </c>
      <c r="W681">
        <f t="shared" si="97"/>
        <v>671</v>
      </c>
      <c r="Y681" s="56"/>
    </row>
    <row r="682" spans="3:25" x14ac:dyDescent="0.3">
      <c r="C682" s="158">
        <f t="shared" si="117"/>
        <v>44581</v>
      </c>
      <c r="E682" s="241">
        <v>4624257</v>
      </c>
      <c r="F682" s="7"/>
      <c r="G682" s="7">
        <v>2037690</v>
      </c>
      <c r="H682" s="7"/>
      <c r="I682" s="7">
        <v>667230</v>
      </c>
      <c r="J682" s="244"/>
      <c r="K682" s="7">
        <f t="shared" ref="K682" si="124">SUM(E682:I682)</f>
        <v>7329177</v>
      </c>
      <c r="L682" s="6"/>
      <c r="M682" s="438">
        <f t="shared" ref="M682" si="125">+(K682-K681)/K681</f>
        <v>6.4477564062512234E-3</v>
      </c>
      <c r="N682" s="29"/>
      <c r="O682" s="29"/>
      <c r="P682" s="29"/>
      <c r="Q682" s="332">
        <f t="shared" ref="Q682" si="126">+K682-K681</f>
        <v>46954</v>
      </c>
      <c r="R682" s="6"/>
      <c r="S682" s="7">
        <f>62873+30476+9683</f>
        <v>103032</v>
      </c>
      <c r="T682" s="6"/>
      <c r="U682" s="243">
        <v>2.402125115017657E-2</v>
      </c>
      <c r="W682">
        <f t="shared" si="97"/>
        <v>672</v>
      </c>
      <c r="Y682" s="56"/>
    </row>
    <row r="683" spans="3:25" x14ac:dyDescent="0.3">
      <c r="C683" s="158">
        <f t="shared" si="117"/>
        <v>44582</v>
      </c>
      <c r="E683" s="241">
        <v>4653025</v>
      </c>
      <c r="F683" s="7"/>
      <c r="G683" s="7">
        <v>2049573</v>
      </c>
      <c r="H683" s="7"/>
      <c r="I683" s="7">
        <v>671674</v>
      </c>
      <c r="J683" s="244"/>
      <c r="K683" s="7">
        <f t="shared" ref="K683" si="127">SUM(E683:I683)</f>
        <v>7374272</v>
      </c>
      <c r="L683" s="6"/>
      <c r="M683" s="438">
        <f t="shared" ref="M683" si="128">+(K683-K682)/K682</f>
        <v>6.1528054241287936E-3</v>
      </c>
      <c r="N683" s="29"/>
      <c r="O683" s="29"/>
      <c r="P683" s="29"/>
      <c r="Q683" s="332">
        <f t="shared" ref="Q683" si="129">+K683-K682</f>
        <v>45095</v>
      </c>
      <c r="R683" s="6"/>
      <c r="S683" s="7">
        <f>63098+30618+9769</f>
        <v>103485</v>
      </c>
      <c r="T683" s="6"/>
      <c r="U683" s="243">
        <v>2.402125115017657E-2</v>
      </c>
      <c r="W683">
        <f t="shared" si="97"/>
        <v>673</v>
      </c>
      <c r="Y683" s="56"/>
    </row>
    <row r="684" spans="3:25" x14ac:dyDescent="0.3">
      <c r="C684" s="158">
        <f t="shared" si="117"/>
        <v>44583</v>
      </c>
      <c r="E684" s="241">
        <v>4675346</v>
      </c>
      <c r="F684" s="7"/>
      <c r="G684" s="7">
        <v>2058497</v>
      </c>
      <c r="H684" s="7"/>
      <c r="I684" s="7">
        <v>671674</v>
      </c>
      <c r="J684" s="244"/>
      <c r="K684" s="7">
        <f t="shared" ref="K684" si="130">SUM(E684:I684)</f>
        <v>7405517</v>
      </c>
      <c r="L684" s="6"/>
      <c r="M684" s="438">
        <f t="shared" ref="M684" si="131">+(K684-K683)/K683</f>
        <v>4.2370284144658621E-3</v>
      </c>
      <c r="N684" s="29"/>
      <c r="O684" s="29"/>
      <c r="P684" s="29"/>
      <c r="Q684" s="332">
        <f t="shared" ref="Q684" si="132">+K684-K683</f>
        <v>31245</v>
      </c>
      <c r="R684" s="6"/>
      <c r="S684" s="7">
        <f>63191+30746+9769</f>
        <v>103706</v>
      </c>
      <c r="T684" s="6"/>
      <c r="U684" s="243">
        <v>2.402125115017657E-2</v>
      </c>
      <c r="W684">
        <f t="shared" si="97"/>
        <v>674</v>
      </c>
      <c r="Y684" s="56"/>
    </row>
    <row r="685" spans="3:25" x14ac:dyDescent="0.3">
      <c r="C685" s="347">
        <f t="shared" si="117"/>
        <v>44584</v>
      </c>
      <c r="E685" s="241">
        <v>4701632</v>
      </c>
      <c r="F685" s="7"/>
      <c r="G685" s="7">
        <v>2067692</v>
      </c>
      <c r="H685" s="7"/>
      <c r="I685" s="7">
        <v>671674</v>
      </c>
      <c r="J685" s="244"/>
      <c r="K685" s="7">
        <f t="shared" ref="K685" si="133">SUM(E685:I685)</f>
        <v>7440998</v>
      </c>
      <c r="L685" s="6"/>
      <c r="M685" s="438">
        <f t="shared" ref="M685" si="134">+(K685-K684)/K684</f>
        <v>4.7911577274078231E-3</v>
      </c>
      <c r="N685" s="29"/>
      <c r="O685" s="29"/>
      <c r="P685" s="29"/>
      <c r="Q685" s="332">
        <f t="shared" ref="Q685" si="135">+K685-K684</f>
        <v>35481</v>
      </c>
      <c r="R685" s="6"/>
      <c r="S685" s="7">
        <f>63413+30759+9769</f>
        <v>103941</v>
      </c>
      <c r="T685" s="6"/>
      <c r="U685" s="243">
        <v>2.402125115017657E-2</v>
      </c>
      <c r="W685">
        <f t="shared" si="97"/>
        <v>675</v>
      </c>
      <c r="Y685" s="56"/>
    </row>
    <row r="686" spans="3:25" x14ac:dyDescent="0.3">
      <c r="C686" s="158">
        <f t="shared" si="117"/>
        <v>44585</v>
      </c>
      <c r="E686" s="241">
        <v>4714010</v>
      </c>
      <c r="F686" s="7"/>
      <c r="G686" s="7">
        <v>2072536</v>
      </c>
      <c r="H686" s="7"/>
      <c r="I686" s="7">
        <v>683731</v>
      </c>
      <c r="J686" s="244"/>
      <c r="K686" s="7">
        <f t="shared" ref="K686" si="136">SUM(E686:I686)</f>
        <v>7470277</v>
      </c>
      <c r="L686" s="6"/>
      <c r="M686" s="438">
        <f t="shared" ref="M686" si="137">+(K686-K685)/K685</f>
        <v>3.9348216462361633E-3</v>
      </c>
      <c r="N686" s="29"/>
      <c r="O686" s="29"/>
      <c r="P686" s="29"/>
      <c r="Q686" s="332">
        <f t="shared" ref="Q686" si="138">+K686-K685</f>
        <v>29279</v>
      </c>
      <c r="R686" s="6"/>
      <c r="S686" s="7">
        <f>63519+30799+9774</f>
        <v>104092</v>
      </c>
      <c r="T686" s="6"/>
      <c r="U686" s="243">
        <v>2.402125115017657E-2</v>
      </c>
      <c r="W686">
        <f t="shared" si="97"/>
        <v>676</v>
      </c>
      <c r="Y686" s="56"/>
    </row>
    <row r="687" spans="3:25" x14ac:dyDescent="0.3">
      <c r="C687" s="158">
        <f t="shared" si="117"/>
        <v>44586</v>
      </c>
      <c r="E687" s="241">
        <v>4728422</v>
      </c>
      <c r="F687" s="7"/>
      <c r="G687" s="7">
        <v>2078258</v>
      </c>
      <c r="H687" s="7"/>
      <c r="I687" s="7">
        <v>687555</v>
      </c>
      <c r="J687" s="244"/>
      <c r="K687" s="7">
        <f t="shared" ref="K687" si="139">SUM(E687:I687)</f>
        <v>7494235</v>
      </c>
      <c r="L687" s="6"/>
      <c r="M687" s="438">
        <f t="shared" ref="M687" si="140">+(K687-K686)/K686</f>
        <v>3.2071099907004788E-3</v>
      </c>
      <c r="N687" s="29"/>
      <c r="O687" s="29"/>
      <c r="P687" s="29"/>
      <c r="Q687" s="332">
        <f t="shared" ref="Q687" si="141">+K687-K686</f>
        <v>23958</v>
      </c>
      <c r="R687" s="6"/>
      <c r="S687" s="7">
        <f>63824+30950+9773</f>
        <v>104547</v>
      </c>
      <c r="T687" s="6"/>
      <c r="U687" s="243">
        <v>2.402125115017657E-2</v>
      </c>
      <c r="W687">
        <f t="shared" si="97"/>
        <v>677</v>
      </c>
      <c r="Y687" s="56"/>
    </row>
    <row r="688" spans="3:25" x14ac:dyDescent="0.3">
      <c r="C688" s="158">
        <f t="shared" si="117"/>
        <v>44587</v>
      </c>
      <c r="E688" s="241">
        <v>4747535</v>
      </c>
      <c r="F688" s="7"/>
      <c r="G688" s="7">
        <v>2085385</v>
      </c>
      <c r="H688" s="7"/>
      <c r="I688" s="7">
        <v>690350</v>
      </c>
      <c r="J688" s="244"/>
      <c r="K688" s="7">
        <f t="shared" ref="K688" si="142">SUM(E688:I688)</f>
        <v>7523270</v>
      </c>
      <c r="L688" s="6"/>
      <c r="M688" s="438">
        <f t="shared" ref="M688" si="143">+(K688-K687)/K687</f>
        <v>3.8743113873530789E-3</v>
      </c>
      <c r="N688" s="29"/>
      <c r="O688" s="29"/>
      <c r="P688" s="29"/>
      <c r="Q688" s="332">
        <f t="shared" ref="Q688" si="144">+K688-K687</f>
        <v>29035</v>
      </c>
      <c r="R688" s="6"/>
      <c r="S688" s="7">
        <f>64094+31093+9901</f>
        <v>105088</v>
      </c>
      <c r="T688" s="6"/>
      <c r="U688" s="243">
        <v>2.402125115017657E-2</v>
      </c>
      <c r="W688">
        <f t="shared" si="97"/>
        <v>678</v>
      </c>
      <c r="Y688" s="56"/>
    </row>
    <row r="689" spans="3:25" x14ac:dyDescent="0.3">
      <c r="C689" s="158">
        <f t="shared" si="117"/>
        <v>44588</v>
      </c>
      <c r="E689" s="241">
        <v>4764422</v>
      </c>
      <c r="F689" s="7"/>
      <c r="G689" s="7">
        <v>2092109</v>
      </c>
      <c r="H689" s="7"/>
      <c r="I689" s="7">
        <v>693386</v>
      </c>
      <c r="J689" s="244"/>
      <c r="K689" s="7">
        <f t="shared" ref="K689" si="145">SUM(E689:I689)</f>
        <v>7549917</v>
      </c>
      <c r="L689" s="6"/>
      <c r="M689" s="438">
        <f t="shared" ref="M689" si="146">+(K689-K688)/K688</f>
        <v>3.5419438621769523E-3</v>
      </c>
      <c r="N689" s="29"/>
      <c r="O689" s="29"/>
      <c r="P689" s="29"/>
      <c r="Q689" s="332">
        <f t="shared" ref="Q689" si="147">+K689-K688</f>
        <v>26647</v>
      </c>
      <c r="R689" s="6"/>
      <c r="S689" s="7">
        <f>64285+31208+9908</f>
        <v>105401</v>
      </c>
      <c r="T689" s="6"/>
      <c r="U689" s="243">
        <v>2.402125115017657E-2</v>
      </c>
      <c r="W689">
        <f t="shared" si="97"/>
        <v>679</v>
      </c>
      <c r="Y689" s="56"/>
    </row>
    <row r="690" spans="3:25" x14ac:dyDescent="0.3">
      <c r="C690" s="158">
        <f t="shared" si="117"/>
        <v>44589</v>
      </c>
      <c r="E690" s="241">
        <v>4778737</v>
      </c>
      <c r="F690" s="7"/>
      <c r="G690" s="7">
        <v>2102227</v>
      </c>
      <c r="H690" s="7"/>
      <c r="I690" s="7">
        <v>696070</v>
      </c>
      <c r="J690" s="244"/>
      <c r="K690" s="7">
        <f t="shared" ref="K690" si="148">SUM(E690:I690)</f>
        <v>7577034</v>
      </c>
      <c r="L690" s="6"/>
      <c r="M690" s="438">
        <f t="shared" ref="M690" si="149">+(K690-K689)/K689</f>
        <v>3.5916951139992664E-3</v>
      </c>
      <c r="N690" s="29"/>
      <c r="O690" s="29"/>
      <c r="P690" s="29"/>
      <c r="Q690" s="332">
        <f t="shared" ref="Q690" si="150">+K690-K689</f>
        <v>27117</v>
      </c>
      <c r="R690" s="6"/>
      <c r="S690" s="7">
        <f>64516+31320+9985</f>
        <v>105821</v>
      </c>
      <c r="T690" s="6"/>
      <c r="U690" s="243">
        <v>2.402125115017657E-2</v>
      </c>
      <c r="W690">
        <f t="shared" si="97"/>
        <v>680</v>
      </c>
      <c r="Y690" s="56"/>
    </row>
    <row r="691" spans="3:25" x14ac:dyDescent="0.3">
      <c r="C691" s="158">
        <f t="shared" si="117"/>
        <v>44590</v>
      </c>
      <c r="E691" s="241">
        <v>4790901</v>
      </c>
      <c r="F691" s="7"/>
      <c r="G691" s="7">
        <v>2107606</v>
      </c>
      <c r="H691" s="7"/>
      <c r="I691" s="7">
        <v>696070</v>
      </c>
      <c r="J691" s="244"/>
      <c r="K691" s="7">
        <f t="shared" ref="K691" si="151">SUM(E691:I691)</f>
        <v>7594577</v>
      </c>
      <c r="L691" s="6"/>
      <c r="M691" s="438">
        <f t="shared" ref="M691" si="152">+(K691-K690)/K690</f>
        <v>2.3152859021089256E-3</v>
      </c>
      <c r="N691" s="29"/>
      <c r="O691" s="29"/>
      <c r="P691" s="29"/>
      <c r="Q691" s="332">
        <f t="shared" ref="Q691" si="153">+K691-K690</f>
        <v>17543</v>
      </c>
      <c r="R691" s="6"/>
      <c r="S691" s="7">
        <f>64718+31391+9985</f>
        <v>106094</v>
      </c>
      <c r="T691" s="6"/>
      <c r="U691" s="243">
        <v>2.402125115017657E-2</v>
      </c>
      <c r="W691">
        <f t="shared" si="97"/>
        <v>681</v>
      </c>
      <c r="Y691" s="56"/>
    </row>
    <row r="692" spans="3:25" x14ac:dyDescent="0.3">
      <c r="C692" s="347">
        <f t="shared" si="117"/>
        <v>44591</v>
      </c>
      <c r="E692" s="241">
        <v>4797903</v>
      </c>
      <c r="F692" s="7"/>
      <c r="G692" s="7">
        <v>2109783</v>
      </c>
      <c r="H692" s="7"/>
      <c r="I692" s="7">
        <v>696070</v>
      </c>
      <c r="J692" s="244"/>
      <c r="K692" s="7">
        <f t="shared" ref="K692" si="154">SUM(E692:I692)</f>
        <v>7603756</v>
      </c>
      <c r="L692" s="6"/>
      <c r="M692" s="438">
        <f t="shared" ref="M692" si="155">+(K692-K691)/K691</f>
        <v>1.2086255758549818E-3</v>
      </c>
      <c r="N692" s="29"/>
      <c r="O692" s="29"/>
      <c r="P692" s="29"/>
      <c r="Q692" s="332">
        <f t="shared" ref="Q692" si="156">+K692-K691</f>
        <v>9179</v>
      </c>
      <c r="R692" s="6"/>
      <c r="S692" s="7">
        <f>64778+31412+9985</f>
        <v>106175</v>
      </c>
      <c r="T692" s="6"/>
      <c r="U692" s="243">
        <v>2.402125115017657E-2</v>
      </c>
      <c r="W692">
        <f t="shared" si="97"/>
        <v>682</v>
      </c>
      <c r="Y692" s="56"/>
    </row>
    <row r="693" spans="3:25" x14ac:dyDescent="0.3">
      <c r="C693" s="158">
        <f t="shared" si="117"/>
        <v>44592</v>
      </c>
      <c r="E693" s="241">
        <v>4805416</v>
      </c>
      <c r="F693" s="7"/>
      <c r="G693" s="7">
        <v>2111856</v>
      </c>
      <c r="H693" s="7"/>
      <c r="I693" s="7">
        <v>699400</v>
      </c>
      <c r="J693" s="244"/>
      <c r="K693" s="7">
        <f t="shared" ref="K693" si="157">SUM(E693:I693)</f>
        <v>7616672</v>
      </c>
      <c r="L693" s="6"/>
      <c r="M693" s="438">
        <f t="shared" ref="M693" si="158">+(K693-K692)/K692</f>
        <v>1.69863420130788E-3</v>
      </c>
      <c r="N693" s="29"/>
      <c r="O693" s="29"/>
      <c r="P693" s="29"/>
      <c r="Q693" s="332">
        <f t="shared" ref="Q693" si="159">+K693-K692</f>
        <v>12916</v>
      </c>
      <c r="R693" s="6"/>
      <c r="S693" s="7">
        <f>64846+31442+10010</f>
        <v>106298</v>
      </c>
      <c r="T693" s="6"/>
      <c r="U693" s="243">
        <v>2.402125115017657E-2</v>
      </c>
      <c r="W693">
        <f t="shared" si="97"/>
        <v>683</v>
      </c>
      <c r="Y693" s="56"/>
    </row>
    <row r="694" spans="3:25" x14ac:dyDescent="0.3">
      <c r="C694" s="158">
        <f t="shared" si="117"/>
        <v>44593</v>
      </c>
      <c r="E694" s="241">
        <v>4815000</v>
      </c>
      <c r="F694" s="7"/>
      <c r="G694" s="7">
        <v>2111856</v>
      </c>
      <c r="H694" s="579" t="s">
        <v>26</v>
      </c>
      <c r="I694" s="7">
        <v>699400</v>
      </c>
      <c r="J694" s="244"/>
      <c r="K694" s="7">
        <f t="shared" ref="K694" si="160">SUM(E694:I694)</f>
        <v>7626256</v>
      </c>
      <c r="L694" s="6"/>
      <c r="M694" s="438">
        <f t="shared" ref="M694" si="161">+(K694-K693)/K693</f>
        <v>1.2582923355502246E-3</v>
      </c>
      <c r="N694" s="29"/>
      <c r="O694" s="29"/>
      <c r="P694" s="29"/>
      <c r="Q694" s="332">
        <f t="shared" ref="Q694" si="162">+K694-K693</f>
        <v>9584</v>
      </c>
      <c r="R694" s="6"/>
      <c r="S694" s="7">
        <f>64846+31442+10010</f>
        <v>106298</v>
      </c>
      <c r="T694" s="6"/>
      <c r="U694" s="243">
        <v>2.402125115017657E-2</v>
      </c>
      <c r="W694">
        <f t="shared" si="97"/>
        <v>684</v>
      </c>
      <c r="Y694" s="56"/>
    </row>
    <row r="695" spans="3:25" x14ac:dyDescent="0.3">
      <c r="C695" s="158">
        <f t="shared" si="117"/>
        <v>44594</v>
      </c>
      <c r="E695" s="241">
        <v>4821628</v>
      </c>
      <c r="F695" s="7"/>
      <c r="G695" s="7">
        <v>2119298</v>
      </c>
      <c r="H695" s="7"/>
      <c r="I695" s="7">
        <v>702426</v>
      </c>
      <c r="J695" s="244"/>
      <c r="K695" s="7">
        <f t="shared" ref="K695" si="163">SUM(E695:I695)</f>
        <v>7643352</v>
      </c>
      <c r="L695" s="6"/>
      <c r="M695" s="438">
        <f t="shared" ref="M695" si="164">+(K695-K694)/K694</f>
        <v>2.241729100098397E-3</v>
      </c>
      <c r="N695" s="29"/>
      <c r="O695" s="29"/>
      <c r="P695" s="29"/>
      <c r="Q695" s="332">
        <f t="shared" ref="Q695" si="165">+K695-K694</f>
        <v>17096</v>
      </c>
      <c r="R695" s="6"/>
      <c r="S695" s="7">
        <f>65257+31663+10083</f>
        <v>107003</v>
      </c>
      <c r="T695" s="6"/>
      <c r="U695" s="243">
        <v>2.402125115017657E-2</v>
      </c>
      <c r="W695">
        <f t="shared" si="97"/>
        <v>685</v>
      </c>
      <c r="Y695" s="56"/>
    </row>
    <row r="696" spans="3:25" x14ac:dyDescent="0.3">
      <c r="C696" s="158">
        <f t="shared" si="117"/>
        <v>44595</v>
      </c>
      <c r="E696" s="241">
        <v>4831404</v>
      </c>
      <c r="F696" s="7"/>
      <c r="G696" s="7">
        <v>2123207</v>
      </c>
      <c r="H696" s="7"/>
      <c r="I696" s="7">
        <v>704871</v>
      </c>
      <c r="J696" s="244"/>
      <c r="K696" s="7">
        <f t="shared" ref="K696" si="166">SUM(E696:I696)</f>
        <v>7659482</v>
      </c>
      <c r="L696" s="6"/>
      <c r="M696" s="438">
        <f t="shared" ref="M696" si="167">+(K696-K695)/K695</f>
        <v>2.1103306507406698E-3</v>
      </c>
      <c r="N696" s="29"/>
      <c r="O696" s="29"/>
      <c r="P696" s="29"/>
      <c r="Q696" s="332">
        <f t="shared" ref="Q696" si="168">+K696-K695</f>
        <v>16130</v>
      </c>
      <c r="R696" s="6"/>
      <c r="S696" s="7">
        <f>65421+31769+10083</f>
        <v>107273</v>
      </c>
      <c r="T696" s="6"/>
      <c r="U696" s="243">
        <v>2.402125115017657E-2</v>
      </c>
      <c r="W696">
        <f t="shared" si="97"/>
        <v>686</v>
      </c>
      <c r="Y696" s="56"/>
    </row>
    <row r="697" spans="3:25" x14ac:dyDescent="0.3">
      <c r="C697" s="158">
        <f t="shared" si="117"/>
        <v>44596</v>
      </c>
      <c r="E697" s="241">
        <v>4839516</v>
      </c>
      <c r="F697" s="7"/>
      <c r="G697" s="7">
        <v>2129191</v>
      </c>
      <c r="H697" s="7"/>
      <c r="I697" s="7">
        <v>706140</v>
      </c>
      <c r="J697" s="244"/>
      <c r="K697" s="7">
        <f t="shared" ref="K697" si="169">SUM(E697:I697)</f>
        <v>7674847</v>
      </c>
      <c r="L697" s="6"/>
      <c r="M697" s="438">
        <f t="shared" ref="M697" si="170">+(K697-K696)/K696</f>
        <v>2.0060103281135722E-3</v>
      </c>
      <c r="N697" s="29"/>
      <c r="O697" s="29"/>
      <c r="P697" s="29"/>
      <c r="Q697" s="332">
        <f t="shared" ref="Q697" si="171">+K697-K696</f>
        <v>15365</v>
      </c>
      <c r="R697" s="6"/>
      <c r="S697" s="7">
        <f>65578+31948+10159</f>
        <v>107685</v>
      </c>
      <c r="T697" s="6"/>
      <c r="U697" s="243">
        <v>2.402125115017657E-2</v>
      </c>
      <c r="W697">
        <f t="shared" si="97"/>
        <v>687</v>
      </c>
      <c r="Y697" s="56"/>
    </row>
    <row r="698" spans="3:25" x14ac:dyDescent="0.3">
      <c r="C698" s="158">
        <f t="shared" si="117"/>
        <v>44597</v>
      </c>
      <c r="E698" s="241">
        <v>4847500</v>
      </c>
      <c r="F698" s="7"/>
      <c r="G698" s="7">
        <v>2129191</v>
      </c>
      <c r="H698" s="7"/>
      <c r="I698" s="7">
        <v>706140</v>
      </c>
      <c r="J698" s="244"/>
      <c r="K698" s="7">
        <f t="shared" ref="K698" si="172">SUM(E698:I698)</f>
        <v>7682831</v>
      </c>
      <c r="L698" s="6"/>
      <c r="M698" s="438">
        <f t="shared" ref="M698" si="173">+(K698-K697)/K697</f>
        <v>1.0402813241749314E-3</v>
      </c>
      <c r="N698" s="29"/>
      <c r="O698" s="29"/>
      <c r="P698" s="29"/>
      <c r="Q698" s="332">
        <f t="shared" ref="Q698" si="174">+K698-K697</f>
        <v>7984</v>
      </c>
      <c r="R698" s="6"/>
      <c r="S698" s="7">
        <f>65626+31948+10159</f>
        <v>107733</v>
      </c>
      <c r="T698" s="6"/>
      <c r="U698" s="243">
        <v>2.402125115017657E-2</v>
      </c>
      <c r="W698">
        <f t="shared" si="97"/>
        <v>688</v>
      </c>
      <c r="Y698" s="56"/>
    </row>
    <row r="699" spans="3:25" x14ac:dyDescent="0.3">
      <c r="C699" s="347">
        <f t="shared" si="117"/>
        <v>44598</v>
      </c>
      <c r="E699" s="241">
        <v>4852369</v>
      </c>
      <c r="F699" s="7"/>
      <c r="G699" s="7">
        <v>2131015</v>
      </c>
      <c r="H699" s="7"/>
      <c r="I699" s="7">
        <v>706140</v>
      </c>
      <c r="J699" s="244"/>
      <c r="K699" s="7">
        <f t="shared" ref="K699" si="175">SUM(E699:I699)</f>
        <v>7689524</v>
      </c>
      <c r="L699" s="6"/>
      <c r="M699" s="438">
        <f t="shared" ref="M699" si="176">+(K699-K698)/K698</f>
        <v>8.7116324698538862E-4</v>
      </c>
      <c r="N699" s="29"/>
      <c r="O699" s="29"/>
      <c r="P699" s="29"/>
      <c r="Q699" s="332">
        <f t="shared" ref="Q699" si="177">+K699-K698</f>
        <v>6693</v>
      </c>
      <c r="R699" s="6"/>
      <c r="S699" s="7">
        <f>65626+31948+10159</f>
        <v>107733</v>
      </c>
      <c r="T699" s="6"/>
      <c r="U699" s="243">
        <v>2.402125115017657E-2</v>
      </c>
      <c r="W699">
        <f t="shared" si="97"/>
        <v>689</v>
      </c>
      <c r="Y699" s="56"/>
    </row>
    <row r="700" spans="3:25" x14ac:dyDescent="0.3">
      <c r="C700" s="158">
        <f t="shared" si="117"/>
        <v>44599</v>
      </c>
      <c r="E700" s="241">
        <v>4860000</v>
      </c>
      <c r="F700" s="7"/>
      <c r="G700" s="7">
        <v>2131200</v>
      </c>
      <c r="H700" s="579" t="s">
        <v>26</v>
      </c>
      <c r="I700" s="7">
        <v>707500</v>
      </c>
      <c r="J700" s="244"/>
      <c r="K700" s="7">
        <f t="shared" ref="K700" si="178">SUM(E700:I700)</f>
        <v>7698700</v>
      </c>
      <c r="L700" s="6"/>
      <c r="M700" s="438">
        <f t="shared" ref="M700" si="179">+(K700-K699)/K699</f>
        <v>1.1933118356870984E-3</v>
      </c>
      <c r="N700" s="29"/>
      <c r="O700" s="29"/>
      <c r="P700" s="29"/>
      <c r="Q700" s="332">
        <f t="shared" ref="Q700" si="180">+K700-K699</f>
        <v>9176</v>
      </c>
      <c r="R700" s="6"/>
      <c r="S700" s="7">
        <f>65626+31948+10159</f>
        <v>107733</v>
      </c>
      <c r="T700" s="6"/>
      <c r="U700" s="243">
        <v>2.402125115017657E-2</v>
      </c>
      <c r="W700">
        <f t="shared" si="97"/>
        <v>690</v>
      </c>
      <c r="Y700" s="56"/>
    </row>
    <row r="701" spans="3:25" x14ac:dyDescent="0.3">
      <c r="C701" s="158">
        <f t="shared" si="117"/>
        <v>44600</v>
      </c>
      <c r="E701" s="241">
        <v>4860442</v>
      </c>
      <c r="F701" s="7"/>
      <c r="G701" s="7">
        <v>2134058</v>
      </c>
      <c r="H701" s="7"/>
      <c r="I701" s="7">
        <v>709621</v>
      </c>
      <c r="J701" s="244"/>
      <c r="K701" s="7">
        <f t="shared" ref="K701" si="181">SUM(E701:I701)</f>
        <v>7704121</v>
      </c>
      <c r="L701" s="6"/>
      <c r="M701" s="438">
        <f t="shared" ref="M701" si="182">+(K701-K700)/K700</f>
        <v>7.0414485562497568E-4</v>
      </c>
      <c r="N701" s="29"/>
      <c r="O701" s="29"/>
      <c r="P701" s="29"/>
      <c r="Q701" s="332">
        <f t="shared" ref="Q701" si="183">+K701-K700</f>
        <v>5421</v>
      </c>
      <c r="R701" s="6"/>
      <c r="S701" s="7">
        <f>66015+32094+10158</f>
        <v>108267</v>
      </c>
      <c r="T701" s="6"/>
      <c r="U701" s="243">
        <v>2.402125115017657E-2</v>
      </c>
      <c r="W701">
        <f t="shared" si="97"/>
        <v>691</v>
      </c>
      <c r="Y701" s="56"/>
    </row>
    <row r="702" spans="3:25" x14ac:dyDescent="0.3">
      <c r="C702" s="158">
        <f t="shared" si="117"/>
        <v>44601</v>
      </c>
      <c r="E702" s="241">
        <v>4866194</v>
      </c>
      <c r="F702" s="7"/>
      <c r="G702" s="7">
        <v>2136387</v>
      </c>
      <c r="H702" s="7"/>
      <c r="I702" s="7">
        <v>710669</v>
      </c>
      <c r="J702" s="244"/>
      <c r="K702" s="7">
        <f t="shared" ref="K702" si="184">SUM(E702:I702)</f>
        <v>7713250</v>
      </c>
      <c r="L702" s="6"/>
      <c r="M702" s="438">
        <f t="shared" ref="M702" si="185">+(K702-K701)/K701</f>
        <v>1.1849502363734941E-3</v>
      </c>
      <c r="N702" s="29"/>
      <c r="O702" s="29"/>
      <c r="P702" s="29"/>
      <c r="Q702" s="332">
        <f t="shared" ref="Q702" si="186">+K702-K701</f>
        <v>9129</v>
      </c>
      <c r="R702" s="6"/>
      <c r="S702" s="7">
        <f>66165+32187+10214</f>
        <v>108566</v>
      </c>
      <c r="T702" s="6"/>
      <c r="U702" s="243">
        <v>2.402125115017657E-2</v>
      </c>
      <c r="W702">
        <f t="shared" si="97"/>
        <v>692</v>
      </c>
      <c r="Y702" s="56"/>
    </row>
    <row r="703" spans="3:25" x14ac:dyDescent="0.3">
      <c r="C703" s="158">
        <f t="shared" si="117"/>
        <v>44602</v>
      </c>
      <c r="E703" s="241">
        <v>4873548</v>
      </c>
      <c r="F703" s="7"/>
      <c r="G703" s="7">
        <v>2139579</v>
      </c>
      <c r="H703" s="7"/>
      <c r="I703" s="7">
        <v>711695</v>
      </c>
      <c r="J703" s="244"/>
      <c r="K703" s="7">
        <f t="shared" ref="K703" si="187">SUM(E703:I703)</f>
        <v>7724822</v>
      </c>
      <c r="L703" s="6"/>
      <c r="M703" s="438">
        <f t="shared" ref="M703" si="188">+(K703-K702)/K702</f>
        <v>1.5002754999513823E-3</v>
      </c>
      <c r="N703" s="29"/>
      <c r="O703" s="29"/>
      <c r="P703" s="29"/>
      <c r="Q703" s="332">
        <f t="shared" ref="Q703" si="189">+K703-K702</f>
        <v>11572</v>
      </c>
      <c r="R703" s="6"/>
      <c r="S703" s="7">
        <f>66276+32260+10219</f>
        <v>108755</v>
      </c>
      <c r="T703" s="6"/>
      <c r="U703" s="243">
        <v>2.402125115017657E-2</v>
      </c>
      <c r="W703">
        <f t="shared" si="97"/>
        <v>693</v>
      </c>
      <c r="Y703" s="56"/>
    </row>
    <row r="704" spans="3:25" x14ac:dyDescent="0.3">
      <c r="C704" s="158">
        <f t="shared" si="117"/>
        <v>44603</v>
      </c>
      <c r="E704" s="241">
        <v>4878304</v>
      </c>
      <c r="F704" s="7"/>
      <c r="G704" s="7">
        <v>2142157</v>
      </c>
      <c r="H704" s="7"/>
      <c r="I704" s="7">
        <v>712884</v>
      </c>
      <c r="J704" s="244"/>
      <c r="K704" s="7">
        <f t="shared" ref="K704" si="190">SUM(E704:I704)</f>
        <v>7733345</v>
      </c>
      <c r="L704" s="6"/>
      <c r="M704" s="438">
        <f t="shared" ref="M704" si="191">+(K704-K703)/K703</f>
        <v>1.1033263937991063E-3</v>
      </c>
      <c r="N704" s="29"/>
      <c r="O704" s="29"/>
      <c r="P704" s="29"/>
      <c r="Q704" s="332">
        <f t="shared" ref="Q704" si="192">+K704-K703</f>
        <v>8523</v>
      </c>
      <c r="R704" s="6"/>
      <c r="S704" s="7">
        <f>66397+32319+10260</f>
        <v>108976</v>
      </c>
      <c r="T704" s="6"/>
      <c r="U704" s="243">
        <v>2.402125115017657E-2</v>
      </c>
      <c r="W704">
        <f t="shared" si="97"/>
        <v>694</v>
      </c>
      <c r="Y704" s="56"/>
    </row>
    <row r="705" spans="3:25" x14ac:dyDescent="0.3">
      <c r="C705" s="158">
        <f t="shared" si="117"/>
        <v>44604</v>
      </c>
      <c r="E705" s="241">
        <v>4881825</v>
      </c>
      <c r="F705" s="7"/>
      <c r="G705" s="7">
        <v>2144350</v>
      </c>
      <c r="H705" s="7"/>
      <c r="I705" s="7">
        <v>712884</v>
      </c>
      <c r="J705" s="244"/>
      <c r="K705" s="7">
        <f t="shared" ref="K705" si="193">SUM(E705:I705)</f>
        <v>7739059</v>
      </c>
      <c r="L705" s="6"/>
      <c r="M705" s="438">
        <f t="shared" ref="M705" si="194">+(K705-K704)/K704</f>
        <v>7.388781956578945E-4</v>
      </c>
      <c r="N705" s="29"/>
      <c r="O705" s="29"/>
      <c r="P705" s="29"/>
      <c r="Q705" s="332">
        <f t="shared" ref="Q705" si="195">+K705-K704</f>
        <v>5714</v>
      </c>
      <c r="R705" s="6"/>
      <c r="S705" s="7">
        <f>66431+32374+10260</f>
        <v>109065</v>
      </c>
      <c r="T705" s="6"/>
      <c r="U705" s="243">
        <v>2.402125115017657E-2</v>
      </c>
      <c r="W705">
        <f t="shared" si="97"/>
        <v>695</v>
      </c>
      <c r="Y705" s="56"/>
    </row>
    <row r="706" spans="3:25" x14ac:dyDescent="0.3">
      <c r="C706" s="347">
        <f t="shared" si="117"/>
        <v>44605</v>
      </c>
      <c r="E706" s="241">
        <v>4886180</v>
      </c>
      <c r="F706" s="7"/>
      <c r="G706" s="7">
        <v>2145147</v>
      </c>
      <c r="H706" s="7"/>
      <c r="I706" s="7">
        <v>712884</v>
      </c>
      <c r="J706" s="244"/>
      <c r="K706" s="7">
        <f t="shared" ref="K706" si="196">SUM(E706:I706)</f>
        <v>7744211</v>
      </c>
      <c r="L706" s="6"/>
      <c r="M706" s="438">
        <f t="shared" ref="M706" si="197">+(K706-K705)/K705</f>
        <v>6.6571400993324897E-4</v>
      </c>
      <c r="N706" s="29"/>
      <c r="O706" s="29"/>
      <c r="P706" s="29"/>
      <c r="Q706" s="332">
        <f t="shared" ref="Q706" si="198">+K706-K705</f>
        <v>5152</v>
      </c>
      <c r="R706" s="6"/>
      <c r="S706" s="7">
        <f>66431+32374+10260</f>
        <v>109065</v>
      </c>
      <c r="T706" s="6"/>
      <c r="U706" s="243">
        <v>2.402125115017657E-2</v>
      </c>
      <c r="W706">
        <f t="shared" si="97"/>
        <v>696</v>
      </c>
      <c r="Y706" s="56"/>
    </row>
    <row r="707" spans="3:25" x14ac:dyDescent="0.3">
      <c r="C707" s="158">
        <f t="shared" si="117"/>
        <v>44606</v>
      </c>
      <c r="E707" s="241">
        <v>4888634</v>
      </c>
      <c r="F707" s="7"/>
      <c r="G707" s="7">
        <v>2146285</v>
      </c>
      <c r="H707" s="7"/>
      <c r="I707" s="7">
        <v>714408</v>
      </c>
      <c r="J707" s="244"/>
      <c r="K707" s="7">
        <f t="shared" ref="K707" si="199">SUM(E707:I707)</f>
        <v>7749327</v>
      </c>
      <c r="L707" s="6"/>
      <c r="M707" s="438">
        <f t="shared" ref="M707" si="200">+(K707-K706)/K706</f>
        <v>6.6062249595213768E-4</v>
      </c>
      <c r="N707" s="29"/>
      <c r="O707" s="29"/>
      <c r="P707" s="29"/>
      <c r="Q707" s="332">
        <f t="shared" ref="Q707" si="201">+K707-K706</f>
        <v>5116</v>
      </c>
      <c r="R707" s="6"/>
      <c r="S707" s="7">
        <f>66554+33518+10260</f>
        <v>110332</v>
      </c>
      <c r="T707" s="6"/>
      <c r="U707" s="243">
        <v>2.402125115017657E-2</v>
      </c>
      <c r="W707">
        <f t="shared" si="97"/>
        <v>697</v>
      </c>
      <c r="Y707" s="56"/>
    </row>
    <row r="708" spans="3:25" x14ac:dyDescent="0.3">
      <c r="C708" s="158">
        <f t="shared" si="117"/>
        <v>44607</v>
      </c>
      <c r="E708" s="241">
        <v>4890903</v>
      </c>
      <c r="F708" s="7"/>
      <c r="G708" s="7">
        <v>2147857</v>
      </c>
      <c r="H708" s="7"/>
      <c r="I708" s="7">
        <v>715692</v>
      </c>
      <c r="J708" s="244"/>
      <c r="K708" s="7">
        <f t="shared" ref="K708" si="202">SUM(E708:I708)</f>
        <v>7754452</v>
      </c>
      <c r="L708" s="6"/>
      <c r="M708" s="438">
        <f t="shared" ref="M708" si="203">+(K708-K707)/K707</f>
        <v>6.6134775316617814E-4</v>
      </c>
      <c r="N708" s="29"/>
      <c r="O708" s="29"/>
      <c r="P708" s="29"/>
      <c r="Q708" s="332">
        <f t="shared" ref="Q708" si="204">+K708-K707</f>
        <v>5125</v>
      </c>
      <c r="R708" s="6"/>
      <c r="S708" s="7">
        <f>666689+32483+10320</f>
        <v>709492</v>
      </c>
      <c r="T708" s="6"/>
      <c r="U708" s="243">
        <v>2.402125115017657E-2</v>
      </c>
      <c r="W708">
        <f t="shared" si="97"/>
        <v>698</v>
      </c>
      <c r="Y708" s="56"/>
    </row>
    <row r="709" spans="3:25" x14ac:dyDescent="0.3">
      <c r="C709" s="158">
        <f t="shared" si="117"/>
        <v>44608</v>
      </c>
      <c r="E709" s="241">
        <v>4895156</v>
      </c>
      <c r="F709" s="7"/>
      <c r="G709" s="7">
        <v>2150351</v>
      </c>
      <c r="H709" s="7"/>
      <c r="I709" s="7">
        <v>717520</v>
      </c>
      <c r="J709" s="244"/>
      <c r="K709" s="7">
        <f t="shared" ref="K709" si="205">SUM(E709:I709)</f>
        <v>7763027</v>
      </c>
      <c r="L709" s="6"/>
      <c r="M709" s="438">
        <f t="shared" ref="M709" si="206">+(K709-K708)/K708</f>
        <v>1.1058163749030879E-3</v>
      </c>
      <c r="N709" s="29"/>
      <c r="O709" s="29"/>
      <c r="P709" s="29"/>
      <c r="Q709" s="332">
        <f t="shared" ref="Q709" si="207">+K709-K708</f>
        <v>8575</v>
      </c>
      <c r="R709" s="6"/>
      <c r="S709" s="7">
        <f>66768+32544+10318</f>
        <v>109630</v>
      </c>
      <c r="T709" s="6"/>
      <c r="U709" s="243">
        <v>2.402125115017657E-2</v>
      </c>
      <c r="W709">
        <f t="shared" si="97"/>
        <v>699</v>
      </c>
      <c r="Y709" s="56"/>
    </row>
    <row r="710" spans="3:25" x14ac:dyDescent="0.3">
      <c r="C710" s="158">
        <f t="shared" si="117"/>
        <v>44609</v>
      </c>
      <c r="E710" s="241">
        <v>4898887</v>
      </c>
      <c r="F710" s="7"/>
      <c r="G710" s="7">
        <v>2153093</v>
      </c>
      <c r="H710" s="7"/>
      <c r="I710" s="7">
        <v>718064</v>
      </c>
      <c r="J710" s="244"/>
      <c r="K710" s="7">
        <f t="shared" ref="K710" si="208">SUM(E710:I710)</f>
        <v>7770044</v>
      </c>
      <c r="L710" s="6"/>
      <c r="M710" s="438">
        <f t="shared" ref="M710" si="209">+(K710-K709)/K709</f>
        <v>9.0389998643570352E-4</v>
      </c>
      <c r="N710" s="29"/>
      <c r="O710" s="29"/>
      <c r="P710" s="29"/>
      <c r="Q710" s="332">
        <f t="shared" ref="Q710" si="210">+K710-K709</f>
        <v>7017</v>
      </c>
      <c r="R710" s="6"/>
      <c r="S710" s="7">
        <f>66841+32609+10324</f>
        <v>109774</v>
      </c>
      <c r="T710" s="6"/>
      <c r="U710" s="243">
        <v>2.402125115017657E-2</v>
      </c>
      <c r="W710">
        <f t="shared" si="97"/>
        <v>700</v>
      </c>
      <c r="Y710" s="56"/>
    </row>
    <row r="711" spans="3:25" x14ac:dyDescent="0.3">
      <c r="C711" s="158">
        <f t="shared" si="117"/>
        <v>44610</v>
      </c>
      <c r="E711" s="241">
        <v>4903700</v>
      </c>
      <c r="F711" s="7"/>
      <c r="G711" s="7">
        <v>2155400</v>
      </c>
      <c r="H711" s="7"/>
      <c r="I711" s="7">
        <v>719327</v>
      </c>
      <c r="J711" s="244"/>
      <c r="K711" s="7">
        <f t="shared" ref="K711" si="211">SUM(E711:I711)</f>
        <v>7778427</v>
      </c>
      <c r="L711" s="6"/>
      <c r="M711" s="438">
        <f t="shared" ref="M711" si="212">+(K711-K710)/K710</f>
        <v>1.078887069365373E-3</v>
      </c>
      <c r="N711" s="29"/>
      <c r="O711" s="29"/>
      <c r="P711" s="29"/>
      <c r="Q711" s="332">
        <f t="shared" ref="Q711" si="213">+K711-K710</f>
        <v>8383</v>
      </c>
      <c r="R711" s="6"/>
      <c r="S711" s="7">
        <f>66919+32647+10357</f>
        <v>109923</v>
      </c>
      <c r="T711" s="6"/>
      <c r="U711" s="243">
        <v>2.402125115017657E-2</v>
      </c>
      <c r="W711">
        <f t="shared" si="97"/>
        <v>701</v>
      </c>
      <c r="Y711" s="56"/>
    </row>
    <row r="712" spans="3:25" x14ac:dyDescent="0.3">
      <c r="C712" s="158">
        <f t="shared" si="117"/>
        <v>44611</v>
      </c>
      <c r="E712" s="241">
        <v>4906178</v>
      </c>
      <c r="F712" s="7"/>
      <c r="G712" s="7">
        <v>2155400</v>
      </c>
      <c r="H712" s="7"/>
      <c r="I712" s="7">
        <v>719327</v>
      </c>
      <c r="J712" s="244"/>
      <c r="K712" s="7">
        <f t="shared" ref="K712" si="214">SUM(E712:I712)</f>
        <v>7780905</v>
      </c>
      <c r="L712" s="6"/>
      <c r="M712" s="438">
        <f t="shared" ref="M712" si="215">+(K712-K711)/K711</f>
        <v>3.1857340822251081E-4</v>
      </c>
      <c r="N712" s="29"/>
      <c r="O712" s="29"/>
      <c r="P712" s="29"/>
      <c r="Q712" s="332">
        <f t="shared" ref="Q712" si="216">+K712-K711</f>
        <v>2478</v>
      </c>
      <c r="R712" s="6"/>
      <c r="S712" s="7">
        <f>66939+32647+10357</f>
        <v>109943</v>
      </c>
      <c r="T712" s="6"/>
      <c r="U712" s="243">
        <v>2.402125115017657E-2</v>
      </c>
      <c r="W712">
        <f t="shared" si="97"/>
        <v>702</v>
      </c>
      <c r="Y712" s="56"/>
    </row>
    <row r="713" spans="3:25" x14ac:dyDescent="0.3">
      <c r="C713" s="347">
        <f t="shared" si="117"/>
        <v>44612</v>
      </c>
      <c r="E713" s="241">
        <v>4908315</v>
      </c>
      <c r="F713" s="7"/>
      <c r="G713" s="7">
        <v>2155400</v>
      </c>
      <c r="H713" s="7"/>
      <c r="I713" s="7">
        <v>719327</v>
      </c>
      <c r="J713" s="244"/>
      <c r="K713" s="7">
        <f t="shared" ref="K713" si="217">SUM(E713:I713)</f>
        <v>7783042</v>
      </c>
      <c r="L713" s="6"/>
      <c r="M713" s="438">
        <f t="shared" ref="M713" si="218">+(K713-K712)/K712</f>
        <v>2.7464671525998581E-4</v>
      </c>
      <c r="N713" s="29"/>
      <c r="O713" s="29"/>
      <c r="P713" s="29"/>
      <c r="Q713" s="332">
        <f t="shared" ref="Q713" si="219">+K713-K712</f>
        <v>2137</v>
      </c>
      <c r="R713" s="6"/>
      <c r="S713" s="7">
        <f>66966+32647+10357</f>
        <v>109970</v>
      </c>
      <c r="T713" s="6"/>
      <c r="U713" s="243">
        <v>2.402125115017657E-2</v>
      </c>
      <c r="W713">
        <f t="shared" si="97"/>
        <v>703</v>
      </c>
      <c r="Y713" s="56"/>
    </row>
    <row r="714" spans="3:25" x14ac:dyDescent="0.3">
      <c r="C714" s="158">
        <f t="shared" si="117"/>
        <v>44613</v>
      </c>
      <c r="E714" s="241">
        <v>4910920</v>
      </c>
      <c r="F714" s="7"/>
      <c r="G714" s="7">
        <v>2155400</v>
      </c>
      <c r="H714" s="7"/>
      <c r="I714" s="7">
        <v>720618</v>
      </c>
      <c r="J714" s="244"/>
      <c r="K714" s="7">
        <f t="shared" ref="K714" si="220">SUM(E714:I714)</f>
        <v>7786938</v>
      </c>
      <c r="L714" s="6"/>
      <c r="M714" s="438">
        <f t="shared" ref="M714" si="221">+(K714-K713)/K713</f>
        <v>5.0057548192596155E-4</v>
      </c>
      <c r="N714" s="29"/>
      <c r="O714" s="29"/>
      <c r="P714" s="29"/>
      <c r="Q714" s="332">
        <f t="shared" ref="Q714" si="222">+K714-K713</f>
        <v>3896</v>
      </c>
      <c r="R714" s="6"/>
      <c r="S714" s="7">
        <f>67034+32647+10374</f>
        <v>110055</v>
      </c>
      <c r="T714" s="6"/>
      <c r="U714" s="243">
        <v>2.402125115017657E-2</v>
      </c>
      <c r="W714">
        <f t="shared" si="97"/>
        <v>704</v>
      </c>
      <c r="Y714" s="56"/>
    </row>
    <row r="715" spans="3:25" x14ac:dyDescent="0.3">
      <c r="C715" s="158">
        <f t="shared" si="117"/>
        <v>44614</v>
      </c>
      <c r="E715" s="241">
        <v>4912831</v>
      </c>
      <c r="F715" s="7"/>
      <c r="G715" s="7">
        <v>2160023</v>
      </c>
      <c r="H715" s="7"/>
      <c r="I715" s="7">
        <v>720956</v>
      </c>
      <c r="J715" s="244"/>
      <c r="K715" s="7">
        <f t="shared" ref="K715" si="223">SUM(E715:I715)</f>
        <v>7793810</v>
      </c>
      <c r="L715" s="6"/>
      <c r="M715" s="438">
        <f t="shared" ref="M715" si="224">+(K715-K714)/K714</f>
        <v>8.8250349495527E-4</v>
      </c>
      <c r="N715" s="29"/>
      <c r="O715" s="29"/>
      <c r="P715" s="29"/>
      <c r="Q715" s="332">
        <f t="shared" ref="Q715" si="225">+K715-K714</f>
        <v>6872</v>
      </c>
      <c r="R715" s="6"/>
      <c r="S715" s="7">
        <f>67103+32731+10374</f>
        <v>110208</v>
      </c>
      <c r="T715" s="6"/>
      <c r="U715" s="243">
        <v>2.402125115017657E-2</v>
      </c>
      <c r="W715">
        <f t="shared" si="97"/>
        <v>705</v>
      </c>
      <c r="Y715" s="56"/>
    </row>
    <row r="716" spans="3:25" x14ac:dyDescent="0.3">
      <c r="C716" s="158">
        <f t="shared" si="117"/>
        <v>44615</v>
      </c>
      <c r="E716" s="241">
        <v>4915054</v>
      </c>
      <c r="F716" s="7"/>
      <c r="G716" s="7">
        <v>2161190</v>
      </c>
      <c r="H716" s="7"/>
      <c r="I716" s="7">
        <v>721496</v>
      </c>
      <c r="J716" s="244"/>
      <c r="K716" s="7">
        <f t="shared" ref="K716" si="226">SUM(E716:I716)</f>
        <v>7797740</v>
      </c>
      <c r="L716" s="6"/>
      <c r="M716" s="438">
        <f t="shared" ref="M716" si="227">+(K716-K715)/K715</f>
        <v>5.0424631855280021E-4</v>
      </c>
      <c r="N716" s="29"/>
      <c r="O716" s="29"/>
      <c r="P716" s="29"/>
      <c r="Q716" s="332">
        <f t="shared" ref="Q716" si="228">+K716-K715</f>
        <v>3930</v>
      </c>
      <c r="R716" s="6"/>
      <c r="S716" s="7">
        <f>67161+32800+10438</f>
        <v>110399</v>
      </c>
      <c r="T716" s="6"/>
      <c r="U716" s="243">
        <v>2.402125115017657E-2</v>
      </c>
      <c r="W716">
        <f t="shared" si="97"/>
        <v>706</v>
      </c>
      <c r="Y716" s="56"/>
    </row>
    <row r="717" spans="3:25" x14ac:dyDescent="0.3">
      <c r="C717" s="158">
        <f t="shared" si="117"/>
        <v>44616</v>
      </c>
      <c r="E717" s="241">
        <v>4917723</v>
      </c>
      <c r="F717" s="7"/>
      <c r="G717" s="7">
        <v>2161190</v>
      </c>
      <c r="H717" s="7"/>
      <c r="I717" s="7">
        <v>721954</v>
      </c>
      <c r="J717" s="244"/>
      <c r="K717" s="7">
        <f t="shared" ref="K717" si="229">SUM(E717:I717)</f>
        <v>7800867</v>
      </c>
      <c r="L717" s="6"/>
      <c r="M717" s="438">
        <f t="shared" ref="M717" si="230">+(K717-K716)/K716</f>
        <v>4.0101362702526632E-4</v>
      </c>
      <c r="N717" s="29"/>
      <c r="O717" s="29"/>
      <c r="P717" s="29"/>
      <c r="Q717" s="332">
        <f t="shared" ref="Q717" si="231">+K717-K716</f>
        <v>3127</v>
      </c>
      <c r="R717" s="6"/>
      <c r="S717" s="7">
        <f>67220+32800+10443</f>
        <v>110463</v>
      </c>
      <c r="T717" s="6"/>
      <c r="U717" s="243">
        <v>2.402125115017657E-2</v>
      </c>
      <c r="W717">
        <f t="shared" si="97"/>
        <v>707</v>
      </c>
      <c r="Y717" s="56"/>
    </row>
    <row r="718" spans="3:25" x14ac:dyDescent="0.3">
      <c r="C718" s="158">
        <f t="shared" si="117"/>
        <v>44617</v>
      </c>
      <c r="E718" s="241">
        <v>4920073</v>
      </c>
      <c r="F718" s="7"/>
      <c r="G718" s="7">
        <v>2164368</v>
      </c>
      <c r="H718" s="7"/>
      <c r="I718" s="7">
        <v>722377</v>
      </c>
      <c r="J718" s="244"/>
      <c r="K718" s="7">
        <f t="shared" ref="K718" si="232">SUM(E718:I718)</f>
        <v>7806818</v>
      </c>
      <c r="L718" s="6"/>
      <c r="M718" s="438">
        <f t="shared" ref="M718" si="233">+(K718-K717)/K717</f>
        <v>7.6286392268961895E-4</v>
      </c>
      <c r="N718" s="29"/>
      <c r="O718" s="29"/>
      <c r="P718" s="29"/>
      <c r="Q718" s="332">
        <f t="shared" ref="Q718" si="234">+K718-K717</f>
        <v>5951</v>
      </c>
      <c r="R718" s="6"/>
      <c r="S718" s="7">
        <f>67275+32857+10465</f>
        <v>110597</v>
      </c>
      <c r="T718" s="6"/>
      <c r="U718" s="243">
        <v>2.402125115017657E-2</v>
      </c>
      <c r="W718">
        <f t="shared" si="97"/>
        <v>708</v>
      </c>
      <c r="Y718" s="56"/>
    </row>
    <row r="719" spans="3:25" x14ac:dyDescent="0.3">
      <c r="C719" s="158">
        <f t="shared" si="117"/>
        <v>44618</v>
      </c>
      <c r="E719" s="241">
        <v>4922916</v>
      </c>
      <c r="F719" s="7"/>
      <c r="G719" s="7">
        <v>2165484</v>
      </c>
      <c r="H719" s="7"/>
      <c r="I719" s="7">
        <v>722377</v>
      </c>
      <c r="J719" s="244"/>
      <c r="K719" s="7">
        <f t="shared" ref="K719" si="235">SUM(E719:I719)</f>
        <v>7810777</v>
      </c>
      <c r="L719" s="6"/>
      <c r="M719" s="438">
        <f t="shared" ref="M719" si="236">+(K719-K718)/K718</f>
        <v>5.071208269489567E-4</v>
      </c>
      <c r="N719" s="29"/>
      <c r="O719" s="29"/>
      <c r="P719" s="29"/>
      <c r="Q719" s="332">
        <f t="shared" ref="Q719" si="237">+K719-K718</f>
        <v>3959</v>
      </c>
      <c r="R719" s="6"/>
      <c r="S719" s="7">
        <f>67300+32888+10465</f>
        <v>110653</v>
      </c>
      <c r="T719" s="6"/>
      <c r="U719" s="243">
        <v>2.402125115017657E-2</v>
      </c>
      <c r="W719">
        <f t="shared" si="97"/>
        <v>709</v>
      </c>
      <c r="Y719" s="56"/>
    </row>
    <row r="720" spans="3:25" x14ac:dyDescent="0.3">
      <c r="C720" s="347">
        <f t="shared" si="117"/>
        <v>44619</v>
      </c>
      <c r="E720" s="241">
        <v>4924032</v>
      </c>
      <c r="F720" s="7"/>
      <c r="G720" s="7">
        <v>2166758</v>
      </c>
      <c r="H720" s="7"/>
      <c r="I720" s="7">
        <v>722377</v>
      </c>
      <c r="J720" s="244"/>
      <c r="K720" s="7">
        <f t="shared" ref="K720" si="238">SUM(E720:I720)</f>
        <v>7813167</v>
      </c>
      <c r="L720" s="6"/>
      <c r="M720" s="438">
        <f t="shared" ref="M720" si="239">+(K720-K719)/K719</f>
        <v>3.0598748370360595E-4</v>
      </c>
      <c r="N720" s="29"/>
      <c r="O720" s="29"/>
      <c r="P720" s="29"/>
      <c r="Q720" s="332">
        <f t="shared" ref="Q720" si="240">+K720-K719</f>
        <v>2390</v>
      </c>
      <c r="R720" s="6"/>
      <c r="S720" s="7">
        <f>67344+23370+10465</f>
        <v>101179</v>
      </c>
      <c r="T720" s="6"/>
      <c r="U720" s="243">
        <v>2.402125115017657E-2</v>
      </c>
      <c r="W720">
        <f t="shared" si="97"/>
        <v>710</v>
      </c>
      <c r="Y720" s="56"/>
    </row>
    <row r="721" spans="3:25" x14ac:dyDescent="0.3">
      <c r="C721" s="158">
        <f>+C720+1</f>
        <v>44620</v>
      </c>
      <c r="E721" s="241">
        <v>4925221</v>
      </c>
      <c r="F721" s="7"/>
      <c r="G721" s="7">
        <v>2167515</v>
      </c>
      <c r="H721" s="7"/>
      <c r="I721" s="7">
        <v>723389</v>
      </c>
      <c r="J721" s="244"/>
      <c r="K721" s="7">
        <f t="shared" ref="K721" si="241">SUM(E721:I721)</f>
        <v>7816125</v>
      </c>
      <c r="L721" s="6"/>
      <c r="M721" s="438">
        <f t="shared" ref="M721" si="242">+(K721-K720)/K720</f>
        <v>3.7859167735695395E-4</v>
      </c>
      <c r="N721" s="29"/>
      <c r="O721" s="29"/>
      <c r="P721" s="29"/>
      <c r="Q721" s="332">
        <f t="shared" ref="Q721" si="243">+K721-K720</f>
        <v>2958</v>
      </c>
      <c r="R721" s="6"/>
      <c r="S721" s="7">
        <f>67358+32915+10470</f>
        <v>110743</v>
      </c>
      <c r="T721" s="6"/>
      <c r="U721" s="243">
        <v>2.402125115017657E-2</v>
      </c>
      <c r="W721">
        <f t="shared" si="97"/>
        <v>711</v>
      </c>
      <c r="Y721" s="56"/>
    </row>
    <row r="722" spans="3:25" x14ac:dyDescent="0.3">
      <c r="C722" s="158">
        <f t="shared" ref="C722:C765" si="244">+C721+1</f>
        <v>44621</v>
      </c>
      <c r="E722" s="241">
        <v>4926708</v>
      </c>
      <c r="F722" s="7"/>
      <c r="G722" s="7">
        <v>2168631</v>
      </c>
      <c r="H722" s="7"/>
      <c r="I722" s="7">
        <v>723559</v>
      </c>
      <c r="J722" s="244"/>
      <c r="K722" s="7">
        <f t="shared" ref="K722" si="245">SUM(E722:I722)</f>
        <v>7818898</v>
      </c>
      <c r="L722" s="6"/>
      <c r="M722" s="438">
        <f t="shared" ref="M722" si="246">+(K722-K721)/K721</f>
        <v>3.5477938236658192E-4</v>
      </c>
      <c r="N722" s="29"/>
      <c r="O722" s="29"/>
      <c r="P722" s="29"/>
      <c r="Q722" s="332">
        <f t="shared" ref="Q722" si="247">+K722-K721</f>
        <v>2773</v>
      </c>
      <c r="R722" s="6"/>
      <c r="S722" s="7">
        <f>67409+32951+10471</f>
        <v>110831</v>
      </c>
      <c r="T722" s="6"/>
      <c r="U722" s="243">
        <v>2.402125115017657E-2</v>
      </c>
      <c r="W722">
        <f t="shared" si="97"/>
        <v>712</v>
      </c>
      <c r="Y722" s="56"/>
    </row>
    <row r="723" spans="3:25" x14ac:dyDescent="0.3">
      <c r="C723" s="158">
        <f t="shared" si="244"/>
        <v>44622</v>
      </c>
      <c r="E723" s="241">
        <v>4928597</v>
      </c>
      <c r="F723" s="7"/>
      <c r="G723" s="7">
        <v>2170061</v>
      </c>
      <c r="H723" s="7"/>
      <c r="I723" s="7">
        <v>723812</v>
      </c>
      <c r="J723" s="244"/>
      <c r="K723" s="7">
        <f t="shared" ref="K723" si="248">SUM(E723:I723)</f>
        <v>7822470</v>
      </c>
      <c r="L723" s="6"/>
      <c r="M723" s="438">
        <f t="shared" ref="M723" si="249">+(K723-K722)/K722</f>
        <v>4.5684187208990321E-4</v>
      </c>
      <c r="N723" s="29"/>
      <c r="O723" s="29"/>
      <c r="P723" s="29"/>
      <c r="Q723" s="332">
        <f t="shared" ref="Q723" si="250">+K723-K722</f>
        <v>3572</v>
      </c>
      <c r="R723" s="6"/>
      <c r="S723" s="7">
        <f>67447+32966+10512</f>
        <v>110925</v>
      </c>
      <c r="T723" s="6"/>
      <c r="U723" s="243">
        <v>2.402125115017657E-2</v>
      </c>
      <c r="W723">
        <f t="shared" si="97"/>
        <v>713</v>
      </c>
      <c r="Y723" s="56"/>
    </row>
    <row r="724" spans="3:25" x14ac:dyDescent="0.3">
      <c r="C724" s="158">
        <f t="shared" si="244"/>
        <v>44623</v>
      </c>
      <c r="E724" s="241">
        <v>4930987</v>
      </c>
      <c r="F724" s="7"/>
      <c r="G724" s="7">
        <v>2171339</v>
      </c>
      <c r="H724" s="7"/>
      <c r="I724" s="7">
        <v>724401</v>
      </c>
      <c r="J724" s="244"/>
      <c r="K724" s="7">
        <f t="shared" ref="K724" si="251">SUM(E724:I724)</f>
        <v>7826727</v>
      </c>
      <c r="L724" s="6"/>
      <c r="M724" s="438">
        <f t="shared" ref="M724" si="252">+(K724-K723)/K723</f>
        <v>5.4420151179870294E-4</v>
      </c>
      <c r="N724" s="29"/>
      <c r="O724" s="29"/>
      <c r="P724" s="29"/>
      <c r="Q724" s="332">
        <f t="shared" ref="Q724" si="253">+K724-K723</f>
        <v>4257</v>
      </c>
      <c r="R724" s="6"/>
      <c r="S724" s="7">
        <f>67479+32982+10515</f>
        <v>110976</v>
      </c>
      <c r="T724" s="6"/>
      <c r="U724" s="243">
        <v>2.402125115017657E-2</v>
      </c>
      <c r="W724">
        <f t="shared" si="97"/>
        <v>714</v>
      </c>
      <c r="Y724" s="56"/>
    </row>
    <row r="725" spans="3:25" x14ac:dyDescent="0.3">
      <c r="C725" s="158">
        <f t="shared" si="244"/>
        <v>44624</v>
      </c>
      <c r="E725" s="241">
        <v>4931337</v>
      </c>
      <c r="F725" s="7"/>
      <c r="G725" s="7">
        <v>2172771</v>
      </c>
      <c r="H725" s="7"/>
      <c r="I725" s="7">
        <v>724833</v>
      </c>
      <c r="J725" s="244"/>
      <c r="K725" s="7">
        <f t="shared" ref="K725" si="254">SUM(E725:I725)</f>
        <v>7828941</v>
      </c>
      <c r="L725" s="6"/>
      <c r="M725" s="438">
        <f t="shared" ref="M725" si="255">+(K725-K724)/K724</f>
        <v>2.8287686538702576E-4</v>
      </c>
      <c r="N725" s="29"/>
      <c r="O725" s="29"/>
      <c r="P725" s="29"/>
      <c r="Q725" s="332">
        <f t="shared" ref="Q725" si="256">+K725-K724</f>
        <v>2214</v>
      </c>
      <c r="R725" s="6"/>
      <c r="S725" s="7">
        <f>67511+32999+10543</f>
        <v>111053</v>
      </c>
      <c r="T725" s="6"/>
      <c r="U725" s="243">
        <v>2.402125115017657E-2</v>
      </c>
      <c r="W725">
        <f t="shared" si="97"/>
        <v>715</v>
      </c>
      <c r="Y725" s="56"/>
    </row>
    <row r="726" spans="3:25" x14ac:dyDescent="0.3">
      <c r="C726" s="158">
        <f t="shared" si="244"/>
        <v>44625</v>
      </c>
      <c r="E726" s="241">
        <v>4934709</v>
      </c>
      <c r="F726" s="7"/>
      <c r="G726" s="7">
        <v>2173813</v>
      </c>
      <c r="H726" s="7"/>
      <c r="I726" s="7">
        <v>724833</v>
      </c>
      <c r="J726" s="244"/>
      <c r="K726" s="7">
        <f t="shared" ref="K726" si="257">SUM(E726:I726)</f>
        <v>7833355</v>
      </c>
      <c r="L726" s="6"/>
      <c r="M726" s="438">
        <f t="shared" ref="M726" si="258">+(K726-K725)/K725</f>
        <v>5.6380550064178542E-4</v>
      </c>
      <c r="N726" s="29"/>
      <c r="O726" s="29"/>
      <c r="P726" s="29"/>
      <c r="Q726" s="332">
        <f t="shared" ref="Q726" si="259">+K726-K725</f>
        <v>4414</v>
      </c>
      <c r="R726" s="6"/>
      <c r="S726" s="7">
        <f>67523+33005+10543</f>
        <v>111071</v>
      </c>
      <c r="T726" s="6"/>
      <c r="U726" s="243">
        <v>2.402125115017657E-2</v>
      </c>
      <c r="W726">
        <f t="shared" si="97"/>
        <v>716</v>
      </c>
      <c r="Y726" s="56"/>
    </row>
    <row r="727" spans="3:25" x14ac:dyDescent="0.3">
      <c r="C727" s="347">
        <f t="shared" si="244"/>
        <v>44626</v>
      </c>
      <c r="E727" s="241">
        <v>4937052</v>
      </c>
      <c r="F727" s="7"/>
      <c r="G727" s="7">
        <v>2174473</v>
      </c>
      <c r="H727" s="7"/>
      <c r="I727" s="7">
        <v>724833</v>
      </c>
      <c r="J727" s="244"/>
      <c r="K727" s="7">
        <f t="shared" ref="K727" si="260">SUM(E727:I727)</f>
        <v>7836358</v>
      </c>
      <c r="L727" s="6"/>
      <c r="M727" s="438">
        <f t="shared" ref="M727" si="261">+(K727-K726)/K726</f>
        <v>3.8336064176843767E-4</v>
      </c>
      <c r="N727" s="29"/>
      <c r="O727" s="29"/>
      <c r="P727" s="29"/>
      <c r="Q727" s="332">
        <f t="shared" ref="Q727" si="262">+K727-K726</f>
        <v>3003</v>
      </c>
      <c r="R727" s="6"/>
      <c r="S727" s="7">
        <f>67556+33011+10543</f>
        <v>111110</v>
      </c>
      <c r="T727" s="6"/>
      <c r="U727" s="243">
        <v>2.402125115017657E-2</v>
      </c>
      <c r="W727">
        <f t="shared" si="97"/>
        <v>717</v>
      </c>
      <c r="Y727" s="56"/>
    </row>
    <row r="728" spans="3:25" x14ac:dyDescent="0.3">
      <c r="C728" s="158">
        <f t="shared" si="244"/>
        <v>44627</v>
      </c>
      <c r="E728" s="241">
        <v>4938085</v>
      </c>
      <c r="F728" s="7"/>
      <c r="G728" s="7">
        <v>2175439</v>
      </c>
      <c r="H728" s="7"/>
      <c r="I728" s="7">
        <v>727542</v>
      </c>
      <c r="J728" s="244"/>
      <c r="K728" s="7">
        <f t="shared" ref="K728" si="263">SUM(E728:I728)</f>
        <v>7841066</v>
      </c>
      <c r="L728" s="6"/>
      <c r="M728" s="438">
        <f t="shared" ref="M728" si="264">+(K728-K727)/K727</f>
        <v>6.0078929523127965E-4</v>
      </c>
      <c r="N728" s="29"/>
      <c r="O728" s="29"/>
      <c r="P728" s="29"/>
      <c r="Q728" s="332">
        <f t="shared" ref="Q728" si="265">+K728-K727</f>
        <v>4708</v>
      </c>
      <c r="R728" s="6"/>
      <c r="S728" s="7">
        <f>67571+33027+10542</f>
        <v>111140</v>
      </c>
      <c r="T728" s="6"/>
      <c r="U728" s="243">
        <v>2.402125115017657E-2</v>
      </c>
      <c r="W728">
        <f t="shared" si="97"/>
        <v>718</v>
      </c>
      <c r="Y728" s="56"/>
    </row>
    <row r="729" spans="3:25" x14ac:dyDescent="0.3">
      <c r="C729" s="158">
        <f t="shared" si="244"/>
        <v>44628</v>
      </c>
      <c r="E729" s="241">
        <v>4939110</v>
      </c>
      <c r="F729" s="7"/>
      <c r="G729" s="7">
        <v>2176633</v>
      </c>
      <c r="H729" s="7"/>
      <c r="I729" s="7">
        <v>728733</v>
      </c>
      <c r="J729" s="244"/>
      <c r="K729" s="7">
        <f t="shared" ref="K729" si="266">SUM(E729:I729)</f>
        <v>7844476</v>
      </c>
      <c r="L729" s="6"/>
      <c r="M729" s="438">
        <f t="shared" ref="M729" si="267">+(K729-K728)/K728</f>
        <v>4.3488984788547883E-4</v>
      </c>
      <c r="N729" s="29"/>
      <c r="O729" s="29"/>
      <c r="P729" s="29"/>
      <c r="Q729" s="332">
        <f t="shared" ref="Q729" si="268">+K729-K728</f>
        <v>3410</v>
      </c>
      <c r="R729" s="6"/>
      <c r="S729" s="7">
        <f>67607+33050+10591</f>
        <v>111248</v>
      </c>
      <c r="T729" s="6"/>
      <c r="U729" s="243">
        <v>2.402125115017657E-2</v>
      </c>
      <c r="W729">
        <f t="shared" si="97"/>
        <v>719</v>
      </c>
      <c r="Y729" s="56"/>
    </row>
    <row r="730" spans="3:25" x14ac:dyDescent="0.3">
      <c r="C730" s="158">
        <f t="shared" si="244"/>
        <v>44629</v>
      </c>
      <c r="E730" s="241">
        <v>4940801</v>
      </c>
      <c r="F730" s="7"/>
      <c r="G730" s="7">
        <v>2177598</v>
      </c>
      <c r="H730" s="7"/>
      <c r="I730" s="7">
        <v>729063</v>
      </c>
      <c r="J730" s="244"/>
      <c r="K730" s="7">
        <f t="shared" ref="K730" si="269">SUM(E730:I730)</f>
        <v>7847462</v>
      </c>
      <c r="L730" s="6"/>
      <c r="M730" s="438">
        <f t="shared" ref="M730" si="270">+(K730-K729)/K729</f>
        <v>3.8065002684691749E-4</v>
      </c>
      <c r="N730" s="29"/>
      <c r="O730" s="29"/>
      <c r="P730" s="29"/>
      <c r="Q730" s="332">
        <f t="shared" ref="Q730" si="271">+K730-K729</f>
        <v>2986</v>
      </c>
      <c r="R730" s="6"/>
      <c r="S730" s="7">
        <f>67611+33054+10609</f>
        <v>111274</v>
      </c>
      <c r="T730" s="6"/>
      <c r="U730" s="243">
        <v>2.402125115017657E-2</v>
      </c>
      <c r="W730">
        <f t="shared" si="97"/>
        <v>720</v>
      </c>
      <c r="Y730" s="56"/>
    </row>
    <row r="731" spans="3:25" x14ac:dyDescent="0.3">
      <c r="C731" s="158">
        <f t="shared" si="244"/>
        <v>44630</v>
      </c>
      <c r="E731" s="241">
        <v>4942548</v>
      </c>
      <c r="F731" s="7"/>
      <c r="G731" s="7">
        <v>2178976</v>
      </c>
      <c r="H731" s="7"/>
      <c r="I731" s="7">
        <v>729354</v>
      </c>
      <c r="J731" s="244"/>
      <c r="K731" s="7">
        <f t="shared" ref="K731" si="272">SUM(E731:I731)</f>
        <v>7850878</v>
      </c>
      <c r="L731" s="6"/>
      <c r="M731" s="438">
        <f t="shared" ref="M731" si="273">+(K731-K730)/K730</f>
        <v>4.3529997341815738E-4</v>
      </c>
      <c r="N731" s="29"/>
      <c r="O731" s="29"/>
      <c r="P731" s="29"/>
      <c r="Q731" s="332">
        <f t="shared" ref="Q731" si="274">+K731-K730</f>
        <v>3416</v>
      </c>
      <c r="R731" s="6"/>
      <c r="S731" s="7">
        <f>67611+33054+10609</f>
        <v>111274</v>
      </c>
      <c r="T731" s="6"/>
      <c r="U731" s="243">
        <v>2.402125115017657E-2</v>
      </c>
      <c r="W731">
        <f t="shared" si="97"/>
        <v>721</v>
      </c>
      <c r="Y731" s="56"/>
    </row>
    <row r="732" spans="3:25" x14ac:dyDescent="0.3">
      <c r="C732" s="158">
        <f t="shared" si="244"/>
        <v>44631</v>
      </c>
      <c r="E732" s="241">
        <v>4944777</v>
      </c>
      <c r="F732" s="7"/>
      <c r="G732" s="7">
        <v>2180216</v>
      </c>
      <c r="H732" s="7"/>
      <c r="I732" s="7">
        <v>729697</v>
      </c>
      <c r="J732" s="244"/>
      <c r="K732" s="7">
        <f t="shared" ref="K732" si="275">SUM(E732:I732)</f>
        <v>7854690</v>
      </c>
      <c r="L732" s="6"/>
      <c r="M732" s="438">
        <f t="shared" ref="M732" si="276">+(K732-K731)/K731</f>
        <v>4.8555078807746089E-4</v>
      </c>
      <c r="N732" s="29"/>
      <c r="O732" s="29"/>
      <c r="P732" s="29"/>
      <c r="Q732" s="332">
        <f t="shared" ref="Q732" si="277">+K732-K731</f>
        <v>3812</v>
      </c>
      <c r="R732" s="6"/>
      <c r="S732" s="7">
        <f>67643+33087+10648</f>
        <v>111378</v>
      </c>
      <c r="T732" s="6"/>
      <c r="U732" s="243">
        <v>2.402125115017657E-2</v>
      </c>
      <c r="W732">
        <f t="shared" si="97"/>
        <v>722</v>
      </c>
      <c r="Y732" s="56"/>
    </row>
    <row r="733" spans="3:25" x14ac:dyDescent="0.3">
      <c r="C733" s="158">
        <f t="shared" si="244"/>
        <v>44632</v>
      </c>
      <c r="E733" s="241">
        <f>4946173-500</f>
        <v>4945673</v>
      </c>
      <c r="F733" s="7"/>
      <c r="G733" s="7">
        <f>2180930-350</f>
        <v>2180580</v>
      </c>
      <c r="H733" s="579" t="s">
        <v>26</v>
      </c>
      <c r="I733" s="7">
        <f>729697-100</f>
        <v>729597</v>
      </c>
      <c r="J733" s="244"/>
      <c r="K733" s="7">
        <f t="shared" ref="K733" si="278">SUM(E733:I733)</f>
        <v>7855850</v>
      </c>
      <c r="L733" s="6"/>
      <c r="M733" s="438">
        <f t="shared" ref="M733" si="279">+(K733-K732)/K732</f>
        <v>1.4768246741755562E-4</v>
      </c>
      <c r="N733" s="29"/>
      <c r="O733" s="29"/>
      <c r="P733" s="29"/>
      <c r="Q733" s="332">
        <f t="shared" ref="Q733" si="280">+K733-K732</f>
        <v>1160</v>
      </c>
      <c r="R733" s="6"/>
      <c r="S733" s="7">
        <f>67657+33102+10648</f>
        <v>111407</v>
      </c>
      <c r="T733" s="6"/>
      <c r="U733" s="243">
        <v>2.402125115017657E-2</v>
      </c>
      <c r="W733">
        <f t="shared" si="97"/>
        <v>723</v>
      </c>
      <c r="Y733" s="56"/>
    </row>
    <row r="734" spans="3:25" x14ac:dyDescent="0.3">
      <c r="C734" s="347">
        <f t="shared" si="244"/>
        <v>44633</v>
      </c>
      <c r="E734" s="241">
        <v>4946173</v>
      </c>
      <c r="F734" s="7"/>
      <c r="G734" s="7">
        <v>2180930</v>
      </c>
      <c r="H734" s="7"/>
      <c r="I734" s="7">
        <v>729697</v>
      </c>
      <c r="J734" s="244"/>
      <c r="K734" s="7">
        <f t="shared" ref="K734" si="281">SUM(E734:I734)</f>
        <v>7856800</v>
      </c>
      <c r="L734" s="6"/>
      <c r="M734" s="438">
        <f t="shared" ref="M734" si="282">+(K734-K733)/K733</f>
        <v>1.2092898922459059E-4</v>
      </c>
      <c r="N734" s="29"/>
      <c r="O734" s="29"/>
      <c r="P734" s="29"/>
      <c r="Q734" s="332">
        <f t="shared" ref="Q734" si="283">+K734-K733</f>
        <v>950</v>
      </c>
      <c r="R734" s="6"/>
      <c r="S734" s="7">
        <f>67657+33102+10648</f>
        <v>111407</v>
      </c>
      <c r="T734" s="6"/>
      <c r="U734" s="243">
        <v>2.402125115017657E-2</v>
      </c>
      <c r="W734">
        <f t="shared" si="97"/>
        <v>724</v>
      </c>
      <c r="Y734" s="56"/>
    </row>
    <row r="735" spans="3:25" x14ac:dyDescent="0.3">
      <c r="C735" s="158">
        <f t="shared" si="244"/>
        <v>44634</v>
      </c>
      <c r="E735" s="241">
        <f>4952485-3000</f>
        <v>4949485</v>
      </c>
      <c r="F735" s="7"/>
      <c r="G735" s="7">
        <f>2182557+1500</f>
        <v>2184057</v>
      </c>
      <c r="H735" s="579" t="s">
        <v>26</v>
      </c>
      <c r="I735" s="7">
        <v>730811</v>
      </c>
      <c r="J735" s="244"/>
      <c r="K735" s="7">
        <f t="shared" ref="K735" si="284">SUM(E735:I735)</f>
        <v>7864353</v>
      </c>
      <c r="L735" s="6"/>
      <c r="M735" s="438">
        <f t="shared" ref="M735" si="285">+(K735-K734)/K734</f>
        <v>9.6133285816108339E-4</v>
      </c>
      <c r="N735" s="29"/>
      <c r="O735" s="29"/>
      <c r="P735" s="29"/>
      <c r="Q735" s="332">
        <f t="shared" ref="Q735" si="286">+K735-K734</f>
        <v>7553</v>
      </c>
      <c r="R735" s="6"/>
      <c r="S735" s="7">
        <f>67724+33126+10675</f>
        <v>111525</v>
      </c>
      <c r="T735" s="6"/>
      <c r="U735" s="243">
        <v>2.402125115017657E-2</v>
      </c>
      <c r="W735">
        <f t="shared" si="97"/>
        <v>725</v>
      </c>
      <c r="Y735" s="56"/>
    </row>
    <row r="736" spans="3:25" x14ac:dyDescent="0.3">
      <c r="C736" s="158">
        <f t="shared" si="244"/>
        <v>44635</v>
      </c>
      <c r="E736" s="241">
        <v>4952485</v>
      </c>
      <c r="F736" s="7"/>
      <c r="G736" s="7">
        <v>2182557</v>
      </c>
      <c r="H736" s="7"/>
      <c r="I736" s="7">
        <v>730811</v>
      </c>
      <c r="J736" s="244"/>
      <c r="K736" s="7">
        <f t="shared" ref="K736" si="287">SUM(E736:I736)</f>
        <v>7865853</v>
      </c>
      <c r="L736" s="6"/>
      <c r="M736" s="438">
        <f t="shared" ref="M736" si="288">+(K736-K735)/K735</f>
        <v>1.9073406292927084E-4</v>
      </c>
      <c r="N736" s="29"/>
      <c r="O736" s="29"/>
      <c r="P736" s="29"/>
      <c r="Q736" s="332">
        <f t="shared" ref="Q736" si="289">+K736-K735</f>
        <v>1500</v>
      </c>
      <c r="R736" s="6"/>
      <c r="S736" s="7">
        <f>67724+33126+10675</f>
        <v>111525</v>
      </c>
      <c r="T736" s="6"/>
      <c r="U736" s="243">
        <v>2.402125115017657E-2</v>
      </c>
      <c r="W736">
        <f t="shared" si="97"/>
        <v>726</v>
      </c>
      <c r="Y736" s="56"/>
    </row>
    <row r="737" spans="3:30" x14ac:dyDescent="0.3">
      <c r="C737" s="158">
        <f t="shared" si="244"/>
        <v>44636</v>
      </c>
      <c r="E737" s="241">
        <v>4954524</v>
      </c>
      <c r="F737" s="7"/>
      <c r="G737" s="7">
        <v>2184240</v>
      </c>
      <c r="H737" s="7"/>
      <c r="I737" s="7">
        <v>731128</v>
      </c>
      <c r="J737" s="244"/>
      <c r="K737" s="7">
        <f t="shared" ref="K737" si="290">SUM(E737:I737)</f>
        <v>7869892</v>
      </c>
      <c r="L737" s="6"/>
      <c r="M737" s="438">
        <f t="shared" ref="M737" si="291">+(K737-K736)/K736</f>
        <v>5.1348531430729768E-4</v>
      </c>
      <c r="N737" s="29"/>
      <c r="O737" s="29"/>
      <c r="P737" s="29"/>
      <c r="Q737" s="332">
        <f t="shared" ref="Q737" si="292">+K737-K736</f>
        <v>4039</v>
      </c>
      <c r="R737" s="6"/>
      <c r="S737" s="7">
        <f>67764+33135+10677</f>
        <v>111576</v>
      </c>
      <c r="T737" s="6"/>
      <c r="U737" s="243">
        <v>2.402125115017657E-2</v>
      </c>
      <c r="W737">
        <f t="shared" si="97"/>
        <v>727</v>
      </c>
      <c r="Y737" s="56"/>
    </row>
    <row r="738" spans="3:30" x14ac:dyDescent="0.3">
      <c r="C738" s="158">
        <f t="shared" si="244"/>
        <v>44637</v>
      </c>
      <c r="E738" s="241">
        <v>4956880</v>
      </c>
      <c r="F738" s="7"/>
      <c r="G738" s="7">
        <v>2186323</v>
      </c>
      <c r="H738" s="7"/>
      <c r="I738" s="7">
        <v>731532</v>
      </c>
      <c r="J738" s="244"/>
      <c r="K738" s="7">
        <f t="shared" ref="K738" si="293">SUM(E738:I738)</f>
        <v>7874735</v>
      </c>
      <c r="L738" s="6"/>
      <c r="M738" s="438">
        <f t="shared" ref="M738" si="294">+(K738-K737)/K737</f>
        <v>6.1538328607304898E-4</v>
      </c>
      <c r="N738" s="29"/>
      <c r="O738" s="29"/>
      <c r="P738" s="29"/>
      <c r="Q738" s="332">
        <f t="shared" ref="Q738" si="295">+K738-K737</f>
        <v>4843</v>
      </c>
      <c r="R738" s="6"/>
      <c r="S738" s="7">
        <f>67792+33149+10677</f>
        <v>111618</v>
      </c>
      <c r="T738" s="6"/>
      <c r="U738" s="243">
        <v>2.402125115017657E-2</v>
      </c>
      <c r="W738">
        <f t="shared" si="97"/>
        <v>728</v>
      </c>
      <c r="Y738" s="56"/>
      <c r="AD738" s="158"/>
    </row>
    <row r="739" spans="3:30" x14ac:dyDescent="0.3">
      <c r="C739" s="158">
        <f t="shared" si="244"/>
        <v>44638</v>
      </c>
      <c r="E739" s="241">
        <v>4958932</v>
      </c>
      <c r="F739" s="7"/>
      <c r="G739" s="7">
        <v>2186846</v>
      </c>
      <c r="H739" s="7"/>
      <c r="I739" s="7">
        <v>731868</v>
      </c>
      <c r="J739" s="244"/>
      <c r="K739" s="7">
        <f t="shared" ref="K739" si="296">SUM(E739:I739)</f>
        <v>7877646</v>
      </c>
      <c r="L739" s="6"/>
      <c r="M739" s="438">
        <f t="shared" ref="M739" si="297">+(K739-K738)/K738</f>
        <v>3.696632331119714E-4</v>
      </c>
      <c r="N739" s="29"/>
      <c r="O739" s="29"/>
      <c r="P739" s="29"/>
      <c r="Q739" s="332">
        <f t="shared" ref="Q739" si="298">+K739-K738</f>
        <v>2911</v>
      </c>
      <c r="R739" s="6"/>
      <c r="S739" s="7">
        <f>67810+33155+10717</f>
        <v>111682</v>
      </c>
      <c r="T739" s="6"/>
      <c r="U739" s="243">
        <v>2.402125115017657E-2</v>
      </c>
      <c r="W739">
        <f t="shared" si="97"/>
        <v>729</v>
      </c>
      <c r="Y739" s="56"/>
    </row>
    <row r="740" spans="3:30" x14ac:dyDescent="0.3">
      <c r="C740" s="158">
        <f t="shared" si="244"/>
        <v>44639</v>
      </c>
      <c r="E740" s="241">
        <f>4961120+500</f>
        <v>4961620</v>
      </c>
      <c r="F740" s="7"/>
      <c r="G740" s="7">
        <v>2187715</v>
      </c>
      <c r="H740" s="579" t="s">
        <v>26</v>
      </c>
      <c r="I740" s="7">
        <v>731868</v>
      </c>
      <c r="J740" s="244"/>
      <c r="K740" s="7">
        <f t="shared" ref="K740" si="299">SUM(E740:I740)</f>
        <v>7881203</v>
      </c>
      <c r="L740" s="6"/>
      <c r="M740" s="438">
        <f t="shared" ref="M740" si="300">+(K740-K739)/K739</f>
        <v>4.5153082532523042E-4</v>
      </c>
      <c r="N740" s="29"/>
      <c r="O740" s="29"/>
      <c r="P740" s="29"/>
      <c r="Q740" s="332">
        <f t="shared" ref="Q740" si="301">+K740-K739</f>
        <v>3557</v>
      </c>
      <c r="R740" s="6"/>
      <c r="S740" s="7">
        <f>67813+33167+10717</f>
        <v>111697</v>
      </c>
      <c r="T740" s="6"/>
      <c r="U740" s="243">
        <v>2.402125115017657E-2</v>
      </c>
      <c r="W740">
        <f t="shared" si="97"/>
        <v>730</v>
      </c>
      <c r="Y740" s="56"/>
    </row>
    <row r="741" spans="3:30" x14ac:dyDescent="0.3">
      <c r="C741" s="347">
        <f t="shared" si="244"/>
        <v>44640</v>
      </c>
      <c r="E741" s="241">
        <v>4963787</v>
      </c>
      <c r="F741" s="7"/>
      <c r="G741" s="7">
        <v>2188228</v>
      </c>
      <c r="H741" s="581"/>
      <c r="I741" s="7">
        <v>731868</v>
      </c>
      <c r="J741" s="244"/>
      <c r="K741" s="7">
        <f t="shared" ref="K741" si="302">SUM(E741:I741)</f>
        <v>7883883</v>
      </c>
      <c r="L741" s="6"/>
      <c r="M741" s="438">
        <f t="shared" ref="M741" si="303">+(K741-K740)/K740</f>
        <v>3.4004960917768517E-4</v>
      </c>
      <c r="N741" s="29"/>
      <c r="O741" s="29"/>
      <c r="P741" s="29"/>
      <c r="Q741" s="332">
        <f t="shared" ref="Q741" si="304">+K741-K740</f>
        <v>2680</v>
      </c>
      <c r="R741" s="6"/>
      <c r="S741" s="7">
        <f>67813+33167+10717</f>
        <v>111697</v>
      </c>
      <c r="T741" s="6"/>
      <c r="U741" s="243">
        <v>2.402125115017657E-2</v>
      </c>
      <c r="W741">
        <f t="shared" si="97"/>
        <v>731</v>
      </c>
      <c r="Y741" s="56"/>
    </row>
    <row r="742" spans="3:30" x14ac:dyDescent="0.3">
      <c r="C742" s="158">
        <f t="shared" si="244"/>
        <v>44641</v>
      </c>
      <c r="E742" s="241">
        <v>4964964</v>
      </c>
      <c r="F742" s="7"/>
      <c r="G742" s="7">
        <v>2188780</v>
      </c>
      <c r="H742" s="581"/>
      <c r="I742" s="7">
        <v>732471</v>
      </c>
      <c r="J742" s="244"/>
      <c r="K742" s="7">
        <f t="shared" ref="K742" si="305">SUM(E742:I742)</f>
        <v>7886215</v>
      </c>
      <c r="L742" s="6"/>
      <c r="M742" s="438">
        <f t="shared" ref="M742" si="306">+(K742-K741)/K741</f>
        <v>2.9579332925158832E-4</v>
      </c>
      <c r="N742" s="29"/>
      <c r="O742" s="29"/>
      <c r="P742" s="29"/>
      <c r="Q742" s="332">
        <f t="shared" ref="Q742" si="307">+K742-K741</f>
        <v>2332</v>
      </c>
      <c r="R742" s="6"/>
      <c r="S742" s="7">
        <f>67822+33178+10723</f>
        <v>111723</v>
      </c>
      <c r="T742" s="6"/>
      <c r="U742" s="243">
        <v>2.402125115017657E-2</v>
      </c>
      <c r="W742">
        <f t="shared" si="97"/>
        <v>732</v>
      </c>
      <c r="Y742" s="56"/>
    </row>
    <row r="743" spans="3:30" x14ac:dyDescent="0.3">
      <c r="C743" s="158">
        <f t="shared" si="244"/>
        <v>44642</v>
      </c>
      <c r="E743" s="241">
        <v>4966567</v>
      </c>
      <c r="F743" s="7"/>
      <c r="G743" s="7">
        <v>2189639</v>
      </c>
      <c r="H743" s="581"/>
      <c r="I743" s="7">
        <v>732932</v>
      </c>
      <c r="J743" s="244"/>
      <c r="K743" s="7">
        <f t="shared" ref="K743" si="308">SUM(E743:I743)</f>
        <v>7889138</v>
      </c>
      <c r="L743" s="6"/>
      <c r="M743" s="438">
        <f t="shared" ref="M743" si="309">+(K743-K742)/K742</f>
        <v>3.7064675512904477E-4</v>
      </c>
      <c r="N743" s="29"/>
      <c r="O743" s="29"/>
      <c r="P743" s="29"/>
      <c r="Q743" s="332">
        <f t="shared" ref="Q743" si="310">+K743-K742</f>
        <v>2923</v>
      </c>
      <c r="R743" s="6"/>
      <c r="S743" s="7">
        <f>67842+33186+10742</f>
        <v>111770</v>
      </c>
      <c r="T743" s="6"/>
      <c r="U743" s="243">
        <v>2.402125115017657E-2</v>
      </c>
      <c r="W743">
        <f t="shared" si="97"/>
        <v>733</v>
      </c>
      <c r="Y743" s="56"/>
    </row>
    <row r="744" spans="3:30" x14ac:dyDescent="0.3">
      <c r="C744" s="158">
        <f t="shared" si="244"/>
        <v>44643</v>
      </c>
      <c r="E744" s="241">
        <v>4967118</v>
      </c>
      <c r="F744" s="7"/>
      <c r="G744" s="7">
        <v>2190743</v>
      </c>
      <c r="H744" s="581"/>
      <c r="I744" s="7">
        <v>733328</v>
      </c>
      <c r="J744" s="244"/>
      <c r="K744" s="7">
        <f t="shared" ref="K744" si="311">SUM(E744:I744)</f>
        <v>7891189</v>
      </c>
      <c r="L744" s="6"/>
      <c r="M744" s="438">
        <f t="shared" ref="M744" si="312">+(K744-K743)/K743</f>
        <v>2.5997770605609889E-4</v>
      </c>
      <c r="N744" s="29"/>
      <c r="O744" s="29"/>
      <c r="P744" s="29"/>
      <c r="Q744" s="332">
        <f t="shared" ref="Q744" si="313">+K744-K743</f>
        <v>2051</v>
      </c>
      <c r="R744" s="6"/>
      <c r="S744" s="7">
        <f>67862+33192+10740</f>
        <v>111794</v>
      </c>
      <c r="T744" s="6"/>
      <c r="U744" s="243">
        <v>2.402125115017657E-2</v>
      </c>
      <c r="W744">
        <f t="shared" si="97"/>
        <v>734</v>
      </c>
      <c r="Y744" s="56"/>
    </row>
    <row r="745" spans="3:30" x14ac:dyDescent="0.3">
      <c r="C745" s="158">
        <f t="shared" si="244"/>
        <v>44644</v>
      </c>
      <c r="E745" s="241">
        <v>4973714</v>
      </c>
      <c r="F745" s="7"/>
      <c r="G745" s="7">
        <v>2192294</v>
      </c>
      <c r="H745" s="581"/>
      <c r="I745" s="7">
        <v>733767</v>
      </c>
      <c r="J745" s="244"/>
      <c r="K745" s="7">
        <f t="shared" ref="K745" si="314">SUM(E745:I745)</f>
        <v>7899775</v>
      </c>
      <c r="L745" s="6"/>
      <c r="M745" s="438">
        <f t="shared" ref="M745" si="315">+(K745-K744)/K744</f>
        <v>1.0880489619498404E-3</v>
      </c>
      <c r="N745" s="29"/>
      <c r="O745" s="29"/>
      <c r="P745" s="29"/>
      <c r="Q745" s="332">
        <f t="shared" ref="Q745" si="316">+K745-K744</f>
        <v>8586</v>
      </c>
      <c r="R745" s="6"/>
      <c r="S745" s="7">
        <f>67867+33195+10744</f>
        <v>111806</v>
      </c>
      <c r="T745" s="6"/>
      <c r="U745" s="243">
        <v>2.402125115017657E-2</v>
      </c>
      <c r="W745">
        <f t="shared" si="97"/>
        <v>735</v>
      </c>
      <c r="Y745" s="56"/>
    </row>
    <row r="746" spans="3:30" x14ac:dyDescent="0.3">
      <c r="C746" s="158">
        <f t="shared" si="244"/>
        <v>44645</v>
      </c>
      <c r="E746" s="241">
        <v>4977256</v>
      </c>
      <c r="F746" s="7"/>
      <c r="G746" s="7">
        <v>2193470</v>
      </c>
      <c r="H746" s="581"/>
      <c r="I746" s="7">
        <v>734196</v>
      </c>
      <c r="J746" s="244"/>
      <c r="K746" s="7">
        <f t="shared" ref="K746" si="317">SUM(E746:I746)</f>
        <v>7904922</v>
      </c>
      <c r="L746" s="6"/>
      <c r="M746" s="438">
        <f t="shared" ref="M746" si="318">+(K746-K745)/K745</f>
        <v>6.5153754379080415E-4</v>
      </c>
      <c r="N746" s="29"/>
      <c r="O746" s="29"/>
      <c r="P746" s="29"/>
      <c r="Q746" s="332">
        <f t="shared" ref="Q746" si="319">+K746-K745</f>
        <v>5147</v>
      </c>
      <c r="R746" s="6"/>
      <c r="S746" s="7">
        <f>67907+33203+10759</f>
        <v>111869</v>
      </c>
      <c r="T746" s="6"/>
      <c r="U746" s="243">
        <v>2.402125115017657E-2</v>
      </c>
      <c r="W746">
        <f t="shared" si="97"/>
        <v>736</v>
      </c>
      <c r="Y746" s="56"/>
    </row>
    <row r="747" spans="3:30" x14ac:dyDescent="0.3">
      <c r="C747" s="158">
        <f t="shared" si="244"/>
        <v>44646</v>
      </c>
      <c r="E747" s="241">
        <v>4977256</v>
      </c>
      <c r="F747" s="7"/>
      <c r="G747" s="7">
        <v>2194379</v>
      </c>
      <c r="H747" s="581"/>
      <c r="I747" s="7">
        <v>734196</v>
      </c>
      <c r="J747" s="244"/>
      <c r="K747" s="7">
        <f t="shared" ref="K747" si="320">SUM(E747:I747)</f>
        <v>7905831</v>
      </c>
      <c r="L747" s="6"/>
      <c r="M747" s="438">
        <f t="shared" ref="M747" si="321">+(K747-K746)/K746</f>
        <v>1.149916469764028E-4</v>
      </c>
      <c r="N747" s="29"/>
      <c r="O747" s="29"/>
      <c r="P747" s="29"/>
      <c r="Q747" s="332">
        <f t="shared" ref="Q747" si="322">+K747-K746</f>
        <v>909</v>
      </c>
      <c r="R747" s="6"/>
      <c r="S747" s="7">
        <f>67917+33210+10759</f>
        <v>111886</v>
      </c>
      <c r="T747" s="6"/>
      <c r="U747" s="243">
        <v>2.402125115017657E-2</v>
      </c>
      <c r="W747">
        <f t="shared" si="97"/>
        <v>737</v>
      </c>
      <c r="Y747" s="56"/>
    </row>
    <row r="748" spans="3:30" x14ac:dyDescent="0.3">
      <c r="C748" s="347">
        <f t="shared" si="244"/>
        <v>44647</v>
      </c>
      <c r="E748" s="241">
        <v>4978479</v>
      </c>
      <c r="F748" s="7"/>
      <c r="G748" s="7">
        <v>2195320</v>
      </c>
      <c r="H748" s="581"/>
      <c r="I748" s="7">
        <v>734196</v>
      </c>
      <c r="J748" s="244"/>
      <c r="K748" s="7">
        <f t="shared" ref="K748" si="323">SUM(E748:I748)</f>
        <v>7907995</v>
      </c>
      <c r="L748" s="6"/>
      <c r="M748" s="438">
        <f t="shared" ref="M748" si="324">+(K748-K747)/K747</f>
        <v>2.7372201606636922E-4</v>
      </c>
      <c r="N748" s="29"/>
      <c r="O748" s="29"/>
      <c r="P748" s="29"/>
      <c r="Q748" s="332">
        <f t="shared" ref="Q748" si="325">+K748-K747</f>
        <v>2164</v>
      </c>
      <c r="R748" s="6"/>
      <c r="S748" s="7">
        <f>67929+33211+10759</f>
        <v>111899</v>
      </c>
      <c r="T748" s="6"/>
      <c r="U748" s="243">
        <v>2.402125115017657E-2</v>
      </c>
      <c r="W748">
        <f t="shared" si="97"/>
        <v>738</v>
      </c>
      <c r="Y748" s="56"/>
    </row>
    <row r="749" spans="3:30" x14ac:dyDescent="0.3">
      <c r="C749" s="158">
        <f t="shared" si="244"/>
        <v>44648</v>
      </c>
      <c r="E749" s="241">
        <v>4985450</v>
      </c>
      <c r="F749" s="7"/>
      <c r="G749" s="7">
        <v>2195963</v>
      </c>
      <c r="H749" s="581"/>
      <c r="I749" s="7">
        <v>735210</v>
      </c>
      <c r="J749" s="244"/>
      <c r="K749" s="7">
        <f t="shared" ref="K749" si="326">SUM(E749:I749)</f>
        <v>7916623</v>
      </c>
      <c r="L749" s="6"/>
      <c r="M749" s="438">
        <f t="shared" ref="M749" si="327">+(K749-K748)/K748</f>
        <v>1.0910477308091369E-3</v>
      </c>
      <c r="N749" s="29"/>
      <c r="O749" s="29"/>
      <c r="P749" s="29"/>
      <c r="Q749" s="332">
        <f t="shared" ref="Q749" si="328">+K749-K748</f>
        <v>8628</v>
      </c>
      <c r="R749" s="6"/>
      <c r="S749" s="7">
        <f>67939+25519+10759</f>
        <v>104217</v>
      </c>
      <c r="T749" s="6"/>
      <c r="U749" s="243">
        <v>2.402125115017657E-2</v>
      </c>
      <c r="W749">
        <f t="shared" si="97"/>
        <v>739</v>
      </c>
      <c r="Y749" s="56"/>
    </row>
    <row r="750" spans="3:30" x14ac:dyDescent="0.3">
      <c r="C750" s="158">
        <f t="shared" si="244"/>
        <v>44649</v>
      </c>
      <c r="E750" s="241">
        <v>4987844</v>
      </c>
      <c r="F750" s="7"/>
      <c r="G750" s="7">
        <v>2196970</v>
      </c>
      <c r="H750" s="581"/>
      <c r="I750" s="7">
        <v>735575</v>
      </c>
      <c r="J750" s="244"/>
      <c r="K750" s="7">
        <f t="shared" ref="K750" si="329">SUM(E750:I750)</f>
        <v>7920389</v>
      </c>
      <c r="L750" s="6"/>
      <c r="M750" s="438">
        <f t="shared" ref="M750" si="330">+(K750-K749)/K749</f>
        <v>4.7570788706245075E-4</v>
      </c>
      <c r="N750" s="29"/>
      <c r="O750" s="29"/>
      <c r="P750" s="29"/>
      <c r="Q750" s="332">
        <f t="shared" ref="Q750" si="331">+K750-K749</f>
        <v>3766</v>
      </c>
      <c r="R750" s="6"/>
      <c r="S750" s="7">
        <f>67953+33225+10779</f>
        <v>111957</v>
      </c>
      <c r="T750" s="6"/>
      <c r="U750" s="243">
        <v>2.402125115017657E-2</v>
      </c>
      <c r="W750">
        <f t="shared" si="97"/>
        <v>740</v>
      </c>
      <c r="Y750" s="56"/>
    </row>
    <row r="751" spans="3:30" x14ac:dyDescent="0.3">
      <c r="C751" s="158">
        <f t="shared" si="244"/>
        <v>44650</v>
      </c>
      <c r="E751" s="241">
        <v>4995734</v>
      </c>
      <c r="F751" s="7"/>
      <c r="G751" s="7">
        <v>2199807</v>
      </c>
      <c r="H751" s="581"/>
      <c r="I751" s="7">
        <v>736033</v>
      </c>
      <c r="J751" s="244"/>
      <c r="K751" s="7">
        <f t="shared" ref="K751" si="332">SUM(E751:I751)</f>
        <v>7931574</v>
      </c>
      <c r="L751" s="6"/>
      <c r="M751" s="438">
        <f t="shared" ref="M751" si="333">+(K751-K750)/K750</f>
        <v>1.4121781139789977E-3</v>
      </c>
      <c r="N751" s="29"/>
      <c r="O751" s="29"/>
      <c r="P751" s="29"/>
      <c r="Q751" s="332">
        <f t="shared" ref="Q751" si="334">+K751-K750</f>
        <v>11185</v>
      </c>
      <c r="R751" s="6"/>
      <c r="S751" s="7">
        <f>67967+33232+10779</f>
        <v>111978</v>
      </c>
      <c r="T751" s="6"/>
      <c r="U751" s="243">
        <v>2.402125115017657E-2</v>
      </c>
      <c r="W751">
        <f t="shared" si="97"/>
        <v>741</v>
      </c>
      <c r="Y751" s="56"/>
    </row>
    <row r="752" spans="3:30" x14ac:dyDescent="0.3">
      <c r="C752" s="158">
        <f t="shared" si="244"/>
        <v>44651</v>
      </c>
      <c r="E752" s="241">
        <v>4995734</v>
      </c>
      <c r="F752" s="7"/>
      <c r="G752" s="7">
        <v>2199807</v>
      </c>
      <c r="H752" s="581"/>
      <c r="I752" s="7">
        <v>736033</v>
      </c>
      <c r="J752" s="244"/>
      <c r="K752" s="7">
        <f t="shared" ref="K752" si="335">SUM(E752:I752)</f>
        <v>7931574</v>
      </c>
      <c r="L752" s="6"/>
      <c r="M752" s="438">
        <f t="shared" ref="M752" si="336">+(K752-K751)/K751</f>
        <v>0</v>
      </c>
      <c r="N752" s="29"/>
      <c r="O752" s="29"/>
      <c r="P752" s="29"/>
      <c r="Q752" s="332">
        <f t="shared" ref="Q752" si="337">+K752-K751</f>
        <v>0</v>
      </c>
      <c r="R752" s="6"/>
      <c r="S752" s="7">
        <f>67967+33232+10779</f>
        <v>111978</v>
      </c>
      <c r="T752" s="6"/>
      <c r="U752" s="243">
        <v>2.402125115017657E-2</v>
      </c>
      <c r="W752">
        <f t="shared" si="97"/>
        <v>742</v>
      </c>
      <c r="Y752" s="56"/>
    </row>
    <row r="753" spans="3:25" x14ac:dyDescent="0.3">
      <c r="C753" s="158">
        <f t="shared" si="244"/>
        <v>44652</v>
      </c>
      <c r="E753" s="241">
        <v>4995734</v>
      </c>
      <c r="F753" s="7"/>
      <c r="G753" s="7">
        <v>2199807</v>
      </c>
      <c r="H753" s="581"/>
      <c r="I753" s="7">
        <v>736033</v>
      </c>
      <c r="J753" s="244"/>
      <c r="K753" s="7">
        <f t="shared" ref="K753" si="338">SUM(E753:I753)</f>
        <v>7931574</v>
      </c>
      <c r="L753" s="6"/>
      <c r="M753" s="438">
        <f t="shared" ref="M753" si="339">+(K753-K752)/K752</f>
        <v>0</v>
      </c>
      <c r="N753" s="29"/>
      <c r="O753" s="29"/>
      <c r="P753" s="29"/>
      <c r="Q753" s="332">
        <f t="shared" ref="Q753" si="340">+K753-K752</f>
        <v>0</v>
      </c>
      <c r="R753" s="6"/>
      <c r="S753" s="7">
        <f>67967+33232+10779</f>
        <v>111978</v>
      </c>
      <c r="T753" s="6"/>
      <c r="U753" s="243">
        <v>2.402125115017657E-2</v>
      </c>
      <c r="W753">
        <f t="shared" si="97"/>
        <v>743</v>
      </c>
      <c r="Y753" s="56"/>
    </row>
    <row r="754" spans="3:25" x14ac:dyDescent="0.3">
      <c r="C754" s="158">
        <f t="shared" si="244"/>
        <v>44653</v>
      </c>
      <c r="E754" s="241">
        <v>5002854</v>
      </c>
      <c r="F754" s="7"/>
      <c r="G754" s="7">
        <v>2202817</v>
      </c>
      <c r="H754" s="581"/>
      <c r="I754" s="7">
        <v>737276</v>
      </c>
      <c r="J754" s="244"/>
      <c r="K754" s="7">
        <f t="shared" ref="K754" si="341">SUM(E754:I754)</f>
        <v>7942947</v>
      </c>
      <c r="L754" s="6"/>
      <c r="M754" s="438">
        <f t="shared" ref="M754" si="342">+(K754-K753)/K753</f>
        <v>1.4338894146357331E-3</v>
      </c>
      <c r="N754" s="29"/>
      <c r="O754" s="29"/>
      <c r="P754" s="29"/>
      <c r="Q754" s="332">
        <f t="shared" ref="Q754" si="343">+K754-K753</f>
        <v>11373</v>
      </c>
      <c r="R754" s="6"/>
      <c r="S754" s="7">
        <f>67987+33245+10779</f>
        <v>112011</v>
      </c>
      <c r="T754" s="6"/>
      <c r="U754" s="243">
        <v>2.402125115017657E-2</v>
      </c>
      <c r="W754">
        <f t="shared" si="97"/>
        <v>744</v>
      </c>
      <c r="Y754" s="56"/>
    </row>
    <row r="755" spans="3:25" x14ac:dyDescent="0.3">
      <c r="C755" s="347">
        <f t="shared" si="244"/>
        <v>44654</v>
      </c>
      <c r="E755" s="241">
        <v>5005818</v>
      </c>
      <c r="F755" s="7"/>
      <c r="G755" s="7">
        <v>2202817</v>
      </c>
      <c r="H755" s="581"/>
      <c r="I755" s="7">
        <v>737276</v>
      </c>
      <c r="J755" s="244"/>
      <c r="K755" s="7">
        <f t="shared" ref="K755" si="344">SUM(E755:I755)</f>
        <v>7945911</v>
      </c>
      <c r="L755" s="6"/>
      <c r="M755" s="438">
        <f t="shared" ref="M755" si="345">+(K755-K754)/K754</f>
        <v>3.7316124607151478E-4</v>
      </c>
      <c r="N755" s="29"/>
      <c r="O755" s="29"/>
      <c r="P755" s="29"/>
      <c r="Q755" s="332">
        <f t="shared" ref="Q755" si="346">+K755-K754</f>
        <v>2964</v>
      </c>
      <c r="R755" s="6"/>
      <c r="S755" s="7">
        <f>67994+33245</f>
        <v>101239</v>
      </c>
      <c r="T755" s="6"/>
      <c r="U755" s="243">
        <v>2.402125115017657E-2</v>
      </c>
      <c r="W755">
        <f t="shared" si="97"/>
        <v>745</v>
      </c>
      <c r="Y755" s="56"/>
    </row>
    <row r="756" spans="3:25" x14ac:dyDescent="0.3">
      <c r="C756" s="158">
        <f t="shared" si="244"/>
        <v>44655</v>
      </c>
      <c r="E756" s="241">
        <v>5010041</v>
      </c>
      <c r="F756" s="7"/>
      <c r="G756" s="7">
        <v>2204645</v>
      </c>
      <c r="H756" s="581"/>
      <c r="I756" s="7">
        <v>738544</v>
      </c>
      <c r="J756" s="244"/>
      <c r="K756" s="7">
        <f t="shared" ref="K756" si="347">SUM(E756:I756)</f>
        <v>7953230</v>
      </c>
      <c r="L756" s="6"/>
      <c r="M756" s="438">
        <f t="shared" ref="M756" si="348">+(K756-K755)/K755</f>
        <v>9.2110269042781879E-4</v>
      </c>
      <c r="N756" s="29"/>
      <c r="O756" s="29"/>
      <c r="P756" s="29"/>
      <c r="Q756" s="332">
        <f t="shared" ref="Q756" si="349">+K756-K755</f>
        <v>7319</v>
      </c>
      <c r="R756" s="6"/>
      <c r="S756" s="7">
        <f>68007+33259+10779</f>
        <v>112045</v>
      </c>
      <c r="T756" s="6"/>
      <c r="U756" s="243">
        <v>2.402125115017657E-2</v>
      </c>
      <c r="W756">
        <f t="shared" si="97"/>
        <v>746</v>
      </c>
      <c r="Y756" s="56"/>
    </row>
    <row r="757" spans="3:25" x14ac:dyDescent="0.3">
      <c r="C757" s="158">
        <f t="shared" si="244"/>
        <v>44656</v>
      </c>
      <c r="E757" s="241">
        <v>5012350</v>
      </c>
      <c r="F757" s="7"/>
      <c r="G757" s="7">
        <v>2206255</v>
      </c>
      <c r="H757" s="581"/>
      <c r="I757" s="7">
        <v>738976</v>
      </c>
      <c r="J757" s="244"/>
      <c r="K757" s="7">
        <f t="shared" ref="K757" si="350">SUM(E757:I757)</f>
        <v>7957581</v>
      </c>
      <c r="L757" s="6"/>
      <c r="M757" s="438">
        <f t="shared" ref="M757" si="351">+(K757-K756)/K756</f>
        <v>5.4707332744054931E-4</v>
      </c>
      <c r="N757" s="29"/>
      <c r="O757" s="29"/>
      <c r="P757" s="29"/>
      <c r="Q757" s="332">
        <f t="shared" ref="Q757" si="352">+K757-K756</f>
        <v>4351</v>
      </c>
      <c r="R757" s="6"/>
      <c r="S757" s="7">
        <f>68015+33264+10793</f>
        <v>112072</v>
      </c>
      <c r="T757" s="6"/>
      <c r="U757" s="243">
        <v>2.402125115017657E-2</v>
      </c>
      <c r="W757">
        <f t="shared" si="97"/>
        <v>747</v>
      </c>
      <c r="Y757" s="56"/>
    </row>
    <row r="758" spans="3:25" x14ac:dyDescent="0.3">
      <c r="C758" s="158">
        <f t="shared" si="244"/>
        <v>44657</v>
      </c>
      <c r="E758" s="241">
        <v>5022921</v>
      </c>
      <c r="F758" s="7"/>
      <c r="G758" s="7">
        <v>2210227</v>
      </c>
      <c r="H758" s="581"/>
      <c r="I758" s="7">
        <v>740203</v>
      </c>
      <c r="J758" s="244"/>
      <c r="K758" s="7">
        <f t="shared" ref="K758" si="353">SUM(E758:I758)</f>
        <v>7973351</v>
      </c>
      <c r="L758" s="6"/>
      <c r="M758" s="438">
        <f t="shared" ref="M758" si="354">+(K758-K757)/K757</f>
        <v>1.9817580242035863E-3</v>
      </c>
      <c r="N758" s="29"/>
      <c r="O758" s="29"/>
      <c r="P758" s="29"/>
      <c r="Q758" s="332">
        <f t="shared" ref="Q758" si="355">+K758-K757</f>
        <v>15770</v>
      </c>
      <c r="R758" s="6"/>
      <c r="S758" s="7">
        <f>68032+33289+10795</f>
        <v>112116</v>
      </c>
      <c r="T758" s="6"/>
      <c r="U758" s="243">
        <v>2.402125115017657E-2</v>
      </c>
      <c r="W758">
        <f t="shared" si="97"/>
        <v>748</v>
      </c>
      <c r="Y758" s="56"/>
    </row>
    <row r="759" spans="3:25" x14ac:dyDescent="0.3">
      <c r="C759" s="158">
        <f t="shared" si="244"/>
        <v>44658</v>
      </c>
      <c r="E759" s="241">
        <v>5022921</v>
      </c>
      <c r="F759" s="7"/>
      <c r="G759" s="7">
        <v>2210227</v>
      </c>
      <c r="H759" s="581"/>
      <c r="I759" s="7">
        <v>740203</v>
      </c>
      <c r="J759" s="244"/>
      <c r="K759" s="7">
        <f t="shared" ref="K759" si="356">SUM(E759:I759)</f>
        <v>7973351</v>
      </c>
      <c r="L759" s="6"/>
      <c r="M759" s="438">
        <f t="shared" ref="M759" si="357">+(K759-K758)/K758</f>
        <v>0</v>
      </c>
      <c r="N759" s="29"/>
      <c r="O759" s="29"/>
      <c r="P759" s="29"/>
      <c r="Q759" s="332">
        <f t="shared" ref="Q759" si="358">+K759-K758</f>
        <v>0</v>
      </c>
      <c r="R759" s="6"/>
      <c r="S759" s="7">
        <f>68032+33289+10795</f>
        <v>112116</v>
      </c>
      <c r="T759" s="6"/>
      <c r="U759" s="243">
        <v>2.402125115017657E-2</v>
      </c>
      <c r="W759">
        <f t="shared" si="97"/>
        <v>749</v>
      </c>
      <c r="Y759" s="56"/>
    </row>
    <row r="760" spans="3:25" x14ac:dyDescent="0.3">
      <c r="C760" s="158">
        <f t="shared" si="244"/>
        <v>44659</v>
      </c>
      <c r="E760" s="241">
        <v>5028707</v>
      </c>
      <c r="F760" s="7"/>
      <c r="G760" s="7">
        <v>2212245</v>
      </c>
      <c r="H760" s="581"/>
      <c r="I760" s="7">
        <v>740894</v>
      </c>
      <c r="J760" s="244"/>
      <c r="K760" s="7">
        <f t="shared" ref="K760" si="359">SUM(E760:I760)</f>
        <v>7981846</v>
      </c>
      <c r="L760" s="6"/>
      <c r="M760" s="438">
        <f t="shared" ref="M760" si="360">+(K760-K759)/K759</f>
        <v>1.0654240607242801E-3</v>
      </c>
      <c r="N760" s="29"/>
      <c r="O760" s="29"/>
      <c r="P760" s="29"/>
      <c r="Q760" s="332">
        <f t="shared" ref="Q760" si="361">+K760-K759</f>
        <v>8495</v>
      </c>
      <c r="R760" s="6"/>
      <c r="S760" s="7">
        <f>68041+33294+10801</f>
        <v>112136</v>
      </c>
      <c r="T760" s="6"/>
      <c r="U760" s="243">
        <v>2.402125115017657E-2</v>
      </c>
      <c r="W760">
        <f t="shared" si="97"/>
        <v>750</v>
      </c>
      <c r="Y760" s="56"/>
    </row>
    <row r="761" spans="3:25" x14ac:dyDescent="0.3">
      <c r="C761" s="158">
        <f t="shared" si="244"/>
        <v>44660</v>
      </c>
      <c r="E761" s="241">
        <v>5033233</v>
      </c>
      <c r="F761" s="7"/>
      <c r="G761" s="7">
        <v>2213874</v>
      </c>
      <c r="H761" s="581"/>
      <c r="I761" s="7">
        <v>740894</v>
      </c>
      <c r="J761" s="244"/>
      <c r="K761" s="7">
        <f t="shared" ref="K761" si="362">SUM(E761:I761)</f>
        <v>7988001</v>
      </c>
      <c r="L761" s="6"/>
      <c r="M761" s="438">
        <f t="shared" ref="M761" si="363">+(K761-K760)/K760</f>
        <v>7.7112487512287259E-4</v>
      </c>
      <c r="N761" s="29"/>
      <c r="O761" s="29"/>
      <c r="P761" s="29"/>
      <c r="Q761" s="332">
        <f t="shared" ref="Q761" si="364">+K761-K760</f>
        <v>6155</v>
      </c>
      <c r="R761" s="6"/>
      <c r="S761" s="7">
        <f>68048+33298+10801</f>
        <v>112147</v>
      </c>
      <c r="T761" s="6"/>
      <c r="U761" s="243">
        <v>2.402125115017657E-2</v>
      </c>
      <c r="W761">
        <f t="shared" si="97"/>
        <v>751</v>
      </c>
      <c r="Y761" s="56"/>
    </row>
    <row r="762" spans="3:25" x14ac:dyDescent="0.3">
      <c r="C762" s="347">
        <f t="shared" si="244"/>
        <v>44661</v>
      </c>
      <c r="E762" s="241">
        <v>5033233</v>
      </c>
      <c r="F762" s="7"/>
      <c r="G762" s="7">
        <v>2213874</v>
      </c>
      <c r="H762" s="581"/>
      <c r="I762" s="7">
        <v>740894</v>
      </c>
      <c r="J762" s="244"/>
      <c r="K762" s="7">
        <f t="shared" ref="K762" si="365">SUM(E762:I762)</f>
        <v>7988001</v>
      </c>
      <c r="L762" s="6"/>
      <c r="M762" s="438">
        <f t="shared" ref="M762" si="366">+(K762-K761)/K761</f>
        <v>0</v>
      </c>
      <c r="N762" s="29"/>
      <c r="O762" s="29"/>
      <c r="P762" s="29"/>
      <c r="Q762" s="332">
        <f t="shared" ref="Q762" si="367">+K762-K761</f>
        <v>0</v>
      </c>
      <c r="R762" s="6"/>
      <c r="S762" s="7">
        <f>68048+33298+10801</f>
        <v>112147</v>
      </c>
      <c r="T762" s="6"/>
      <c r="U762" s="243">
        <v>2.402125115017657E-2</v>
      </c>
      <c r="W762">
        <f t="shared" si="97"/>
        <v>752</v>
      </c>
      <c r="Y762" s="56"/>
    </row>
    <row r="763" spans="3:25" x14ac:dyDescent="0.3">
      <c r="C763" s="158">
        <f t="shared" si="244"/>
        <v>44662</v>
      </c>
      <c r="E763" s="241"/>
      <c r="F763" s="7"/>
      <c r="G763" s="7"/>
      <c r="H763" s="581"/>
      <c r="I763" s="7"/>
      <c r="J763" s="244"/>
      <c r="K763" s="7"/>
      <c r="L763" s="6"/>
      <c r="M763" s="438"/>
      <c r="N763" s="29"/>
      <c r="O763" s="29"/>
      <c r="P763" s="29"/>
      <c r="Q763" s="332"/>
      <c r="R763" s="6"/>
      <c r="S763" s="7"/>
      <c r="T763" s="6"/>
      <c r="U763" s="243"/>
      <c r="Y763" s="56"/>
    </row>
    <row r="764" spans="3:25" x14ac:dyDescent="0.3">
      <c r="C764" s="158">
        <f t="shared" si="244"/>
        <v>44663</v>
      </c>
      <c r="E764" s="241"/>
      <c r="F764" s="7"/>
      <c r="G764" s="7"/>
      <c r="H764" s="581"/>
      <c r="I764" s="7"/>
      <c r="J764" s="244"/>
      <c r="K764" s="7"/>
      <c r="L764" s="6"/>
      <c r="M764" s="438"/>
      <c r="N764" s="29"/>
      <c r="O764" s="29"/>
      <c r="P764" s="29"/>
      <c r="Q764" s="332"/>
      <c r="R764" s="6"/>
      <c r="S764" s="7"/>
      <c r="T764" s="6"/>
      <c r="U764" s="243"/>
      <c r="Y764" s="56"/>
    </row>
    <row r="765" spans="3:25" x14ac:dyDescent="0.3">
      <c r="C765" s="158">
        <f t="shared" si="244"/>
        <v>44664</v>
      </c>
      <c r="E765" s="241"/>
      <c r="F765" s="7"/>
      <c r="G765" s="7"/>
      <c r="H765" s="7"/>
      <c r="I765" s="7"/>
      <c r="J765" s="244"/>
      <c r="K765" s="7"/>
      <c r="L765" s="6"/>
      <c r="M765" s="438"/>
      <c r="N765" s="29"/>
      <c r="O765" s="29"/>
      <c r="P765" s="29"/>
      <c r="Q765" s="332"/>
      <c r="R765" s="6"/>
      <c r="S765" s="7"/>
      <c r="T765" s="6"/>
      <c r="U765" s="243"/>
      <c r="Y765" s="56"/>
    </row>
    <row r="766" spans="3:25" ht="15" thickBot="1" x14ac:dyDescent="0.35">
      <c r="C766" s="157">
        <f t="shared" si="93"/>
        <v>44665</v>
      </c>
      <c r="E766" s="245"/>
      <c r="F766" s="246"/>
      <c r="G766" s="246"/>
      <c r="H766" s="246"/>
      <c r="I766" s="246"/>
      <c r="J766" s="246"/>
      <c r="K766" s="246"/>
      <c r="L766" s="247"/>
      <c r="M766" s="248"/>
      <c r="N766" s="248"/>
      <c r="O766" s="248"/>
      <c r="P766" s="248"/>
      <c r="Q766" s="331"/>
      <c r="R766" s="247"/>
      <c r="S766" s="247"/>
      <c r="T766" s="247"/>
      <c r="U766" s="249"/>
      <c r="W766">
        <f>+W405+1</f>
        <v>396</v>
      </c>
      <c r="Y766" s="59"/>
    </row>
    <row r="767" spans="3:25" x14ac:dyDescent="0.3">
      <c r="E767" s="56"/>
      <c r="F767" s="1"/>
      <c r="G767" s="56"/>
      <c r="H767" s="56"/>
      <c r="I767" s="56"/>
      <c r="J767" s="1"/>
      <c r="K767" s="56"/>
      <c r="S767" s="56"/>
    </row>
    <row r="768" spans="3:25" x14ac:dyDescent="0.3">
      <c r="C768" s="166" t="s">
        <v>73</v>
      </c>
      <c r="E768" s="56">
        <f>+E762</f>
        <v>5033233</v>
      </c>
      <c r="F768" s="56"/>
      <c r="G768" s="56">
        <f t="shared" ref="G768:U768" si="368">+G762</f>
        <v>2213874</v>
      </c>
      <c r="H768" s="56">
        <f t="shared" si="368"/>
        <v>0</v>
      </c>
      <c r="I768" s="56">
        <f t="shared" si="368"/>
        <v>740894</v>
      </c>
      <c r="J768" s="56">
        <f t="shared" si="368"/>
        <v>0</v>
      </c>
      <c r="K768" s="56">
        <f t="shared" si="368"/>
        <v>7988001</v>
      </c>
      <c r="L768" s="56">
        <f t="shared" si="368"/>
        <v>0</v>
      </c>
      <c r="M768" s="56">
        <f t="shared" si="368"/>
        <v>0</v>
      </c>
      <c r="N768" s="56">
        <f t="shared" si="368"/>
        <v>0</v>
      </c>
      <c r="O768" s="56">
        <f t="shared" si="368"/>
        <v>0</v>
      </c>
      <c r="P768" s="56">
        <f t="shared" si="368"/>
        <v>0</v>
      </c>
      <c r="Q768" s="56">
        <f t="shared" si="368"/>
        <v>0</v>
      </c>
      <c r="R768" s="56">
        <f t="shared" si="368"/>
        <v>0</v>
      </c>
      <c r="S768" s="56">
        <f t="shared" si="368"/>
        <v>112147</v>
      </c>
      <c r="T768" s="56">
        <f t="shared" si="368"/>
        <v>0</v>
      </c>
      <c r="U768" s="56">
        <f t="shared" si="368"/>
        <v>2.402125115017657E-2</v>
      </c>
      <c r="V768" s="56">
        <f>+V259</f>
        <v>0</v>
      </c>
    </row>
    <row r="769" spans="3:41" x14ac:dyDescent="0.3">
      <c r="E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</row>
    <row r="770" spans="3:41" x14ac:dyDescent="0.3">
      <c r="E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</row>
    <row r="771" spans="3:41" x14ac:dyDescent="0.3">
      <c r="C771" s="111"/>
      <c r="D771" s="112"/>
      <c r="E771" s="349"/>
      <c r="F771" s="10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</row>
    <row r="772" spans="3:41" x14ac:dyDescent="0.3">
      <c r="E772" s="56"/>
      <c r="K772" s="56"/>
      <c r="Q772" s="56"/>
    </row>
    <row r="773" spans="3:41" x14ac:dyDescent="0.3">
      <c r="D773" s="549" t="s">
        <v>26</v>
      </c>
      <c r="E773" t="s">
        <v>158</v>
      </c>
      <c r="K773" s="549"/>
      <c r="Q773" s="56"/>
      <c r="S773" s="59"/>
    </row>
    <row r="775" spans="3:41" x14ac:dyDescent="0.3">
      <c r="U775" s="549"/>
    </row>
    <row r="776" spans="3:41" x14ac:dyDescent="0.3">
      <c r="AO776" s="1">
        <v>3797000</v>
      </c>
    </row>
    <row r="777" spans="3:41" x14ac:dyDescent="0.3">
      <c r="C777" s="1"/>
    </row>
    <row r="778" spans="3:41" x14ac:dyDescent="0.3">
      <c r="C778" s="1"/>
      <c r="AO778" s="1">
        <v>30000</v>
      </c>
    </row>
    <row r="779" spans="3:41" x14ac:dyDescent="0.3">
      <c r="C779" s="59"/>
    </row>
    <row r="780" spans="3:41" x14ac:dyDescent="0.3">
      <c r="AO780" s="235">
        <f>+AO778/AO776</f>
        <v>7.900974453515933E-3</v>
      </c>
    </row>
  </sheetData>
  <mergeCells count="10">
    <mergeCell ref="E7:F7"/>
    <mergeCell ref="E8:U8"/>
    <mergeCell ref="G7:U7"/>
    <mergeCell ref="AA36:AI36"/>
    <mergeCell ref="AH14:AH15"/>
    <mergeCell ref="AD14:AF14"/>
    <mergeCell ref="AA25:AK25"/>
    <mergeCell ref="S9:U9"/>
    <mergeCell ref="Q9:Q10"/>
    <mergeCell ref="E9:P9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6B2E5-8282-4A70-8BB2-E998E3C784DD}">
  <dimension ref="B1:AJ755"/>
  <sheetViews>
    <sheetView topLeftCell="A705" workbookViewId="0">
      <selection activeCell="I21" sqref="I21"/>
    </sheetView>
  </sheetViews>
  <sheetFormatPr defaultRowHeight="14.4" outlineLevelRow="1" x14ac:dyDescent="0.3"/>
  <cols>
    <col min="1" max="1" width="2.5546875" customWidth="1"/>
    <col min="2" max="2" width="3.88671875" customWidth="1"/>
    <col min="3" max="3" width="3.21875" customWidth="1"/>
    <col min="4" max="4" width="2" customWidth="1"/>
    <col min="5" max="5" width="3.6640625" customWidth="1"/>
    <col min="6" max="6" width="13.77734375" customWidth="1"/>
    <col min="9" max="9" width="11.5546875" customWidth="1"/>
    <col min="10" max="10" width="2.6640625" customWidth="1"/>
    <col min="11" max="11" width="3.109375" customWidth="1"/>
    <col min="13" max="13" width="2.44140625" customWidth="1"/>
    <col min="15" max="15" width="2" customWidth="1"/>
    <col min="16" max="16" width="9.6640625" bestFit="1" customWidth="1"/>
    <col min="17" max="17" width="1.44140625" customWidth="1"/>
    <col min="18" max="18" width="16.77734375" customWidth="1"/>
    <col min="19" max="19" width="2" customWidth="1"/>
    <col min="20" max="20" width="2.33203125" customWidth="1"/>
    <col min="21" max="21" width="9.109375" bestFit="1" customWidth="1"/>
    <col min="22" max="22" width="2.21875" customWidth="1"/>
    <col min="23" max="23" width="14.6640625" bestFit="1" customWidth="1"/>
    <col min="24" max="24" width="1.88671875" customWidth="1"/>
    <col min="25" max="25" width="10.109375" bestFit="1" customWidth="1"/>
    <col min="26" max="26" width="2" customWidth="1"/>
    <col min="27" max="27" width="11.109375" bestFit="1" customWidth="1"/>
    <col min="28" max="28" width="2.33203125" customWidth="1"/>
    <col min="29" max="29" width="1.88671875" customWidth="1"/>
    <col min="30" max="30" width="2.44140625" customWidth="1"/>
    <col min="36" max="36" width="11.44140625" customWidth="1"/>
  </cols>
  <sheetData>
    <row r="1" spans="2:30" ht="15.6" x14ac:dyDescent="0.3">
      <c r="B1" s="216" t="s">
        <v>5</v>
      </c>
      <c r="C1" s="216"/>
      <c r="D1" s="216"/>
    </row>
    <row r="2" spans="2:30" ht="16.2" thickBot="1" x14ac:dyDescent="0.35">
      <c r="B2" s="216" t="s">
        <v>6</v>
      </c>
      <c r="C2" s="216"/>
      <c r="D2" s="216"/>
    </row>
    <row r="3" spans="2:30" ht="16.2" thickBot="1" x14ac:dyDescent="0.35">
      <c r="B3" s="215" t="s">
        <v>13</v>
      </c>
      <c r="C3" s="215"/>
      <c r="D3" s="153"/>
      <c r="T3" s="667" t="s">
        <v>101</v>
      </c>
      <c r="U3" s="668"/>
      <c r="V3" s="668"/>
      <c r="W3" s="668"/>
      <c r="X3" s="668"/>
      <c r="Y3" s="668"/>
      <c r="Z3" s="668"/>
      <c r="AA3" s="668"/>
      <c r="AB3" s="668"/>
      <c r="AC3" s="668"/>
      <c r="AD3" s="669"/>
    </row>
    <row r="4" spans="2:30" ht="15.6" x14ac:dyDescent="0.3">
      <c r="B4" s="215"/>
      <c r="C4" s="215"/>
      <c r="D4" s="153"/>
      <c r="T4" s="454"/>
      <c r="U4" s="455" t="s">
        <v>70</v>
      </c>
      <c r="V4" s="456"/>
      <c r="W4" s="455" t="s">
        <v>93</v>
      </c>
      <c r="X4" s="457"/>
      <c r="Y4" s="455" t="s">
        <v>94</v>
      </c>
      <c r="Z4" s="457"/>
      <c r="AA4" s="455" t="s">
        <v>65</v>
      </c>
      <c r="AB4" s="456"/>
      <c r="AC4" s="458" t="s">
        <v>15</v>
      </c>
      <c r="AD4" s="459"/>
    </row>
    <row r="5" spans="2:30" ht="15.6" x14ac:dyDescent="0.3">
      <c r="B5" s="215"/>
      <c r="C5" t="s">
        <v>79</v>
      </c>
      <c r="D5" s="153"/>
      <c r="E5" t="s">
        <v>80</v>
      </c>
      <c r="T5" s="250"/>
      <c r="U5" s="6"/>
      <c r="V5" s="6"/>
      <c r="W5" s="6"/>
      <c r="X5" s="6"/>
      <c r="Y5" s="6"/>
      <c r="Z5" s="6"/>
      <c r="AA5" s="6"/>
      <c r="AB5" s="6"/>
      <c r="AC5" s="6"/>
      <c r="AD5" s="251"/>
    </row>
    <row r="6" spans="2:30" ht="15.6" x14ac:dyDescent="0.3">
      <c r="B6" s="215"/>
      <c r="C6" s="215"/>
      <c r="D6" s="156"/>
      <c r="E6" t="s">
        <v>81</v>
      </c>
      <c r="F6" t="s">
        <v>98</v>
      </c>
      <c r="T6" s="250"/>
      <c r="U6" s="252">
        <v>43951</v>
      </c>
      <c r="V6" s="6"/>
      <c r="W6" s="7">
        <v>427734</v>
      </c>
      <c r="X6" s="6"/>
      <c r="Y6" s="44">
        <v>0.39100000000000001</v>
      </c>
      <c r="Z6" s="6"/>
      <c r="AA6" s="6"/>
      <c r="AB6" s="6"/>
      <c r="AC6" s="6"/>
      <c r="AD6" s="251"/>
    </row>
    <row r="7" spans="2:30" ht="15.6" x14ac:dyDescent="0.3">
      <c r="B7" s="215"/>
      <c r="C7" s="215"/>
      <c r="D7" s="156"/>
      <c r="E7" t="s">
        <v>82</v>
      </c>
      <c r="F7" t="s">
        <v>84</v>
      </c>
      <c r="T7" s="250"/>
      <c r="U7" s="252">
        <f>+U6+1</f>
        <v>43952</v>
      </c>
      <c r="V7" s="6"/>
      <c r="W7" s="7">
        <v>432831</v>
      </c>
      <c r="X7" s="6"/>
      <c r="Y7" s="44">
        <v>0.38300000000000001</v>
      </c>
      <c r="Z7" s="6"/>
      <c r="AA7" s="254">
        <f t="shared" ref="AA7:AA19" si="0">+W6-W7</f>
        <v>-5097</v>
      </c>
      <c r="AB7" s="6"/>
      <c r="AC7" s="6"/>
      <c r="AD7" s="251"/>
    </row>
    <row r="8" spans="2:30" ht="15.6" x14ac:dyDescent="0.3">
      <c r="B8" s="215"/>
      <c r="C8" s="215"/>
      <c r="D8" s="156"/>
      <c r="E8" t="s">
        <v>83</v>
      </c>
      <c r="F8" t="s">
        <v>99</v>
      </c>
      <c r="T8" s="250"/>
      <c r="U8" s="252">
        <f t="shared" ref="U8:U50" si="1">+U7+1</f>
        <v>43953</v>
      </c>
      <c r="V8" s="6"/>
      <c r="W8" s="7">
        <v>433512</v>
      </c>
      <c r="X8" s="6"/>
      <c r="Y8" s="44">
        <v>0.373</v>
      </c>
      <c r="Z8" s="6"/>
      <c r="AA8" s="254">
        <f t="shared" si="0"/>
        <v>-681</v>
      </c>
      <c r="AB8" s="6"/>
      <c r="AC8" s="6"/>
      <c r="AD8" s="251"/>
    </row>
    <row r="9" spans="2:30" ht="15.6" x14ac:dyDescent="0.3">
      <c r="B9" s="215"/>
      <c r="C9" s="215"/>
      <c r="D9" s="156"/>
      <c r="S9" s="429"/>
      <c r="T9" s="250"/>
      <c r="U9" s="252">
        <f t="shared" si="1"/>
        <v>43954</v>
      </c>
      <c r="V9" s="6"/>
      <c r="W9" s="7">
        <v>434345</v>
      </c>
      <c r="X9" s="6"/>
      <c r="Y9" s="44">
        <v>0.36599999999999999</v>
      </c>
      <c r="Z9" s="6"/>
      <c r="AA9" s="254">
        <f t="shared" si="0"/>
        <v>-833</v>
      </c>
      <c r="AB9" s="6"/>
      <c r="AC9" s="6"/>
      <c r="AD9" s="251"/>
    </row>
    <row r="10" spans="2:30" ht="15.6" x14ac:dyDescent="0.3">
      <c r="B10" s="215"/>
      <c r="C10" s="236" t="s">
        <v>85</v>
      </c>
      <c r="D10" s="156"/>
      <c r="E10" t="s">
        <v>88</v>
      </c>
      <c r="T10" s="250"/>
      <c r="U10" s="252">
        <f t="shared" si="1"/>
        <v>43955</v>
      </c>
      <c r="V10" s="6"/>
      <c r="W10" s="7">
        <v>458962</v>
      </c>
      <c r="X10" s="6"/>
      <c r="Y10" s="44">
        <v>0.378</v>
      </c>
      <c r="Z10" s="6"/>
      <c r="AA10" s="254">
        <f t="shared" si="0"/>
        <v>-24617</v>
      </c>
      <c r="AB10" s="6"/>
      <c r="AC10" s="6"/>
      <c r="AD10" s="251"/>
    </row>
    <row r="11" spans="2:30" ht="15.6" x14ac:dyDescent="0.3">
      <c r="B11" s="215"/>
      <c r="C11" s="215"/>
      <c r="D11" s="156"/>
      <c r="E11" t="s">
        <v>81</v>
      </c>
      <c r="F11" t="s">
        <v>86</v>
      </c>
      <c r="T11" s="250"/>
      <c r="U11" s="252">
        <f t="shared" si="1"/>
        <v>43956</v>
      </c>
      <c r="V11" s="6"/>
      <c r="W11" s="253">
        <v>455743</v>
      </c>
      <c r="X11" s="6"/>
      <c r="Y11" s="44">
        <v>0.36799999999999999</v>
      </c>
      <c r="Z11" s="6"/>
      <c r="AA11" s="254">
        <f t="shared" si="0"/>
        <v>3219</v>
      </c>
      <c r="AB11" s="6"/>
      <c r="AC11" s="258"/>
      <c r="AD11" s="251"/>
    </row>
    <row r="12" spans="2:30" ht="15.6" x14ac:dyDescent="0.3">
      <c r="B12" s="215"/>
      <c r="C12" s="215"/>
      <c r="D12" s="156"/>
      <c r="E12" t="s">
        <v>82</v>
      </c>
      <c r="F12" t="s">
        <v>87</v>
      </c>
      <c r="T12" s="250"/>
      <c r="U12" s="252">
        <f t="shared" si="1"/>
        <v>43957</v>
      </c>
      <c r="V12" s="6"/>
      <c r="W12" s="253">
        <v>454697</v>
      </c>
      <c r="X12" s="6"/>
      <c r="Y12" s="44">
        <f>+L$36</f>
        <v>3.0585048511314601E-3</v>
      </c>
      <c r="Z12" s="6"/>
      <c r="AA12" s="254">
        <f t="shared" si="0"/>
        <v>1046</v>
      </c>
      <c r="AB12" s="6"/>
      <c r="AC12" s="258"/>
      <c r="AD12" s="251"/>
    </row>
    <row r="13" spans="2:30" ht="15.6" x14ac:dyDescent="0.3">
      <c r="B13" s="215"/>
      <c r="C13" s="215"/>
      <c r="D13" s="156"/>
      <c r="T13" s="250"/>
      <c r="U13" s="252">
        <f t="shared" si="1"/>
        <v>43958</v>
      </c>
      <c r="V13" s="6"/>
      <c r="W13" s="253">
        <v>454838</v>
      </c>
      <c r="X13" s="6"/>
      <c r="Y13" s="44">
        <f>+L37</f>
        <v>0</v>
      </c>
      <c r="Z13" s="6"/>
      <c r="AA13" s="254">
        <f t="shared" si="0"/>
        <v>-141</v>
      </c>
      <c r="AB13" s="6"/>
      <c r="AC13" s="258"/>
      <c r="AD13" s="251"/>
    </row>
    <row r="14" spans="2:30" ht="15.6" x14ac:dyDescent="0.3">
      <c r="B14" s="215"/>
      <c r="C14" s="236" t="s">
        <v>89</v>
      </c>
      <c r="D14" s="156"/>
      <c r="E14" t="s">
        <v>90</v>
      </c>
      <c r="T14" s="250"/>
      <c r="U14" s="252">
        <f t="shared" si="1"/>
        <v>43959</v>
      </c>
      <c r="V14" s="6"/>
      <c r="W14" s="253">
        <v>452043</v>
      </c>
      <c r="X14" s="6"/>
      <c r="Y14" s="44">
        <f>+L38</f>
        <v>0</v>
      </c>
      <c r="Z14" s="6"/>
      <c r="AA14" s="254">
        <f t="shared" si="0"/>
        <v>2795</v>
      </c>
      <c r="AB14" s="6"/>
      <c r="AC14" s="258"/>
      <c r="AD14" s="251"/>
    </row>
    <row r="15" spans="2:30" x14ac:dyDescent="0.3">
      <c r="B15" s="215"/>
      <c r="E15" s="670" t="s">
        <v>91</v>
      </c>
      <c r="F15" s="670"/>
      <c r="G15" s="670"/>
      <c r="H15" s="670"/>
      <c r="I15" s="670"/>
      <c r="T15" s="250"/>
      <c r="U15" s="252">
        <f t="shared" si="1"/>
        <v>43960</v>
      </c>
      <c r="V15" s="6"/>
      <c r="W15" s="253">
        <v>439209</v>
      </c>
      <c r="X15" s="6"/>
      <c r="Y15" s="44">
        <f>+L40</f>
        <v>0</v>
      </c>
      <c r="Z15" s="6"/>
      <c r="AA15" s="254">
        <f t="shared" si="0"/>
        <v>12834</v>
      </c>
      <c r="AB15" s="6"/>
      <c r="AC15" s="258"/>
      <c r="AD15" s="251"/>
    </row>
    <row r="16" spans="2:30" x14ac:dyDescent="0.3">
      <c r="S16" s="429"/>
      <c r="T16" s="250"/>
      <c r="U16" s="252">
        <f t="shared" si="1"/>
        <v>43961</v>
      </c>
      <c r="V16" s="6"/>
      <c r="W16" s="253">
        <v>423501</v>
      </c>
      <c r="X16" s="6"/>
      <c r="Y16" s="44">
        <f>+L41</f>
        <v>0</v>
      </c>
      <c r="Z16" s="6"/>
      <c r="AA16" s="254">
        <f t="shared" si="0"/>
        <v>15708</v>
      </c>
      <c r="AB16" s="6"/>
      <c r="AC16" s="258"/>
      <c r="AD16" s="251"/>
    </row>
    <row r="17" spans="3:30" ht="15" thickBot="1" x14ac:dyDescent="0.35">
      <c r="C17" s="1"/>
      <c r="D17" s="1"/>
      <c r="E17" s="1"/>
      <c r="F17" s="1"/>
      <c r="G17" s="1"/>
      <c r="H17" s="1"/>
      <c r="I17" s="82"/>
      <c r="J17" s="78"/>
      <c r="K17" s="78"/>
      <c r="L17" s="78"/>
      <c r="M17" s="78"/>
      <c r="N17" s="81"/>
      <c r="O17" s="78"/>
      <c r="P17" s="78"/>
      <c r="Q17" s="78"/>
      <c r="R17" s="78"/>
      <c r="S17" s="78"/>
      <c r="T17" s="250"/>
      <c r="U17" s="252">
        <f t="shared" si="1"/>
        <v>43962</v>
      </c>
      <c r="V17" s="6"/>
      <c r="W17" s="253">
        <v>415158</v>
      </c>
      <c r="X17" s="6"/>
      <c r="Y17" s="44">
        <f>+L42</f>
        <v>0</v>
      </c>
      <c r="Z17" s="6"/>
      <c r="AA17" s="254">
        <f t="shared" si="0"/>
        <v>8343</v>
      </c>
      <c r="AB17" s="6"/>
      <c r="AC17" s="258"/>
      <c r="AD17" s="251"/>
    </row>
    <row r="18" spans="3:30" ht="15" thickBot="1" x14ac:dyDescent="0.35">
      <c r="C18" s="1"/>
      <c r="D18" s="676" t="s">
        <v>44</v>
      </c>
      <c r="E18" s="677"/>
      <c r="F18" s="677"/>
      <c r="G18" s="677"/>
      <c r="H18" s="677"/>
      <c r="I18" s="677"/>
      <c r="J18" s="677"/>
      <c r="K18" s="677"/>
      <c r="L18" s="677"/>
      <c r="M18" s="677"/>
      <c r="N18" s="677"/>
      <c r="O18" s="678"/>
      <c r="P18" s="78"/>
      <c r="Q18" s="78"/>
      <c r="R18" s="78"/>
      <c r="S18" s="78"/>
      <c r="T18" s="250"/>
      <c r="U18" s="252">
        <f t="shared" si="1"/>
        <v>43963</v>
      </c>
      <c r="V18" s="6"/>
      <c r="W18" s="253">
        <v>413524</v>
      </c>
      <c r="X18" s="6"/>
      <c r="Y18" s="44">
        <f>+L43</f>
        <v>0</v>
      </c>
      <c r="Z18" s="6"/>
      <c r="AA18" s="254">
        <f t="shared" si="0"/>
        <v>1634</v>
      </c>
      <c r="AB18" s="6"/>
      <c r="AC18" s="258"/>
      <c r="AD18" s="251"/>
    </row>
    <row r="19" spans="3:30" ht="15" thickBot="1" x14ac:dyDescent="0.35">
      <c r="C19" s="1"/>
      <c r="D19" s="133"/>
      <c r="E19" s="679" t="s">
        <v>67</v>
      </c>
      <c r="F19" s="679"/>
      <c r="G19" s="679"/>
      <c r="H19" s="679"/>
      <c r="I19" s="134" t="s">
        <v>66</v>
      </c>
      <c r="J19" s="135"/>
      <c r="K19" s="684" t="s">
        <v>64</v>
      </c>
      <c r="L19" s="684"/>
      <c r="M19" s="128"/>
      <c r="N19" s="132" t="s">
        <v>65</v>
      </c>
      <c r="O19" s="129"/>
      <c r="P19" s="102"/>
      <c r="Q19" s="102"/>
      <c r="R19" s="102"/>
      <c r="S19" s="102"/>
      <c r="T19" s="250"/>
      <c r="U19" s="252">
        <f t="shared" si="1"/>
        <v>43964</v>
      </c>
      <c r="V19" s="6"/>
      <c r="W19" s="253">
        <v>410932</v>
      </c>
      <c r="X19" s="6"/>
      <c r="Y19" s="44">
        <f>+L44</f>
        <v>0</v>
      </c>
      <c r="Z19" s="6"/>
      <c r="AA19" s="254">
        <f t="shared" si="0"/>
        <v>2592</v>
      </c>
      <c r="AB19" s="6"/>
      <c r="AC19" s="258"/>
      <c r="AD19" s="251"/>
    </row>
    <row r="20" spans="3:30" x14ac:dyDescent="0.3">
      <c r="C20" s="1"/>
      <c r="D20" s="113"/>
      <c r="E20" s="114" t="s">
        <v>157</v>
      </c>
      <c r="F20" s="115"/>
      <c r="G20" s="114"/>
      <c r="H20" s="114"/>
      <c r="I20" s="81">
        <f>+'Main Table'!H751</f>
        <v>71772171</v>
      </c>
      <c r="J20" s="116"/>
      <c r="K20" s="127"/>
      <c r="L20" s="127"/>
      <c r="M20" s="127"/>
      <c r="N20" s="127"/>
      <c r="O20" s="123"/>
      <c r="P20" s="78"/>
      <c r="Q20" s="78"/>
      <c r="R20" s="78"/>
      <c r="S20" s="78"/>
      <c r="T20" s="250"/>
      <c r="U20" s="252">
        <f t="shared" si="1"/>
        <v>43965</v>
      </c>
      <c r="V20" s="6"/>
      <c r="W20" s="253">
        <v>409640</v>
      </c>
      <c r="X20" s="6"/>
      <c r="Y20" s="44">
        <v>0</v>
      </c>
      <c r="Z20" s="6"/>
      <c r="AA20" s="254">
        <f t="shared" ref="AA20:AA51" si="2">+W19-W20</f>
        <v>1292</v>
      </c>
      <c r="AB20" s="6"/>
      <c r="AC20" s="258"/>
      <c r="AD20" s="251"/>
    </row>
    <row r="21" spans="3:30" x14ac:dyDescent="0.3">
      <c r="C21" s="1"/>
      <c r="D21" s="113"/>
      <c r="E21" s="114" t="s">
        <v>42</v>
      </c>
      <c r="F21" s="114" t="s">
        <v>4</v>
      </c>
      <c r="G21" s="114"/>
      <c r="H21" s="114"/>
      <c r="I21" s="117">
        <f>+'Main Table'!AA767</f>
        <v>887005</v>
      </c>
      <c r="J21" s="116"/>
      <c r="K21" s="127"/>
      <c r="L21" s="127"/>
      <c r="M21" s="127"/>
      <c r="N21" s="127"/>
      <c r="O21" s="123"/>
      <c r="P21" s="78"/>
      <c r="Q21" s="78"/>
      <c r="R21" s="78"/>
      <c r="S21" s="78"/>
      <c r="T21" s="250"/>
      <c r="U21" s="252">
        <f t="shared" si="1"/>
        <v>43966</v>
      </c>
      <c r="V21" s="6"/>
      <c r="W21" s="253">
        <v>405327</v>
      </c>
      <c r="X21" s="6"/>
      <c r="Y21" s="44">
        <v>0.27300000000000002</v>
      </c>
      <c r="Z21" s="6"/>
      <c r="AA21" s="254">
        <f t="shared" si="2"/>
        <v>4313</v>
      </c>
      <c r="AB21" s="6"/>
      <c r="AC21" s="258"/>
      <c r="AD21" s="251"/>
    </row>
    <row r="22" spans="3:30" x14ac:dyDescent="0.3">
      <c r="C22" s="1"/>
      <c r="D22" s="113"/>
      <c r="E22" s="114"/>
      <c r="F22" s="114" t="s">
        <v>43</v>
      </c>
      <c r="G22" s="114"/>
      <c r="H22" s="114"/>
      <c r="I22" s="146">
        <v>1624</v>
      </c>
      <c r="J22" s="116"/>
      <c r="K22" s="127"/>
      <c r="L22" s="238">
        <v>1667</v>
      </c>
      <c r="M22" s="127"/>
      <c r="N22" s="147">
        <f>+(I22-L22)/I22</f>
        <v>-2.647783251231527E-2</v>
      </c>
      <c r="O22" s="123"/>
      <c r="P22" s="78"/>
      <c r="Q22" s="78"/>
      <c r="R22" s="78"/>
      <c r="S22" s="78"/>
      <c r="T22" s="250"/>
      <c r="U22" s="252">
        <f t="shared" si="1"/>
        <v>43967</v>
      </c>
      <c r="V22" s="6"/>
      <c r="W22" s="253">
        <v>393991</v>
      </c>
      <c r="X22" s="6"/>
      <c r="Y22" s="44">
        <v>0.26100000000000001</v>
      </c>
      <c r="Z22" s="6"/>
      <c r="AA22" s="254">
        <f t="shared" si="2"/>
        <v>11336</v>
      </c>
      <c r="AB22" s="6"/>
      <c r="AC22" s="258"/>
      <c r="AD22" s="251"/>
    </row>
    <row r="23" spans="3:30" x14ac:dyDescent="0.3">
      <c r="C23" s="1"/>
      <c r="D23" s="113"/>
      <c r="E23" s="114"/>
      <c r="F23" s="124" t="s">
        <v>62</v>
      </c>
      <c r="G23" s="124"/>
      <c r="H23" s="124"/>
      <c r="I23" s="117">
        <f>+I20-I21-I22</f>
        <v>70883542</v>
      </c>
      <c r="J23" s="116"/>
      <c r="K23" s="127"/>
      <c r="L23" s="127"/>
      <c r="M23" s="127"/>
      <c r="N23" s="127"/>
      <c r="O23" s="123"/>
      <c r="P23" s="101"/>
      <c r="Q23" s="101"/>
      <c r="R23" s="101"/>
      <c r="S23" s="430"/>
      <c r="T23" s="250"/>
      <c r="U23" s="252">
        <f t="shared" si="1"/>
        <v>43968</v>
      </c>
      <c r="V23" s="6"/>
      <c r="W23" s="253">
        <v>384245</v>
      </c>
      <c r="X23" s="6"/>
      <c r="Y23" s="44">
        <v>0.251</v>
      </c>
      <c r="Z23" s="6"/>
      <c r="AA23" s="254">
        <f t="shared" si="2"/>
        <v>9746</v>
      </c>
      <c r="AB23" s="6"/>
      <c r="AC23" s="258"/>
      <c r="AD23" s="251"/>
    </row>
    <row r="24" spans="3:30" x14ac:dyDescent="0.3">
      <c r="C24" s="1"/>
      <c r="D24" s="113"/>
      <c r="E24" s="114" t="s">
        <v>69</v>
      </c>
      <c r="F24" s="116"/>
      <c r="G24" s="116"/>
      <c r="H24" s="116"/>
      <c r="I24" s="118">
        <f>+'Main Table'!AP767</f>
        <v>79908520</v>
      </c>
      <c r="J24" s="116"/>
      <c r="K24" s="127"/>
      <c r="L24" s="127"/>
      <c r="M24" s="127"/>
      <c r="N24" s="127"/>
      <c r="O24" s="123"/>
      <c r="P24" s="101"/>
      <c r="Q24" s="101"/>
      <c r="R24" s="101"/>
      <c r="S24" s="101"/>
      <c r="T24" s="250"/>
      <c r="U24" s="252">
        <f t="shared" si="1"/>
        <v>43969</v>
      </c>
      <c r="V24" s="6"/>
      <c r="W24" s="253">
        <v>379527</v>
      </c>
      <c r="X24" s="6"/>
      <c r="Y24" s="44">
        <v>0.245</v>
      </c>
      <c r="Z24" s="6"/>
      <c r="AA24" s="254">
        <f t="shared" si="2"/>
        <v>4718</v>
      </c>
      <c r="AB24" s="6"/>
      <c r="AC24" s="258"/>
      <c r="AD24" s="251"/>
    </row>
    <row r="25" spans="3:30" x14ac:dyDescent="0.3">
      <c r="C25" s="1"/>
      <c r="D25" s="680" t="s">
        <v>47</v>
      </c>
      <c r="E25" s="681"/>
      <c r="F25" s="681"/>
      <c r="G25" s="681"/>
      <c r="H25" s="681"/>
      <c r="I25" s="119">
        <f>+I23-I24</f>
        <v>-9024978</v>
      </c>
      <c r="J25" s="116"/>
      <c r="K25" s="127"/>
      <c r="L25" s="127"/>
      <c r="M25" s="127"/>
      <c r="N25" s="127"/>
      <c r="O25" s="123"/>
      <c r="P25" s="101"/>
      <c r="Q25" s="101"/>
      <c r="R25" s="101"/>
      <c r="S25" s="101"/>
      <c r="T25" s="250"/>
      <c r="U25" s="252">
        <f t="shared" si="1"/>
        <v>43970</v>
      </c>
      <c r="V25" s="6"/>
      <c r="W25" s="253">
        <v>375997</v>
      </c>
      <c r="X25" s="6"/>
      <c r="Y25" s="44">
        <v>0.23899999999999999</v>
      </c>
      <c r="Z25" s="6"/>
      <c r="AA25" s="254">
        <f t="shared" si="2"/>
        <v>3530</v>
      </c>
      <c r="AB25" s="6"/>
      <c r="AC25" s="258"/>
      <c r="AD25" s="251"/>
    </row>
    <row r="26" spans="3:30" x14ac:dyDescent="0.3">
      <c r="C26" s="1"/>
      <c r="D26" s="113"/>
      <c r="E26" s="114" t="s">
        <v>63</v>
      </c>
      <c r="F26" s="116"/>
      <c r="G26" s="116"/>
      <c r="H26" s="116"/>
      <c r="I26" s="118">
        <f>+I24</f>
        <v>79908520</v>
      </c>
      <c r="J26" s="116"/>
      <c r="K26" s="127"/>
      <c r="L26" s="127"/>
      <c r="M26" s="127"/>
      <c r="N26" s="127"/>
      <c r="O26" s="123"/>
      <c r="P26" s="78"/>
      <c r="Q26" s="78"/>
      <c r="R26" s="78"/>
      <c r="S26" s="78"/>
      <c r="T26" s="250"/>
      <c r="U26" s="252">
        <f t="shared" si="1"/>
        <v>43971</v>
      </c>
      <c r="V26" s="6"/>
      <c r="W26" s="253">
        <v>373168</v>
      </c>
      <c r="X26" s="6"/>
      <c r="Y26" s="44">
        <v>0.23400000000000001</v>
      </c>
      <c r="Z26" s="6"/>
      <c r="AA26" s="254">
        <f t="shared" si="2"/>
        <v>2829</v>
      </c>
      <c r="AB26" s="6"/>
      <c r="AC26" s="258"/>
      <c r="AD26" s="251"/>
    </row>
    <row r="27" spans="3:30" ht="15" thickBot="1" x14ac:dyDescent="0.35">
      <c r="C27" s="1"/>
      <c r="D27" s="680" t="s">
        <v>44</v>
      </c>
      <c r="E27" s="681"/>
      <c r="F27" s="681"/>
      <c r="G27" s="681"/>
      <c r="H27" s="681"/>
      <c r="I27" s="136">
        <f>+I25+I26</f>
        <v>70883542</v>
      </c>
      <c r="J27" s="116"/>
      <c r="K27" s="685">
        <v>70848958</v>
      </c>
      <c r="L27" s="685"/>
      <c r="M27" s="127"/>
      <c r="N27" s="137">
        <f>+I27-K27</f>
        <v>34584</v>
      </c>
      <c r="O27" s="123"/>
      <c r="P27" s="78"/>
      <c r="Q27" s="78"/>
      <c r="R27" s="78"/>
      <c r="S27" s="78"/>
      <c r="T27" s="250"/>
      <c r="U27" s="252">
        <f t="shared" si="1"/>
        <v>43972</v>
      </c>
      <c r="V27" s="6"/>
      <c r="W27" s="253">
        <v>346181</v>
      </c>
      <c r="X27" s="6"/>
      <c r="Y27" s="44">
        <v>0.214</v>
      </c>
      <c r="Z27" s="6"/>
      <c r="AA27" s="254">
        <f t="shared" si="2"/>
        <v>26987</v>
      </c>
      <c r="AB27" s="6"/>
      <c r="AC27" s="258"/>
      <c r="AD27" s="251"/>
    </row>
    <row r="28" spans="3:30" ht="15.6" thickTop="1" thickBot="1" x14ac:dyDescent="0.35">
      <c r="C28" s="10"/>
      <c r="D28" s="122"/>
      <c r="E28" s="682" t="s">
        <v>61</v>
      </c>
      <c r="F28" s="682"/>
      <c r="G28" s="682"/>
      <c r="H28" s="124"/>
      <c r="I28" s="232">
        <f>+I27/I32</f>
        <v>0.98462039508947341</v>
      </c>
      <c r="J28" s="127"/>
      <c r="K28" s="127"/>
      <c r="L28" s="127"/>
      <c r="M28" s="98"/>
      <c r="N28" s="463">
        <f>+N27/K27</f>
        <v>4.8813703089324194E-4</v>
      </c>
      <c r="O28" s="123"/>
      <c r="P28" s="1"/>
      <c r="Q28" s="1"/>
      <c r="R28" s="1"/>
      <c r="S28" s="1"/>
      <c r="T28" s="250"/>
      <c r="U28" s="252">
        <f t="shared" si="1"/>
        <v>43973</v>
      </c>
      <c r="V28" s="6"/>
      <c r="W28" s="253">
        <v>341216</v>
      </c>
      <c r="X28" s="6"/>
      <c r="Y28" s="44">
        <v>0.20699999999999999</v>
      </c>
      <c r="Z28" s="6"/>
      <c r="AA28" s="254">
        <f t="shared" si="2"/>
        <v>4965</v>
      </c>
      <c r="AB28" s="6"/>
      <c r="AC28" s="258"/>
      <c r="AD28" s="251"/>
    </row>
    <row r="29" spans="3:30" ht="15.6" thickTop="1" thickBot="1" x14ac:dyDescent="0.35">
      <c r="C29" s="10"/>
      <c r="D29" s="120"/>
      <c r="E29" s="125"/>
      <c r="F29" s="125"/>
      <c r="G29" s="125"/>
      <c r="H29" s="125"/>
      <c r="I29" s="126"/>
      <c r="J29" s="121"/>
      <c r="K29" s="130"/>
      <c r="L29" s="130"/>
      <c r="M29" s="130"/>
      <c r="N29" s="130"/>
      <c r="O29" s="131"/>
      <c r="P29" s="1"/>
      <c r="Q29" s="1"/>
      <c r="R29" s="1"/>
      <c r="S29" s="1"/>
      <c r="T29" s="250"/>
      <c r="U29" s="252">
        <f t="shared" si="1"/>
        <v>43974</v>
      </c>
      <c r="V29" s="6"/>
      <c r="W29" s="253">
        <v>336852</v>
      </c>
      <c r="X29" s="6"/>
      <c r="Y29" s="44">
        <v>0.20200000000000001</v>
      </c>
      <c r="Z29" s="6"/>
      <c r="AA29" s="254">
        <f t="shared" si="2"/>
        <v>4364</v>
      </c>
      <c r="AB29" s="6"/>
      <c r="AC29" s="258"/>
      <c r="AD29" s="251"/>
    </row>
    <row r="30" spans="3:30" ht="15" thickBot="1" x14ac:dyDescent="0.35">
      <c r="C30" s="10"/>
      <c r="D30" s="78"/>
      <c r="E30" s="98"/>
      <c r="F30" s="98"/>
      <c r="G30" s="98"/>
      <c r="H30" s="98"/>
      <c r="I30" s="98"/>
      <c r="J30" s="78"/>
      <c r="P30" s="78"/>
      <c r="Q30" s="78"/>
      <c r="R30" s="78"/>
      <c r="S30" s="426"/>
      <c r="T30" s="250"/>
      <c r="U30" s="252">
        <f t="shared" si="1"/>
        <v>43975</v>
      </c>
      <c r="V30" s="6"/>
      <c r="W30" s="253">
        <v>336142</v>
      </c>
      <c r="X30" s="6"/>
      <c r="Y30" s="44">
        <v>0.19900000000000001</v>
      </c>
      <c r="Z30" s="6"/>
      <c r="AA30" s="254">
        <f t="shared" si="2"/>
        <v>710</v>
      </c>
      <c r="AB30" s="6"/>
      <c r="AC30" s="258"/>
      <c r="AD30" s="251"/>
    </row>
    <row r="31" spans="3:30" ht="16.2" thickBot="1" x14ac:dyDescent="0.35">
      <c r="C31" s="78"/>
      <c r="D31" s="230"/>
      <c r="E31" s="691" t="s">
        <v>101</v>
      </c>
      <c r="F31" s="692"/>
      <c r="G31" s="692"/>
      <c r="H31" s="692"/>
      <c r="I31" s="692"/>
      <c r="J31" s="693"/>
      <c r="K31" s="229"/>
      <c r="L31" s="228" t="s">
        <v>10</v>
      </c>
      <c r="M31" s="227"/>
      <c r="N31" s="226"/>
      <c r="O31" s="98"/>
      <c r="P31" s="78"/>
      <c r="Q31" s="78"/>
      <c r="R31" s="78"/>
      <c r="S31" s="78"/>
      <c r="T31" s="250"/>
      <c r="U31" s="252">
        <f t="shared" si="1"/>
        <v>43976</v>
      </c>
      <c r="V31" s="6"/>
      <c r="W31" s="253">
        <v>337736</v>
      </c>
      <c r="X31" s="6"/>
      <c r="Y31" s="44">
        <v>0.19800000000000001</v>
      </c>
      <c r="Z31" s="6"/>
      <c r="AA31" s="254">
        <f t="shared" si="2"/>
        <v>-1594</v>
      </c>
      <c r="AB31" s="6"/>
      <c r="AC31" s="258"/>
      <c r="AD31" s="251"/>
    </row>
    <row r="32" spans="3:30" x14ac:dyDescent="0.3">
      <c r="C32" s="10"/>
      <c r="D32" s="217"/>
      <c r="E32" s="218" t="s">
        <v>75</v>
      </c>
      <c r="F32" s="24"/>
      <c r="G32" s="24"/>
      <c r="H32" s="24"/>
      <c r="I32" s="686">
        <f>+'Main Table'!H767</f>
        <v>71990731</v>
      </c>
      <c r="J32" s="686"/>
      <c r="K32" s="24"/>
      <c r="L32" s="25">
        <f>+I32/$I$32</f>
        <v>1</v>
      </c>
      <c r="M32" s="219"/>
      <c r="N32" s="78"/>
      <c r="O32" s="78"/>
      <c r="P32" s="78"/>
      <c r="Q32" s="78"/>
      <c r="R32" s="78"/>
      <c r="S32" s="78"/>
      <c r="T32" s="250"/>
      <c r="U32" s="252">
        <f t="shared" si="1"/>
        <v>43977</v>
      </c>
      <c r="V32" s="6"/>
      <c r="W32" s="253">
        <v>333791</v>
      </c>
      <c r="X32" s="6"/>
      <c r="Y32" s="44">
        <v>0.193</v>
      </c>
      <c r="Z32" s="6"/>
      <c r="AA32" s="254">
        <f t="shared" si="2"/>
        <v>3945</v>
      </c>
      <c r="AB32" s="6"/>
      <c r="AC32" s="258"/>
      <c r="AD32" s="251"/>
    </row>
    <row r="33" spans="3:30" x14ac:dyDescent="0.3">
      <c r="C33" s="10"/>
      <c r="D33" s="217"/>
      <c r="E33" s="218"/>
      <c r="F33" s="24"/>
      <c r="G33" s="24"/>
      <c r="H33" s="24"/>
      <c r="I33" s="24"/>
      <c r="J33" s="24"/>
      <c r="K33" s="24"/>
      <c r="L33" s="24"/>
      <c r="M33" s="219"/>
      <c r="N33" s="78"/>
      <c r="O33" s="78"/>
      <c r="P33" s="78"/>
      <c r="Q33" s="78"/>
      <c r="R33" s="78"/>
      <c r="S33" s="78"/>
      <c r="T33" s="250"/>
      <c r="U33" s="252">
        <f t="shared" si="1"/>
        <v>43978</v>
      </c>
      <c r="V33" s="6"/>
      <c r="W33" s="253">
        <v>332639</v>
      </c>
      <c r="X33" s="6"/>
      <c r="Y33" s="44">
        <v>0.191</v>
      </c>
      <c r="Z33" s="6"/>
      <c r="AA33" s="254">
        <f t="shared" si="2"/>
        <v>1152</v>
      </c>
      <c r="AB33" s="6"/>
      <c r="AC33" s="258"/>
      <c r="AD33" s="251"/>
    </row>
    <row r="34" spans="3:30" x14ac:dyDescent="0.3">
      <c r="D34" s="220"/>
      <c r="E34" s="22"/>
      <c r="F34" s="221" t="s">
        <v>100</v>
      </c>
      <c r="G34" s="221"/>
      <c r="H34" s="22"/>
      <c r="I34" s="687">
        <f>+I27</f>
        <v>70883542</v>
      </c>
      <c r="J34" s="688"/>
      <c r="K34" s="22"/>
      <c r="L34" s="25">
        <f>+I34/$I$32</f>
        <v>0.98462039508947341</v>
      </c>
      <c r="M34" s="222"/>
      <c r="P34" s="214"/>
      <c r="Q34" s="214"/>
      <c r="R34" s="214"/>
      <c r="S34" s="214"/>
      <c r="T34" s="250"/>
      <c r="U34" s="252">
        <f t="shared" si="1"/>
        <v>43979</v>
      </c>
      <c r="V34" s="6"/>
      <c r="W34" s="253">
        <v>328088</v>
      </c>
      <c r="X34" s="6"/>
      <c r="Y34" s="44">
        <v>0.186</v>
      </c>
      <c r="Z34" s="6"/>
      <c r="AA34" s="254">
        <f t="shared" si="2"/>
        <v>4551</v>
      </c>
      <c r="AB34" s="6"/>
      <c r="AC34" s="258"/>
      <c r="AD34" s="251"/>
    </row>
    <row r="35" spans="3:30" x14ac:dyDescent="0.3">
      <c r="D35" s="220"/>
      <c r="E35" s="22"/>
      <c r="F35" s="22" t="s">
        <v>76</v>
      </c>
      <c r="G35" s="22"/>
      <c r="H35" s="22"/>
      <c r="I35" s="694">
        <f>+I21</f>
        <v>887005</v>
      </c>
      <c r="J35" s="695"/>
      <c r="K35" s="22"/>
      <c r="L35" s="25">
        <f>+I35/$I$32</f>
        <v>1.2321100059395147E-2</v>
      </c>
      <c r="M35" s="222"/>
      <c r="P35" s="231"/>
      <c r="Q35" s="231"/>
      <c r="R35" s="231"/>
      <c r="S35" s="231"/>
      <c r="T35" s="250"/>
      <c r="U35" s="252">
        <f t="shared" si="1"/>
        <v>43980</v>
      </c>
      <c r="V35" s="6"/>
      <c r="W35" s="253">
        <v>326426</v>
      </c>
      <c r="X35" s="6"/>
      <c r="Y35" s="44">
        <v>0.182</v>
      </c>
      <c r="Z35" s="6"/>
      <c r="AA35" s="254">
        <f t="shared" si="2"/>
        <v>1662</v>
      </c>
      <c r="AB35" s="6"/>
      <c r="AC35" s="258"/>
      <c r="AD35" s="251"/>
    </row>
    <row r="36" spans="3:30" ht="15" thickBot="1" x14ac:dyDescent="0.35">
      <c r="D36" s="220"/>
      <c r="E36" s="683" t="s">
        <v>101</v>
      </c>
      <c r="F36" s="683"/>
      <c r="G36" s="683"/>
      <c r="H36" s="233"/>
      <c r="I36" s="689">
        <f>+I32-I34-I35</f>
        <v>220184</v>
      </c>
      <c r="J36" s="690"/>
      <c r="K36" s="259"/>
      <c r="L36" s="234">
        <f>+I36/$I$32</f>
        <v>3.0585048511314601E-3</v>
      </c>
      <c r="M36" s="222"/>
      <c r="T36" s="250"/>
      <c r="U36" s="252">
        <f t="shared" si="1"/>
        <v>43981</v>
      </c>
      <c r="V36" s="6"/>
      <c r="W36" s="253">
        <v>326228</v>
      </c>
      <c r="X36" s="6"/>
      <c r="Y36" s="44">
        <v>0.16900000000000001</v>
      </c>
      <c r="Z36" s="6"/>
      <c r="AA36" s="254">
        <f t="shared" si="2"/>
        <v>198</v>
      </c>
      <c r="AB36" s="6"/>
      <c r="AC36" s="258"/>
      <c r="AD36" s="251"/>
    </row>
    <row r="37" spans="3:30" ht="15.6" thickTop="1" thickBot="1" x14ac:dyDescent="0.35">
      <c r="D37" s="223"/>
      <c r="E37" s="224"/>
      <c r="F37" s="224"/>
      <c r="G37" s="224"/>
      <c r="H37" s="224"/>
      <c r="I37" s="224"/>
      <c r="J37" s="224"/>
      <c r="K37" s="224"/>
      <c r="L37" s="224"/>
      <c r="M37" s="225"/>
      <c r="S37" s="429"/>
      <c r="T37" s="250"/>
      <c r="U37" s="252">
        <f t="shared" si="1"/>
        <v>43982</v>
      </c>
      <c r="V37" s="6"/>
      <c r="W37" s="253">
        <v>303951</v>
      </c>
      <c r="X37" s="6"/>
      <c r="Y37" s="44">
        <v>0.16500000000000001</v>
      </c>
      <c r="Z37" s="6"/>
      <c r="AA37" s="254">
        <f t="shared" si="2"/>
        <v>22277</v>
      </c>
      <c r="AB37" s="6"/>
      <c r="AC37" s="258"/>
      <c r="AD37" s="251"/>
    </row>
    <row r="38" spans="3:30" x14ac:dyDescent="0.3">
      <c r="T38" s="250"/>
      <c r="U38" s="252">
        <f t="shared" si="1"/>
        <v>43983</v>
      </c>
      <c r="V38" s="6"/>
      <c r="W38" s="253">
        <v>305817</v>
      </c>
      <c r="X38" s="6"/>
      <c r="Y38" s="44">
        <v>0.16400000000000001</v>
      </c>
      <c r="Z38" s="6"/>
      <c r="AA38" s="254">
        <f t="shared" si="2"/>
        <v>-1866</v>
      </c>
      <c r="AB38" s="6"/>
      <c r="AC38" s="258"/>
      <c r="AD38" s="251"/>
    </row>
    <row r="39" spans="3:30" x14ac:dyDescent="0.3">
      <c r="T39" s="250"/>
      <c r="U39" s="252">
        <f t="shared" si="1"/>
        <v>43984</v>
      </c>
      <c r="V39" s="6"/>
      <c r="W39" s="253">
        <v>305724</v>
      </c>
      <c r="X39" s="6"/>
      <c r="Y39" s="44">
        <v>0.16300000000000001</v>
      </c>
      <c r="Z39" s="6"/>
      <c r="AA39" s="254">
        <f t="shared" si="2"/>
        <v>93</v>
      </c>
      <c r="AB39" s="6"/>
      <c r="AC39" s="258"/>
      <c r="AD39" s="251"/>
    </row>
    <row r="40" spans="3:30" ht="15" thickBot="1" x14ac:dyDescent="0.35">
      <c r="T40" s="250"/>
      <c r="U40" s="252">
        <f t="shared" si="1"/>
        <v>43985</v>
      </c>
      <c r="V40" s="6"/>
      <c r="W40" s="253">
        <v>297824</v>
      </c>
      <c r="X40" s="6"/>
      <c r="Y40" s="44">
        <v>0.157</v>
      </c>
      <c r="Z40" s="6"/>
      <c r="AA40" s="254">
        <f t="shared" si="2"/>
        <v>7900</v>
      </c>
      <c r="AB40" s="6"/>
      <c r="AC40" s="258"/>
      <c r="AD40" s="251"/>
    </row>
    <row r="41" spans="3:30" ht="15" thickBot="1" x14ac:dyDescent="0.35">
      <c r="D41" s="671" t="s">
        <v>114</v>
      </c>
      <c r="E41" s="672"/>
      <c r="F41" s="672"/>
      <c r="G41" s="672"/>
      <c r="H41" s="672"/>
      <c r="I41" s="672"/>
      <c r="J41" s="672"/>
      <c r="K41" s="672"/>
      <c r="L41" s="672"/>
      <c r="M41" s="672"/>
      <c r="N41" s="672"/>
      <c r="O41" s="673"/>
      <c r="T41" s="250"/>
      <c r="U41" s="252">
        <f t="shared" si="1"/>
        <v>43986</v>
      </c>
      <c r="V41" s="6"/>
      <c r="W41" s="253">
        <v>296183</v>
      </c>
      <c r="X41" s="6"/>
      <c r="Y41" s="44">
        <v>0.154</v>
      </c>
      <c r="Z41" s="6"/>
      <c r="AA41" s="254">
        <f t="shared" si="2"/>
        <v>1641</v>
      </c>
      <c r="AB41" s="6"/>
      <c r="AC41" s="258"/>
      <c r="AD41" s="251"/>
    </row>
    <row r="42" spans="3:30" ht="15" thickBot="1" x14ac:dyDescent="0.35">
      <c r="D42" s="277"/>
      <c r="E42" s="674" t="s">
        <v>67</v>
      </c>
      <c r="F42" s="674"/>
      <c r="G42" s="674"/>
      <c r="H42" s="674"/>
      <c r="I42" s="260" t="s">
        <v>66</v>
      </c>
      <c r="J42" s="261"/>
      <c r="K42" s="675" t="s">
        <v>35</v>
      </c>
      <c r="L42" s="675"/>
      <c r="M42" s="262"/>
      <c r="N42" s="263" t="s">
        <v>65</v>
      </c>
      <c r="O42" s="278"/>
      <c r="T42" s="250"/>
      <c r="U42" s="252">
        <f t="shared" si="1"/>
        <v>43987</v>
      </c>
      <c r="V42" s="6"/>
      <c r="W42" s="253">
        <v>299564</v>
      </c>
      <c r="X42" s="6"/>
      <c r="Y42" s="44">
        <v>0.154</v>
      </c>
      <c r="Z42" s="6"/>
      <c r="AA42" s="254">
        <f t="shared" si="2"/>
        <v>-3381</v>
      </c>
      <c r="AB42" s="6"/>
      <c r="AC42" s="258"/>
      <c r="AD42" s="251"/>
    </row>
    <row r="43" spans="3:30" x14ac:dyDescent="0.3">
      <c r="D43" s="279"/>
      <c r="E43" s="264" t="s">
        <v>41</v>
      </c>
      <c r="F43" s="265"/>
      <c r="G43" s="264"/>
      <c r="H43" s="264"/>
      <c r="I43" s="336">
        <v>25405</v>
      </c>
      <c r="J43" s="336"/>
      <c r="K43" s="337"/>
      <c r="L43" s="337"/>
      <c r="M43" s="337"/>
      <c r="N43" s="337"/>
      <c r="O43" s="271"/>
      <c r="T43" s="250"/>
      <c r="U43" s="252">
        <f t="shared" si="1"/>
        <v>43988</v>
      </c>
      <c r="V43" s="6"/>
      <c r="W43" s="253">
        <v>299553</v>
      </c>
      <c r="X43" s="6"/>
      <c r="Y43" s="44">
        <v>0.154</v>
      </c>
      <c r="Z43" s="6"/>
      <c r="AA43" s="254">
        <f t="shared" si="2"/>
        <v>11</v>
      </c>
      <c r="AB43" s="6"/>
      <c r="AC43" s="258"/>
      <c r="AD43" s="251"/>
    </row>
    <row r="44" spans="3:30" x14ac:dyDescent="0.3">
      <c r="D44" s="279"/>
      <c r="E44" s="264" t="s">
        <v>42</v>
      </c>
      <c r="F44" s="264" t="s">
        <v>4</v>
      </c>
      <c r="G44" s="264"/>
      <c r="H44" s="264"/>
      <c r="I44" s="336">
        <v>1836</v>
      </c>
      <c r="J44" s="336"/>
      <c r="K44" s="337"/>
      <c r="L44" s="337"/>
      <c r="M44" s="337"/>
      <c r="N44" s="337"/>
      <c r="O44" s="271"/>
      <c r="T44" s="250"/>
      <c r="U44" s="252">
        <f t="shared" si="1"/>
        <v>43989</v>
      </c>
      <c r="V44" s="6"/>
      <c r="W44" s="253">
        <v>301798</v>
      </c>
      <c r="X44" s="6"/>
      <c r="Y44" s="44">
        <v>0.152</v>
      </c>
      <c r="Z44" s="6"/>
      <c r="AA44" s="254">
        <f t="shared" si="2"/>
        <v>-2245</v>
      </c>
      <c r="AB44" s="6"/>
      <c r="AC44" s="258"/>
      <c r="AD44" s="251"/>
    </row>
    <row r="45" spans="3:30" x14ac:dyDescent="0.3">
      <c r="D45" s="279"/>
      <c r="E45" s="264"/>
      <c r="F45" s="264" t="s">
        <v>43</v>
      </c>
      <c r="G45" s="264"/>
      <c r="H45" s="264"/>
      <c r="I45" s="338">
        <v>1397</v>
      </c>
      <c r="J45" s="336"/>
      <c r="K45" s="337"/>
      <c r="L45" s="336"/>
      <c r="M45" s="337"/>
      <c r="N45" s="339"/>
      <c r="O45" s="271"/>
      <c r="T45" s="250"/>
      <c r="U45" s="252">
        <f t="shared" si="1"/>
        <v>43990</v>
      </c>
      <c r="V45" s="6"/>
      <c r="W45" s="253">
        <v>301795</v>
      </c>
      <c r="X45" s="6"/>
      <c r="Y45" s="44">
        <v>0.15</v>
      </c>
      <c r="Z45" s="6"/>
      <c r="AA45" s="254">
        <f t="shared" si="2"/>
        <v>3</v>
      </c>
      <c r="AB45" s="6"/>
      <c r="AC45" s="258"/>
      <c r="AD45" s="251"/>
    </row>
    <row r="46" spans="3:30" x14ac:dyDescent="0.3">
      <c r="D46" s="279"/>
      <c r="E46" s="264"/>
      <c r="F46" s="268" t="s">
        <v>62</v>
      </c>
      <c r="G46" s="268"/>
      <c r="H46" s="268"/>
      <c r="I46" s="336">
        <f>+I43-I44-I45</f>
        <v>22172</v>
      </c>
      <c r="J46" s="336"/>
      <c r="K46" s="337"/>
      <c r="L46" s="337"/>
      <c r="M46" s="337"/>
      <c r="N46" s="337"/>
      <c r="O46" s="271"/>
      <c r="T46" s="250"/>
      <c r="U46" s="252">
        <f t="shared" si="1"/>
        <v>43991</v>
      </c>
      <c r="V46" s="6"/>
      <c r="W46" s="253">
        <v>300305</v>
      </c>
      <c r="X46" s="6"/>
      <c r="Y46" s="44">
        <v>0.14799999999999999</v>
      </c>
      <c r="Z46" s="6"/>
      <c r="AA46" s="254">
        <f t="shared" si="2"/>
        <v>1490</v>
      </c>
      <c r="AB46" s="6"/>
      <c r="AC46" s="258"/>
      <c r="AD46" s="251"/>
    </row>
    <row r="47" spans="3:30" x14ac:dyDescent="0.3">
      <c r="D47" s="279"/>
      <c r="E47" s="264" t="s">
        <v>69</v>
      </c>
      <c r="F47" s="266"/>
      <c r="G47" s="266"/>
      <c r="H47" s="266"/>
      <c r="I47" s="338">
        <f>+'Main Table'!AP785</f>
        <v>1970617</v>
      </c>
      <c r="J47" s="336"/>
      <c r="K47" s="337"/>
      <c r="L47" s="337"/>
      <c r="M47" s="337"/>
      <c r="N47" s="337"/>
      <c r="O47" s="271"/>
      <c r="T47" s="250"/>
      <c r="U47" s="252">
        <f t="shared" si="1"/>
        <v>43992</v>
      </c>
      <c r="V47" s="6"/>
      <c r="W47" s="253">
        <v>298430</v>
      </c>
      <c r="X47" s="6"/>
      <c r="Y47" s="44">
        <v>0.14599999999999999</v>
      </c>
      <c r="Z47" s="6"/>
      <c r="AA47" s="254">
        <f t="shared" si="2"/>
        <v>1875</v>
      </c>
      <c r="AB47" s="6"/>
      <c r="AC47" s="258"/>
      <c r="AD47" s="251"/>
    </row>
    <row r="48" spans="3:30" x14ac:dyDescent="0.3">
      <c r="D48" s="697" t="s">
        <v>47</v>
      </c>
      <c r="E48" s="698"/>
      <c r="F48" s="698"/>
      <c r="G48" s="698"/>
      <c r="H48" s="698"/>
      <c r="I48" s="269">
        <f>+I46-I47</f>
        <v>-1948445</v>
      </c>
      <c r="J48" s="336"/>
      <c r="K48" s="337"/>
      <c r="L48" s="337"/>
      <c r="M48" s="337"/>
      <c r="N48" s="337"/>
      <c r="O48" s="271"/>
      <c r="T48" s="250"/>
      <c r="U48" s="252">
        <f t="shared" si="1"/>
        <v>43993</v>
      </c>
      <c r="V48" s="6"/>
      <c r="W48" s="253">
        <v>296204</v>
      </c>
      <c r="X48" s="6"/>
      <c r="Y48" s="44">
        <v>0.14199999999999999</v>
      </c>
      <c r="Z48" s="6"/>
      <c r="AA48" s="254">
        <f t="shared" si="2"/>
        <v>2226</v>
      </c>
      <c r="AB48" s="6"/>
      <c r="AC48" s="258"/>
      <c r="AD48" s="251"/>
    </row>
    <row r="49" spans="4:32" x14ac:dyDescent="0.3">
      <c r="D49" s="279"/>
      <c r="E49" s="264" t="s">
        <v>63</v>
      </c>
      <c r="F49" s="266"/>
      <c r="G49" s="266"/>
      <c r="H49" s="266"/>
      <c r="I49" s="338">
        <f>+I47</f>
        <v>1970617</v>
      </c>
      <c r="J49" s="336"/>
      <c r="K49" s="337"/>
      <c r="L49" s="337"/>
      <c r="M49" s="337"/>
      <c r="N49" s="337"/>
      <c r="O49" s="271"/>
      <c r="T49" s="250"/>
      <c r="U49" s="252">
        <f t="shared" si="1"/>
        <v>43994</v>
      </c>
      <c r="V49" s="6"/>
      <c r="W49" s="253">
        <v>300135</v>
      </c>
      <c r="X49" s="6"/>
      <c r="Y49" s="44">
        <v>0.14199999999999999</v>
      </c>
      <c r="Z49" s="6"/>
      <c r="AA49" s="254">
        <f t="shared" si="2"/>
        <v>-3931</v>
      </c>
      <c r="AB49" s="6"/>
      <c r="AC49" s="258"/>
      <c r="AD49" s="251"/>
    </row>
    <row r="50" spans="4:32" ht="15" thickBot="1" x14ac:dyDescent="0.35">
      <c r="D50" s="697" t="s">
        <v>44</v>
      </c>
      <c r="E50" s="698"/>
      <c r="F50" s="698"/>
      <c r="G50" s="698"/>
      <c r="H50" s="698"/>
      <c r="I50" s="340">
        <f>+I48+I49</f>
        <v>22172</v>
      </c>
      <c r="J50" s="336"/>
      <c r="K50" s="699">
        <v>30167</v>
      </c>
      <c r="L50" s="699"/>
      <c r="M50" s="337"/>
      <c r="N50" s="341">
        <f>+K50-I50</f>
        <v>7995</v>
      </c>
      <c r="O50" s="271"/>
      <c r="T50" s="250"/>
      <c r="U50" s="252">
        <f t="shared" si="1"/>
        <v>43995</v>
      </c>
      <c r="V50" s="6"/>
      <c r="W50" s="253">
        <v>305087</v>
      </c>
      <c r="X50" s="6"/>
      <c r="Y50" s="44">
        <v>0.14199999999999999</v>
      </c>
      <c r="Z50" s="6"/>
      <c r="AA50" s="254">
        <f t="shared" si="2"/>
        <v>-4952</v>
      </c>
      <c r="AB50" s="6"/>
      <c r="AC50" s="258"/>
      <c r="AD50" s="251"/>
    </row>
    <row r="51" spans="4:32" ht="15.6" thickTop="1" thickBot="1" x14ac:dyDescent="0.35">
      <c r="D51" s="270"/>
      <c r="E51" s="700" t="s">
        <v>61</v>
      </c>
      <c r="F51" s="700"/>
      <c r="G51" s="700"/>
      <c r="H51" s="268"/>
      <c r="I51" s="342">
        <f>+I50/K50</f>
        <v>0.73497530414028578</v>
      </c>
      <c r="J51" s="337"/>
      <c r="K51" s="337"/>
      <c r="L51" s="337"/>
      <c r="M51" s="337"/>
      <c r="N51" s="343">
        <f>+N50/K50</f>
        <v>0.26502469585971428</v>
      </c>
      <c r="O51" s="271"/>
      <c r="S51" s="56"/>
      <c r="T51" s="250"/>
      <c r="U51" s="252">
        <f>+U50+1</f>
        <v>43996</v>
      </c>
      <c r="V51" s="6"/>
      <c r="W51" s="253">
        <v>302731</v>
      </c>
      <c r="X51" s="6"/>
      <c r="Y51" s="44">
        <v>0.14000000000000001</v>
      </c>
      <c r="Z51" s="6"/>
      <c r="AA51" s="254">
        <f t="shared" si="2"/>
        <v>2356</v>
      </c>
      <c r="AB51" s="6"/>
      <c r="AC51" s="258"/>
      <c r="AD51" s="251"/>
    </row>
    <row r="52" spans="4:32" ht="15.6" thickTop="1" thickBot="1" x14ac:dyDescent="0.35">
      <c r="D52" s="280"/>
      <c r="E52" s="281"/>
      <c r="F52" s="281"/>
      <c r="G52" s="281"/>
      <c r="H52" s="281"/>
      <c r="I52" s="344"/>
      <c r="J52" s="345"/>
      <c r="K52" s="346"/>
      <c r="L52" s="346"/>
      <c r="M52" s="346"/>
      <c r="N52" s="346"/>
      <c r="O52" s="274"/>
      <c r="T52" s="250"/>
      <c r="U52" s="252">
        <f t="shared" ref="U52:U254" si="3">+U51+1</f>
        <v>43997</v>
      </c>
      <c r="V52" s="6"/>
      <c r="W52" s="253">
        <v>301583</v>
      </c>
      <c r="X52" s="6"/>
      <c r="Y52" s="44">
        <v>0.13800000000000001</v>
      </c>
      <c r="Z52" s="6"/>
      <c r="AA52" s="254">
        <f t="shared" ref="AA52:AA63" si="4">+W51-W52</f>
        <v>1148</v>
      </c>
      <c r="AB52" s="6"/>
      <c r="AC52" s="258"/>
      <c r="AD52" s="251"/>
    </row>
    <row r="53" spans="4:32" ht="15" thickBot="1" x14ac:dyDescent="0.35">
      <c r="D53" s="78"/>
      <c r="E53" s="139"/>
      <c r="F53" s="139"/>
      <c r="G53" s="139"/>
      <c r="H53" s="139"/>
      <c r="I53" s="310"/>
      <c r="J53" s="78"/>
      <c r="K53" s="98"/>
      <c r="L53" s="98"/>
      <c r="M53" s="316"/>
      <c r="N53" s="98"/>
      <c r="O53" s="98"/>
      <c r="P53" s="61"/>
      <c r="Q53" s="61"/>
      <c r="R53" s="61"/>
      <c r="T53" s="250"/>
      <c r="U53" s="252">
        <f t="shared" si="3"/>
        <v>43998</v>
      </c>
      <c r="V53" s="6"/>
      <c r="W53" s="253">
        <v>306362</v>
      </c>
      <c r="X53" s="6"/>
      <c r="Y53" s="44">
        <v>0.13900000000000001</v>
      </c>
      <c r="Z53" s="6"/>
      <c r="AA53" s="254">
        <f t="shared" si="4"/>
        <v>-4779</v>
      </c>
      <c r="AB53" s="6"/>
      <c r="AC53" s="258"/>
      <c r="AD53" s="251"/>
    </row>
    <row r="54" spans="4:32" ht="16.2" thickBot="1" x14ac:dyDescent="0.35">
      <c r="D54" s="317"/>
      <c r="E54" s="663" t="s">
        <v>115</v>
      </c>
      <c r="F54" s="664"/>
      <c r="G54" s="664"/>
      <c r="H54" s="664"/>
      <c r="I54" s="664"/>
      <c r="J54" s="665"/>
      <c r="K54" s="318"/>
      <c r="L54" s="321" t="s">
        <v>10</v>
      </c>
      <c r="M54" s="320"/>
      <c r="N54" s="98"/>
      <c r="O54" s="98"/>
      <c r="P54" s="61"/>
      <c r="Q54" s="61"/>
      <c r="R54" s="61"/>
      <c r="T54" s="250"/>
      <c r="U54" s="252">
        <f t="shared" si="3"/>
        <v>43999</v>
      </c>
      <c r="V54" s="6"/>
      <c r="W54" s="253">
        <v>310165</v>
      </c>
      <c r="X54" s="6"/>
      <c r="Y54" s="44">
        <v>0.13900000000000001</v>
      </c>
      <c r="Z54" s="6"/>
      <c r="AA54" s="254">
        <f t="shared" si="4"/>
        <v>-3803</v>
      </c>
      <c r="AB54" s="6"/>
      <c r="AC54" s="258"/>
      <c r="AD54" s="251"/>
    </row>
    <row r="55" spans="4:32" x14ac:dyDescent="0.3">
      <c r="D55" s="279"/>
      <c r="E55" s="311" t="s">
        <v>75</v>
      </c>
      <c r="F55" s="266"/>
      <c r="G55" s="266"/>
      <c r="H55" s="266"/>
      <c r="I55" s="701">
        <f>+K50</f>
        <v>30167</v>
      </c>
      <c r="J55" s="701"/>
      <c r="K55" s="266"/>
      <c r="L55" s="312">
        <f>+I55/$I$55</f>
        <v>1</v>
      </c>
      <c r="M55" s="319"/>
      <c r="N55" s="98"/>
      <c r="O55" s="98"/>
      <c r="P55" s="61"/>
      <c r="Q55" s="61"/>
      <c r="R55" s="61"/>
      <c r="T55" s="250"/>
      <c r="U55" s="252">
        <f t="shared" si="3"/>
        <v>44000</v>
      </c>
      <c r="V55" s="6"/>
      <c r="W55" s="253">
        <v>321504</v>
      </c>
      <c r="X55" s="6"/>
      <c r="Y55" s="44">
        <v>0.13800000000000001</v>
      </c>
      <c r="Z55" s="6"/>
      <c r="AA55" s="254">
        <f t="shared" si="4"/>
        <v>-11339</v>
      </c>
      <c r="AB55" s="6"/>
      <c r="AC55" s="258"/>
      <c r="AD55" s="251"/>
    </row>
    <row r="56" spans="4:32" x14ac:dyDescent="0.3">
      <c r="D56" s="279"/>
      <c r="E56" s="311"/>
      <c r="F56" s="266"/>
      <c r="G56" s="266"/>
      <c r="H56" s="266"/>
      <c r="I56" s="266"/>
      <c r="J56" s="266"/>
      <c r="K56" s="266"/>
      <c r="L56" s="266"/>
      <c r="M56" s="319"/>
      <c r="N56" s="98"/>
      <c r="O56" s="98"/>
      <c r="P56" s="61"/>
      <c r="Q56" s="61"/>
      <c r="R56" s="61"/>
      <c r="T56" s="250"/>
      <c r="U56" s="252">
        <f t="shared" si="3"/>
        <v>44001</v>
      </c>
      <c r="V56" s="6"/>
      <c r="W56" s="253">
        <v>323237</v>
      </c>
      <c r="X56" s="6"/>
      <c r="Y56" s="44">
        <v>0.14099999999999999</v>
      </c>
      <c r="Z56" s="6"/>
      <c r="AA56" s="254">
        <f t="shared" si="4"/>
        <v>-1733</v>
      </c>
      <c r="AB56" s="6"/>
      <c r="AC56" s="258"/>
      <c r="AD56" s="251"/>
    </row>
    <row r="57" spans="4:32" x14ac:dyDescent="0.3">
      <c r="D57" s="270"/>
      <c r="E57" s="267"/>
      <c r="F57" s="313" t="s">
        <v>100</v>
      </c>
      <c r="G57" s="313"/>
      <c r="H57" s="267"/>
      <c r="I57" s="702">
        <f>+I50</f>
        <v>22172</v>
      </c>
      <c r="J57" s="703"/>
      <c r="K57" s="267"/>
      <c r="L57" s="312">
        <f>+I57/$I$55</f>
        <v>0.73497530414028578</v>
      </c>
      <c r="M57" s="271"/>
      <c r="N57" s="98"/>
      <c r="O57" s="98"/>
      <c r="P57" s="61"/>
      <c r="Q57" s="61"/>
      <c r="R57" s="61"/>
      <c r="T57" s="250"/>
      <c r="U57" s="252">
        <f t="shared" si="3"/>
        <v>44002</v>
      </c>
      <c r="V57" s="6"/>
      <c r="W57" s="253">
        <v>338196</v>
      </c>
      <c r="X57" s="6"/>
      <c r="Y57" s="44">
        <v>0.14499999999999999</v>
      </c>
      <c r="Z57" s="6"/>
      <c r="AA57" s="254">
        <f t="shared" si="4"/>
        <v>-14959</v>
      </c>
      <c r="AB57" s="6"/>
      <c r="AC57" s="258"/>
      <c r="AD57" s="251"/>
    </row>
    <row r="58" spans="4:32" x14ac:dyDescent="0.3">
      <c r="D58" s="270"/>
      <c r="E58" s="267"/>
      <c r="F58" s="267" t="s">
        <v>76</v>
      </c>
      <c r="G58" s="267"/>
      <c r="H58" s="267"/>
      <c r="I58" s="704">
        <f>+I44</f>
        <v>1836</v>
      </c>
      <c r="J58" s="705"/>
      <c r="K58" s="267"/>
      <c r="L58" s="312">
        <f>+I58/$I$55</f>
        <v>6.0861205953525378E-2</v>
      </c>
      <c r="M58" s="271"/>
      <c r="N58" s="98"/>
      <c r="O58" s="98"/>
      <c r="P58" s="61"/>
      <c r="Q58" s="61"/>
      <c r="R58" s="61"/>
      <c r="T58" s="250"/>
      <c r="U58" s="252">
        <f t="shared" si="3"/>
        <v>44003</v>
      </c>
      <c r="V58" s="6"/>
      <c r="W58" s="253">
        <v>345179</v>
      </c>
      <c r="X58" s="6"/>
      <c r="Y58" s="44">
        <v>0.14699999999999999</v>
      </c>
      <c r="Z58" s="6"/>
      <c r="AA58" s="254">
        <f t="shared" si="4"/>
        <v>-6983</v>
      </c>
      <c r="AB58" s="6"/>
      <c r="AC58" s="258"/>
      <c r="AD58" s="251"/>
    </row>
    <row r="59" spans="4:32" ht="15" thickBot="1" x14ac:dyDescent="0.35">
      <c r="D59" s="270"/>
      <c r="E59" s="706" t="s">
        <v>101</v>
      </c>
      <c r="F59" s="706"/>
      <c r="G59" s="706"/>
      <c r="H59" s="267"/>
      <c r="I59" s="666">
        <f>+I55-I57-I58</f>
        <v>6159</v>
      </c>
      <c r="J59" s="707"/>
      <c r="K59" s="314"/>
      <c r="L59" s="315">
        <f>+I59/$I$55</f>
        <v>0.20416348990618888</v>
      </c>
      <c r="M59" s="271"/>
      <c r="N59" s="98"/>
      <c r="O59" s="98"/>
      <c r="P59" s="145"/>
      <c r="Q59" s="145"/>
      <c r="R59" s="145"/>
      <c r="T59" s="250"/>
      <c r="U59" s="252">
        <f t="shared" si="3"/>
        <v>44004</v>
      </c>
      <c r="V59" s="6"/>
      <c r="W59" s="253">
        <v>336790</v>
      </c>
      <c r="X59" s="6"/>
      <c r="Y59" s="44">
        <v>0.14099999999999999</v>
      </c>
      <c r="Z59" s="6"/>
      <c r="AA59" s="254">
        <f t="shared" si="4"/>
        <v>8389</v>
      </c>
      <c r="AB59" s="6"/>
      <c r="AC59" s="258"/>
      <c r="AD59" s="251"/>
    </row>
    <row r="60" spans="4:32" ht="15" thickTop="1" x14ac:dyDescent="0.3">
      <c r="D60" s="270"/>
      <c r="E60" s="424"/>
      <c r="F60" s="424" t="s">
        <v>116</v>
      </c>
      <c r="G60" s="424"/>
      <c r="H60" s="267"/>
      <c r="I60" s="708">
        <f>+I45</f>
        <v>1397</v>
      </c>
      <c r="J60" s="708"/>
      <c r="K60" s="314"/>
      <c r="L60" s="334"/>
      <c r="M60" s="271"/>
      <c r="N60" s="98"/>
      <c r="O60" s="98"/>
      <c r="P60" s="145"/>
      <c r="Q60" s="145"/>
      <c r="R60" s="145"/>
      <c r="T60" s="250"/>
      <c r="U60" s="252">
        <f t="shared" si="3"/>
        <v>44005</v>
      </c>
      <c r="V60" s="6"/>
      <c r="W60" s="253">
        <v>349505</v>
      </c>
      <c r="X60" s="6"/>
      <c r="Y60" s="44">
        <v>0.14399999999999999</v>
      </c>
      <c r="Z60" s="6"/>
      <c r="AA60" s="254">
        <f t="shared" si="4"/>
        <v>-12715</v>
      </c>
      <c r="AB60" s="6"/>
      <c r="AC60" s="258"/>
      <c r="AD60" s="251"/>
      <c r="AF60" s="61"/>
    </row>
    <row r="61" spans="4:32" ht="15" thickBot="1" x14ac:dyDescent="0.35">
      <c r="D61" s="270"/>
      <c r="E61" s="333"/>
      <c r="F61" s="333" t="s">
        <v>117</v>
      </c>
      <c r="G61" s="333"/>
      <c r="H61" s="267"/>
      <c r="I61" s="666">
        <f>+I59-I60</f>
        <v>4762</v>
      </c>
      <c r="J61" s="666"/>
      <c r="K61" s="314"/>
      <c r="L61" s="315">
        <f>+I61/K50</f>
        <v>0.15785460934133325</v>
      </c>
      <c r="M61" s="271"/>
      <c r="N61" s="98"/>
      <c r="O61" s="98"/>
      <c r="P61" s="61"/>
      <c r="Q61" s="61"/>
      <c r="R61" s="61"/>
      <c r="T61" s="250"/>
      <c r="U61" s="252">
        <f t="shared" si="3"/>
        <v>44006</v>
      </c>
      <c r="V61" s="6"/>
      <c r="W61" s="253">
        <v>361428</v>
      </c>
      <c r="X61" s="6"/>
      <c r="Y61" s="44">
        <v>0.14699999999999999</v>
      </c>
      <c r="Z61" s="6"/>
      <c r="AA61" s="254">
        <f t="shared" si="4"/>
        <v>-11923</v>
      </c>
      <c r="AB61" s="6"/>
      <c r="AC61" s="258"/>
      <c r="AD61" s="251"/>
    </row>
    <row r="62" spans="4:32" ht="15.6" thickTop="1" thickBot="1" x14ac:dyDescent="0.35">
      <c r="D62" s="272"/>
      <c r="E62" s="273"/>
      <c r="F62" s="273"/>
      <c r="G62" s="273"/>
      <c r="H62" s="273"/>
      <c r="I62" s="273"/>
      <c r="J62" s="273"/>
      <c r="K62" s="273"/>
      <c r="L62" s="273"/>
      <c r="M62" s="274"/>
      <c r="N62" s="98"/>
      <c r="O62" s="98"/>
      <c r="P62" s="61"/>
      <c r="Q62" s="61"/>
      <c r="R62" s="61"/>
      <c r="T62" s="250"/>
      <c r="U62" s="252">
        <f t="shared" si="3"/>
        <v>44007</v>
      </c>
      <c r="V62" s="6"/>
      <c r="W62" s="253">
        <v>374775</v>
      </c>
      <c r="X62" s="6"/>
      <c r="Y62" s="44">
        <v>0.15</v>
      </c>
      <c r="Z62" s="6"/>
      <c r="AA62" s="254">
        <f t="shared" si="4"/>
        <v>-13347</v>
      </c>
      <c r="AB62" s="6"/>
      <c r="AC62" s="258"/>
      <c r="AD62" s="251"/>
    </row>
    <row r="63" spans="4:32" ht="15" thickBot="1" x14ac:dyDescent="0.35">
      <c r="T63" s="250"/>
      <c r="U63" s="252">
        <f t="shared" si="3"/>
        <v>44008</v>
      </c>
      <c r="V63" s="6"/>
      <c r="W63" s="253">
        <v>402712</v>
      </c>
      <c r="X63" s="6"/>
      <c r="Y63" s="44">
        <v>0.158</v>
      </c>
      <c r="Z63" s="6"/>
      <c r="AA63" s="254">
        <f t="shared" si="4"/>
        <v>-27937</v>
      </c>
      <c r="AB63" s="6"/>
      <c r="AC63" s="258"/>
      <c r="AD63" s="251"/>
    </row>
    <row r="64" spans="4:32" ht="15" thickBot="1" x14ac:dyDescent="0.35">
      <c r="E64" s="663" t="s">
        <v>104</v>
      </c>
      <c r="F64" s="664"/>
      <c r="G64" s="664"/>
      <c r="H64" s="664"/>
      <c r="I64" s="664"/>
      <c r="J64" s="664"/>
      <c r="K64" s="664"/>
      <c r="L64" s="664"/>
      <c r="M64" s="665"/>
      <c r="P64" s="327"/>
      <c r="Q64" s="327"/>
      <c r="R64" s="327"/>
      <c r="T64" s="250"/>
      <c r="U64" s="252">
        <f t="shared" si="3"/>
        <v>44009</v>
      </c>
      <c r="V64" s="6"/>
      <c r="W64" s="253">
        <v>425664</v>
      </c>
      <c r="X64" s="6"/>
      <c r="Y64" s="44">
        <v>0.16400000000000001</v>
      </c>
      <c r="Z64" s="6"/>
      <c r="AA64" s="254">
        <f t="shared" ref="AA64:AA81" si="5">+W63-W64</f>
        <v>-22952</v>
      </c>
      <c r="AB64" s="6"/>
      <c r="AC64" s="258"/>
      <c r="AD64" s="251"/>
    </row>
    <row r="65" spans="4:30" x14ac:dyDescent="0.3">
      <c r="E65" s="322"/>
      <c r="F65" s="275" t="s">
        <v>96</v>
      </c>
      <c r="G65" s="275"/>
      <c r="H65" s="275"/>
      <c r="I65" s="696">
        <v>11690000</v>
      </c>
      <c r="J65" s="696"/>
      <c r="K65" s="696"/>
      <c r="L65" s="696"/>
      <c r="M65" s="323"/>
      <c r="P65" s="57"/>
      <c r="Q65" s="57"/>
      <c r="R65" s="57"/>
      <c r="S65" s="57"/>
      <c r="T65" s="250"/>
      <c r="U65" s="252">
        <f t="shared" si="3"/>
        <v>44010</v>
      </c>
      <c r="V65" s="6"/>
      <c r="W65" s="253">
        <v>440910</v>
      </c>
      <c r="X65" s="6"/>
      <c r="Y65" s="44">
        <v>0.16700000000000001</v>
      </c>
      <c r="Z65" s="6"/>
      <c r="AA65" s="254">
        <f t="shared" si="5"/>
        <v>-15246</v>
      </c>
      <c r="AB65" s="6"/>
      <c r="AC65" s="258"/>
      <c r="AD65" s="251"/>
    </row>
    <row r="66" spans="4:30" x14ac:dyDescent="0.3">
      <c r="E66" s="322"/>
      <c r="F66" s="275" t="s">
        <v>97</v>
      </c>
      <c r="G66" s="275"/>
      <c r="H66" s="275"/>
      <c r="I66" s="275"/>
      <c r="J66" s="275"/>
      <c r="K66" s="275"/>
      <c r="L66" s="276">
        <f>+I59/I65</f>
        <v>5.2686056458511551E-4</v>
      </c>
      <c r="M66" s="323"/>
      <c r="T66" s="250"/>
      <c r="U66" s="252">
        <f t="shared" si="3"/>
        <v>44011</v>
      </c>
      <c r="V66" s="6"/>
      <c r="W66" s="253">
        <v>459097</v>
      </c>
      <c r="X66" s="6"/>
      <c r="Y66" s="44">
        <v>0.17100000000000001</v>
      </c>
      <c r="Z66" s="6"/>
      <c r="AA66" s="254">
        <f t="shared" si="5"/>
        <v>-18187</v>
      </c>
      <c r="AB66" s="6"/>
      <c r="AC66" s="258"/>
      <c r="AD66" s="251"/>
    </row>
    <row r="67" spans="4:30" x14ac:dyDescent="0.3">
      <c r="E67" s="322"/>
      <c r="F67" s="662" t="s">
        <v>95</v>
      </c>
      <c r="G67" s="662"/>
      <c r="H67" s="275"/>
      <c r="I67" s="275"/>
      <c r="J67" s="275"/>
      <c r="K67" s="275"/>
      <c r="L67" s="335">
        <f>+I59/(I65/100000)</f>
        <v>52.686056458511544</v>
      </c>
      <c r="M67" s="323"/>
      <c r="T67" s="250"/>
      <c r="U67" s="252">
        <f t="shared" si="3"/>
        <v>44012</v>
      </c>
      <c r="V67" s="6"/>
      <c r="W67" s="253">
        <v>477287</v>
      </c>
      <c r="X67" s="6"/>
      <c r="Y67" s="44">
        <v>0.17499999999999999</v>
      </c>
      <c r="Z67" s="6"/>
      <c r="AA67" s="254">
        <f t="shared" si="5"/>
        <v>-18190</v>
      </c>
      <c r="AB67" s="6"/>
      <c r="AC67" s="258"/>
      <c r="AD67" s="251"/>
    </row>
    <row r="68" spans="4:30" ht="15" thickBot="1" x14ac:dyDescent="0.35">
      <c r="E68" s="324"/>
      <c r="F68" s="325"/>
      <c r="G68" s="325"/>
      <c r="H68" s="325"/>
      <c r="I68" s="325"/>
      <c r="J68" s="325"/>
      <c r="K68" s="325"/>
      <c r="L68" s="325"/>
      <c r="M68" s="326"/>
      <c r="T68" s="250"/>
      <c r="U68" s="252">
        <f t="shared" si="3"/>
        <v>44013</v>
      </c>
      <c r="V68" s="6"/>
      <c r="W68" s="253">
        <v>494808</v>
      </c>
      <c r="X68" s="6"/>
      <c r="Y68" s="44">
        <v>0.17799999999999999</v>
      </c>
      <c r="Z68" s="6"/>
      <c r="AA68" s="254">
        <f t="shared" si="5"/>
        <v>-17521</v>
      </c>
      <c r="AB68" s="6"/>
      <c r="AC68" s="258"/>
      <c r="AD68" s="251"/>
    </row>
    <row r="69" spans="4:30" x14ac:dyDescent="0.3">
      <c r="T69" s="250"/>
      <c r="U69" s="252">
        <f t="shared" si="3"/>
        <v>44014</v>
      </c>
      <c r="V69" s="6"/>
      <c r="W69" s="253">
        <v>518711</v>
      </c>
      <c r="X69" s="6"/>
      <c r="Y69" s="44">
        <v>0.183</v>
      </c>
      <c r="Z69" s="6"/>
      <c r="AA69" s="254">
        <f t="shared" si="5"/>
        <v>-23903</v>
      </c>
      <c r="AB69" s="6"/>
      <c r="AC69" s="258"/>
      <c r="AD69" s="251"/>
    </row>
    <row r="70" spans="4:30" x14ac:dyDescent="0.3">
      <c r="T70" s="250"/>
      <c r="U70" s="252">
        <f t="shared" si="3"/>
        <v>44015</v>
      </c>
      <c r="V70" s="6"/>
      <c r="W70" s="253">
        <v>537924</v>
      </c>
      <c r="X70" s="6"/>
      <c r="Y70" s="44">
        <v>0.187</v>
      </c>
      <c r="Z70" s="6"/>
      <c r="AA70" s="254">
        <f t="shared" si="5"/>
        <v>-19213</v>
      </c>
      <c r="AB70" s="6"/>
      <c r="AC70" s="258"/>
      <c r="AD70" s="251"/>
    </row>
    <row r="71" spans="4:30" ht="15" thickBot="1" x14ac:dyDescent="0.35">
      <c r="T71" s="250"/>
      <c r="U71" s="252">
        <f t="shared" si="3"/>
        <v>44016</v>
      </c>
      <c r="V71" s="6"/>
      <c r="W71" s="253">
        <v>561332</v>
      </c>
      <c r="X71" s="6"/>
      <c r="Y71" s="44">
        <v>0.191</v>
      </c>
      <c r="Z71" s="6"/>
      <c r="AA71" s="254">
        <f t="shared" si="5"/>
        <v>-23408</v>
      </c>
      <c r="AB71" s="6"/>
      <c r="AC71" s="258"/>
      <c r="AD71" s="251"/>
    </row>
    <row r="72" spans="4:30" ht="15" thickBot="1" x14ac:dyDescent="0.35">
      <c r="D72" s="725" t="s">
        <v>118</v>
      </c>
      <c r="E72" s="726"/>
      <c r="F72" s="726"/>
      <c r="G72" s="726"/>
      <c r="H72" s="726"/>
      <c r="I72" s="726"/>
      <c r="J72" s="726"/>
      <c r="K72" s="726"/>
      <c r="L72" s="726"/>
      <c r="M72" s="726"/>
      <c r="N72" s="726"/>
      <c r="O72" s="727"/>
      <c r="T72" s="250"/>
      <c r="U72" s="252">
        <f t="shared" si="3"/>
        <v>44017</v>
      </c>
      <c r="V72" s="6"/>
      <c r="W72" s="253">
        <v>569824</v>
      </c>
      <c r="X72" s="6"/>
      <c r="Y72" s="44">
        <v>0.191</v>
      </c>
      <c r="Z72" s="6"/>
      <c r="AA72" s="254">
        <f t="shared" si="5"/>
        <v>-8492</v>
      </c>
      <c r="AB72" s="6"/>
      <c r="AC72" s="258"/>
      <c r="AD72" s="251"/>
    </row>
    <row r="73" spans="4:30" ht="15" thickBot="1" x14ac:dyDescent="0.35">
      <c r="D73" s="354"/>
      <c r="E73" s="728" t="s">
        <v>67</v>
      </c>
      <c r="F73" s="728"/>
      <c r="G73" s="728"/>
      <c r="H73" s="728"/>
      <c r="I73" s="355" t="s">
        <v>66</v>
      </c>
      <c r="J73" s="356"/>
      <c r="K73" s="729" t="s">
        <v>35</v>
      </c>
      <c r="L73" s="729"/>
      <c r="M73" s="357"/>
      <c r="N73" s="358" t="s">
        <v>65</v>
      </c>
      <c r="O73" s="359"/>
      <c r="T73" s="250"/>
      <c r="U73" s="252">
        <f t="shared" si="3"/>
        <v>44018</v>
      </c>
      <c r="V73" s="6"/>
      <c r="W73" s="253">
        <v>581179</v>
      </c>
      <c r="X73" s="6"/>
      <c r="Y73" s="44">
        <v>0.192</v>
      </c>
      <c r="Z73" s="6"/>
      <c r="AA73" s="254">
        <f t="shared" si="5"/>
        <v>-11355</v>
      </c>
      <c r="AB73" s="6"/>
      <c r="AC73" s="258"/>
      <c r="AD73" s="251"/>
    </row>
    <row r="74" spans="4:30" x14ac:dyDescent="0.3">
      <c r="D74" s="360"/>
      <c r="E74" s="361" t="s">
        <v>41</v>
      </c>
      <c r="F74" s="362"/>
      <c r="G74" s="361"/>
      <c r="H74" s="361"/>
      <c r="I74" s="363">
        <v>38828</v>
      </c>
      <c r="J74" s="363"/>
      <c r="K74" s="364"/>
      <c r="L74" s="364"/>
      <c r="M74" s="364"/>
      <c r="N74" s="364"/>
      <c r="O74" s="365"/>
      <c r="T74" s="250"/>
      <c r="U74" s="252">
        <f t="shared" si="3"/>
        <v>44019</v>
      </c>
      <c r="V74" s="6"/>
      <c r="W74" s="253">
        <v>606840</v>
      </c>
      <c r="X74" s="6"/>
      <c r="Y74" s="44">
        <v>0.19600000000000001</v>
      </c>
      <c r="Z74" s="6"/>
      <c r="AA74" s="254">
        <f t="shared" si="5"/>
        <v>-25661</v>
      </c>
      <c r="AB74" s="6"/>
      <c r="AC74" s="258"/>
      <c r="AD74" s="251"/>
    </row>
    <row r="75" spans="4:30" x14ac:dyDescent="0.3">
      <c r="D75" s="360"/>
      <c r="E75" s="361" t="s">
        <v>42</v>
      </c>
      <c r="F75" s="361" t="s">
        <v>4</v>
      </c>
      <c r="G75" s="361"/>
      <c r="H75" s="361"/>
      <c r="I75" s="363">
        <v>2144</v>
      </c>
      <c r="J75" s="363"/>
      <c r="K75" s="364"/>
      <c r="L75" s="364"/>
      <c r="M75" s="364"/>
      <c r="N75" s="364"/>
      <c r="O75" s="365"/>
      <c r="T75" s="250"/>
      <c r="U75" s="252">
        <f t="shared" si="3"/>
        <v>44020</v>
      </c>
      <c r="V75" s="6"/>
      <c r="W75" s="253">
        <v>621347</v>
      </c>
      <c r="X75" s="6"/>
      <c r="Y75" s="44">
        <v>0.19700000000000001</v>
      </c>
      <c r="Z75" s="6"/>
      <c r="AA75" s="254">
        <f t="shared" si="5"/>
        <v>-14507</v>
      </c>
      <c r="AB75" s="6"/>
      <c r="AC75" s="258"/>
      <c r="AD75" s="251"/>
    </row>
    <row r="76" spans="4:30" x14ac:dyDescent="0.3">
      <c r="D76" s="360"/>
      <c r="E76" s="361"/>
      <c r="F76" s="361" t="s">
        <v>43</v>
      </c>
      <c r="G76" s="361"/>
      <c r="H76" s="361"/>
      <c r="I76" s="366"/>
      <c r="J76" s="363"/>
      <c r="K76" s="364"/>
      <c r="L76" s="363"/>
      <c r="M76" s="364"/>
      <c r="N76" s="367"/>
      <c r="O76" s="365"/>
      <c r="T76" s="250"/>
      <c r="U76" s="252">
        <f t="shared" si="3"/>
        <v>44021</v>
      </c>
      <c r="V76" s="6"/>
      <c r="W76" s="253">
        <v>639107</v>
      </c>
      <c r="X76" s="6"/>
      <c r="Y76" s="44">
        <v>0.19800000000000001</v>
      </c>
      <c r="Z76" s="6"/>
      <c r="AA76" s="254">
        <f t="shared" si="5"/>
        <v>-17760</v>
      </c>
      <c r="AB76" s="6"/>
      <c r="AC76" s="258"/>
      <c r="AD76" s="251"/>
    </row>
    <row r="77" spans="4:30" x14ac:dyDescent="0.3">
      <c r="D77" s="360"/>
      <c r="E77" s="361"/>
      <c r="F77" s="368" t="s">
        <v>62</v>
      </c>
      <c r="G77" s="368"/>
      <c r="H77" s="368"/>
      <c r="I77" s="363">
        <f>+I74-I75-I76</f>
        <v>36684</v>
      </c>
      <c r="J77" s="363"/>
      <c r="K77" s="364"/>
      <c r="L77" s="364"/>
      <c r="M77" s="364"/>
      <c r="N77" s="364"/>
      <c r="O77" s="365"/>
      <c r="T77" s="250"/>
      <c r="U77" s="252">
        <f t="shared" si="3"/>
        <v>44022</v>
      </c>
      <c r="V77" s="6"/>
      <c r="W77" s="253">
        <v>670486</v>
      </c>
      <c r="X77" s="6"/>
      <c r="Y77" s="44">
        <v>0.20399999999999999</v>
      </c>
      <c r="Z77" s="6"/>
      <c r="AA77" s="254">
        <f t="shared" si="5"/>
        <v>-31379</v>
      </c>
      <c r="AB77" s="6"/>
      <c r="AC77" s="258"/>
      <c r="AD77" s="251"/>
    </row>
    <row r="78" spans="4:30" x14ac:dyDescent="0.3">
      <c r="D78" s="360"/>
      <c r="E78" s="361" t="s">
        <v>69</v>
      </c>
      <c r="F78" s="16"/>
      <c r="G78" s="16"/>
      <c r="H78" s="16"/>
      <c r="I78" s="366">
        <f>+'Main Table'!AP826</f>
        <v>0</v>
      </c>
      <c r="J78" s="363"/>
      <c r="K78" s="364"/>
      <c r="L78" s="364"/>
      <c r="M78" s="364"/>
      <c r="N78" s="364"/>
      <c r="O78" s="365"/>
      <c r="T78" s="250"/>
      <c r="U78" s="252">
        <f t="shared" si="3"/>
        <v>44023</v>
      </c>
      <c r="V78" s="6"/>
      <c r="W78" s="253">
        <v>687513</v>
      </c>
      <c r="X78" s="6"/>
      <c r="Y78" s="44">
        <v>0.20499999999999999</v>
      </c>
      <c r="Z78" s="6"/>
      <c r="AA78" s="254">
        <f t="shared" si="5"/>
        <v>-17027</v>
      </c>
      <c r="AB78" s="6"/>
      <c r="AC78" s="258"/>
      <c r="AD78" s="251"/>
    </row>
    <row r="79" spans="4:30" x14ac:dyDescent="0.3">
      <c r="D79" s="730" t="s">
        <v>47</v>
      </c>
      <c r="E79" s="731"/>
      <c r="F79" s="731"/>
      <c r="G79" s="731"/>
      <c r="H79" s="731"/>
      <c r="I79" s="369">
        <f>+I77-I78</f>
        <v>36684</v>
      </c>
      <c r="J79" s="363"/>
      <c r="K79" s="364"/>
      <c r="L79" s="364"/>
      <c r="M79" s="364"/>
      <c r="N79" s="364"/>
      <c r="O79" s="365"/>
      <c r="T79" s="250"/>
      <c r="U79" s="252">
        <f t="shared" si="3"/>
        <v>44024</v>
      </c>
      <c r="V79" s="6"/>
      <c r="W79" s="253">
        <v>699823</v>
      </c>
      <c r="X79" s="6"/>
      <c r="Y79" s="44">
        <v>0.20499999999999999</v>
      </c>
      <c r="Z79" s="6"/>
      <c r="AA79" s="254">
        <f t="shared" si="5"/>
        <v>-12310</v>
      </c>
      <c r="AB79" s="6"/>
      <c r="AC79" s="258"/>
      <c r="AD79" s="251"/>
    </row>
    <row r="80" spans="4:30" x14ac:dyDescent="0.3">
      <c r="D80" s="360"/>
      <c r="E80" s="361" t="s">
        <v>63</v>
      </c>
      <c r="F80" s="16"/>
      <c r="G80" s="16"/>
      <c r="H80" s="16"/>
      <c r="I80" s="366">
        <f>+I78</f>
        <v>0</v>
      </c>
      <c r="J80" s="363"/>
      <c r="K80" s="364"/>
      <c r="L80" s="364"/>
      <c r="M80" s="364"/>
      <c r="N80" s="364"/>
      <c r="O80" s="365"/>
      <c r="T80" s="250"/>
      <c r="U80" s="252">
        <f t="shared" si="3"/>
        <v>44025</v>
      </c>
      <c r="V80" s="6"/>
      <c r="W80" s="253">
        <v>716467</v>
      </c>
      <c r="X80" s="6"/>
      <c r="Y80" s="44">
        <v>0.20599999999999999</v>
      </c>
      <c r="Z80" s="6"/>
      <c r="AA80" s="254">
        <f t="shared" si="5"/>
        <v>-16644</v>
      </c>
      <c r="AB80" s="6"/>
      <c r="AC80" s="258"/>
      <c r="AD80" s="251"/>
    </row>
    <row r="81" spans="3:30" ht="15" thickBot="1" x14ac:dyDescent="0.35">
      <c r="D81" s="730" t="s">
        <v>44</v>
      </c>
      <c r="E81" s="731"/>
      <c r="F81" s="731"/>
      <c r="G81" s="731"/>
      <c r="H81" s="731"/>
      <c r="I81" s="370">
        <f>+I79+I80</f>
        <v>36684</v>
      </c>
      <c r="J81" s="363"/>
      <c r="K81" s="733">
        <v>48675</v>
      </c>
      <c r="L81" s="733"/>
      <c r="M81" s="364"/>
      <c r="N81" s="371">
        <f>+K81-I81</f>
        <v>11991</v>
      </c>
      <c r="O81" s="365"/>
      <c r="S81" s="57"/>
      <c r="T81" s="250"/>
      <c r="U81" s="252">
        <f t="shared" si="3"/>
        <v>44026</v>
      </c>
      <c r="V81" s="6"/>
      <c r="W81" s="253">
        <v>720448</v>
      </c>
      <c r="X81" s="6"/>
      <c r="Y81" s="44">
        <v>0.20300000000000001</v>
      </c>
      <c r="Z81" s="6"/>
      <c r="AA81" s="254">
        <f t="shared" si="5"/>
        <v>-3981</v>
      </c>
      <c r="AB81" s="6"/>
      <c r="AC81" s="258"/>
      <c r="AD81" s="251"/>
    </row>
    <row r="82" spans="3:30" ht="15.6" thickTop="1" thickBot="1" x14ac:dyDescent="0.35">
      <c r="D82" s="372"/>
      <c r="E82" s="732" t="s">
        <v>61</v>
      </c>
      <c r="F82" s="732"/>
      <c r="G82" s="732"/>
      <c r="H82" s="368"/>
      <c r="I82" s="373">
        <f>+I81/K81</f>
        <v>0.75365177195685673</v>
      </c>
      <c r="J82" s="364"/>
      <c r="K82" s="364"/>
      <c r="L82" s="364"/>
      <c r="M82" s="364"/>
      <c r="N82" s="374">
        <f>+N81/K81</f>
        <v>0.2463482280431433</v>
      </c>
      <c r="O82" s="365"/>
      <c r="T82" s="250"/>
      <c r="U82" s="252">
        <f t="shared" si="3"/>
        <v>44027</v>
      </c>
      <c r="V82" s="6"/>
      <c r="W82" s="253">
        <v>734229</v>
      </c>
      <c r="X82" s="6"/>
      <c r="Y82" s="44">
        <v>0.20300000000000001</v>
      </c>
      <c r="Z82" s="6"/>
      <c r="AA82" s="254">
        <f t="shared" ref="AA82:AA119" si="6">+W81-W82</f>
        <v>-13781</v>
      </c>
      <c r="AB82" s="6"/>
      <c r="AC82" s="258"/>
      <c r="AD82" s="251"/>
    </row>
    <row r="83" spans="3:30" ht="15.6" thickTop="1" thickBot="1" x14ac:dyDescent="0.35">
      <c r="D83" s="375"/>
      <c r="E83" s="376"/>
      <c r="F83" s="376"/>
      <c r="G83" s="376"/>
      <c r="H83" s="376"/>
      <c r="I83" s="377"/>
      <c r="J83" s="378"/>
      <c r="K83" s="379"/>
      <c r="L83" s="379"/>
      <c r="M83" s="379"/>
      <c r="N83" s="379"/>
      <c r="O83" s="380"/>
      <c r="T83" s="250"/>
      <c r="U83" s="252">
        <f t="shared" si="3"/>
        <v>44028</v>
      </c>
      <c r="V83" s="6"/>
      <c r="W83" s="253">
        <v>761026</v>
      </c>
      <c r="X83" s="6"/>
      <c r="Y83" s="44">
        <v>0.20599999999999999</v>
      </c>
      <c r="Z83" s="6"/>
      <c r="AA83" s="254">
        <f t="shared" si="6"/>
        <v>-26797</v>
      </c>
      <c r="AB83" s="6"/>
      <c r="AC83" s="258"/>
      <c r="AD83" s="251"/>
    </row>
    <row r="84" spans="3:30" x14ac:dyDescent="0.3">
      <c r="C84" s="61"/>
      <c r="D84" s="78"/>
      <c r="E84" s="139"/>
      <c r="F84" s="139"/>
      <c r="G84" s="139"/>
      <c r="H84" s="139"/>
      <c r="I84" s="148"/>
      <c r="J84" s="487"/>
      <c r="K84" s="488"/>
      <c r="L84" s="488"/>
      <c r="M84" s="488"/>
      <c r="N84" s="488"/>
      <c r="O84" s="98"/>
      <c r="P84" s="61"/>
      <c r="T84" s="250"/>
      <c r="U84" s="252">
        <f t="shared" si="3"/>
        <v>44029</v>
      </c>
      <c r="V84" s="6"/>
      <c r="W84" s="253">
        <v>791691</v>
      </c>
      <c r="X84" s="6"/>
      <c r="Y84" s="44">
        <v>0.21</v>
      </c>
      <c r="Z84" s="6"/>
      <c r="AA84" s="254">
        <f t="shared" si="6"/>
        <v>-30665</v>
      </c>
      <c r="AB84" s="6"/>
      <c r="AC84" s="258"/>
      <c r="AD84" s="251"/>
    </row>
    <row r="85" spans="3:30" x14ac:dyDescent="0.3">
      <c r="C85" s="61"/>
      <c r="D85" s="78"/>
      <c r="E85" s="139"/>
      <c r="F85" s="139"/>
      <c r="G85" s="139"/>
      <c r="H85" s="139"/>
      <c r="I85" s="148"/>
      <c r="J85" s="487"/>
      <c r="K85" s="488"/>
      <c r="L85" s="488"/>
      <c r="M85" s="488"/>
      <c r="N85" s="488"/>
      <c r="O85" s="98"/>
      <c r="P85" s="61"/>
      <c r="T85" s="250"/>
      <c r="U85" s="252">
        <f t="shared" si="3"/>
        <v>44030</v>
      </c>
      <c r="V85" s="6"/>
      <c r="W85" s="253">
        <v>801338</v>
      </c>
      <c r="X85" s="6"/>
      <c r="Y85" s="44">
        <v>0.20899999999999999</v>
      </c>
      <c r="Z85" s="6"/>
      <c r="AA85" s="254">
        <f t="shared" si="6"/>
        <v>-9647</v>
      </c>
      <c r="AB85" s="6"/>
      <c r="AC85" s="258"/>
      <c r="AD85" s="251"/>
    </row>
    <row r="86" spans="3:30" x14ac:dyDescent="0.3">
      <c r="C86" s="61"/>
      <c r="D86" s="78"/>
      <c r="E86" s="139"/>
      <c r="F86" s="139"/>
      <c r="G86" s="139"/>
      <c r="H86" s="139"/>
      <c r="I86" s="148"/>
      <c r="J86" s="487"/>
      <c r="K86" s="488"/>
      <c r="L86" s="488"/>
      <c r="M86" s="488"/>
      <c r="N86" s="488"/>
      <c r="O86" s="98"/>
      <c r="P86" s="61"/>
      <c r="T86" s="250"/>
      <c r="U86" s="252">
        <f t="shared" si="3"/>
        <v>44031</v>
      </c>
      <c r="V86" s="6"/>
      <c r="W86" s="253">
        <v>811067</v>
      </c>
      <c r="X86" s="6"/>
      <c r="Y86" s="44">
        <v>0.20799999999999999</v>
      </c>
      <c r="Z86" s="6"/>
      <c r="AA86" s="254">
        <f t="shared" si="6"/>
        <v>-9729</v>
      </c>
      <c r="AB86" s="6"/>
      <c r="AC86" s="258"/>
      <c r="AD86" s="251"/>
    </row>
    <row r="87" spans="3:30" hidden="1" outlineLevel="1" x14ac:dyDescent="0.3">
      <c r="C87" s="61"/>
      <c r="D87" s="78"/>
      <c r="E87" s="139"/>
      <c r="F87" s="139"/>
      <c r="G87" s="139"/>
      <c r="H87" s="139"/>
      <c r="I87" s="148"/>
      <c r="J87" s="487"/>
      <c r="K87" s="488"/>
      <c r="L87" s="488"/>
      <c r="M87" s="488"/>
      <c r="N87" s="488"/>
      <c r="O87" s="98"/>
      <c r="P87" s="61"/>
      <c r="T87" s="250"/>
      <c r="U87" s="252">
        <f t="shared" si="3"/>
        <v>44032</v>
      </c>
      <c r="V87" s="6"/>
      <c r="W87" s="253">
        <v>792871</v>
      </c>
      <c r="X87" s="6"/>
      <c r="Y87" s="44">
        <v>0.2</v>
      </c>
      <c r="Z87" s="6"/>
      <c r="AA87" s="254">
        <f t="shared" si="6"/>
        <v>18196</v>
      </c>
      <c r="AB87" s="6"/>
      <c r="AC87" s="258"/>
      <c r="AD87" s="251"/>
    </row>
    <row r="88" spans="3:30" hidden="1" outlineLevel="1" x14ac:dyDescent="0.3">
      <c r="C88" s="61"/>
      <c r="D88" s="78"/>
      <c r="E88" s="139"/>
      <c r="F88" s="139"/>
      <c r="G88" s="139"/>
      <c r="H88" s="139"/>
      <c r="I88" s="148"/>
      <c r="J88" s="487"/>
      <c r="K88" s="488"/>
      <c r="L88" s="488"/>
      <c r="M88" s="488"/>
      <c r="N88" s="488"/>
      <c r="O88" s="98"/>
      <c r="P88" s="61"/>
      <c r="T88" s="250"/>
      <c r="U88" s="252">
        <f t="shared" si="3"/>
        <v>44033</v>
      </c>
      <c r="V88" s="6"/>
      <c r="W88" s="253">
        <v>747251</v>
      </c>
      <c r="X88" s="6"/>
      <c r="Y88" s="44">
        <v>0.185</v>
      </c>
      <c r="Z88" s="6"/>
      <c r="AA88" s="254">
        <f t="shared" si="6"/>
        <v>45620</v>
      </c>
      <c r="AB88" s="6"/>
      <c r="AC88" s="258"/>
      <c r="AD88" s="251"/>
    </row>
    <row r="89" spans="3:30" hidden="1" outlineLevel="1" x14ac:dyDescent="0.3">
      <c r="C89" s="61"/>
      <c r="D89" s="78"/>
      <c r="E89" s="139"/>
      <c r="F89" s="139"/>
      <c r="G89" s="139"/>
      <c r="H89" s="139"/>
      <c r="I89" s="148"/>
      <c r="J89" s="487"/>
      <c r="K89" s="488"/>
      <c r="L89" s="488"/>
      <c r="M89" s="488"/>
      <c r="N89" s="488"/>
      <c r="O89" s="98"/>
      <c r="P89" s="61"/>
      <c r="T89" s="250"/>
      <c r="U89" s="252">
        <f t="shared" si="3"/>
        <v>44034</v>
      </c>
      <c r="V89" s="6"/>
      <c r="W89" s="253">
        <v>757520</v>
      </c>
      <c r="X89" s="6"/>
      <c r="Y89" s="44">
        <v>0.185</v>
      </c>
      <c r="Z89" s="6"/>
      <c r="AA89" s="254">
        <f t="shared" si="6"/>
        <v>-10269</v>
      </c>
      <c r="AB89" s="6"/>
      <c r="AC89" s="258"/>
      <c r="AD89" s="251"/>
    </row>
    <row r="90" spans="3:30" hidden="1" outlineLevel="1" x14ac:dyDescent="0.3">
      <c r="C90" s="61"/>
      <c r="D90" s="78"/>
      <c r="E90" s="139"/>
      <c r="F90" s="139"/>
      <c r="G90" s="139"/>
      <c r="H90" s="139"/>
      <c r="I90" s="148"/>
      <c r="J90" s="487"/>
      <c r="K90" s="488"/>
      <c r="L90" s="488"/>
      <c r="M90" s="488"/>
      <c r="N90" s="488"/>
      <c r="O90" s="98"/>
      <c r="P90" s="61"/>
      <c r="T90" s="250"/>
      <c r="U90" s="252">
        <f t="shared" si="3"/>
        <v>44035</v>
      </c>
      <c r="V90" s="6"/>
      <c r="W90" s="253">
        <v>770711</v>
      </c>
      <c r="X90" s="6"/>
      <c r="Y90" s="44">
        <v>0.185</v>
      </c>
      <c r="Z90" s="6"/>
      <c r="AA90" s="254">
        <f t="shared" si="6"/>
        <v>-13191</v>
      </c>
      <c r="AB90" s="6"/>
      <c r="AC90" s="258"/>
      <c r="AD90" s="251"/>
    </row>
    <row r="91" spans="3:30" hidden="1" outlineLevel="1" x14ac:dyDescent="0.3">
      <c r="C91" s="61"/>
      <c r="D91" s="78"/>
      <c r="E91" s="139"/>
      <c r="F91" s="139"/>
      <c r="G91" s="139"/>
      <c r="H91" s="139"/>
      <c r="I91" s="148"/>
      <c r="J91" s="487"/>
      <c r="K91" s="488"/>
      <c r="L91" s="488"/>
      <c r="M91" s="488"/>
      <c r="N91" s="488"/>
      <c r="O91" s="98"/>
      <c r="P91" s="61"/>
      <c r="T91" s="250"/>
      <c r="U91" s="252">
        <f t="shared" si="3"/>
        <v>44036</v>
      </c>
      <c r="V91" s="6"/>
      <c r="W91" s="253">
        <v>783144</v>
      </c>
      <c r="X91" s="6"/>
      <c r="Y91" s="44">
        <v>0.184</v>
      </c>
      <c r="Z91" s="6"/>
      <c r="AA91" s="254">
        <f t="shared" si="6"/>
        <v>-12433</v>
      </c>
      <c r="AB91" s="6"/>
      <c r="AC91" s="258"/>
      <c r="AD91" s="251"/>
    </row>
    <row r="92" spans="3:30" hidden="1" outlineLevel="1" x14ac:dyDescent="0.3">
      <c r="O92" s="98"/>
      <c r="T92" s="250"/>
      <c r="U92" s="252">
        <f t="shared" si="3"/>
        <v>44037</v>
      </c>
      <c r="V92" s="6"/>
      <c r="W92" s="253">
        <v>784395</v>
      </c>
      <c r="X92" s="6"/>
      <c r="Y92" s="44">
        <v>0.182</v>
      </c>
      <c r="Z92" s="6"/>
      <c r="AA92" s="254">
        <f t="shared" si="6"/>
        <v>-1251</v>
      </c>
      <c r="AB92" s="6"/>
      <c r="AC92" s="258"/>
      <c r="AD92" s="251"/>
    </row>
    <row r="93" spans="3:30" hidden="1" outlineLevel="1" x14ac:dyDescent="0.3">
      <c r="O93" s="98"/>
      <c r="T93" s="250"/>
      <c r="U93" s="252">
        <f t="shared" si="3"/>
        <v>44038</v>
      </c>
      <c r="V93" s="6"/>
      <c r="W93" s="253">
        <v>768522</v>
      </c>
      <c r="X93" s="6"/>
      <c r="Y93" s="44">
        <v>0.17599999999999999</v>
      </c>
      <c r="Z93" s="6"/>
      <c r="AA93" s="254">
        <f t="shared" si="6"/>
        <v>15873</v>
      </c>
      <c r="AB93" s="6"/>
      <c r="AC93" s="258"/>
      <c r="AD93" s="251"/>
    </row>
    <row r="94" spans="3:30" hidden="1" outlineLevel="1" x14ac:dyDescent="0.3">
      <c r="O94" s="98"/>
      <c r="T94" s="250"/>
      <c r="U94" s="252">
        <f t="shared" si="3"/>
        <v>44039</v>
      </c>
      <c r="V94" s="6"/>
      <c r="W94" s="253">
        <v>757532</v>
      </c>
      <c r="X94" s="6"/>
      <c r="Y94" s="44">
        <v>0.17100000000000001</v>
      </c>
      <c r="Z94" s="6"/>
      <c r="AA94" s="254">
        <f t="shared" si="6"/>
        <v>10990</v>
      </c>
      <c r="AB94" s="6"/>
      <c r="AC94" s="258"/>
      <c r="AD94" s="251"/>
    </row>
    <row r="95" spans="3:30" hidden="1" outlineLevel="1" x14ac:dyDescent="0.3">
      <c r="O95" s="98"/>
      <c r="T95" s="250"/>
      <c r="U95" s="252">
        <f t="shared" si="3"/>
        <v>44040</v>
      </c>
      <c r="V95" s="6"/>
      <c r="W95" s="253">
        <v>747119</v>
      </c>
      <c r="X95" s="6"/>
      <c r="Y95" s="44">
        <v>0.16600000000000001</v>
      </c>
      <c r="Z95" s="6"/>
      <c r="AA95" s="254">
        <f t="shared" si="6"/>
        <v>10413</v>
      </c>
      <c r="AB95" s="6"/>
      <c r="AC95" s="258"/>
      <c r="AD95" s="251"/>
    </row>
    <row r="96" spans="3:30" hidden="1" outlineLevel="1" x14ac:dyDescent="0.3">
      <c r="O96" s="98"/>
      <c r="T96" s="250"/>
      <c r="U96" s="252">
        <f t="shared" si="3"/>
        <v>44041</v>
      </c>
      <c r="V96" s="6"/>
      <c r="W96" s="253">
        <v>750781</v>
      </c>
      <c r="X96" s="6"/>
      <c r="Y96" s="44">
        <v>0.16400000000000001</v>
      </c>
      <c r="Z96" s="6"/>
      <c r="AA96" s="254">
        <f t="shared" si="6"/>
        <v>-3662</v>
      </c>
      <c r="AB96" s="6"/>
      <c r="AC96" s="258"/>
      <c r="AD96" s="251"/>
    </row>
    <row r="97" spans="15:31" hidden="1" outlineLevel="1" x14ac:dyDescent="0.3">
      <c r="O97" s="98"/>
      <c r="T97" s="250"/>
      <c r="U97" s="252">
        <f t="shared" si="3"/>
        <v>44042</v>
      </c>
      <c r="V97" s="6"/>
      <c r="W97" s="253">
        <v>753862</v>
      </c>
      <c r="X97" s="6"/>
      <c r="Y97" s="44">
        <v>0.16300000000000001</v>
      </c>
      <c r="Z97" s="6"/>
      <c r="AA97" s="254">
        <f t="shared" si="6"/>
        <v>-3081</v>
      </c>
      <c r="AB97" s="6"/>
      <c r="AC97" s="258"/>
      <c r="AD97" s="251"/>
    </row>
    <row r="98" spans="15:31" hidden="1" outlineLevel="1" x14ac:dyDescent="0.3">
      <c r="O98" s="98"/>
      <c r="T98" s="250"/>
      <c r="U98" s="252">
        <f t="shared" si="3"/>
        <v>44043</v>
      </c>
      <c r="V98" s="6"/>
      <c r="W98" s="253">
        <v>761970</v>
      </c>
      <c r="X98" s="6"/>
      <c r="Y98" s="44">
        <v>0.16200000000000001</v>
      </c>
      <c r="Z98" s="6"/>
      <c r="AA98" s="254">
        <f t="shared" si="6"/>
        <v>-8108</v>
      </c>
      <c r="AB98" s="6"/>
      <c r="AC98" s="258"/>
      <c r="AD98" s="251"/>
    </row>
    <row r="99" spans="15:31" hidden="1" outlineLevel="1" x14ac:dyDescent="0.3">
      <c r="O99" s="98"/>
      <c r="T99" s="250"/>
      <c r="U99" s="252">
        <f t="shared" si="3"/>
        <v>44044</v>
      </c>
      <c r="V99" s="6"/>
      <c r="W99" s="253">
        <v>753065</v>
      </c>
      <c r="X99" s="6"/>
      <c r="Y99" s="44">
        <v>0.158</v>
      </c>
      <c r="Z99" s="6"/>
      <c r="AA99" s="254">
        <f t="shared" si="6"/>
        <v>8905</v>
      </c>
      <c r="AB99" s="6"/>
      <c r="AC99" s="258"/>
      <c r="AD99" s="251"/>
    </row>
    <row r="100" spans="15:31" hidden="1" outlineLevel="1" x14ac:dyDescent="0.3">
      <c r="O100" s="98"/>
      <c r="T100" s="250"/>
      <c r="U100" s="252">
        <f t="shared" si="3"/>
        <v>44045</v>
      </c>
      <c r="V100" s="6"/>
      <c r="W100" s="253">
        <v>730039</v>
      </c>
      <c r="X100" s="6"/>
      <c r="Y100" s="44">
        <v>0.152</v>
      </c>
      <c r="Z100" s="6"/>
      <c r="AA100" s="254">
        <f t="shared" si="6"/>
        <v>23026</v>
      </c>
      <c r="AB100" s="6"/>
      <c r="AC100" s="258"/>
      <c r="AD100" s="251"/>
    </row>
    <row r="101" spans="15:31" hidden="1" outlineLevel="1" x14ac:dyDescent="0.3">
      <c r="O101" s="98"/>
      <c r="R101" s="61"/>
      <c r="T101" s="250"/>
      <c r="U101" s="252">
        <f t="shared" si="3"/>
        <v>44046</v>
      </c>
      <c r="V101" s="6"/>
      <c r="W101" s="253">
        <v>709320</v>
      </c>
      <c r="X101" s="6"/>
      <c r="Y101" s="44">
        <v>0.14599999999999999</v>
      </c>
      <c r="Z101" s="6"/>
      <c r="AA101" s="254">
        <f t="shared" si="6"/>
        <v>20719</v>
      </c>
      <c r="AB101" s="6"/>
      <c r="AC101" s="258"/>
      <c r="AD101" s="251"/>
      <c r="AE101" s="61"/>
    </row>
    <row r="102" spans="15:31" hidden="1" outlineLevel="1" x14ac:dyDescent="0.3">
      <c r="O102" s="98"/>
      <c r="T102" s="250"/>
      <c r="U102" s="252">
        <f t="shared" si="3"/>
        <v>44047</v>
      </c>
      <c r="V102" s="6"/>
      <c r="W102" s="253">
        <v>685528</v>
      </c>
      <c r="X102" s="6"/>
      <c r="Y102" s="44">
        <v>0.13900000000000001</v>
      </c>
      <c r="Z102" s="6"/>
      <c r="AA102" s="254">
        <f t="shared" si="6"/>
        <v>23792</v>
      </c>
      <c r="AB102" s="6"/>
      <c r="AC102" s="258"/>
      <c r="AD102" s="251"/>
    </row>
    <row r="103" spans="15:31" hidden="1" outlineLevel="1" x14ac:dyDescent="0.3">
      <c r="O103" s="98"/>
      <c r="T103" s="250"/>
      <c r="U103" s="252">
        <f t="shared" si="3"/>
        <v>44048</v>
      </c>
      <c r="V103" s="6"/>
      <c r="W103" s="253">
        <v>618132</v>
      </c>
      <c r="X103" s="6"/>
      <c r="Y103" s="44">
        <v>0.126</v>
      </c>
      <c r="Z103" s="6"/>
      <c r="AA103" s="254">
        <f t="shared" si="6"/>
        <v>67396</v>
      </c>
      <c r="AB103" s="6"/>
      <c r="AC103" s="258"/>
      <c r="AD103" s="251"/>
    </row>
    <row r="104" spans="15:31" hidden="1" outlineLevel="1" x14ac:dyDescent="0.3">
      <c r="O104" s="98"/>
      <c r="T104" s="250"/>
      <c r="U104" s="252">
        <f t="shared" si="3"/>
        <v>44049</v>
      </c>
      <c r="V104" s="6"/>
      <c r="W104" s="253">
        <v>614289</v>
      </c>
      <c r="X104" s="6"/>
      <c r="Y104" s="44">
        <v>0.122</v>
      </c>
      <c r="Z104" s="6"/>
      <c r="AA104" s="254">
        <f t="shared" si="6"/>
        <v>3843</v>
      </c>
      <c r="AB104" s="6"/>
      <c r="AC104" s="258"/>
      <c r="AD104" s="251"/>
    </row>
    <row r="105" spans="15:31" hidden="1" outlineLevel="1" x14ac:dyDescent="0.3">
      <c r="O105" s="98"/>
      <c r="T105" s="250"/>
      <c r="U105" s="252">
        <f t="shared" si="3"/>
        <v>44050</v>
      </c>
      <c r="V105" s="6"/>
      <c r="W105" s="253">
        <v>612883</v>
      </c>
      <c r="X105" s="6"/>
      <c r="Y105" s="44">
        <v>0.12</v>
      </c>
      <c r="Z105" s="6"/>
      <c r="AA105" s="254">
        <f t="shared" si="6"/>
        <v>1406</v>
      </c>
      <c r="AB105" s="6"/>
      <c r="AC105" s="258"/>
      <c r="AD105" s="251"/>
    </row>
    <row r="106" spans="15:31" hidden="1" outlineLevel="1" x14ac:dyDescent="0.3">
      <c r="O106" s="98"/>
      <c r="T106" s="250"/>
      <c r="U106" s="252">
        <f t="shared" si="3"/>
        <v>44051</v>
      </c>
      <c r="V106" s="6"/>
      <c r="W106" s="253">
        <v>600161</v>
      </c>
      <c r="X106" s="6"/>
      <c r="Y106" s="44">
        <v>0.11700000000000001</v>
      </c>
      <c r="Z106" s="6"/>
      <c r="AA106" s="254">
        <f t="shared" si="6"/>
        <v>12722</v>
      </c>
      <c r="AB106" s="6"/>
      <c r="AC106" s="258"/>
      <c r="AD106" s="251"/>
    </row>
    <row r="107" spans="15:31" hidden="1" outlineLevel="1" x14ac:dyDescent="0.3">
      <c r="O107" s="98"/>
      <c r="T107" s="250"/>
      <c r="U107" s="252">
        <f t="shared" si="3"/>
        <v>44052</v>
      </c>
      <c r="V107" s="6"/>
      <c r="W107" s="253">
        <v>578836</v>
      </c>
      <c r="X107" s="6"/>
      <c r="Y107" s="44">
        <v>0.111</v>
      </c>
      <c r="Z107" s="6"/>
      <c r="AA107" s="254">
        <f t="shared" si="6"/>
        <v>21325</v>
      </c>
      <c r="AB107" s="6"/>
      <c r="AC107" s="258"/>
      <c r="AD107" s="251"/>
    </row>
    <row r="108" spans="15:31" hidden="1" outlineLevel="1" x14ac:dyDescent="0.3">
      <c r="O108" s="98"/>
      <c r="T108" s="250"/>
      <c r="U108" s="252">
        <f t="shared" si="3"/>
        <v>44053</v>
      </c>
      <c r="V108" s="6"/>
      <c r="W108" s="253">
        <v>557343</v>
      </c>
      <c r="X108" s="6"/>
      <c r="Y108" s="44">
        <v>0.106</v>
      </c>
      <c r="Z108" s="6"/>
      <c r="AA108" s="254">
        <f t="shared" si="6"/>
        <v>21493</v>
      </c>
      <c r="AB108" s="6"/>
      <c r="AC108" s="258"/>
      <c r="AD108" s="251"/>
    </row>
    <row r="109" spans="15:31" hidden="1" outlineLevel="1" x14ac:dyDescent="0.3">
      <c r="O109" s="98"/>
      <c r="T109" s="250"/>
      <c r="U109" s="252">
        <f t="shared" si="3"/>
        <v>44054</v>
      </c>
      <c r="V109" s="6"/>
      <c r="W109" s="253">
        <v>553058</v>
      </c>
      <c r="X109" s="6"/>
      <c r="Y109" s="44">
        <v>0.104</v>
      </c>
      <c r="Z109" s="6"/>
      <c r="AA109" s="254">
        <f t="shared" si="6"/>
        <v>4285</v>
      </c>
      <c r="AB109" s="6"/>
      <c r="AC109" s="258"/>
      <c r="AD109" s="251"/>
    </row>
    <row r="110" spans="15:31" hidden="1" outlineLevel="1" x14ac:dyDescent="0.3">
      <c r="O110" s="98"/>
      <c r="T110" s="250"/>
      <c r="U110" s="252">
        <f t="shared" si="3"/>
        <v>44055</v>
      </c>
      <c r="V110" s="6"/>
      <c r="W110" s="253">
        <v>558346</v>
      </c>
      <c r="X110" s="6"/>
      <c r="Y110" s="44">
        <v>0.104</v>
      </c>
      <c r="Z110" s="6"/>
      <c r="AA110" s="254">
        <f t="shared" si="6"/>
        <v>-5288</v>
      </c>
      <c r="AB110" s="6"/>
      <c r="AC110" s="258"/>
      <c r="AD110" s="251"/>
    </row>
    <row r="111" spans="15:31" hidden="1" outlineLevel="1" x14ac:dyDescent="0.3">
      <c r="O111" s="98"/>
      <c r="T111" s="250"/>
      <c r="U111" s="252">
        <f t="shared" si="3"/>
        <v>44056</v>
      </c>
      <c r="V111" s="6"/>
      <c r="W111" s="253">
        <v>565064</v>
      </c>
      <c r="X111" s="6"/>
      <c r="Y111" s="44">
        <v>0.104</v>
      </c>
      <c r="Z111" s="6"/>
      <c r="AA111" s="254">
        <f t="shared" si="6"/>
        <v>-6718</v>
      </c>
      <c r="AB111" s="6"/>
      <c r="AC111" s="258"/>
      <c r="AD111" s="251"/>
    </row>
    <row r="112" spans="15:31" hidden="1" outlineLevel="1" x14ac:dyDescent="0.3">
      <c r="O112" s="98"/>
      <c r="T112" s="250"/>
      <c r="U112" s="252">
        <f t="shared" si="3"/>
        <v>44057</v>
      </c>
      <c r="V112" s="6"/>
      <c r="W112" s="253">
        <v>570997</v>
      </c>
      <c r="X112" s="6"/>
      <c r="Y112" s="44">
        <v>0.104</v>
      </c>
      <c r="Z112" s="6"/>
      <c r="AA112" s="254">
        <f t="shared" si="6"/>
        <v>-5933</v>
      </c>
      <c r="AB112" s="6"/>
      <c r="AC112" s="258"/>
      <c r="AD112" s="251"/>
    </row>
    <row r="113" spans="15:30" hidden="1" outlineLevel="1" x14ac:dyDescent="0.3">
      <c r="O113" s="98"/>
      <c r="T113" s="250"/>
      <c r="U113" s="252">
        <f t="shared" si="3"/>
        <v>44058</v>
      </c>
      <c r="V113" s="6"/>
      <c r="W113" s="253">
        <v>569341</v>
      </c>
      <c r="X113" s="6"/>
      <c r="Y113" s="44">
        <v>0.10299999999999999</v>
      </c>
      <c r="Z113" s="6"/>
      <c r="AA113" s="254">
        <f t="shared" si="6"/>
        <v>1656</v>
      </c>
      <c r="AB113" s="6"/>
      <c r="AC113" s="258"/>
      <c r="AD113" s="251"/>
    </row>
    <row r="114" spans="15:30" hidden="1" outlineLevel="1" x14ac:dyDescent="0.3">
      <c r="O114" s="98"/>
      <c r="T114" s="250"/>
      <c r="U114" s="252">
        <f t="shared" si="3"/>
        <v>44059</v>
      </c>
      <c r="V114" s="6"/>
      <c r="W114" s="253">
        <v>547525</v>
      </c>
      <c r="X114" s="6"/>
      <c r="Y114" s="44">
        <v>9.8000000000000004E-2</v>
      </c>
      <c r="Z114" s="6"/>
      <c r="AA114" s="254">
        <f t="shared" si="6"/>
        <v>21816</v>
      </c>
      <c r="AB114" s="6"/>
      <c r="AC114" s="258"/>
      <c r="AD114" s="251"/>
    </row>
    <row r="115" spans="15:30" hidden="1" outlineLevel="1" x14ac:dyDescent="0.3">
      <c r="O115" s="98"/>
      <c r="T115" s="250"/>
      <c r="U115" s="252">
        <f t="shared" si="3"/>
        <v>44060</v>
      </c>
      <c r="V115" s="6"/>
      <c r="W115" s="253">
        <v>524856</v>
      </c>
      <c r="X115" s="6"/>
      <c r="Y115" s="44">
        <v>9.4E-2</v>
      </c>
      <c r="Z115" s="6"/>
      <c r="AA115" s="254">
        <f t="shared" si="6"/>
        <v>22669</v>
      </c>
      <c r="AB115" s="6"/>
      <c r="AC115" s="258"/>
      <c r="AD115" s="251"/>
    </row>
    <row r="116" spans="15:30" hidden="1" outlineLevel="1" x14ac:dyDescent="0.3">
      <c r="O116" s="98"/>
      <c r="T116" s="250"/>
      <c r="U116" s="252">
        <f t="shared" si="3"/>
        <v>44061</v>
      </c>
      <c r="V116" s="6"/>
      <c r="W116" s="253">
        <v>514420</v>
      </c>
      <c r="X116" s="6"/>
      <c r="Y116" s="44">
        <v>9.0999999999999998E-2</v>
      </c>
      <c r="Z116" s="6"/>
      <c r="AA116" s="254">
        <f t="shared" si="6"/>
        <v>10436</v>
      </c>
      <c r="AB116" s="6"/>
      <c r="AC116" s="258"/>
      <c r="AD116" s="251"/>
    </row>
    <row r="117" spans="15:30" hidden="1" outlineLevel="1" x14ac:dyDescent="0.3">
      <c r="O117" s="98"/>
      <c r="T117" s="250"/>
      <c r="U117" s="252">
        <f t="shared" si="3"/>
        <v>44062</v>
      </c>
      <c r="V117" s="6"/>
      <c r="W117" s="253">
        <v>511437</v>
      </c>
      <c r="X117" s="6"/>
      <c r="Y117" s="44">
        <v>0.09</v>
      </c>
      <c r="Z117" s="6"/>
      <c r="AA117" s="254">
        <f t="shared" si="6"/>
        <v>2983</v>
      </c>
      <c r="AB117" s="6"/>
      <c r="AC117" s="258"/>
      <c r="AD117" s="251"/>
    </row>
    <row r="118" spans="15:30" hidden="1" outlineLevel="1" x14ac:dyDescent="0.3">
      <c r="O118" s="98"/>
      <c r="T118" s="250"/>
      <c r="U118" s="252">
        <f t="shared" si="3"/>
        <v>44063</v>
      </c>
      <c r="V118" s="6"/>
      <c r="W118" s="253">
        <v>506920</v>
      </c>
      <c r="X118" s="6"/>
      <c r="Y118" s="44">
        <v>8.7999999999999995E-2</v>
      </c>
      <c r="Z118" s="6"/>
      <c r="AA118" s="254">
        <f t="shared" si="6"/>
        <v>4517</v>
      </c>
      <c r="AB118" s="6"/>
      <c r="AC118" s="258"/>
      <c r="AD118" s="251"/>
    </row>
    <row r="119" spans="15:30" hidden="1" outlineLevel="1" x14ac:dyDescent="0.3">
      <c r="O119" s="98"/>
      <c r="T119" s="250"/>
      <c r="U119" s="252">
        <f t="shared" si="3"/>
        <v>44064</v>
      </c>
      <c r="V119" s="6"/>
      <c r="W119" s="253">
        <v>502856</v>
      </c>
      <c r="X119" s="6"/>
      <c r="Y119" s="44">
        <v>8.6999999999999994E-2</v>
      </c>
      <c r="Z119" s="6"/>
      <c r="AA119" s="254">
        <f t="shared" si="6"/>
        <v>4064</v>
      </c>
      <c r="AB119" s="6"/>
      <c r="AC119" s="258"/>
      <c r="AD119" s="251"/>
    </row>
    <row r="120" spans="15:30" hidden="1" outlineLevel="1" x14ac:dyDescent="0.3">
      <c r="O120" s="98"/>
      <c r="T120" s="250"/>
      <c r="U120" s="252">
        <f t="shared" si="3"/>
        <v>44065</v>
      </c>
      <c r="V120" s="6"/>
      <c r="W120" s="253">
        <v>492262</v>
      </c>
      <c r="X120" s="6"/>
      <c r="Y120" s="44">
        <v>8.4000000000000005E-2</v>
      </c>
      <c r="Z120" s="6"/>
      <c r="AA120" s="254">
        <f t="shared" ref="AA120:AA137" si="7">+W119-W120</f>
        <v>10594</v>
      </c>
      <c r="AB120" s="6"/>
      <c r="AC120" s="258"/>
      <c r="AD120" s="251"/>
    </row>
    <row r="121" spans="15:30" hidden="1" outlineLevel="1" x14ac:dyDescent="0.3">
      <c r="O121" s="98"/>
      <c r="T121" s="250"/>
      <c r="U121" s="252">
        <f t="shared" si="3"/>
        <v>44066</v>
      </c>
      <c r="V121" s="6"/>
      <c r="W121" s="253">
        <v>469594</v>
      </c>
      <c r="X121" s="6"/>
      <c r="Y121" s="44">
        <f>+L$36</f>
        <v>3.0585048511314601E-3</v>
      </c>
      <c r="Z121" s="6"/>
      <c r="AA121" s="254">
        <f t="shared" si="7"/>
        <v>22668</v>
      </c>
      <c r="AB121" s="6"/>
      <c r="AC121" s="258"/>
      <c r="AD121" s="251"/>
    </row>
    <row r="122" spans="15:30" hidden="1" outlineLevel="1" x14ac:dyDescent="0.3">
      <c r="O122" s="98"/>
      <c r="T122" s="250"/>
      <c r="U122" s="252">
        <f t="shared" si="3"/>
        <v>44067</v>
      </c>
      <c r="V122" s="6"/>
      <c r="W122" s="253">
        <v>450302</v>
      </c>
      <c r="X122" s="6"/>
      <c r="Y122" s="44">
        <v>7.5999999999999998E-2</v>
      </c>
      <c r="Z122" s="6"/>
      <c r="AA122" s="254">
        <f t="shared" si="7"/>
        <v>19292</v>
      </c>
      <c r="AB122" s="6"/>
      <c r="AC122" s="258"/>
      <c r="AD122" s="251"/>
    </row>
    <row r="123" spans="15:30" hidden="1" outlineLevel="1" x14ac:dyDescent="0.3">
      <c r="O123" s="98"/>
      <c r="T123" s="250"/>
      <c r="U123" s="252">
        <f t="shared" si="3"/>
        <v>44068</v>
      </c>
      <c r="V123" s="6"/>
      <c r="W123" s="253">
        <v>436862</v>
      </c>
      <c r="X123" s="6"/>
      <c r="Y123" s="44">
        <v>7.2999999999999995E-2</v>
      </c>
      <c r="Z123" s="6"/>
      <c r="AA123" s="254">
        <f t="shared" si="7"/>
        <v>13440</v>
      </c>
      <c r="AB123" s="6"/>
      <c r="AC123" s="258"/>
      <c r="AD123" s="251"/>
    </row>
    <row r="124" spans="15:30" hidden="1" outlineLevel="1" x14ac:dyDescent="0.3">
      <c r="O124" s="98"/>
      <c r="T124" s="250"/>
      <c r="U124" s="252">
        <f t="shared" si="3"/>
        <v>44069</v>
      </c>
      <c r="V124" s="6"/>
      <c r="W124" s="253">
        <v>444656</v>
      </c>
      <c r="X124" s="6"/>
      <c r="Y124" s="44">
        <v>7.3999999999999996E-2</v>
      </c>
      <c r="Z124" s="6"/>
      <c r="AA124" s="254">
        <f t="shared" si="7"/>
        <v>-7794</v>
      </c>
      <c r="AB124" s="6"/>
      <c r="AC124" s="258"/>
      <c r="AD124" s="251"/>
    </row>
    <row r="125" spans="15:30" hidden="1" outlineLevel="1" x14ac:dyDescent="0.3">
      <c r="O125" s="98"/>
      <c r="T125" s="250"/>
      <c r="U125" s="252">
        <f t="shared" si="3"/>
        <v>44070</v>
      </c>
      <c r="V125" s="6"/>
      <c r="W125" s="253">
        <v>449813</v>
      </c>
      <c r="X125" s="6"/>
      <c r="Y125" s="44">
        <v>7.3999999999999996E-2</v>
      </c>
      <c r="Z125" s="6"/>
      <c r="AA125" s="254">
        <f t="shared" si="7"/>
        <v>-5157</v>
      </c>
      <c r="AB125" s="6"/>
      <c r="AC125" s="258"/>
      <c r="AD125" s="251"/>
    </row>
    <row r="126" spans="15:30" hidden="1" outlineLevel="1" x14ac:dyDescent="0.3">
      <c r="O126" s="98"/>
      <c r="T126" s="250"/>
      <c r="U126" s="252">
        <f t="shared" si="3"/>
        <v>44071</v>
      </c>
      <c r="V126" s="6"/>
      <c r="W126" s="253">
        <v>455415</v>
      </c>
      <c r="X126" s="6"/>
      <c r="Y126" s="44">
        <v>7.4999999999999997E-2</v>
      </c>
      <c r="Z126" s="6"/>
      <c r="AA126" s="254">
        <f t="shared" si="7"/>
        <v>-5602</v>
      </c>
      <c r="AB126" s="6"/>
      <c r="AC126" s="258"/>
      <c r="AD126" s="251"/>
    </row>
    <row r="127" spans="15:30" hidden="1" outlineLevel="1" x14ac:dyDescent="0.3">
      <c r="O127" s="98"/>
      <c r="T127" s="250"/>
      <c r="U127" s="252">
        <f t="shared" si="3"/>
        <v>44072</v>
      </c>
      <c r="V127" s="6"/>
      <c r="W127" s="253">
        <v>452896</v>
      </c>
      <c r="X127" s="6"/>
      <c r="Y127" s="44">
        <v>7.3999999999999996E-2</v>
      </c>
      <c r="Z127" s="6"/>
      <c r="AA127" s="254">
        <f t="shared" si="7"/>
        <v>2519</v>
      </c>
      <c r="AB127" s="6"/>
      <c r="AC127" s="258"/>
      <c r="AD127" s="251"/>
    </row>
    <row r="128" spans="15:30" hidden="1" outlineLevel="1" x14ac:dyDescent="0.3">
      <c r="O128" s="98"/>
      <c r="T128" s="250"/>
      <c r="U128" s="252">
        <f t="shared" si="3"/>
        <v>44073</v>
      </c>
      <c r="V128" s="6"/>
      <c r="W128" s="253">
        <v>441491</v>
      </c>
      <c r="X128" s="6"/>
      <c r="Y128" s="44">
        <v>7.1999999999999995E-2</v>
      </c>
      <c r="Z128" s="6"/>
      <c r="AA128" s="254">
        <f t="shared" si="7"/>
        <v>11405</v>
      </c>
      <c r="AB128" s="6"/>
      <c r="AC128" s="258"/>
      <c r="AD128" s="251"/>
    </row>
    <row r="129" spans="15:30" hidden="1" outlineLevel="1" x14ac:dyDescent="0.3">
      <c r="O129" s="98"/>
      <c r="T129" s="250"/>
      <c r="U129" s="252">
        <f t="shared" si="3"/>
        <v>44074</v>
      </c>
      <c r="V129" s="6"/>
      <c r="W129" s="253">
        <v>429438</v>
      </c>
      <c r="X129" s="6"/>
      <c r="Y129" s="44">
        <v>6.9000000000000006E-2</v>
      </c>
      <c r="Z129" s="6"/>
      <c r="AA129" s="254">
        <f t="shared" si="7"/>
        <v>12053</v>
      </c>
      <c r="AB129" s="6"/>
      <c r="AC129" s="258"/>
      <c r="AD129" s="251"/>
    </row>
    <row r="130" spans="15:30" hidden="1" outlineLevel="1" x14ac:dyDescent="0.3">
      <c r="O130" s="98"/>
      <c r="T130" s="250"/>
      <c r="U130" s="252">
        <f t="shared" si="3"/>
        <v>44075</v>
      </c>
      <c r="V130" s="6"/>
      <c r="W130" s="253">
        <v>427588</v>
      </c>
      <c r="X130" s="6"/>
      <c r="Y130" s="44">
        <v>6.8000000000000005E-2</v>
      </c>
      <c r="Z130" s="6"/>
      <c r="AA130" s="254">
        <f t="shared" si="7"/>
        <v>1850</v>
      </c>
      <c r="AB130" s="6"/>
      <c r="AC130" s="258"/>
      <c r="AD130" s="251"/>
    </row>
    <row r="131" spans="15:30" hidden="1" outlineLevel="1" x14ac:dyDescent="0.3">
      <c r="O131" s="98"/>
      <c r="T131" s="250"/>
      <c r="U131" s="252">
        <f t="shared" si="3"/>
        <v>44076</v>
      </c>
      <c r="V131" s="6"/>
      <c r="W131" s="253">
        <v>435318</v>
      </c>
      <c r="X131" s="6"/>
      <c r="Y131" s="44">
        <v>6.9000000000000006E-2</v>
      </c>
      <c r="Z131" s="6"/>
      <c r="AA131" s="254">
        <f t="shared" si="7"/>
        <v>-7730</v>
      </c>
      <c r="AB131" s="6"/>
      <c r="AC131" s="258"/>
      <c r="AD131" s="251"/>
    </row>
    <row r="132" spans="15:30" hidden="1" outlineLevel="1" x14ac:dyDescent="0.3">
      <c r="O132" s="98"/>
      <c r="T132" s="250"/>
      <c r="U132" s="252">
        <f t="shared" si="3"/>
        <v>44077</v>
      </c>
      <c r="V132" s="6"/>
      <c r="W132" s="253">
        <v>438282</v>
      </c>
      <c r="X132" s="6"/>
      <c r="Y132" s="44">
        <v>6.9000000000000006E-2</v>
      </c>
      <c r="Z132" s="6"/>
      <c r="AA132" s="254">
        <f t="shared" si="7"/>
        <v>-2964</v>
      </c>
      <c r="AB132" s="6"/>
      <c r="AC132" s="258"/>
      <c r="AD132" s="251"/>
    </row>
    <row r="133" spans="15:30" hidden="1" outlineLevel="1" x14ac:dyDescent="0.3">
      <c r="O133" s="98"/>
      <c r="T133" s="250"/>
      <c r="U133" s="252">
        <f t="shared" si="3"/>
        <v>44078</v>
      </c>
      <c r="V133" s="6"/>
      <c r="W133" s="253">
        <v>451057</v>
      </c>
      <c r="X133" s="6"/>
      <c r="Y133" s="44">
        <v>7.0999999999999994E-2</v>
      </c>
      <c r="Z133" s="6"/>
      <c r="AA133" s="254">
        <f t="shared" si="7"/>
        <v>-12775</v>
      </c>
      <c r="AB133" s="6"/>
      <c r="AC133" s="258"/>
      <c r="AD133" s="251"/>
    </row>
    <row r="134" spans="15:30" hidden="1" outlineLevel="1" x14ac:dyDescent="0.3">
      <c r="O134" s="98"/>
      <c r="T134" s="250"/>
      <c r="U134" s="252">
        <f t="shared" si="3"/>
        <v>44079</v>
      </c>
      <c r="V134" s="6"/>
      <c r="W134" s="253">
        <v>448392</v>
      </c>
      <c r="X134" s="6"/>
      <c r="Y134" s="44">
        <v>7.0000000000000007E-2</v>
      </c>
      <c r="Z134" s="6"/>
      <c r="AA134" s="254">
        <f t="shared" si="7"/>
        <v>2665</v>
      </c>
      <c r="AB134" s="6"/>
      <c r="AC134" s="258"/>
      <c r="AD134" s="251"/>
    </row>
    <row r="135" spans="15:30" hidden="1" outlineLevel="1" x14ac:dyDescent="0.3">
      <c r="O135" s="98"/>
      <c r="T135" s="250"/>
      <c r="U135" s="252">
        <f t="shared" si="3"/>
        <v>44080</v>
      </c>
      <c r="V135" s="6"/>
      <c r="W135" s="253">
        <v>433235</v>
      </c>
      <c r="X135" s="6"/>
      <c r="Y135" s="44">
        <v>6.7000000000000004E-2</v>
      </c>
      <c r="Z135" s="6"/>
      <c r="AA135" s="254">
        <f t="shared" si="7"/>
        <v>15157</v>
      </c>
      <c r="AB135" s="6"/>
      <c r="AC135" s="258"/>
      <c r="AD135" s="251"/>
    </row>
    <row r="136" spans="15:30" hidden="1" outlineLevel="1" x14ac:dyDescent="0.3">
      <c r="O136" s="98"/>
      <c r="T136" s="250"/>
      <c r="U136" s="252">
        <f t="shared" si="3"/>
        <v>44081</v>
      </c>
      <c r="V136" s="6"/>
      <c r="W136" s="253">
        <v>408867</v>
      </c>
      <c r="X136" s="6"/>
      <c r="Y136" s="44">
        <v>6.3E-2</v>
      </c>
      <c r="Z136" s="6"/>
      <c r="AA136" s="254">
        <f t="shared" si="7"/>
        <v>24368</v>
      </c>
      <c r="AB136" s="6"/>
      <c r="AC136" s="258"/>
      <c r="AD136" s="251"/>
    </row>
    <row r="137" spans="15:30" hidden="1" outlineLevel="1" x14ac:dyDescent="0.3">
      <c r="O137" s="98"/>
      <c r="T137" s="250"/>
      <c r="U137" s="252">
        <f t="shared" si="3"/>
        <v>44082</v>
      </c>
      <c r="V137" s="6"/>
      <c r="W137" s="253">
        <v>394768</v>
      </c>
      <c r="X137" s="6"/>
      <c r="Y137" s="44">
        <v>6.0999999999999999E-2</v>
      </c>
      <c r="Z137" s="6"/>
      <c r="AA137" s="254">
        <f t="shared" si="7"/>
        <v>14099</v>
      </c>
      <c r="AB137" s="6"/>
      <c r="AC137" s="258"/>
      <c r="AD137" s="251"/>
    </row>
    <row r="138" spans="15:30" hidden="1" outlineLevel="1" x14ac:dyDescent="0.3">
      <c r="O138" s="98"/>
      <c r="T138" s="250"/>
      <c r="U138" s="252">
        <f t="shared" si="3"/>
        <v>44083</v>
      </c>
      <c r="V138" s="6"/>
      <c r="W138" s="253">
        <v>396020</v>
      </c>
      <c r="X138" s="6"/>
      <c r="Y138" s="44">
        <v>0.06</v>
      </c>
      <c r="Z138" s="6"/>
      <c r="AA138" s="254">
        <f t="shared" ref="AA138:AA167" si="8">+W137-W138</f>
        <v>-1252</v>
      </c>
      <c r="AB138" s="6"/>
      <c r="AC138" s="258"/>
      <c r="AD138" s="251"/>
    </row>
    <row r="139" spans="15:30" hidden="1" outlineLevel="1" x14ac:dyDescent="0.3">
      <c r="O139" s="98"/>
      <c r="T139" s="250"/>
      <c r="U139" s="252">
        <f t="shared" si="3"/>
        <v>44084</v>
      </c>
      <c r="V139" s="6"/>
      <c r="W139" s="253">
        <v>397124</v>
      </c>
      <c r="X139" s="6"/>
      <c r="Y139" s="44">
        <v>0.06</v>
      </c>
      <c r="Z139" s="6"/>
      <c r="AA139" s="254">
        <f t="shared" si="8"/>
        <v>-1104</v>
      </c>
      <c r="AB139" s="6"/>
      <c r="AC139" s="258"/>
      <c r="AD139" s="251"/>
    </row>
    <row r="140" spans="15:30" hidden="1" outlineLevel="1" x14ac:dyDescent="0.3">
      <c r="O140" s="98"/>
      <c r="T140" s="250"/>
      <c r="U140" s="252">
        <f t="shared" si="3"/>
        <v>44085</v>
      </c>
      <c r="V140" s="6"/>
      <c r="W140" s="253">
        <v>401586</v>
      </c>
      <c r="X140" s="6"/>
      <c r="Y140" s="44">
        <v>6.0999999999999999E-2</v>
      </c>
      <c r="Z140" s="6"/>
      <c r="AA140" s="254">
        <f t="shared" si="8"/>
        <v>-4462</v>
      </c>
      <c r="AB140" s="6"/>
      <c r="AC140" s="258"/>
      <c r="AD140" s="251"/>
    </row>
    <row r="141" spans="15:30" hidden="1" outlineLevel="1" x14ac:dyDescent="0.3">
      <c r="O141" s="98"/>
      <c r="T141" s="250"/>
      <c r="U141" s="252">
        <f t="shared" si="3"/>
        <v>44086</v>
      </c>
      <c r="V141" s="6"/>
      <c r="W141" s="253">
        <v>399676</v>
      </c>
      <c r="X141" s="6"/>
      <c r="Y141" s="44">
        <v>0.06</v>
      </c>
      <c r="Z141" s="6"/>
      <c r="AA141" s="254">
        <f t="shared" si="8"/>
        <v>1910</v>
      </c>
      <c r="AB141" s="6"/>
      <c r="AC141" s="258"/>
      <c r="AD141" s="251"/>
    </row>
    <row r="142" spans="15:30" hidden="1" outlineLevel="1" x14ac:dyDescent="0.3">
      <c r="O142" s="98"/>
      <c r="T142" s="250"/>
      <c r="U142" s="252">
        <f t="shared" si="3"/>
        <v>44087</v>
      </c>
      <c r="V142" s="6"/>
      <c r="W142" s="253">
        <v>385816</v>
      </c>
      <c r="X142" s="6"/>
      <c r="Y142" s="44">
        <v>5.8000000000000003E-2</v>
      </c>
      <c r="Z142" s="6"/>
      <c r="AA142" s="254">
        <f t="shared" si="8"/>
        <v>13860</v>
      </c>
      <c r="AB142" s="6"/>
      <c r="AC142" s="258"/>
      <c r="AD142" s="251"/>
    </row>
    <row r="143" spans="15:30" hidden="1" outlineLevel="1" x14ac:dyDescent="0.3">
      <c r="O143" s="98"/>
      <c r="T143" s="250"/>
      <c r="U143" s="252">
        <f t="shared" si="3"/>
        <v>44088</v>
      </c>
      <c r="V143" s="6"/>
      <c r="W143" s="253">
        <v>371030</v>
      </c>
      <c r="X143" s="6"/>
      <c r="Y143" s="44">
        <v>5.5E-2</v>
      </c>
      <c r="Z143" s="6"/>
      <c r="AA143" s="254">
        <f t="shared" si="8"/>
        <v>14786</v>
      </c>
      <c r="AB143" s="6"/>
      <c r="AC143" s="258"/>
      <c r="AD143" s="251"/>
    </row>
    <row r="144" spans="15:30" hidden="1" outlineLevel="1" x14ac:dyDescent="0.3">
      <c r="O144" s="98"/>
      <c r="T144" s="250"/>
      <c r="U144" s="252">
        <f t="shared" si="3"/>
        <v>44089</v>
      </c>
      <c r="V144" s="6"/>
      <c r="W144" s="253">
        <v>365385</v>
      </c>
      <c r="X144" s="6"/>
      <c r="Y144" s="44">
        <v>5.3999999999999999E-2</v>
      </c>
      <c r="Z144" s="6"/>
      <c r="AA144" s="254">
        <f t="shared" si="8"/>
        <v>5645</v>
      </c>
      <c r="AB144" s="6"/>
      <c r="AC144" s="258"/>
      <c r="AD144" s="251"/>
    </row>
    <row r="145" spans="15:30" hidden="1" outlineLevel="1" x14ac:dyDescent="0.3">
      <c r="O145" s="98"/>
      <c r="T145" s="250"/>
      <c r="U145" s="252">
        <f t="shared" si="3"/>
        <v>44090</v>
      </c>
      <c r="V145" s="6"/>
      <c r="W145" s="253">
        <v>374482</v>
      </c>
      <c r="X145" s="6"/>
      <c r="Y145" s="44">
        <v>5.5E-2</v>
      </c>
      <c r="Z145" s="6"/>
      <c r="AA145" s="254">
        <f t="shared" si="8"/>
        <v>-9097</v>
      </c>
      <c r="AB145" s="6"/>
      <c r="AC145" s="258"/>
      <c r="AD145" s="251"/>
    </row>
    <row r="146" spans="15:30" hidden="1" outlineLevel="1" x14ac:dyDescent="0.3">
      <c r="O146" s="98"/>
      <c r="T146" s="250"/>
      <c r="U146" s="252">
        <f t="shared" si="3"/>
        <v>44091</v>
      </c>
      <c r="V146" s="6"/>
      <c r="W146" s="253">
        <v>395427</v>
      </c>
      <c r="X146" s="6"/>
      <c r="Y146" s="44">
        <v>5.8000000000000003E-2</v>
      </c>
      <c r="Z146" s="6"/>
      <c r="AA146" s="254">
        <f t="shared" si="8"/>
        <v>-20945</v>
      </c>
      <c r="AB146" s="6"/>
      <c r="AC146" s="258"/>
      <c r="AD146" s="251"/>
    </row>
    <row r="147" spans="15:30" hidden="1" outlineLevel="1" x14ac:dyDescent="0.3">
      <c r="O147" s="98"/>
      <c r="T147" s="250"/>
      <c r="U147" s="252">
        <f t="shared" si="3"/>
        <v>44092</v>
      </c>
      <c r="V147" s="6"/>
      <c r="W147" s="253">
        <v>418285</v>
      </c>
      <c r="X147" s="6"/>
      <c r="Y147" s="44">
        <v>0.06</v>
      </c>
      <c r="Z147" s="6"/>
      <c r="AA147" s="254">
        <f t="shared" si="8"/>
        <v>-22858</v>
      </c>
      <c r="AB147" s="6"/>
      <c r="AC147" s="258"/>
      <c r="AD147" s="251"/>
    </row>
    <row r="148" spans="15:30" hidden="1" outlineLevel="1" x14ac:dyDescent="0.3">
      <c r="O148" s="98"/>
      <c r="T148" s="250"/>
      <c r="U148" s="252">
        <f t="shared" si="3"/>
        <v>44093</v>
      </c>
      <c r="V148" s="6"/>
      <c r="W148" s="253">
        <v>425480</v>
      </c>
      <c r="X148" s="6"/>
      <c r="Y148" s="44">
        <v>6.0999999999999999E-2</v>
      </c>
      <c r="Z148" s="6"/>
      <c r="AA148" s="254">
        <f t="shared" si="8"/>
        <v>-7195</v>
      </c>
      <c r="AB148" s="6"/>
      <c r="AC148" s="258"/>
      <c r="AD148" s="251"/>
    </row>
    <row r="149" spans="15:30" hidden="1" outlineLevel="1" x14ac:dyDescent="0.3">
      <c r="O149" s="98"/>
      <c r="T149" s="250"/>
      <c r="U149" s="252">
        <f t="shared" si="3"/>
        <v>44094</v>
      </c>
      <c r="V149" s="6"/>
      <c r="W149" s="253">
        <v>425416</v>
      </c>
      <c r="X149" s="6"/>
      <c r="Y149" s="44">
        <v>6.0999999999999999E-2</v>
      </c>
      <c r="Z149" s="6"/>
      <c r="AA149" s="254">
        <f t="shared" si="8"/>
        <v>64</v>
      </c>
      <c r="AB149" s="6"/>
      <c r="AC149" s="258"/>
      <c r="AD149" s="251"/>
    </row>
    <row r="150" spans="15:30" hidden="1" outlineLevel="1" x14ac:dyDescent="0.3">
      <c r="O150" s="98"/>
      <c r="T150" s="250"/>
      <c r="U150" s="252">
        <f t="shared" si="3"/>
        <v>44095</v>
      </c>
      <c r="V150" s="6"/>
      <c r="W150" s="253">
        <v>409742</v>
      </c>
      <c r="X150" s="6"/>
      <c r="Y150" s="44">
        <v>5.8000000000000003E-2</v>
      </c>
      <c r="Z150" s="6"/>
      <c r="AA150" s="254">
        <f t="shared" si="8"/>
        <v>15674</v>
      </c>
      <c r="AB150" s="6"/>
      <c r="AC150" s="258"/>
      <c r="AD150" s="251"/>
    </row>
    <row r="151" spans="15:30" hidden="1" outlineLevel="1" x14ac:dyDescent="0.3">
      <c r="O151" s="98"/>
      <c r="T151" s="250"/>
      <c r="U151" s="252">
        <f t="shared" si="3"/>
        <v>44096</v>
      </c>
      <c r="V151" s="6"/>
      <c r="W151" s="253">
        <v>406156</v>
      </c>
      <c r="X151" s="6"/>
      <c r="Y151" s="44">
        <v>5.7000000000000002E-2</v>
      </c>
      <c r="Z151" s="6"/>
      <c r="AA151" s="254">
        <f t="shared" si="8"/>
        <v>3586</v>
      </c>
      <c r="AB151" s="6"/>
      <c r="AC151" s="258"/>
      <c r="AD151" s="251"/>
    </row>
    <row r="152" spans="15:30" hidden="1" outlineLevel="1" x14ac:dyDescent="0.3">
      <c r="O152" s="98"/>
      <c r="T152" s="250"/>
      <c r="U152" s="252">
        <f t="shared" si="3"/>
        <v>44097</v>
      </c>
      <c r="V152" s="6"/>
      <c r="W152" s="253">
        <v>406201</v>
      </c>
      <c r="X152" s="6"/>
      <c r="Y152" s="44">
        <v>5.7000000000000002E-2</v>
      </c>
      <c r="Z152" s="6"/>
      <c r="AA152" s="254">
        <f t="shared" si="8"/>
        <v>-45</v>
      </c>
      <c r="AB152" s="6"/>
      <c r="AC152" s="258"/>
      <c r="AD152" s="251"/>
    </row>
    <row r="153" spans="15:30" hidden="1" outlineLevel="1" x14ac:dyDescent="0.3">
      <c r="O153" s="98"/>
      <c r="T153" s="250"/>
      <c r="U153" s="252">
        <f t="shared" si="3"/>
        <v>44098</v>
      </c>
      <c r="V153" s="6"/>
      <c r="W153" s="253">
        <v>423290</v>
      </c>
      <c r="X153" s="6"/>
      <c r="Y153" s="44">
        <v>5.8999999999999997E-2</v>
      </c>
      <c r="Z153" s="6"/>
      <c r="AA153" s="254">
        <f t="shared" si="8"/>
        <v>-17089</v>
      </c>
      <c r="AB153" s="6"/>
      <c r="AC153" s="258"/>
      <c r="AD153" s="251"/>
    </row>
    <row r="154" spans="15:30" hidden="1" outlineLevel="1" x14ac:dyDescent="0.3">
      <c r="O154" s="98"/>
      <c r="T154" s="250"/>
      <c r="U154" s="252">
        <f t="shared" si="3"/>
        <v>44099</v>
      </c>
      <c r="V154" s="6"/>
      <c r="W154" s="253">
        <v>442034</v>
      </c>
      <c r="X154" s="6"/>
      <c r="Y154" s="44">
        <v>6.0999999999999999E-2</v>
      </c>
      <c r="Z154" s="6"/>
      <c r="AA154" s="254">
        <f t="shared" si="8"/>
        <v>-18744</v>
      </c>
      <c r="AB154" s="6"/>
      <c r="AC154" s="258"/>
      <c r="AD154" s="251"/>
    </row>
    <row r="155" spans="15:30" hidden="1" outlineLevel="1" x14ac:dyDescent="0.3">
      <c r="O155" s="98"/>
      <c r="T155" s="250"/>
      <c r="U155" s="252">
        <f t="shared" si="3"/>
        <v>44100</v>
      </c>
      <c r="V155" s="6"/>
      <c r="W155" s="253">
        <v>445041</v>
      </c>
      <c r="X155" s="6"/>
      <c r="Y155" s="44">
        <v>6.0999999999999999E-2</v>
      </c>
      <c r="Z155" s="6"/>
      <c r="AA155" s="254">
        <f t="shared" si="8"/>
        <v>-3007</v>
      </c>
      <c r="AB155" s="6"/>
      <c r="AC155" s="258"/>
      <c r="AD155" s="251"/>
    </row>
    <row r="156" spans="15:30" hidden="1" outlineLevel="1" x14ac:dyDescent="0.3">
      <c r="O156" s="98"/>
      <c r="T156" s="250"/>
      <c r="U156" s="252">
        <f t="shared" si="3"/>
        <v>44101</v>
      </c>
      <c r="V156" s="6"/>
      <c r="W156" s="253">
        <v>432562</v>
      </c>
      <c r="X156" s="6"/>
      <c r="Y156" s="44">
        <v>5.8999999999999997E-2</v>
      </c>
      <c r="Z156" s="6"/>
      <c r="AA156" s="254">
        <f t="shared" si="8"/>
        <v>12479</v>
      </c>
      <c r="AB156" s="6"/>
      <c r="AC156" s="258"/>
      <c r="AD156" s="251"/>
    </row>
    <row r="157" spans="15:30" hidden="1" outlineLevel="1" x14ac:dyDescent="0.3">
      <c r="O157" s="98"/>
      <c r="T157" s="250"/>
      <c r="U157" s="252">
        <f t="shared" si="3"/>
        <v>44102</v>
      </c>
      <c r="V157" s="6"/>
      <c r="W157" s="253">
        <v>418570</v>
      </c>
      <c r="X157" s="6"/>
      <c r="Y157" s="44">
        <v>5.7000000000000002E-2</v>
      </c>
      <c r="Z157" s="6"/>
      <c r="AA157" s="254">
        <f t="shared" si="8"/>
        <v>13992</v>
      </c>
      <c r="AB157" s="6"/>
      <c r="AC157" s="258"/>
      <c r="AD157" s="251"/>
    </row>
    <row r="158" spans="15:30" hidden="1" outlineLevel="1" x14ac:dyDescent="0.3">
      <c r="O158" s="98"/>
      <c r="T158" s="250"/>
      <c r="U158" s="252">
        <f t="shared" si="3"/>
        <v>44103</v>
      </c>
      <c r="V158" s="6"/>
      <c r="W158" s="253">
        <v>419325</v>
      </c>
      <c r="X158" s="6"/>
      <c r="Y158" s="44">
        <v>5.7000000000000002E-2</v>
      </c>
      <c r="Z158" s="6"/>
      <c r="AA158" s="254">
        <f t="shared" si="8"/>
        <v>-755</v>
      </c>
      <c r="AB158" s="6"/>
      <c r="AC158" s="258"/>
      <c r="AD158" s="251"/>
    </row>
    <row r="159" spans="15:30" hidden="1" outlineLevel="1" x14ac:dyDescent="0.3">
      <c r="O159" s="98"/>
      <c r="T159" s="250"/>
      <c r="U159" s="252">
        <f t="shared" si="3"/>
        <v>44104</v>
      </c>
      <c r="V159" s="6"/>
      <c r="W159" s="253">
        <v>426855</v>
      </c>
      <c r="X159" s="6"/>
      <c r="Y159" s="44">
        <v>5.7000000000000002E-2</v>
      </c>
      <c r="Z159" s="6"/>
      <c r="AA159" s="254">
        <f t="shared" si="8"/>
        <v>-7530</v>
      </c>
      <c r="AB159" s="6"/>
      <c r="AC159" s="258"/>
      <c r="AD159" s="251"/>
    </row>
    <row r="160" spans="15:30" hidden="1" outlineLevel="1" x14ac:dyDescent="0.3">
      <c r="O160" s="98"/>
      <c r="T160" s="250"/>
      <c r="U160" s="252">
        <f t="shared" si="3"/>
        <v>44105</v>
      </c>
      <c r="V160" s="6"/>
      <c r="W160" s="253">
        <v>437437</v>
      </c>
      <c r="X160" s="6"/>
      <c r="Y160" s="44">
        <v>5.8000000000000003E-2</v>
      </c>
      <c r="Z160" s="6"/>
      <c r="AA160" s="254">
        <f t="shared" si="8"/>
        <v>-10582</v>
      </c>
      <c r="AB160" s="6"/>
      <c r="AC160" s="258"/>
      <c r="AD160" s="251"/>
    </row>
    <row r="161" spans="15:30" hidden="1" outlineLevel="1" x14ac:dyDescent="0.3">
      <c r="O161" s="98"/>
      <c r="T161" s="250"/>
      <c r="U161" s="252">
        <f t="shared" si="3"/>
        <v>44106</v>
      </c>
      <c r="V161" s="6"/>
      <c r="W161" s="253">
        <v>453144</v>
      </c>
      <c r="X161" s="6"/>
      <c r="Y161" s="44">
        <v>0.06</v>
      </c>
      <c r="Z161" s="6"/>
      <c r="AA161" s="254">
        <f t="shared" si="8"/>
        <v>-15707</v>
      </c>
      <c r="AB161" s="6"/>
      <c r="AC161" s="258"/>
      <c r="AD161" s="251"/>
    </row>
    <row r="162" spans="15:30" hidden="1" outlineLevel="1" x14ac:dyDescent="0.3">
      <c r="O162" s="98"/>
      <c r="T162" s="250"/>
      <c r="U162" s="252">
        <f t="shared" si="3"/>
        <v>44107</v>
      </c>
      <c r="V162" s="6"/>
      <c r="W162" s="253">
        <v>460453</v>
      </c>
      <c r="X162" s="6"/>
      <c r="Y162" s="44">
        <v>6.0999999999999999E-2</v>
      </c>
      <c r="Z162" s="6"/>
      <c r="AA162" s="254">
        <f t="shared" si="8"/>
        <v>-7309</v>
      </c>
      <c r="AB162" s="6"/>
      <c r="AC162" s="258"/>
      <c r="AD162" s="251"/>
    </row>
    <row r="163" spans="15:30" hidden="1" outlineLevel="1" x14ac:dyDescent="0.3">
      <c r="O163" s="98"/>
      <c r="T163" s="250"/>
      <c r="U163" s="252">
        <f t="shared" si="3"/>
        <v>44108</v>
      </c>
      <c r="V163" s="6"/>
      <c r="W163" s="253">
        <v>449172</v>
      </c>
      <c r="X163" s="6"/>
      <c r="Y163" s="44">
        <v>5.8999999999999997E-2</v>
      </c>
      <c r="Z163" s="6"/>
      <c r="AA163" s="254">
        <f t="shared" si="8"/>
        <v>11281</v>
      </c>
      <c r="AB163" s="6"/>
      <c r="AC163" s="258"/>
      <c r="AD163" s="251"/>
    </row>
    <row r="164" spans="15:30" hidden="1" outlineLevel="1" x14ac:dyDescent="0.3">
      <c r="O164" s="98"/>
      <c r="T164" s="250"/>
      <c r="U164" s="252">
        <f t="shared" si="3"/>
        <v>44109</v>
      </c>
      <c r="V164" s="6"/>
      <c r="W164" s="253">
        <v>433260</v>
      </c>
      <c r="X164" s="6"/>
      <c r="Y164" s="44">
        <v>5.7000000000000002E-2</v>
      </c>
      <c r="Z164" s="6"/>
      <c r="AA164" s="254">
        <f t="shared" si="8"/>
        <v>15912</v>
      </c>
      <c r="AB164" s="6"/>
      <c r="AC164" s="258"/>
      <c r="AD164" s="251"/>
    </row>
    <row r="165" spans="15:30" hidden="1" outlineLevel="1" x14ac:dyDescent="0.3">
      <c r="O165" s="98"/>
      <c r="T165" s="250"/>
      <c r="U165" s="252">
        <f t="shared" si="3"/>
        <v>44110</v>
      </c>
      <c r="V165" s="6"/>
      <c r="W165" s="253">
        <v>434017</v>
      </c>
      <c r="X165" s="6"/>
      <c r="Y165" s="44">
        <v>5.6000000000000001E-2</v>
      </c>
      <c r="Z165" s="6"/>
      <c r="AA165" s="254">
        <f t="shared" si="8"/>
        <v>-757</v>
      </c>
      <c r="AB165" s="6"/>
      <c r="AC165" s="258"/>
      <c r="AD165" s="251"/>
    </row>
    <row r="166" spans="15:30" hidden="1" outlineLevel="1" x14ac:dyDescent="0.3">
      <c r="O166" s="98"/>
      <c r="T166" s="250"/>
      <c r="U166" s="252">
        <f t="shared" si="3"/>
        <v>44111</v>
      </c>
      <c r="V166" s="6"/>
      <c r="W166" s="253">
        <v>448950</v>
      </c>
      <c r="X166" s="6"/>
      <c r="Y166" s="44">
        <v>5.8000000000000003E-2</v>
      </c>
      <c r="Z166" s="6"/>
      <c r="AA166" s="254">
        <f t="shared" si="8"/>
        <v>-14933</v>
      </c>
      <c r="AB166" s="6"/>
      <c r="AC166" s="258"/>
      <c r="AD166" s="251"/>
    </row>
    <row r="167" spans="15:30" hidden="1" outlineLevel="1" x14ac:dyDescent="0.3">
      <c r="O167" s="98"/>
      <c r="T167" s="250"/>
      <c r="U167" s="252">
        <f t="shared" si="3"/>
        <v>44112</v>
      </c>
      <c r="V167" s="6"/>
      <c r="W167" s="253">
        <v>468336</v>
      </c>
      <c r="X167" s="6"/>
      <c r="Y167" s="44">
        <v>0.06</v>
      </c>
      <c r="Z167" s="6"/>
      <c r="AA167" s="254">
        <f t="shared" si="8"/>
        <v>-19386</v>
      </c>
      <c r="AB167" s="6"/>
      <c r="AC167" s="258"/>
      <c r="AD167" s="251"/>
    </row>
    <row r="168" spans="15:30" hidden="1" outlineLevel="1" x14ac:dyDescent="0.3">
      <c r="O168" s="98"/>
      <c r="T168" s="250"/>
      <c r="U168" s="252">
        <f t="shared" si="3"/>
        <v>44113</v>
      </c>
      <c r="V168" s="6"/>
      <c r="W168" s="253">
        <v>484791</v>
      </c>
      <c r="X168" s="6"/>
      <c r="Y168" s="44">
        <v>6.2E-2</v>
      </c>
      <c r="Z168" s="6"/>
      <c r="AA168" s="254">
        <f t="shared" ref="AA168:AA177" si="9">+W167-W168</f>
        <v>-16455</v>
      </c>
      <c r="AB168" s="6"/>
      <c r="AC168" s="258"/>
      <c r="AD168" s="251"/>
    </row>
    <row r="169" spans="15:30" hidden="1" outlineLevel="1" x14ac:dyDescent="0.3">
      <c r="O169" s="98"/>
      <c r="T169" s="250"/>
      <c r="U169" s="252">
        <f t="shared" si="3"/>
        <v>44114</v>
      </c>
      <c r="V169" s="6"/>
      <c r="W169" s="253">
        <v>494681</v>
      </c>
      <c r="X169" s="6"/>
      <c r="Y169" s="44">
        <v>6.2E-2</v>
      </c>
      <c r="Z169" s="6"/>
      <c r="AA169" s="254">
        <f t="shared" si="9"/>
        <v>-9890</v>
      </c>
      <c r="AB169" s="6"/>
      <c r="AC169" s="258"/>
      <c r="AD169" s="251"/>
    </row>
    <row r="170" spans="15:30" hidden="1" outlineLevel="1" x14ac:dyDescent="0.3">
      <c r="O170" s="98"/>
      <c r="T170" s="250"/>
      <c r="U170" s="252">
        <f t="shared" si="3"/>
        <v>44115</v>
      </c>
      <c r="V170" s="6"/>
      <c r="W170" s="253">
        <v>489248</v>
      </c>
      <c r="X170" s="6"/>
      <c r="Y170" s="44">
        <v>6.0999999999999999E-2</v>
      </c>
      <c r="Z170" s="6"/>
      <c r="AA170" s="254">
        <f t="shared" si="9"/>
        <v>5433</v>
      </c>
      <c r="AB170" s="6"/>
      <c r="AC170" s="258"/>
      <c r="AD170" s="251"/>
    </row>
    <row r="171" spans="15:30" hidden="1" outlineLevel="1" x14ac:dyDescent="0.3">
      <c r="O171" s="98"/>
      <c r="T171" s="250"/>
      <c r="U171" s="252">
        <f t="shared" si="3"/>
        <v>44116</v>
      </c>
      <c r="V171" s="6"/>
      <c r="W171" s="253">
        <v>489910</v>
      </c>
      <c r="X171" s="6"/>
      <c r="Y171" s="44">
        <v>6.0999999999999999E-2</v>
      </c>
      <c r="Z171" s="6"/>
      <c r="AA171" s="254">
        <f t="shared" si="9"/>
        <v>-662</v>
      </c>
      <c r="AB171" s="6"/>
      <c r="AC171" s="258"/>
      <c r="AD171" s="251"/>
    </row>
    <row r="172" spans="15:30" hidden="1" outlineLevel="1" x14ac:dyDescent="0.3">
      <c r="O172" s="98"/>
      <c r="T172" s="250"/>
      <c r="U172" s="252">
        <f t="shared" si="3"/>
        <v>44117</v>
      </c>
      <c r="V172" s="6"/>
      <c r="W172" s="253">
        <v>492684</v>
      </c>
      <c r="X172" s="6"/>
      <c r="Y172" s="44">
        <v>6.0999999999999999E-2</v>
      </c>
      <c r="Z172" s="6"/>
      <c r="AA172" s="254">
        <f t="shared" si="9"/>
        <v>-2774</v>
      </c>
      <c r="AB172" s="6"/>
      <c r="AC172" s="258"/>
      <c r="AD172" s="251"/>
    </row>
    <row r="173" spans="15:30" hidden="1" outlineLevel="1" x14ac:dyDescent="0.3">
      <c r="O173" s="98"/>
      <c r="T173" s="250"/>
      <c r="U173" s="252">
        <f t="shared" si="3"/>
        <v>44118</v>
      </c>
      <c r="V173" s="6"/>
      <c r="W173" s="253">
        <v>518684</v>
      </c>
      <c r="X173" s="6"/>
      <c r="Y173" s="44">
        <v>6.4000000000000001E-2</v>
      </c>
      <c r="Z173" s="6"/>
      <c r="AA173" s="254">
        <f t="shared" si="9"/>
        <v>-26000</v>
      </c>
      <c r="AB173" s="6"/>
      <c r="AC173" s="258"/>
      <c r="AD173" s="251"/>
    </row>
    <row r="174" spans="15:30" hidden="1" outlineLevel="1" x14ac:dyDescent="0.3">
      <c r="O174" s="98"/>
      <c r="T174" s="250"/>
      <c r="U174" s="252">
        <f t="shared" si="3"/>
        <v>44119</v>
      </c>
      <c r="V174" s="6"/>
      <c r="W174" s="253">
        <v>546914</v>
      </c>
      <c r="X174" s="6"/>
      <c r="Y174" s="44">
        <v>6.7000000000000004E-2</v>
      </c>
      <c r="Z174" s="6"/>
      <c r="AA174" s="254">
        <f t="shared" si="9"/>
        <v>-28230</v>
      </c>
      <c r="AB174" s="6"/>
      <c r="AC174" s="258"/>
      <c r="AD174" s="251"/>
    </row>
    <row r="175" spans="15:30" collapsed="1" x14ac:dyDescent="0.3">
      <c r="O175" s="98"/>
      <c r="T175" s="250"/>
      <c r="U175" s="252">
        <f t="shared" si="3"/>
        <v>44120</v>
      </c>
      <c r="V175" s="6"/>
      <c r="W175" s="253">
        <v>573981</v>
      </c>
      <c r="X175" s="6"/>
      <c r="Y175" s="44">
        <v>6.9000000000000006E-2</v>
      </c>
      <c r="Z175" s="6"/>
      <c r="AA175" s="254">
        <f t="shared" si="9"/>
        <v>-27067</v>
      </c>
      <c r="AB175" s="6"/>
      <c r="AC175" s="258"/>
      <c r="AD175" s="251"/>
    </row>
    <row r="176" spans="15:30" x14ac:dyDescent="0.3">
      <c r="O176" s="98"/>
      <c r="T176" s="250"/>
      <c r="U176" s="252">
        <f t="shared" si="3"/>
        <v>44121</v>
      </c>
      <c r="V176" s="6"/>
      <c r="W176" s="253">
        <v>578954</v>
      </c>
      <c r="X176" s="6"/>
      <c r="Y176" s="44">
        <v>6.9000000000000006E-2</v>
      </c>
      <c r="Z176" s="6"/>
      <c r="AA176" s="254">
        <f t="shared" si="9"/>
        <v>-4973</v>
      </c>
      <c r="AB176" s="6"/>
      <c r="AC176" s="258"/>
      <c r="AD176" s="251"/>
    </row>
    <row r="177" spans="15:30" x14ac:dyDescent="0.3">
      <c r="O177" s="98"/>
      <c r="T177" s="250"/>
      <c r="U177" s="252">
        <f t="shared" si="3"/>
        <v>44122</v>
      </c>
      <c r="V177" s="6"/>
      <c r="W177" s="253">
        <v>566575</v>
      </c>
      <c r="X177" s="6"/>
      <c r="Y177" s="44">
        <v>6.8000000000000005E-2</v>
      </c>
      <c r="Z177" s="6"/>
      <c r="AA177" s="254">
        <f t="shared" si="9"/>
        <v>12379</v>
      </c>
      <c r="AB177" s="6"/>
      <c r="AC177" s="258"/>
      <c r="AD177" s="251"/>
    </row>
    <row r="178" spans="15:30" x14ac:dyDescent="0.3">
      <c r="O178" s="98"/>
      <c r="T178" s="250"/>
      <c r="U178" s="252">
        <f t="shared" si="3"/>
        <v>44123</v>
      </c>
      <c r="V178" s="6"/>
      <c r="W178" s="253">
        <v>563005</v>
      </c>
      <c r="X178" s="6"/>
      <c r="Y178" s="44">
        <v>6.7000000000000004E-2</v>
      </c>
      <c r="Z178" s="6"/>
      <c r="AA178" s="254">
        <f t="shared" ref="AA178:AA184" si="10">+W177-W178</f>
        <v>3570</v>
      </c>
      <c r="AB178" s="6"/>
      <c r="AC178" s="258"/>
      <c r="AD178" s="251"/>
    </row>
    <row r="179" spans="15:30" x14ac:dyDescent="0.3">
      <c r="O179" s="98"/>
      <c r="T179" s="250"/>
      <c r="U179" s="252">
        <f t="shared" si="3"/>
        <v>44124</v>
      </c>
      <c r="V179" s="6"/>
      <c r="W179" s="253">
        <v>571055</v>
      </c>
      <c r="X179" s="6"/>
      <c r="Y179" s="44">
        <v>6.7000000000000004E-2</v>
      </c>
      <c r="Z179" s="6"/>
      <c r="AA179" s="254">
        <f t="shared" si="10"/>
        <v>-8050</v>
      </c>
      <c r="AB179" s="6"/>
      <c r="AC179" s="258"/>
      <c r="AD179" s="251"/>
    </row>
    <row r="180" spans="15:30" x14ac:dyDescent="0.3">
      <c r="O180" s="98"/>
      <c r="T180" s="250"/>
      <c r="U180" s="252">
        <f t="shared" si="3"/>
        <v>44125</v>
      </c>
      <c r="V180" s="6"/>
      <c r="W180" s="253">
        <v>592755</v>
      </c>
      <c r="X180" s="6"/>
      <c r="Y180" s="44">
        <v>6.9000000000000006E-2</v>
      </c>
      <c r="Z180" s="6"/>
      <c r="AA180" s="254">
        <f t="shared" si="10"/>
        <v>-21700</v>
      </c>
      <c r="AB180" s="6"/>
      <c r="AC180" s="258"/>
      <c r="AD180" s="251"/>
    </row>
    <row r="181" spans="15:30" x14ac:dyDescent="0.3">
      <c r="O181" s="98"/>
      <c r="T181" s="250"/>
      <c r="U181" s="252">
        <f t="shared" si="3"/>
        <v>44126</v>
      </c>
      <c r="V181" s="6"/>
      <c r="W181" s="253">
        <v>621488</v>
      </c>
      <c r="X181" s="6"/>
      <c r="Y181" s="44">
        <v>7.1999999999999995E-2</v>
      </c>
      <c r="Z181" s="6"/>
      <c r="AA181" s="254">
        <f t="shared" si="10"/>
        <v>-28733</v>
      </c>
      <c r="AB181" s="6"/>
      <c r="AC181" s="258"/>
      <c r="AD181" s="251"/>
    </row>
    <row r="182" spans="15:30" x14ac:dyDescent="0.3">
      <c r="O182" s="98"/>
      <c r="T182" s="250"/>
      <c r="U182" s="252">
        <f t="shared" si="3"/>
        <v>44127</v>
      </c>
      <c r="V182" s="6"/>
      <c r="W182" s="253">
        <v>651368</v>
      </c>
      <c r="X182" s="6"/>
      <c r="Y182" s="44">
        <v>7.4999999999999997E-2</v>
      </c>
      <c r="Z182" s="6"/>
      <c r="AA182" s="254">
        <f t="shared" si="10"/>
        <v>-29880</v>
      </c>
      <c r="AB182" s="6"/>
      <c r="AC182" s="258"/>
      <c r="AD182" s="251"/>
    </row>
    <row r="183" spans="15:30" x14ac:dyDescent="0.3">
      <c r="O183" s="98"/>
      <c r="T183" s="250"/>
      <c r="U183" s="252">
        <f t="shared" si="3"/>
        <v>44128</v>
      </c>
      <c r="V183" s="6"/>
      <c r="W183" s="253">
        <v>671584</v>
      </c>
      <c r="X183" s="6"/>
      <c r="Y183" s="44">
        <v>7.5999999999999998E-2</v>
      </c>
      <c r="Z183" s="6"/>
      <c r="AA183" s="254">
        <f t="shared" si="10"/>
        <v>-20216</v>
      </c>
      <c r="AB183" s="6"/>
      <c r="AC183" s="258"/>
      <c r="AD183" s="251"/>
    </row>
    <row r="184" spans="15:30" x14ac:dyDescent="0.3">
      <c r="O184" s="98"/>
      <c r="T184" s="250"/>
      <c r="U184" s="252">
        <f t="shared" si="3"/>
        <v>44129</v>
      </c>
      <c r="V184" s="6"/>
      <c r="W184" s="253">
        <v>666352</v>
      </c>
      <c r="X184" s="6"/>
      <c r="Y184" s="44">
        <v>7.4999999999999997E-2</v>
      </c>
      <c r="Z184" s="6"/>
      <c r="AA184" s="254">
        <f t="shared" si="10"/>
        <v>5232</v>
      </c>
      <c r="AB184" s="6"/>
      <c r="AC184" s="258"/>
      <c r="AD184" s="251"/>
    </row>
    <row r="185" spans="15:30" x14ac:dyDescent="0.3">
      <c r="O185" s="98"/>
      <c r="T185" s="250"/>
      <c r="U185" s="252">
        <f t="shared" si="3"/>
        <v>44130</v>
      </c>
      <c r="V185" s="6"/>
      <c r="W185" s="253">
        <v>644740</v>
      </c>
      <c r="X185" s="6"/>
      <c r="Y185" s="44">
        <v>7.3999999999999996E-2</v>
      </c>
      <c r="Z185" s="6"/>
      <c r="AA185" s="254">
        <f t="shared" ref="AA185:AA216" si="11">+W184-W185</f>
        <v>21612</v>
      </c>
      <c r="AB185" s="6"/>
      <c r="AC185" s="258"/>
      <c r="AD185" s="251"/>
    </row>
    <row r="186" spans="15:30" x14ac:dyDescent="0.3">
      <c r="O186" s="98"/>
      <c r="T186" s="250"/>
      <c r="U186" s="252">
        <f t="shared" si="3"/>
        <v>44131</v>
      </c>
      <c r="V186" s="6"/>
      <c r="W186" s="253">
        <v>685730</v>
      </c>
      <c r="X186" s="6"/>
      <c r="Y186" s="44">
        <v>7.5999999999999998E-2</v>
      </c>
      <c r="Z186" s="6"/>
      <c r="AA186" s="254">
        <f t="shared" si="11"/>
        <v>-40990</v>
      </c>
      <c r="AB186" s="6"/>
      <c r="AC186" s="258"/>
      <c r="AD186" s="251"/>
    </row>
    <row r="187" spans="15:30" x14ac:dyDescent="0.3">
      <c r="O187" s="98"/>
      <c r="T187" s="250"/>
      <c r="U187" s="252">
        <f t="shared" si="3"/>
        <v>44132</v>
      </c>
      <c r="V187" s="6"/>
      <c r="W187" s="253">
        <v>722475</v>
      </c>
      <c r="X187" s="6"/>
      <c r="Y187" s="44">
        <v>7.9000000000000001E-2</v>
      </c>
      <c r="Z187" s="6"/>
      <c r="AA187" s="254">
        <f t="shared" si="11"/>
        <v>-36745</v>
      </c>
      <c r="AB187" s="6"/>
      <c r="AC187" s="258"/>
      <c r="AD187" s="251"/>
    </row>
    <row r="188" spans="15:30" x14ac:dyDescent="0.3">
      <c r="O188" s="98"/>
      <c r="T188" s="250"/>
      <c r="U188" s="252">
        <f t="shared" si="3"/>
        <v>44133</v>
      </c>
      <c r="V188" s="6"/>
      <c r="W188" s="253">
        <v>756762</v>
      </c>
      <c r="X188" s="6"/>
      <c r="Y188" s="44">
        <v>8.2000000000000003E-2</v>
      </c>
      <c r="Z188" s="6"/>
      <c r="AA188" s="254">
        <f t="shared" si="11"/>
        <v>-34287</v>
      </c>
      <c r="AB188" s="6"/>
      <c r="AC188" s="258"/>
      <c r="AD188" s="251"/>
    </row>
    <row r="189" spans="15:30" x14ac:dyDescent="0.3">
      <c r="O189" s="98"/>
      <c r="T189" s="250"/>
      <c r="U189" s="252">
        <f t="shared" si="3"/>
        <v>44134</v>
      </c>
      <c r="V189" s="6"/>
      <c r="W189" s="253">
        <v>796351</v>
      </c>
      <c r="X189" s="6"/>
      <c r="Y189" s="44">
        <v>8.5999999999999993E-2</v>
      </c>
      <c r="Z189" s="6"/>
      <c r="AA189" s="254">
        <f t="shared" si="11"/>
        <v>-39589</v>
      </c>
      <c r="AB189" s="6"/>
      <c r="AC189" s="258"/>
      <c r="AD189" s="251"/>
    </row>
    <row r="190" spans="15:30" x14ac:dyDescent="0.3">
      <c r="O190" s="98"/>
      <c r="T190" s="250"/>
      <c r="U190" s="252">
        <f t="shared" si="3"/>
        <v>44135</v>
      </c>
      <c r="V190" s="6"/>
      <c r="W190" s="253">
        <v>819039</v>
      </c>
      <c r="X190" s="6"/>
      <c r="Y190" s="44">
        <v>8.6999999999999994E-2</v>
      </c>
      <c r="Z190" s="6"/>
      <c r="AA190" s="254">
        <f t="shared" si="11"/>
        <v>-22688</v>
      </c>
      <c r="AB190" s="6"/>
      <c r="AC190" s="258"/>
      <c r="AD190" s="251"/>
    </row>
    <row r="191" spans="15:30" x14ac:dyDescent="0.3">
      <c r="O191" s="98"/>
      <c r="T191" s="250"/>
      <c r="U191" s="252">
        <f t="shared" si="3"/>
        <v>44136</v>
      </c>
      <c r="V191" s="6"/>
      <c r="W191" s="253">
        <v>816056</v>
      </c>
      <c r="X191" s="6"/>
      <c r="Y191" s="44">
        <v>8.5999999999999993E-2</v>
      </c>
      <c r="Z191" s="6"/>
      <c r="AA191" s="254">
        <f t="shared" si="11"/>
        <v>2983</v>
      </c>
      <c r="AB191" s="6"/>
      <c r="AC191" s="258"/>
      <c r="AD191" s="251"/>
    </row>
    <row r="192" spans="15:30" x14ac:dyDescent="0.3">
      <c r="O192" s="98"/>
      <c r="T192" s="250"/>
      <c r="U192" s="252">
        <f t="shared" si="3"/>
        <v>44137</v>
      </c>
      <c r="V192" s="6"/>
      <c r="W192" s="253">
        <v>823918</v>
      </c>
      <c r="X192" s="6"/>
      <c r="Y192" s="44">
        <v>8.5999999999999993E-2</v>
      </c>
      <c r="Z192" s="6"/>
      <c r="AA192" s="254">
        <f t="shared" si="11"/>
        <v>-7862</v>
      </c>
      <c r="AB192" s="6"/>
      <c r="AC192" s="258"/>
      <c r="AD192" s="251"/>
    </row>
    <row r="193" spans="15:30" x14ac:dyDescent="0.3">
      <c r="O193" s="98"/>
      <c r="T193" s="250"/>
      <c r="U193" s="252">
        <f t="shared" si="3"/>
        <v>44138</v>
      </c>
      <c r="V193" s="6"/>
      <c r="W193" s="253">
        <v>839176</v>
      </c>
      <c r="X193" s="6"/>
      <c r="Y193" s="44">
        <v>8.6999999999999994E-2</v>
      </c>
      <c r="Z193" s="6"/>
      <c r="AA193" s="254">
        <f t="shared" si="11"/>
        <v>-15258</v>
      </c>
      <c r="AB193" s="6"/>
      <c r="AC193" s="258"/>
      <c r="AD193" s="251"/>
    </row>
    <row r="194" spans="15:30" x14ac:dyDescent="0.3">
      <c r="O194" s="98"/>
      <c r="T194" s="250"/>
      <c r="U194" s="252">
        <f t="shared" si="3"/>
        <v>44139</v>
      </c>
      <c r="V194" s="6"/>
      <c r="W194" s="253">
        <v>886905</v>
      </c>
      <c r="X194" s="6"/>
      <c r="Y194" s="44">
        <v>9.0999999999999998E-2</v>
      </c>
      <c r="Z194" s="6"/>
      <c r="AA194" s="254">
        <f t="shared" si="11"/>
        <v>-47729</v>
      </c>
      <c r="AB194" s="6"/>
      <c r="AC194" s="258"/>
      <c r="AD194" s="251"/>
    </row>
    <row r="195" spans="15:30" x14ac:dyDescent="0.3">
      <c r="O195" s="98"/>
      <c r="T195" s="250"/>
      <c r="U195" s="252">
        <f t="shared" si="3"/>
        <v>44140</v>
      </c>
      <c r="V195" s="6"/>
      <c r="W195" s="253">
        <v>935498</v>
      </c>
      <c r="X195" s="6"/>
      <c r="Y195" s="44">
        <v>9.5000000000000001E-2</v>
      </c>
      <c r="Z195" s="6"/>
      <c r="AA195" s="254">
        <f t="shared" si="11"/>
        <v>-48593</v>
      </c>
      <c r="AB195" s="6"/>
      <c r="AC195" s="258"/>
      <c r="AD195" s="251"/>
    </row>
    <row r="196" spans="15:30" x14ac:dyDescent="0.3">
      <c r="O196" s="98"/>
      <c r="T196" s="250"/>
      <c r="U196" s="252">
        <f t="shared" si="3"/>
        <v>44141</v>
      </c>
      <c r="V196" s="6"/>
      <c r="W196" s="253">
        <v>933110</v>
      </c>
      <c r="X196" s="6"/>
      <c r="Y196" s="44">
        <v>9.9000000000000005E-2</v>
      </c>
      <c r="Z196" s="6"/>
      <c r="AA196" s="254">
        <f t="shared" si="11"/>
        <v>2388</v>
      </c>
      <c r="AB196" s="6"/>
      <c r="AC196" s="258"/>
      <c r="AD196" s="251"/>
    </row>
    <row r="197" spans="15:30" x14ac:dyDescent="0.3">
      <c r="O197" s="98"/>
      <c r="T197" s="250"/>
      <c r="U197" s="252">
        <f t="shared" si="3"/>
        <v>44142</v>
      </c>
      <c r="V197" s="6"/>
      <c r="W197" s="253">
        <v>911706</v>
      </c>
      <c r="X197" s="6"/>
      <c r="Y197" s="44">
        <v>9.0999999999999998E-2</v>
      </c>
      <c r="Z197" s="6"/>
      <c r="AA197" s="254">
        <f t="shared" si="11"/>
        <v>21404</v>
      </c>
      <c r="AB197" s="6"/>
      <c r="AC197" s="258"/>
      <c r="AD197" s="251"/>
    </row>
    <row r="198" spans="15:30" x14ac:dyDescent="0.3">
      <c r="O198" s="98"/>
      <c r="T198" s="250"/>
      <c r="U198" s="252">
        <f t="shared" si="3"/>
        <v>44143</v>
      </c>
      <c r="V198" s="6"/>
      <c r="W198" s="253">
        <v>945813</v>
      </c>
      <c r="X198" s="6"/>
      <c r="Y198" s="44">
        <v>9.2999999999999999E-2</v>
      </c>
      <c r="Z198" s="6"/>
      <c r="AA198" s="254">
        <f t="shared" si="11"/>
        <v>-34107</v>
      </c>
      <c r="AB198" s="6"/>
      <c r="AC198" s="258"/>
      <c r="AD198" s="251"/>
    </row>
    <row r="199" spans="15:30" x14ac:dyDescent="0.3">
      <c r="O199" s="98"/>
      <c r="T199" s="250"/>
      <c r="U199" s="252">
        <f t="shared" si="3"/>
        <v>44144</v>
      </c>
      <c r="V199" s="6"/>
      <c r="W199" s="253">
        <v>985209</v>
      </c>
      <c r="X199" s="6"/>
      <c r="Y199" s="44">
        <v>9.5000000000000001E-2</v>
      </c>
      <c r="Z199" s="6"/>
      <c r="AA199" s="254">
        <f t="shared" si="11"/>
        <v>-39396</v>
      </c>
      <c r="AB199" s="6"/>
      <c r="AC199" s="258"/>
      <c r="AD199" s="251"/>
    </row>
    <row r="200" spans="15:30" x14ac:dyDescent="0.3">
      <c r="O200" s="98"/>
      <c r="T200" s="250"/>
      <c r="U200" s="252">
        <f t="shared" si="3"/>
        <v>44145</v>
      </c>
      <c r="V200" s="6"/>
      <c r="W200" s="253">
        <v>1050453</v>
      </c>
      <c r="X200" s="6"/>
      <c r="Y200" s="44">
        <v>0.1</v>
      </c>
      <c r="Z200" s="6"/>
      <c r="AA200" s="254">
        <f t="shared" si="11"/>
        <v>-65244</v>
      </c>
      <c r="AB200" s="6"/>
      <c r="AC200" s="258"/>
      <c r="AD200" s="251"/>
    </row>
    <row r="201" spans="15:30" x14ac:dyDescent="0.3">
      <c r="O201" s="98"/>
      <c r="T201" s="250"/>
      <c r="U201" s="252">
        <f t="shared" si="3"/>
        <v>44146</v>
      </c>
      <c r="V201" s="6"/>
      <c r="W201" s="253">
        <v>1103763</v>
      </c>
      <c r="X201" s="6"/>
      <c r="Y201" s="44">
        <v>0.104</v>
      </c>
      <c r="Z201" s="6"/>
      <c r="AA201" s="254">
        <f t="shared" si="11"/>
        <v>-53310</v>
      </c>
      <c r="AB201" s="6"/>
      <c r="AC201" s="258"/>
      <c r="AD201" s="251"/>
    </row>
    <row r="202" spans="15:30" x14ac:dyDescent="0.3">
      <c r="O202" s="98"/>
      <c r="T202" s="250"/>
      <c r="U202" s="252">
        <f t="shared" si="3"/>
        <v>44147</v>
      </c>
      <c r="V202" s="6"/>
      <c r="W202" s="253">
        <v>1171415</v>
      </c>
      <c r="X202" s="6"/>
      <c r="Y202" s="44">
        <v>0.109</v>
      </c>
      <c r="Z202" s="6"/>
      <c r="AA202" s="254">
        <f t="shared" si="11"/>
        <v>-67652</v>
      </c>
      <c r="AB202" s="6"/>
      <c r="AC202" s="258"/>
      <c r="AD202" s="251"/>
    </row>
    <row r="203" spans="15:30" x14ac:dyDescent="0.3">
      <c r="O203" s="98"/>
      <c r="T203" s="250"/>
      <c r="U203" s="252">
        <f t="shared" si="3"/>
        <v>44148</v>
      </c>
      <c r="V203" s="6"/>
      <c r="W203" s="253">
        <v>1247238</v>
      </c>
      <c r="X203" s="6"/>
      <c r="Y203" s="44">
        <v>0.114</v>
      </c>
      <c r="Z203" s="6"/>
      <c r="AA203" s="254">
        <f t="shared" si="11"/>
        <v>-75823</v>
      </c>
      <c r="AB203" s="6"/>
      <c r="AC203" s="258"/>
      <c r="AD203" s="251"/>
    </row>
    <row r="204" spans="15:30" x14ac:dyDescent="0.3">
      <c r="O204" s="98"/>
      <c r="T204" s="250"/>
      <c r="U204" s="252">
        <f t="shared" si="3"/>
        <v>44149</v>
      </c>
      <c r="V204" s="6"/>
      <c r="W204" s="253">
        <v>1286641</v>
      </c>
      <c r="X204" s="6"/>
      <c r="Y204" s="44">
        <v>0.11600000000000001</v>
      </c>
      <c r="Z204" s="6"/>
      <c r="AA204" s="254">
        <f t="shared" si="11"/>
        <v>-39403</v>
      </c>
      <c r="AB204" s="6"/>
      <c r="AC204" s="258"/>
      <c r="AD204" s="251"/>
    </row>
    <row r="205" spans="15:30" x14ac:dyDescent="0.3">
      <c r="O205" s="98"/>
      <c r="T205" s="250"/>
      <c r="U205" s="252">
        <f t="shared" si="3"/>
        <v>44150</v>
      </c>
      <c r="V205" s="6"/>
      <c r="W205" s="253">
        <v>1292637</v>
      </c>
      <c r="X205" s="6"/>
      <c r="Y205" s="44">
        <v>0.115</v>
      </c>
      <c r="Z205" s="6"/>
      <c r="AA205" s="254">
        <f t="shared" si="11"/>
        <v>-5996</v>
      </c>
      <c r="AB205" s="6"/>
      <c r="AC205" s="258"/>
      <c r="AD205" s="251"/>
    </row>
    <row r="206" spans="15:30" x14ac:dyDescent="0.3">
      <c r="O206" s="98"/>
      <c r="T206" s="250"/>
      <c r="U206" s="252">
        <f t="shared" si="3"/>
        <v>44151</v>
      </c>
      <c r="V206" s="6"/>
      <c r="W206" s="253">
        <v>1386009</v>
      </c>
      <c r="X206" s="6"/>
      <c r="Y206" s="44">
        <v>0.12</v>
      </c>
      <c r="Z206" s="6"/>
      <c r="AA206" s="254">
        <f t="shared" si="11"/>
        <v>-93372</v>
      </c>
      <c r="AB206" s="6"/>
      <c r="AC206" s="258"/>
      <c r="AD206" s="251"/>
    </row>
    <row r="207" spans="15:30" x14ac:dyDescent="0.3">
      <c r="O207" s="98"/>
      <c r="T207" s="250"/>
      <c r="U207" s="252">
        <f t="shared" si="3"/>
        <v>44152</v>
      </c>
      <c r="V207" s="6"/>
      <c r="W207" s="253">
        <v>1434502</v>
      </c>
      <c r="X207" s="6"/>
      <c r="Y207" s="44">
        <v>0.122</v>
      </c>
      <c r="Z207" s="6"/>
      <c r="AA207" s="254">
        <f t="shared" si="11"/>
        <v>-48493</v>
      </c>
      <c r="AB207" s="6"/>
      <c r="AC207" s="258"/>
      <c r="AD207" s="251"/>
    </row>
    <row r="208" spans="15:30" x14ac:dyDescent="0.3">
      <c r="O208" s="98"/>
      <c r="T208" s="250"/>
      <c r="U208" s="252">
        <f t="shared" si="3"/>
        <v>44153</v>
      </c>
      <c r="V208" s="6"/>
      <c r="W208" s="253">
        <v>1434502</v>
      </c>
      <c r="X208" s="6"/>
      <c r="Y208" s="44">
        <v>0.122</v>
      </c>
      <c r="Z208" s="6"/>
      <c r="AA208" s="254">
        <f t="shared" si="11"/>
        <v>0</v>
      </c>
      <c r="AB208" s="6"/>
      <c r="AC208" s="258"/>
      <c r="AD208" s="251"/>
    </row>
    <row r="209" spans="15:30" x14ac:dyDescent="0.3">
      <c r="O209" s="98"/>
      <c r="T209" s="250"/>
      <c r="U209" s="252">
        <f t="shared" si="3"/>
        <v>44154</v>
      </c>
      <c r="V209" s="6"/>
      <c r="W209" s="253">
        <v>1491309</v>
      </c>
      <c r="X209" s="6"/>
      <c r="Y209" s="44">
        <v>0.125</v>
      </c>
      <c r="Z209" s="6"/>
      <c r="AA209" s="254">
        <f t="shared" si="11"/>
        <v>-56807</v>
      </c>
      <c r="AB209" s="6"/>
      <c r="AC209" s="258"/>
      <c r="AD209" s="251"/>
    </row>
    <row r="210" spans="15:30" x14ac:dyDescent="0.3">
      <c r="O210" s="98"/>
      <c r="T210" s="250"/>
      <c r="U210" s="252">
        <f t="shared" si="3"/>
        <v>44155</v>
      </c>
      <c r="V210" s="6"/>
      <c r="W210" s="253">
        <v>1552582</v>
      </c>
      <c r="X210" s="6"/>
      <c r="Y210" s="44">
        <v>0.128</v>
      </c>
      <c r="Z210" s="6"/>
      <c r="AA210" s="254">
        <f t="shared" si="11"/>
        <v>-61273</v>
      </c>
      <c r="AB210" s="6"/>
      <c r="AC210" s="258"/>
      <c r="AD210" s="251"/>
    </row>
    <row r="211" spans="15:30" x14ac:dyDescent="0.3">
      <c r="O211" s="98"/>
      <c r="T211" s="250"/>
      <c r="U211" s="252">
        <f t="shared" si="3"/>
        <v>44156</v>
      </c>
      <c r="V211" s="6"/>
      <c r="W211" s="253">
        <v>1564338</v>
      </c>
      <c r="X211" s="6"/>
      <c r="Y211" s="44">
        <v>0.127</v>
      </c>
      <c r="Z211" s="6"/>
      <c r="AA211" s="254">
        <f t="shared" si="11"/>
        <v>-11756</v>
      </c>
      <c r="AB211" s="6"/>
      <c r="AC211" s="258"/>
      <c r="AD211" s="251"/>
    </row>
    <row r="212" spans="15:30" x14ac:dyDescent="0.3">
      <c r="O212" s="98"/>
      <c r="T212" s="250"/>
      <c r="U212" s="252">
        <f t="shared" si="3"/>
        <v>44157</v>
      </c>
      <c r="V212" s="6"/>
      <c r="W212" s="253">
        <v>1517624</v>
      </c>
      <c r="X212" s="6"/>
      <c r="Y212" s="44">
        <v>0.122</v>
      </c>
      <c r="Z212" s="6"/>
      <c r="AA212" s="254">
        <f t="shared" si="11"/>
        <v>46714</v>
      </c>
      <c r="AB212" s="6"/>
      <c r="AC212" s="258"/>
      <c r="AD212" s="251"/>
    </row>
    <row r="213" spans="15:30" x14ac:dyDescent="0.3">
      <c r="O213" s="98"/>
      <c r="T213" s="250"/>
      <c r="U213" s="252">
        <f t="shared" si="3"/>
        <v>44158</v>
      </c>
      <c r="V213" s="6"/>
      <c r="W213" s="253">
        <v>1533231</v>
      </c>
      <c r="X213" s="6"/>
      <c r="Y213" s="44">
        <v>0.121</v>
      </c>
      <c r="Z213" s="6"/>
      <c r="AA213" s="254">
        <f t="shared" si="11"/>
        <v>-15607</v>
      </c>
      <c r="AB213" s="6"/>
      <c r="AC213" s="258"/>
      <c r="AD213" s="251"/>
    </row>
    <row r="214" spans="15:30" x14ac:dyDescent="0.3">
      <c r="O214" s="98"/>
      <c r="T214" s="250"/>
      <c r="U214" s="252">
        <f t="shared" si="3"/>
        <v>44159</v>
      </c>
      <c r="V214" s="6"/>
      <c r="W214" s="253">
        <v>1571982</v>
      </c>
      <c r="X214" s="6"/>
      <c r="Y214" s="44">
        <f>+L$36</f>
        <v>3.0585048511314601E-3</v>
      </c>
      <c r="Z214" s="6"/>
      <c r="AA214" s="254">
        <f t="shared" si="11"/>
        <v>-38751</v>
      </c>
      <c r="AB214" s="6"/>
      <c r="AC214" s="258"/>
      <c r="AD214" s="251"/>
    </row>
    <row r="215" spans="15:30" x14ac:dyDescent="0.3">
      <c r="O215" s="98"/>
      <c r="T215" s="250"/>
      <c r="U215" s="252">
        <f t="shared" si="3"/>
        <v>44160</v>
      </c>
      <c r="V215" s="6"/>
      <c r="W215" s="253">
        <v>1591295</v>
      </c>
      <c r="X215" s="6"/>
      <c r="Y215" s="44">
        <v>0.123</v>
      </c>
      <c r="Z215" s="6"/>
      <c r="AA215" s="254">
        <f t="shared" si="11"/>
        <v>-19313</v>
      </c>
      <c r="AB215" s="6"/>
      <c r="AC215" s="258"/>
      <c r="AD215" s="251"/>
    </row>
    <row r="216" spans="15:30" x14ac:dyDescent="0.3">
      <c r="O216" s="98"/>
      <c r="T216" s="250"/>
      <c r="U216" s="252">
        <f t="shared" si="3"/>
        <v>44161</v>
      </c>
      <c r="V216" s="6"/>
      <c r="W216" s="253">
        <v>1542097</v>
      </c>
      <c r="X216" s="6"/>
      <c r="Y216" s="44">
        <v>0.11799999999999999</v>
      </c>
      <c r="Z216" s="6"/>
      <c r="AA216" s="254">
        <f t="shared" si="11"/>
        <v>49198</v>
      </c>
      <c r="AB216" s="6"/>
      <c r="AC216" s="258"/>
      <c r="AD216" s="251"/>
    </row>
    <row r="217" spans="15:30" x14ac:dyDescent="0.3">
      <c r="O217" s="98"/>
      <c r="T217" s="250"/>
      <c r="U217" s="252">
        <f t="shared" si="3"/>
        <v>44162</v>
      </c>
      <c r="V217" s="6"/>
      <c r="W217" s="253">
        <v>1532655</v>
      </c>
      <c r="X217" s="6"/>
      <c r="Y217" s="44">
        <v>0.11600000000000001</v>
      </c>
      <c r="Z217" s="6"/>
      <c r="AA217" s="254">
        <f t="shared" ref="AA217:AA248" si="12">+W216-W217</f>
        <v>9442</v>
      </c>
      <c r="AB217" s="6"/>
      <c r="AC217" s="258"/>
      <c r="AD217" s="251"/>
    </row>
    <row r="218" spans="15:30" x14ac:dyDescent="0.3">
      <c r="O218" s="98"/>
      <c r="T218" s="250"/>
      <c r="U218" s="252">
        <f t="shared" si="3"/>
        <v>44163</v>
      </c>
      <c r="V218" s="6"/>
      <c r="W218" s="253">
        <v>1484025</v>
      </c>
      <c r="X218" s="6"/>
      <c r="Y218" s="44">
        <v>0.111</v>
      </c>
      <c r="Z218" s="6"/>
      <c r="AA218" s="254">
        <f t="shared" si="12"/>
        <v>48630</v>
      </c>
      <c r="AB218" s="6"/>
      <c r="AC218" s="258"/>
      <c r="AD218" s="251"/>
    </row>
    <row r="219" spans="15:30" x14ac:dyDescent="0.3">
      <c r="O219" s="98"/>
      <c r="T219" s="250"/>
      <c r="U219" s="252">
        <f t="shared" si="3"/>
        <v>44164</v>
      </c>
      <c r="V219" s="6"/>
      <c r="W219" s="253">
        <v>1418209</v>
      </c>
      <c r="X219" s="6"/>
      <c r="Y219" s="44">
        <v>0.105</v>
      </c>
      <c r="Z219" s="6"/>
      <c r="AA219" s="254">
        <f t="shared" si="12"/>
        <v>65816</v>
      </c>
      <c r="AB219" s="6"/>
      <c r="AC219" s="258"/>
      <c r="AD219" s="251"/>
    </row>
    <row r="220" spans="15:30" x14ac:dyDescent="0.3">
      <c r="O220" s="98"/>
      <c r="T220" s="250"/>
      <c r="U220" s="252">
        <f t="shared" si="3"/>
        <v>44165</v>
      </c>
      <c r="V220" s="6"/>
      <c r="W220" s="253">
        <v>1407423</v>
      </c>
      <c r="X220" s="6"/>
      <c r="Y220" s="44">
        <v>0.10299999999999999</v>
      </c>
      <c r="Z220" s="6"/>
      <c r="AA220" s="254">
        <f t="shared" si="12"/>
        <v>10786</v>
      </c>
      <c r="AB220" s="6"/>
      <c r="AC220" s="258"/>
      <c r="AD220" s="251"/>
    </row>
    <row r="221" spans="15:30" x14ac:dyDescent="0.3">
      <c r="O221" s="98"/>
      <c r="T221" s="250"/>
      <c r="U221" s="252">
        <f t="shared" si="3"/>
        <v>44166</v>
      </c>
      <c r="V221" s="6"/>
      <c r="W221" s="253">
        <v>1453487</v>
      </c>
      <c r="X221" s="6"/>
      <c r="Y221" s="44">
        <v>0.105</v>
      </c>
      <c r="Z221" s="6"/>
      <c r="AA221" s="254">
        <f t="shared" si="12"/>
        <v>-46064</v>
      </c>
      <c r="AB221" s="6"/>
      <c r="AC221" s="258"/>
      <c r="AD221" s="251"/>
    </row>
    <row r="222" spans="15:30" x14ac:dyDescent="0.3">
      <c r="O222" s="98"/>
      <c r="T222" s="250"/>
      <c r="U222" s="252">
        <f t="shared" si="3"/>
        <v>44167</v>
      </c>
      <c r="V222" s="6"/>
      <c r="W222" s="253">
        <v>1485389</v>
      </c>
      <c r="X222" s="6"/>
      <c r="Y222" s="44">
        <v>0.105</v>
      </c>
      <c r="Z222" s="6"/>
      <c r="AA222" s="254">
        <f t="shared" si="12"/>
        <v>-31902</v>
      </c>
      <c r="AB222" s="6"/>
      <c r="AC222" s="258"/>
      <c r="AD222" s="251"/>
    </row>
    <row r="223" spans="15:30" x14ac:dyDescent="0.3">
      <c r="O223" s="98"/>
      <c r="T223" s="250"/>
      <c r="U223" s="252">
        <f t="shared" si="3"/>
        <v>44168</v>
      </c>
      <c r="V223" s="6"/>
      <c r="W223" s="253">
        <v>1526892</v>
      </c>
      <c r="X223" s="6"/>
      <c r="Y223" s="44">
        <v>0.107</v>
      </c>
      <c r="Z223" s="6"/>
      <c r="AA223" s="254">
        <f t="shared" si="12"/>
        <v>-41503</v>
      </c>
      <c r="AB223" s="6"/>
      <c r="AC223" s="258"/>
      <c r="AD223" s="251"/>
    </row>
    <row r="224" spans="15:30" x14ac:dyDescent="0.3">
      <c r="O224" s="98"/>
      <c r="T224" s="250"/>
      <c r="U224" s="252">
        <f t="shared" si="3"/>
        <v>44169</v>
      </c>
      <c r="V224" s="6"/>
      <c r="W224" s="253">
        <v>1581218</v>
      </c>
      <c r="X224" s="6"/>
      <c r="Y224" s="44">
        <v>0.109</v>
      </c>
      <c r="Z224" s="6"/>
      <c r="AA224" s="254">
        <f t="shared" si="12"/>
        <v>-54326</v>
      </c>
      <c r="AB224" s="6"/>
      <c r="AC224" s="258"/>
      <c r="AD224" s="251"/>
    </row>
    <row r="225" spans="15:30" x14ac:dyDescent="0.3">
      <c r="O225" s="98"/>
      <c r="T225" s="250"/>
      <c r="U225" s="252">
        <f t="shared" si="3"/>
        <v>44170</v>
      </c>
      <c r="V225" s="6"/>
      <c r="W225" s="253">
        <v>1685743</v>
      </c>
      <c r="X225" s="6"/>
      <c r="Y225" s="44">
        <v>0.114</v>
      </c>
      <c r="Z225" s="6"/>
      <c r="AA225" s="254">
        <f t="shared" si="12"/>
        <v>-104525</v>
      </c>
      <c r="AB225" s="6"/>
      <c r="AC225" s="258"/>
      <c r="AD225" s="251"/>
    </row>
    <row r="226" spans="15:30" x14ac:dyDescent="0.3">
      <c r="O226" s="98"/>
      <c r="T226" s="250"/>
      <c r="U226" s="252">
        <f t="shared" si="3"/>
        <v>44171</v>
      </c>
      <c r="V226" s="6"/>
      <c r="W226" s="253">
        <v>1704700</v>
      </c>
      <c r="X226" s="6"/>
      <c r="Y226" s="44">
        <v>0.114</v>
      </c>
      <c r="Z226" s="6"/>
      <c r="AA226" s="254">
        <f t="shared" si="12"/>
        <v>-18957</v>
      </c>
      <c r="AB226" s="6"/>
      <c r="AC226" s="258"/>
      <c r="AD226" s="251"/>
    </row>
    <row r="227" spans="15:30" x14ac:dyDescent="0.3">
      <c r="O227" s="98"/>
      <c r="T227" s="250"/>
      <c r="U227" s="252">
        <f t="shared" si="3"/>
        <v>44172</v>
      </c>
      <c r="V227" s="6"/>
      <c r="W227" s="253">
        <v>1761419</v>
      </c>
      <c r="X227" s="6"/>
      <c r="Y227" s="44">
        <v>0.11600000000000001</v>
      </c>
      <c r="Z227" s="6"/>
      <c r="AA227" s="254">
        <f t="shared" si="12"/>
        <v>-56719</v>
      </c>
      <c r="AB227" s="6"/>
      <c r="AC227" s="258"/>
      <c r="AD227" s="251"/>
    </row>
    <row r="228" spans="15:30" x14ac:dyDescent="0.3">
      <c r="O228" s="98"/>
      <c r="T228" s="250"/>
      <c r="U228" s="252">
        <f t="shared" si="3"/>
        <v>44173</v>
      </c>
      <c r="V228" s="6"/>
      <c r="W228" s="253">
        <v>1833392</v>
      </c>
      <c r="X228" s="6"/>
      <c r="Y228" s="44">
        <v>0.11899999999999999</v>
      </c>
      <c r="Z228" s="6"/>
      <c r="AA228" s="254">
        <f t="shared" si="12"/>
        <v>-71973</v>
      </c>
      <c r="AB228" s="6"/>
      <c r="AC228" s="258"/>
      <c r="AD228" s="251"/>
    </row>
    <row r="229" spans="15:30" x14ac:dyDescent="0.3">
      <c r="O229" s="98"/>
      <c r="T229" s="250"/>
      <c r="U229" s="252">
        <f t="shared" si="3"/>
        <v>44174</v>
      </c>
      <c r="V229" s="6"/>
      <c r="W229" s="253">
        <v>1899246</v>
      </c>
      <c r="X229" s="6"/>
      <c r="Y229" s="44">
        <v>0.122</v>
      </c>
      <c r="Z229" s="6"/>
      <c r="AA229" s="254">
        <f t="shared" si="12"/>
        <v>-65854</v>
      </c>
      <c r="AB229" s="6"/>
      <c r="AC229" s="258"/>
      <c r="AD229" s="251"/>
    </row>
    <row r="230" spans="15:30" x14ac:dyDescent="0.3">
      <c r="O230" s="98"/>
      <c r="T230" s="250"/>
      <c r="U230" s="252">
        <f t="shared" si="3"/>
        <v>44175</v>
      </c>
      <c r="V230" s="6"/>
      <c r="W230" s="253">
        <v>1944307</v>
      </c>
      <c r="X230" s="6"/>
      <c r="Y230" s="44">
        <v>0.123</v>
      </c>
      <c r="Z230" s="6"/>
      <c r="AA230" s="254">
        <f t="shared" si="12"/>
        <v>-45061</v>
      </c>
      <c r="AB230" s="6"/>
      <c r="AC230" s="258"/>
      <c r="AD230" s="251"/>
    </row>
    <row r="231" spans="15:30" x14ac:dyDescent="0.3">
      <c r="O231" s="98"/>
      <c r="T231" s="250"/>
      <c r="U231" s="252">
        <f t="shared" si="3"/>
        <v>44176</v>
      </c>
      <c r="V231" s="6"/>
      <c r="W231" s="253">
        <v>1987303</v>
      </c>
      <c r="X231" s="6"/>
      <c r="Y231" s="44">
        <v>0.124</v>
      </c>
      <c r="Z231" s="6"/>
      <c r="AA231" s="254">
        <f t="shared" si="12"/>
        <v>-42996</v>
      </c>
      <c r="AB231" s="6"/>
      <c r="AC231" s="258"/>
      <c r="AD231" s="251"/>
    </row>
    <row r="232" spans="15:30" x14ac:dyDescent="0.3">
      <c r="O232" s="98"/>
      <c r="T232" s="250"/>
      <c r="U232" s="252">
        <f t="shared" si="3"/>
        <v>44177</v>
      </c>
      <c r="V232" s="6"/>
      <c r="W232" s="253">
        <v>1989224</v>
      </c>
      <c r="X232" s="6"/>
      <c r="Y232" s="44">
        <v>0.122</v>
      </c>
      <c r="Z232" s="6"/>
      <c r="AA232" s="254">
        <f t="shared" si="12"/>
        <v>-1921</v>
      </c>
      <c r="AB232" s="6"/>
      <c r="AC232" s="258"/>
      <c r="AD232" s="251"/>
    </row>
    <row r="233" spans="15:30" x14ac:dyDescent="0.3">
      <c r="O233" s="98"/>
      <c r="T233" s="250"/>
      <c r="U233" s="252">
        <f t="shared" si="3"/>
        <v>44178</v>
      </c>
      <c r="V233" s="6"/>
      <c r="W233" s="253">
        <v>1941941</v>
      </c>
      <c r="X233" s="6"/>
      <c r="Y233" s="44">
        <v>0.11799999999999999</v>
      </c>
      <c r="Z233" s="6"/>
      <c r="AA233" s="254">
        <f t="shared" si="12"/>
        <v>47283</v>
      </c>
      <c r="AB233" s="6"/>
      <c r="AC233" s="258"/>
      <c r="AD233" s="251"/>
    </row>
    <row r="234" spans="15:30" x14ac:dyDescent="0.3">
      <c r="O234" s="98"/>
      <c r="T234" s="250"/>
      <c r="U234" s="252">
        <f t="shared" si="3"/>
        <v>44179</v>
      </c>
      <c r="V234" s="6"/>
      <c r="W234" s="253">
        <v>1929441</v>
      </c>
      <c r="X234" s="6"/>
      <c r="Y234" s="44">
        <v>0.11600000000000001</v>
      </c>
      <c r="Z234" s="6"/>
      <c r="AA234" s="254">
        <f t="shared" si="12"/>
        <v>12500</v>
      </c>
      <c r="AB234" s="6"/>
      <c r="AC234" s="258"/>
      <c r="AD234" s="251"/>
    </row>
    <row r="235" spans="15:30" x14ac:dyDescent="0.3">
      <c r="O235" s="98"/>
      <c r="T235" s="250"/>
      <c r="U235" s="252">
        <f t="shared" si="3"/>
        <v>44180</v>
      </c>
      <c r="V235" s="6"/>
      <c r="W235" s="253">
        <v>1947140</v>
      </c>
      <c r="X235" s="6"/>
      <c r="Y235" s="44">
        <v>0.11600000000000001</v>
      </c>
      <c r="Z235" s="6"/>
      <c r="AA235" s="254">
        <f t="shared" si="12"/>
        <v>-17699</v>
      </c>
      <c r="AB235" s="6"/>
      <c r="AC235" s="258"/>
      <c r="AD235" s="251"/>
    </row>
    <row r="236" spans="15:30" x14ac:dyDescent="0.3">
      <c r="O236" s="98"/>
      <c r="T236" s="250"/>
      <c r="U236" s="252">
        <f t="shared" si="3"/>
        <v>44181</v>
      </c>
      <c r="V236" s="6"/>
      <c r="W236" s="253">
        <v>1997228</v>
      </c>
      <c r="X236" s="6"/>
      <c r="Y236" s="44">
        <v>0.11700000000000001</v>
      </c>
      <c r="Z236" s="6"/>
      <c r="AA236" s="254">
        <f t="shared" si="12"/>
        <v>-50088</v>
      </c>
      <c r="AB236" s="6"/>
      <c r="AC236" s="258"/>
      <c r="AD236" s="251"/>
    </row>
    <row r="237" spans="15:30" x14ac:dyDescent="0.3">
      <c r="O237" s="98"/>
      <c r="T237" s="250"/>
      <c r="U237" s="252">
        <f t="shared" si="3"/>
        <v>44182</v>
      </c>
      <c r="V237" s="6"/>
      <c r="W237" s="253">
        <v>2025245</v>
      </c>
      <c r="X237" s="6"/>
      <c r="Y237" s="44">
        <v>0.11700000000000001</v>
      </c>
      <c r="Z237" s="6"/>
      <c r="AA237" s="254">
        <f t="shared" si="12"/>
        <v>-28017</v>
      </c>
      <c r="AB237" s="6"/>
      <c r="AC237" s="258"/>
      <c r="AD237" s="251"/>
    </row>
    <row r="238" spans="15:30" x14ac:dyDescent="0.3">
      <c r="O238" s="98"/>
      <c r="T238" s="250"/>
      <c r="U238" s="252">
        <f t="shared" si="3"/>
        <v>44183</v>
      </c>
      <c r="V238" s="6"/>
      <c r="W238" s="253">
        <v>2052777</v>
      </c>
      <c r="X238" s="6"/>
      <c r="Y238" s="44">
        <v>0.11700000000000001</v>
      </c>
      <c r="Z238" s="6"/>
      <c r="AA238" s="254">
        <f t="shared" si="12"/>
        <v>-27532</v>
      </c>
      <c r="AB238" s="6"/>
      <c r="AC238" s="258"/>
      <c r="AD238" s="251"/>
    </row>
    <row r="239" spans="15:30" x14ac:dyDescent="0.3">
      <c r="O239" s="98"/>
      <c r="T239" s="250"/>
      <c r="U239" s="252">
        <f t="shared" si="3"/>
        <v>44184</v>
      </c>
      <c r="V239" s="6"/>
      <c r="W239" s="253">
        <v>2015065</v>
      </c>
      <c r="X239" s="6"/>
      <c r="Y239" s="44">
        <v>0.113</v>
      </c>
      <c r="Z239" s="6"/>
      <c r="AA239" s="254">
        <f t="shared" si="12"/>
        <v>37712</v>
      </c>
      <c r="AB239" s="6"/>
      <c r="AC239" s="258"/>
      <c r="AD239" s="251"/>
    </row>
    <row r="240" spans="15:30" x14ac:dyDescent="0.3">
      <c r="O240" s="98"/>
      <c r="T240" s="250"/>
      <c r="U240" s="252">
        <f t="shared" si="3"/>
        <v>44185</v>
      </c>
      <c r="V240" s="6"/>
      <c r="W240" s="253">
        <v>1956618</v>
      </c>
      <c r="X240" s="6"/>
      <c r="Y240" s="44">
        <v>0.109</v>
      </c>
      <c r="Z240" s="6"/>
      <c r="AA240" s="254">
        <f t="shared" si="12"/>
        <v>58447</v>
      </c>
      <c r="AB240" s="6"/>
      <c r="AC240" s="258"/>
      <c r="AD240" s="251"/>
    </row>
    <row r="241" spans="15:30" x14ac:dyDescent="0.3">
      <c r="O241" s="98"/>
      <c r="T241" s="250"/>
      <c r="U241" s="252">
        <f t="shared" si="3"/>
        <v>44186</v>
      </c>
      <c r="V241" s="6"/>
      <c r="W241" s="253">
        <v>1936501</v>
      </c>
      <c r="X241" s="6"/>
      <c r="Y241" s="44">
        <v>0.107</v>
      </c>
      <c r="Z241" s="6"/>
      <c r="AA241" s="254">
        <f t="shared" si="12"/>
        <v>20117</v>
      </c>
      <c r="AB241" s="6"/>
      <c r="AC241" s="258"/>
      <c r="AD241" s="251"/>
    </row>
    <row r="242" spans="15:30" x14ac:dyDescent="0.3">
      <c r="O242" s="98"/>
      <c r="T242" s="250"/>
      <c r="U242" s="252">
        <f t="shared" si="3"/>
        <v>44187</v>
      </c>
      <c r="V242" s="6"/>
      <c r="W242" s="253">
        <v>1948004</v>
      </c>
      <c r="X242" s="6"/>
      <c r="Y242" s="44">
        <v>0.106</v>
      </c>
      <c r="Z242" s="6"/>
      <c r="AA242" s="254">
        <f t="shared" si="12"/>
        <v>-11503</v>
      </c>
      <c r="AB242" s="6"/>
      <c r="AC242" s="258"/>
      <c r="AD242" s="251"/>
    </row>
    <row r="243" spans="15:30" x14ac:dyDescent="0.3">
      <c r="O243" s="98"/>
      <c r="T243" s="250"/>
      <c r="U243" s="252">
        <f t="shared" si="3"/>
        <v>44188</v>
      </c>
      <c r="V243" s="6"/>
      <c r="W243" s="253">
        <v>1980949</v>
      </c>
      <c r="X243" s="6"/>
      <c r="Y243" s="44">
        <v>0.106</v>
      </c>
      <c r="Z243" s="6"/>
      <c r="AA243" s="254">
        <f t="shared" si="12"/>
        <v>-32945</v>
      </c>
      <c r="AB243" s="6"/>
      <c r="AC243" s="258"/>
      <c r="AD243" s="251"/>
    </row>
    <row r="244" spans="15:30" x14ac:dyDescent="0.3">
      <c r="O244" s="98"/>
      <c r="T244" s="250"/>
      <c r="U244" s="252">
        <f t="shared" si="3"/>
        <v>44189</v>
      </c>
      <c r="V244" s="6"/>
      <c r="W244" s="253">
        <v>1973991</v>
      </c>
      <c r="X244" s="6"/>
      <c r="Y244" s="44">
        <f>+L$36</f>
        <v>3.0585048511314601E-3</v>
      </c>
      <c r="Z244" s="6"/>
      <c r="AA244" s="254">
        <f t="shared" si="12"/>
        <v>6958</v>
      </c>
      <c r="AB244" s="6"/>
      <c r="AC244" s="258"/>
      <c r="AD244" s="251"/>
    </row>
    <row r="245" spans="15:30" x14ac:dyDescent="0.3">
      <c r="O245" s="98"/>
      <c r="T245" s="250"/>
      <c r="U245" s="252">
        <f t="shared" si="3"/>
        <v>44190</v>
      </c>
      <c r="V245" s="6"/>
      <c r="W245" s="253">
        <v>1822535</v>
      </c>
      <c r="X245" s="6"/>
      <c r="Y245" s="44">
        <v>9.6000000000000002E-2</v>
      </c>
      <c r="Z245" s="6"/>
      <c r="AA245" s="254">
        <f t="shared" si="12"/>
        <v>151456</v>
      </c>
      <c r="AB245" s="6"/>
      <c r="AC245" s="258"/>
      <c r="AD245" s="251"/>
    </row>
    <row r="246" spans="15:30" x14ac:dyDescent="0.3">
      <c r="O246" s="98"/>
      <c r="T246" s="250"/>
      <c r="U246" s="252">
        <f t="shared" si="3"/>
        <v>44191</v>
      </c>
      <c r="V246" s="6"/>
      <c r="W246" s="253">
        <v>1745192</v>
      </c>
      <c r="X246" s="6"/>
      <c r="Y246" s="44">
        <v>9.1999999999999998E-2</v>
      </c>
      <c r="Z246" s="6"/>
      <c r="AA246" s="254">
        <f t="shared" si="12"/>
        <v>77343</v>
      </c>
      <c r="AB246" s="6"/>
      <c r="AC246" s="258"/>
      <c r="AD246" s="251"/>
    </row>
    <row r="247" spans="15:30" x14ac:dyDescent="0.3">
      <c r="O247" s="98"/>
      <c r="T247" s="250"/>
      <c r="U247" s="252">
        <f t="shared" si="3"/>
        <v>44192</v>
      </c>
      <c r="V247" s="6"/>
      <c r="W247" s="253">
        <v>1618347</v>
      </c>
      <c r="X247" s="6"/>
      <c r="Y247" s="44">
        <v>8.4000000000000005E-2</v>
      </c>
      <c r="Z247" s="6"/>
      <c r="AA247" s="254">
        <f t="shared" si="12"/>
        <v>126845</v>
      </c>
      <c r="AB247" s="6"/>
      <c r="AC247" s="258"/>
      <c r="AD247" s="251"/>
    </row>
    <row r="248" spans="15:30" x14ac:dyDescent="0.3">
      <c r="O248" s="98"/>
      <c r="T248" s="250"/>
      <c r="U248" s="252">
        <f t="shared" si="3"/>
        <v>44193</v>
      </c>
      <c r="V248" s="6"/>
      <c r="W248" s="253">
        <v>1615328</v>
      </c>
      <c r="X248" s="6"/>
      <c r="Y248" s="44">
        <v>8.3000000000000004E-2</v>
      </c>
      <c r="Z248" s="6"/>
      <c r="AA248" s="254">
        <f t="shared" si="12"/>
        <v>3019</v>
      </c>
      <c r="AB248" s="6"/>
      <c r="AC248" s="258"/>
      <c r="AD248" s="251"/>
    </row>
    <row r="249" spans="15:30" x14ac:dyDescent="0.3">
      <c r="O249" s="98"/>
      <c r="T249" s="250"/>
      <c r="U249" s="252">
        <f t="shared" si="3"/>
        <v>44194</v>
      </c>
      <c r="V249" s="6"/>
      <c r="W249" s="253">
        <v>1626890</v>
      </c>
      <c r="X249" s="6"/>
      <c r="Y249" s="44">
        <v>8.3000000000000004E-2</v>
      </c>
      <c r="Z249" s="6"/>
      <c r="AA249" s="254">
        <f t="shared" ref="AA249:AA280" si="13">+W248-W249</f>
        <v>-11562</v>
      </c>
      <c r="AB249" s="6"/>
      <c r="AC249" s="258"/>
      <c r="AD249" s="251"/>
    </row>
    <row r="250" spans="15:30" x14ac:dyDescent="0.3">
      <c r="O250" s="98"/>
      <c r="T250" s="250"/>
      <c r="U250" s="252">
        <f t="shared" si="3"/>
        <v>44195</v>
      </c>
      <c r="V250" s="6"/>
      <c r="W250" s="253">
        <v>1661736</v>
      </c>
      <c r="X250" s="6"/>
      <c r="Y250" s="44">
        <v>8.4000000000000005E-2</v>
      </c>
      <c r="Z250" s="6"/>
      <c r="AA250" s="254">
        <f t="shared" si="13"/>
        <v>-34846</v>
      </c>
      <c r="AB250" s="6"/>
      <c r="AC250" s="258"/>
      <c r="AD250" s="251"/>
    </row>
    <row r="251" spans="15:30" x14ac:dyDescent="0.3">
      <c r="O251" s="98"/>
      <c r="T251" s="250"/>
      <c r="U251" s="252">
        <f t="shared" si="3"/>
        <v>44196</v>
      </c>
      <c r="V251" s="6"/>
      <c r="W251" s="253">
        <v>1690971</v>
      </c>
      <c r="X251" s="6"/>
      <c r="Y251" s="44">
        <v>8.4000000000000005E-2</v>
      </c>
      <c r="Z251" s="6"/>
      <c r="AA251" s="254">
        <f t="shared" si="13"/>
        <v>-29235</v>
      </c>
      <c r="AB251" s="6"/>
      <c r="AC251" s="258"/>
      <c r="AD251" s="251"/>
    </row>
    <row r="252" spans="15:30" x14ac:dyDescent="0.3">
      <c r="O252" s="98"/>
      <c r="T252" s="250"/>
      <c r="U252" s="252">
        <f t="shared" si="3"/>
        <v>44197</v>
      </c>
      <c r="V252" s="6"/>
      <c r="W252" s="253">
        <v>1691162</v>
      </c>
      <c r="X252" s="6"/>
      <c r="Y252" s="44">
        <v>8.4000000000000005E-2</v>
      </c>
      <c r="Z252" s="6"/>
      <c r="AA252" s="254">
        <f t="shared" si="13"/>
        <v>-191</v>
      </c>
      <c r="AB252" s="6"/>
      <c r="AC252" s="258"/>
      <c r="AD252" s="251"/>
    </row>
    <row r="253" spans="15:30" x14ac:dyDescent="0.3">
      <c r="O253" s="98"/>
      <c r="T253" s="250"/>
      <c r="U253" s="252">
        <f t="shared" si="3"/>
        <v>44198</v>
      </c>
      <c r="V253" s="6"/>
      <c r="W253" s="253">
        <v>1856944</v>
      </c>
      <c r="X253" s="6"/>
      <c r="Y253" s="44">
        <v>9.0999999999999998E-2</v>
      </c>
      <c r="Z253" s="6"/>
      <c r="AA253" s="254">
        <f t="shared" si="13"/>
        <v>-165782</v>
      </c>
      <c r="AB253" s="6"/>
      <c r="AC253" s="258"/>
      <c r="AD253" s="251"/>
    </row>
    <row r="254" spans="15:30" x14ac:dyDescent="0.3">
      <c r="O254" s="98"/>
      <c r="T254" s="250"/>
      <c r="U254" s="252">
        <f t="shared" si="3"/>
        <v>44199</v>
      </c>
      <c r="V254" s="6"/>
      <c r="W254" s="253">
        <v>1858357</v>
      </c>
      <c r="X254" s="6"/>
      <c r="Y254" s="44">
        <v>0.09</v>
      </c>
      <c r="Z254" s="6"/>
      <c r="AA254" s="254">
        <f t="shared" si="13"/>
        <v>-1413</v>
      </c>
      <c r="AB254" s="6"/>
      <c r="AC254" s="258"/>
      <c r="AD254" s="251"/>
    </row>
    <row r="255" spans="15:30" x14ac:dyDescent="0.3">
      <c r="O255" s="98"/>
      <c r="T255" s="250"/>
      <c r="U255" s="252">
        <f t="shared" ref="U255:U261" si="14">+U254+1</f>
        <v>44200</v>
      </c>
      <c r="V255" s="6"/>
      <c r="W255" s="253">
        <v>1759735</v>
      </c>
      <c r="X255" s="6"/>
      <c r="Y255" s="44">
        <v>8.5000000000000006E-2</v>
      </c>
      <c r="Z255" s="6"/>
      <c r="AA255" s="254">
        <f t="shared" si="13"/>
        <v>98622</v>
      </c>
      <c r="AB255" s="6"/>
      <c r="AC255" s="258"/>
      <c r="AD255" s="251"/>
    </row>
    <row r="256" spans="15:30" x14ac:dyDescent="0.3">
      <c r="O256" s="98"/>
      <c r="T256" s="250"/>
      <c r="U256" s="252">
        <f t="shared" si="14"/>
        <v>44201</v>
      </c>
      <c r="V256" s="6"/>
      <c r="W256" s="253">
        <v>2023258</v>
      </c>
      <c r="X256" s="6"/>
      <c r="Y256" s="44">
        <v>9.6000000000000002E-2</v>
      </c>
      <c r="Z256" s="6"/>
      <c r="AA256" s="254">
        <f t="shared" si="13"/>
        <v>-263523</v>
      </c>
      <c r="AB256" s="6"/>
      <c r="AC256" s="258"/>
      <c r="AD256" s="251"/>
    </row>
    <row r="257" spans="15:30" x14ac:dyDescent="0.3">
      <c r="O257" s="98"/>
      <c r="T257" s="250"/>
      <c r="U257" s="252">
        <f t="shared" si="14"/>
        <v>44202</v>
      </c>
      <c r="V257" s="6"/>
      <c r="W257" s="253">
        <v>2156690</v>
      </c>
      <c r="X257" s="6"/>
      <c r="Y257" s="44">
        <v>0.10100000000000001</v>
      </c>
      <c r="Z257" s="6"/>
      <c r="AA257" s="254">
        <f t="shared" si="13"/>
        <v>-133432</v>
      </c>
      <c r="AB257" s="6"/>
      <c r="AC257" s="258"/>
      <c r="AD257" s="251"/>
    </row>
    <row r="258" spans="15:30" x14ac:dyDescent="0.3">
      <c r="O258" s="98"/>
      <c r="T258" s="250"/>
      <c r="U258" s="252">
        <f t="shared" si="14"/>
        <v>44203</v>
      </c>
      <c r="V258" s="6"/>
      <c r="W258" s="253">
        <v>2244489</v>
      </c>
      <c r="X258" s="6"/>
      <c r="Y258" s="44">
        <v>0.104</v>
      </c>
      <c r="Z258" s="6"/>
      <c r="AA258" s="254">
        <f t="shared" si="13"/>
        <v>-87799</v>
      </c>
      <c r="AB258" s="6"/>
      <c r="AC258" s="258"/>
      <c r="AD258" s="251"/>
    </row>
    <row r="259" spans="15:30" x14ac:dyDescent="0.3">
      <c r="O259" s="98"/>
      <c r="T259" s="250"/>
      <c r="U259" s="252">
        <f t="shared" si="14"/>
        <v>44204</v>
      </c>
      <c r="V259" s="6"/>
      <c r="W259" s="253">
        <v>2351421</v>
      </c>
      <c r="X259" s="6"/>
      <c r="Y259" s="44">
        <v>0.107</v>
      </c>
      <c r="Z259" s="6"/>
      <c r="AA259" s="254">
        <f t="shared" si="13"/>
        <v>-106932</v>
      </c>
      <c r="AB259" s="6"/>
      <c r="AC259" s="258"/>
      <c r="AD259" s="251"/>
    </row>
    <row r="260" spans="15:30" x14ac:dyDescent="0.3">
      <c r="O260" s="98"/>
      <c r="T260" s="250"/>
      <c r="U260" s="252">
        <f t="shared" si="14"/>
        <v>44205</v>
      </c>
      <c r="V260" s="6"/>
      <c r="W260" s="253">
        <v>2366212</v>
      </c>
      <c r="X260" s="6"/>
      <c r="Y260" s="44">
        <v>0.107</v>
      </c>
      <c r="Z260" s="6"/>
      <c r="AA260" s="254">
        <f t="shared" si="13"/>
        <v>-14791</v>
      </c>
      <c r="AB260" s="6"/>
      <c r="AC260" s="258"/>
      <c r="AD260" s="251"/>
    </row>
    <row r="261" spans="15:30" x14ac:dyDescent="0.3">
      <c r="O261" s="98"/>
      <c r="T261" s="250"/>
      <c r="U261" s="252">
        <f t="shared" si="14"/>
        <v>44206</v>
      </c>
      <c r="V261" s="6"/>
      <c r="W261" s="253">
        <v>2358626</v>
      </c>
      <c r="X261" s="6"/>
      <c r="Y261" s="44">
        <v>0.10299999999999999</v>
      </c>
      <c r="Z261" s="6"/>
      <c r="AA261" s="254">
        <f t="shared" si="13"/>
        <v>7586</v>
      </c>
      <c r="AB261" s="6"/>
      <c r="AC261" s="258"/>
      <c r="AD261" s="251"/>
    </row>
    <row r="262" spans="15:30" x14ac:dyDescent="0.3">
      <c r="O262" s="98"/>
      <c r="T262" s="250"/>
      <c r="U262" s="252">
        <f t="shared" ref="U262:U306" si="15">+U261+1</f>
        <v>44207</v>
      </c>
      <c r="V262" s="6"/>
      <c r="W262" s="253">
        <v>2407265</v>
      </c>
      <c r="X262" s="6"/>
      <c r="Y262" s="44">
        <v>0.104</v>
      </c>
      <c r="Z262" s="6"/>
      <c r="AA262" s="254">
        <f t="shared" si="13"/>
        <v>-48639</v>
      </c>
      <c r="AB262" s="6"/>
      <c r="AC262" s="258"/>
      <c r="AD262" s="251"/>
    </row>
    <row r="263" spans="15:30" x14ac:dyDescent="0.3">
      <c r="O263" s="98"/>
      <c r="T263" s="250"/>
      <c r="U263" s="252">
        <f t="shared" si="15"/>
        <v>44208</v>
      </c>
      <c r="V263" s="6"/>
      <c r="W263" s="253">
        <v>2398876</v>
      </c>
      <c r="X263" s="6"/>
      <c r="Y263" s="44">
        <v>0.10299999999999999</v>
      </c>
      <c r="Z263" s="6"/>
      <c r="AA263" s="254">
        <f t="shared" si="13"/>
        <v>8389</v>
      </c>
      <c r="AB263" s="6"/>
      <c r="AC263" s="258"/>
      <c r="AD263" s="251"/>
    </row>
    <row r="264" spans="15:30" x14ac:dyDescent="0.3">
      <c r="O264" s="98"/>
      <c r="T264" s="250"/>
      <c r="U264" s="252">
        <f t="shared" si="15"/>
        <v>44209</v>
      </c>
      <c r="V264" s="6"/>
      <c r="W264" s="253">
        <v>2442612</v>
      </c>
      <c r="X264" s="6"/>
      <c r="Y264" s="44">
        <v>0.10299999999999999</v>
      </c>
      <c r="Z264" s="6"/>
      <c r="AA264" s="254">
        <f t="shared" si="13"/>
        <v>-43736</v>
      </c>
      <c r="AB264" s="6"/>
      <c r="AC264" s="258"/>
      <c r="AD264" s="251"/>
    </row>
    <row r="265" spans="15:30" x14ac:dyDescent="0.3">
      <c r="O265" s="98"/>
      <c r="T265" s="250"/>
      <c r="U265" s="252">
        <f t="shared" si="15"/>
        <v>44210</v>
      </c>
      <c r="V265" s="6"/>
      <c r="W265" s="253">
        <v>2486879</v>
      </c>
      <c r="X265" s="6"/>
      <c r="Y265" s="44">
        <v>0.104</v>
      </c>
      <c r="Z265" s="6"/>
      <c r="AA265" s="254">
        <f t="shared" si="13"/>
        <v>-44267</v>
      </c>
      <c r="AB265" s="6"/>
      <c r="AC265" s="258"/>
      <c r="AD265" s="251"/>
    </row>
    <row r="266" spans="15:30" x14ac:dyDescent="0.3">
      <c r="O266" s="98"/>
      <c r="T266" s="250"/>
      <c r="U266" s="252">
        <f t="shared" si="15"/>
        <v>44211</v>
      </c>
      <c r="V266" s="6"/>
      <c r="W266" s="253">
        <v>2500679</v>
      </c>
      <c r="X266" s="6"/>
      <c r="Y266" s="44">
        <v>0.104</v>
      </c>
      <c r="Z266" s="6"/>
      <c r="AA266" s="254">
        <f t="shared" si="13"/>
        <v>-13800</v>
      </c>
      <c r="AB266" s="6"/>
      <c r="AC266" s="258"/>
      <c r="AD266" s="251"/>
    </row>
    <row r="267" spans="15:30" x14ac:dyDescent="0.3">
      <c r="O267" s="98"/>
      <c r="T267" s="250"/>
      <c r="U267" s="252">
        <f t="shared" si="15"/>
        <v>44212</v>
      </c>
      <c r="V267" s="6"/>
      <c r="W267" s="253">
        <v>2442386</v>
      </c>
      <c r="X267" s="6"/>
      <c r="Y267" s="44">
        <v>0.10100000000000001</v>
      </c>
      <c r="Z267" s="6"/>
      <c r="AA267" s="254">
        <f t="shared" si="13"/>
        <v>58293</v>
      </c>
      <c r="AB267" s="6"/>
      <c r="AC267" s="258"/>
      <c r="AD267" s="251"/>
    </row>
    <row r="268" spans="15:30" x14ac:dyDescent="0.3">
      <c r="O268" s="98"/>
      <c r="T268" s="250"/>
      <c r="U268" s="252">
        <f t="shared" si="15"/>
        <v>44213</v>
      </c>
      <c r="V268" s="6"/>
      <c r="W268" s="253">
        <v>2342632</v>
      </c>
      <c r="X268" s="6"/>
      <c r="Y268" s="44">
        <v>9.6000000000000002E-2</v>
      </c>
      <c r="Z268" s="6"/>
      <c r="AA268" s="254">
        <f t="shared" si="13"/>
        <v>99754</v>
      </c>
      <c r="AB268" s="6"/>
      <c r="AC268" s="258"/>
      <c r="AD268" s="251"/>
    </row>
    <row r="269" spans="15:30" x14ac:dyDescent="0.3">
      <c r="O269" s="98"/>
      <c r="T269" s="250"/>
      <c r="U269" s="252">
        <f t="shared" si="15"/>
        <v>44214</v>
      </c>
      <c r="V269" s="6"/>
      <c r="W269" s="253">
        <v>2185337</v>
      </c>
      <c r="X269" s="6"/>
      <c r="Y269" s="44">
        <v>8.8999999999999996E-2</v>
      </c>
      <c r="Z269" s="6"/>
      <c r="AA269" s="254">
        <f t="shared" si="13"/>
        <v>157295</v>
      </c>
      <c r="AB269" s="6"/>
      <c r="AC269" s="258"/>
      <c r="AD269" s="251"/>
    </row>
    <row r="270" spans="15:30" x14ac:dyDescent="0.3">
      <c r="O270" s="98"/>
      <c r="T270" s="250"/>
      <c r="U270" s="252">
        <f t="shared" si="15"/>
        <v>44215</v>
      </c>
      <c r="V270" s="6"/>
      <c r="W270" s="253">
        <v>2109887</v>
      </c>
      <c r="X270" s="6"/>
      <c r="Y270" s="44">
        <v>8.5000000000000006E-2</v>
      </c>
      <c r="Z270" s="6"/>
      <c r="AA270" s="254">
        <f t="shared" si="13"/>
        <v>75450</v>
      </c>
      <c r="AB270" s="6"/>
      <c r="AC270" s="258"/>
      <c r="AD270" s="251"/>
    </row>
    <row r="271" spans="15:30" x14ac:dyDescent="0.3">
      <c r="O271" s="98"/>
      <c r="T271" s="250"/>
      <c r="U271" s="252">
        <f t="shared" si="15"/>
        <v>44216</v>
      </c>
      <c r="V271" s="6"/>
      <c r="W271" s="253">
        <v>2079141</v>
      </c>
      <c r="X271" s="6"/>
      <c r="Y271" s="44">
        <v>8.3000000000000004E-2</v>
      </c>
      <c r="Z271" s="6"/>
      <c r="AA271" s="254">
        <f t="shared" si="13"/>
        <v>30746</v>
      </c>
      <c r="AB271" s="6"/>
      <c r="AC271" s="258"/>
      <c r="AD271" s="251"/>
    </row>
    <row r="272" spans="15:30" x14ac:dyDescent="0.3">
      <c r="O272" s="98"/>
      <c r="T272" s="250"/>
      <c r="U272" s="252">
        <f t="shared" si="15"/>
        <v>44217</v>
      </c>
      <c r="V272" s="6"/>
      <c r="W272" s="253">
        <v>2057451</v>
      </c>
      <c r="X272" s="6"/>
      <c r="Y272" s="44">
        <v>8.2000000000000003E-2</v>
      </c>
      <c r="Z272" s="6"/>
      <c r="AA272" s="254">
        <f t="shared" si="13"/>
        <v>21690</v>
      </c>
      <c r="AB272" s="6"/>
      <c r="AC272" s="258"/>
      <c r="AD272" s="251"/>
    </row>
    <row r="273" spans="15:30" x14ac:dyDescent="0.3">
      <c r="O273" s="98"/>
      <c r="T273" s="250"/>
      <c r="U273" s="252">
        <f t="shared" si="15"/>
        <v>44218</v>
      </c>
      <c r="V273" s="6"/>
      <c r="W273" s="253">
        <v>2025888</v>
      </c>
      <c r="X273" s="6"/>
      <c r="Y273" s="44">
        <v>0.08</v>
      </c>
      <c r="Z273" s="6"/>
      <c r="AA273" s="254">
        <f t="shared" si="13"/>
        <v>31563</v>
      </c>
      <c r="AB273" s="6"/>
      <c r="AC273" s="258"/>
      <c r="AD273" s="251"/>
    </row>
    <row r="274" spans="15:30" x14ac:dyDescent="0.3">
      <c r="O274" s="98"/>
      <c r="T274" s="250"/>
      <c r="U274" s="252">
        <f t="shared" si="15"/>
        <v>44219</v>
      </c>
      <c r="V274" s="6"/>
      <c r="W274" s="253">
        <v>1960227</v>
      </c>
      <c r="X274" s="6"/>
      <c r="Y274" s="44">
        <v>7.6999999999999999E-2</v>
      </c>
      <c r="Z274" s="6"/>
      <c r="AA274" s="254">
        <f t="shared" si="13"/>
        <v>65661</v>
      </c>
      <c r="AB274" s="6"/>
      <c r="AC274" s="258"/>
      <c r="AD274" s="251"/>
    </row>
    <row r="275" spans="15:30" x14ac:dyDescent="0.3">
      <c r="O275" s="98"/>
      <c r="T275" s="250"/>
      <c r="U275" s="252">
        <f t="shared" si="15"/>
        <v>44220</v>
      </c>
      <c r="V275" s="6"/>
      <c r="W275" s="253">
        <v>1860532</v>
      </c>
      <c r="X275" s="6"/>
      <c r="Y275" s="44">
        <v>7.1999999999999995E-2</v>
      </c>
      <c r="Z275" s="6"/>
      <c r="AA275" s="254">
        <f t="shared" si="13"/>
        <v>99695</v>
      </c>
      <c r="AB275" s="6"/>
      <c r="AC275" s="258"/>
      <c r="AD275" s="251"/>
    </row>
    <row r="276" spans="15:30" x14ac:dyDescent="0.3">
      <c r="O276" s="98"/>
      <c r="T276" s="250"/>
      <c r="U276" s="252">
        <f t="shared" si="15"/>
        <v>44221</v>
      </c>
      <c r="V276" s="6"/>
      <c r="W276" s="253">
        <v>1763689</v>
      </c>
      <c r="X276" s="6"/>
      <c r="Y276" s="44">
        <v>6.8000000000000005E-2</v>
      </c>
      <c r="Z276" s="6"/>
      <c r="AA276" s="254">
        <f t="shared" si="13"/>
        <v>96843</v>
      </c>
      <c r="AB276" s="6"/>
      <c r="AC276" s="258"/>
      <c r="AD276" s="251"/>
    </row>
    <row r="277" spans="15:30" x14ac:dyDescent="0.3">
      <c r="O277" s="98"/>
      <c r="T277" s="250"/>
      <c r="U277" s="252">
        <f t="shared" si="15"/>
        <v>44222</v>
      </c>
      <c r="V277" s="6"/>
      <c r="W277" s="253">
        <v>1560511</v>
      </c>
      <c r="X277" s="6"/>
      <c r="Y277" s="44">
        <v>0.06</v>
      </c>
      <c r="Z277" s="6"/>
      <c r="AA277" s="254">
        <f t="shared" si="13"/>
        <v>203178</v>
      </c>
      <c r="AB277" s="6"/>
      <c r="AC277" s="258"/>
      <c r="AD277" s="251"/>
    </row>
    <row r="278" spans="15:30" x14ac:dyDescent="0.3">
      <c r="O278" s="98"/>
      <c r="T278" s="250"/>
      <c r="U278" s="252">
        <f t="shared" si="15"/>
        <v>44223</v>
      </c>
      <c r="V278" s="6"/>
      <c r="W278" s="253">
        <v>1697862</v>
      </c>
      <c r="X278" s="6"/>
      <c r="Y278" s="44">
        <v>6.5000000000000002E-2</v>
      </c>
      <c r="Z278" s="6"/>
      <c r="AA278" s="254">
        <f t="shared" si="13"/>
        <v>-137351</v>
      </c>
      <c r="AB278" s="6"/>
      <c r="AC278" s="258"/>
      <c r="AD278" s="251"/>
    </row>
    <row r="279" spans="15:30" x14ac:dyDescent="0.3">
      <c r="O279" s="98"/>
      <c r="T279" s="250"/>
      <c r="U279" s="252">
        <f t="shared" si="15"/>
        <v>44224</v>
      </c>
      <c r="V279" s="6"/>
      <c r="W279" s="253">
        <v>1710660</v>
      </c>
      <c r="X279" s="6"/>
      <c r="Y279" s="44">
        <v>6.5000000000000002E-2</v>
      </c>
      <c r="Z279" s="6"/>
      <c r="AA279" s="254">
        <f t="shared" si="13"/>
        <v>-12798</v>
      </c>
      <c r="AB279" s="6"/>
      <c r="AC279" s="258"/>
      <c r="AD279" s="251"/>
    </row>
    <row r="280" spans="15:30" x14ac:dyDescent="0.3">
      <c r="O280" s="98"/>
      <c r="T280" s="250"/>
      <c r="U280" s="252">
        <f t="shared" si="15"/>
        <v>44225</v>
      </c>
      <c r="V280" s="6"/>
      <c r="W280" s="253">
        <v>1704784</v>
      </c>
      <c r="X280" s="6"/>
      <c r="Y280" s="44">
        <v>6.4000000000000001E-2</v>
      </c>
      <c r="Z280" s="6"/>
      <c r="AA280" s="254">
        <f t="shared" si="13"/>
        <v>5876</v>
      </c>
      <c r="AB280" s="6"/>
      <c r="AC280" s="258"/>
      <c r="AD280" s="251"/>
    </row>
    <row r="281" spans="15:30" x14ac:dyDescent="0.3">
      <c r="O281" s="98"/>
      <c r="T281" s="250"/>
      <c r="U281" s="252">
        <f t="shared" si="15"/>
        <v>44226</v>
      </c>
      <c r="V281" s="6"/>
      <c r="W281" s="253">
        <v>1654960</v>
      </c>
      <c r="X281" s="6"/>
      <c r="Y281" s="44">
        <v>6.2E-2</v>
      </c>
      <c r="Z281" s="6"/>
      <c r="AA281" s="254">
        <f t="shared" ref="AA281:AA312" si="16">+W280-W281</f>
        <v>49824</v>
      </c>
      <c r="AB281" s="6"/>
      <c r="AC281" s="258"/>
      <c r="AD281" s="251"/>
    </row>
    <row r="282" spans="15:30" x14ac:dyDescent="0.3">
      <c r="O282" s="98"/>
      <c r="T282" s="250"/>
      <c r="U282" s="252">
        <f t="shared" si="15"/>
        <v>44227</v>
      </c>
      <c r="V282" s="6"/>
      <c r="W282" s="253">
        <v>1568853</v>
      </c>
      <c r="X282" s="6"/>
      <c r="Y282" s="44">
        <v>5.8999999999999997E-2</v>
      </c>
      <c r="Z282" s="6"/>
      <c r="AA282" s="254">
        <f t="shared" si="16"/>
        <v>86107</v>
      </c>
      <c r="AB282" s="6"/>
      <c r="AC282" s="258"/>
      <c r="AD282" s="251"/>
    </row>
    <row r="283" spans="15:30" x14ac:dyDescent="0.3">
      <c r="O283" s="98"/>
      <c r="T283" s="250"/>
      <c r="U283" s="252">
        <f t="shared" si="15"/>
        <v>44228</v>
      </c>
      <c r="V283" s="6"/>
      <c r="W283" s="253">
        <v>1502777</v>
      </c>
      <c r="X283" s="6"/>
      <c r="Y283" s="44">
        <v>5.6000000000000001E-2</v>
      </c>
      <c r="Z283" s="6"/>
      <c r="AA283" s="254">
        <f t="shared" si="16"/>
        <v>66076</v>
      </c>
      <c r="AB283" s="6"/>
      <c r="AC283" s="258"/>
      <c r="AD283" s="251"/>
    </row>
    <row r="284" spans="15:30" x14ac:dyDescent="0.3">
      <c r="O284" s="98"/>
      <c r="T284" s="250"/>
      <c r="U284" s="252">
        <f t="shared" si="15"/>
        <v>44229</v>
      </c>
      <c r="V284" s="6"/>
      <c r="W284" s="253">
        <v>1445750</v>
      </c>
      <c r="X284" s="6"/>
      <c r="Y284" s="44">
        <v>5.3999999999999999E-2</v>
      </c>
      <c r="Z284" s="6"/>
      <c r="AA284" s="254">
        <f t="shared" si="16"/>
        <v>57027</v>
      </c>
      <c r="AB284" s="6"/>
      <c r="AC284" s="258"/>
      <c r="AD284" s="251"/>
    </row>
    <row r="285" spans="15:30" x14ac:dyDescent="0.3">
      <c r="O285" s="98"/>
      <c r="T285" s="250"/>
      <c r="U285" s="252">
        <f t="shared" si="15"/>
        <v>44230</v>
      </c>
      <c r="V285" s="6"/>
      <c r="W285" s="253">
        <v>1423803</v>
      </c>
      <c r="X285" s="6"/>
      <c r="Y285" s="44">
        <v>5.2999999999999999E-2</v>
      </c>
      <c r="Z285" s="6"/>
      <c r="AA285" s="254">
        <f t="shared" si="16"/>
        <v>21947</v>
      </c>
      <c r="AB285" s="6"/>
      <c r="AC285" s="258"/>
      <c r="AD285" s="251"/>
    </row>
    <row r="286" spans="15:30" x14ac:dyDescent="0.3">
      <c r="O286" s="98"/>
      <c r="T286" s="250"/>
      <c r="U286" s="252">
        <f t="shared" si="15"/>
        <v>44231</v>
      </c>
      <c r="V286" s="6"/>
      <c r="W286" s="253">
        <v>1373379</v>
      </c>
      <c r="X286" s="6"/>
      <c r="Y286" s="44">
        <v>0.05</v>
      </c>
      <c r="Z286" s="6"/>
      <c r="AA286" s="254">
        <f t="shared" si="16"/>
        <v>50424</v>
      </c>
      <c r="AB286" s="6"/>
      <c r="AC286" s="258"/>
      <c r="AD286" s="251"/>
    </row>
    <row r="287" spans="15:30" x14ac:dyDescent="0.3">
      <c r="O287" s="98"/>
      <c r="T287" s="250"/>
      <c r="U287" s="252">
        <f t="shared" si="15"/>
        <v>44232</v>
      </c>
      <c r="V287" s="6"/>
      <c r="W287" s="253">
        <v>1366804</v>
      </c>
      <c r="X287" s="6"/>
      <c r="Y287" s="44">
        <v>0.05</v>
      </c>
      <c r="Z287" s="6"/>
      <c r="AA287" s="254">
        <f t="shared" si="16"/>
        <v>6575</v>
      </c>
      <c r="AB287" s="6"/>
      <c r="AC287" s="258"/>
      <c r="AD287" s="251"/>
    </row>
    <row r="288" spans="15:30" x14ac:dyDescent="0.3">
      <c r="O288" s="98"/>
      <c r="T288" s="250"/>
      <c r="U288" s="252">
        <f t="shared" si="15"/>
        <v>44233</v>
      </c>
      <c r="V288" s="6"/>
      <c r="W288" s="253">
        <v>1312603</v>
      </c>
      <c r="X288" s="6"/>
      <c r="Y288" s="44">
        <v>4.8000000000000001E-2</v>
      </c>
      <c r="Z288" s="6"/>
      <c r="AA288" s="254">
        <f t="shared" si="16"/>
        <v>54201</v>
      </c>
      <c r="AB288" s="6"/>
      <c r="AC288" s="258"/>
      <c r="AD288" s="251"/>
    </row>
    <row r="289" spans="15:30" x14ac:dyDescent="0.3">
      <c r="O289" s="98"/>
      <c r="T289" s="250"/>
      <c r="U289" s="252">
        <f t="shared" si="15"/>
        <v>44234</v>
      </c>
      <c r="V289" s="6"/>
      <c r="W289" s="253">
        <v>1240728</v>
      </c>
      <c r="X289" s="6"/>
      <c r="Y289" s="44">
        <v>4.4999999999999998E-2</v>
      </c>
      <c r="Z289" s="6"/>
      <c r="AA289" s="254">
        <f t="shared" si="16"/>
        <v>71875</v>
      </c>
      <c r="AB289" s="6"/>
      <c r="AC289" s="258"/>
      <c r="AD289" s="251"/>
    </row>
    <row r="290" spans="15:30" x14ac:dyDescent="0.3">
      <c r="O290" s="98"/>
      <c r="T290" s="250"/>
      <c r="U290" s="252">
        <f t="shared" si="15"/>
        <v>44235</v>
      </c>
      <c r="V290" s="6"/>
      <c r="W290" s="253">
        <v>1161568</v>
      </c>
      <c r="X290" s="6"/>
      <c r="Y290" s="44">
        <v>4.2000000000000003E-2</v>
      </c>
      <c r="Z290" s="6"/>
      <c r="AA290" s="254">
        <f t="shared" si="16"/>
        <v>79160</v>
      </c>
      <c r="AB290" s="6"/>
      <c r="AC290" s="258"/>
      <c r="AD290" s="251"/>
    </row>
    <row r="291" spans="15:30" x14ac:dyDescent="0.3">
      <c r="O291" s="98"/>
      <c r="T291" s="250"/>
      <c r="U291" s="252">
        <f t="shared" si="15"/>
        <v>44236</v>
      </c>
      <c r="V291" s="6"/>
      <c r="W291" s="253">
        <v>1116403</v>
      </c>
      <c r="X291" s="6"/>
      <c r="Y291" s="44">
        <v>0.04</v>
      </c>
      <c r="Z291" s="6"/>
      <c r="AA291" s="254">
        <f t="shared" si="16"/>
        <v>45165</v>
      </c>
      <c r="AB291" s="6"/>
      <c r="AC291" s="258"/>
      <c r="AD291" s="251"/>
    </row>
    <row r="292" spans="15:30" x14ac:dyDescent="0.3">
      <c r="O292" s="98"/>
      <c r="T292" s="250"/>
      <c r="U292" s="252">
        <f t="shared" si="15"/>
        <v>44237</v>
      </c>
      <c r="V292" s="6"/>
      <c r="W292" s="253">
        <v>1104951</v>
      </c>
      <c r="X292" s="6"/>
      <c r="Y292" s="44">
        <v>0.04</v>
      </c>
      <c r="Z292" s="6"/>
      <c r="AA292" s="254">
        <f t="shared" si="16"/>
        <v>11452</v>
      </c>
      <c r="AB292" s="6"/>
      <c r="AC292" s="258"/>
      <c r="AD292" s="251"/>
    </row>
    <row r="293" spans="15:30" x14ac:dyDescent="0.3">
      <c r="O293" s="98"/>
      <c r="T293" s="250"/>
      <c r="U293" s="252">
        <f t="shared" si="15"/>
        <v>44238</v>
      </c>
      <c r="V293" s="6"/>
      <c r="W293" s="253">
        <v>1082743</v>
      </c>
      <c r="X293" s="6"/>
      <c r="Y293" s="44">
        <v>3.9E-2</v>
      </c>
      <c r="Z293" s="6"/>
      <c r="AA293" s="254">
        <f t="shared" si="16"/>
        <v>22208</v>
      </c>
      <c r="AB293" s="6"/>
      <c r="AC293" s="258"/>
      <c r="AD293" s="251"/>
    </row>
    <row r="294" spans="15:30" x14ac:dyDescent="0.3">
      <c r="O294" s="98"/>
      <c r="T294" s="250"/>
      <c r="U294" s="252">
        <f t="shared" si="15"/>
        <v>44239</v>
      </c>
      <c r="V294" s="6"/>
      <c r="W294" s="253">
        <v>1065713</v>
      </c>
      <c r="X294" s="6"/>
      <c r="Y294" s="44">
        <v>3.7999999999999999E-2</v>
      </c>
      <c r="Z294" s="6"/>
      <c r="AA294" s="254">
        <f t="shared" si="16"/>
        <v>17030</v>
      </c>
      <c r="AB294" s="6"/>
      <c r="AC294" s="258"/>
      <c r="AD294" s="251"/>
    </row>
    <row r="295" spans="15:30" x14ac:dyDescent="0.3">
      <c r="O295" s="98"/>
      <c r="T295" s="250"/>
      <c r="U295" s="252">
        <f t="shared" si="15"/>
        <v>44240</v>
      </c>
      <c r="V295" s="6"/>
      <c r="W295" s="253">
        <v>1038366</v>
      </c>
      <c r="X295" s="6"/>
      <c r="Y295" s="44">
        <v>3.6999999999999998E-2</v>
      </c>
      <c r="Z295" s="6"/>
      <c r="AA295" s="254">
        <f t="shared" si="16"/>
        <v>27347</v>
      </c>
      <c r="AB295" s="6"/>
      <c r="AC295" s="258"/>
      <c r="AD295" s="251"/>
    </row>
    <row r="296" spans="15:30" x14ac:dyDescent="0.3">
      <c r="O296" s="98"/>
      <c r="T296" s="250"/>
      <c r="U296" s="252">
        <f t="shared" si="15"/>
        <v>44241</v>
      </c>
      <c r="V296" s="6"/>
      <c r="W296" s="253">
        <v>916474</v>
      </c>
      <c r="X296" s="6"/>
      <c r="Y296" s="44">
        <v>3.3000000000000002E-2</v>
      </c>
      <c r="Z296" s="6"/>
      <c r="AA296" s="254">
        <f t="shared" si="16"/>
        <v>121892</v>
      </c>
      <c r="AB296" s="6"/>
      <c r="AC296" s="258"/>
      <c r="AD296" s="251"/>
    </row>
    <row r="297" spans="15:30" x14ac:dyDescent="0.3">
      <c r="O297" s="98"/>
      <c r="T297" s="250"/>
      <c r="U297" s="252">
        <f t="shared" si="15"/>
        <v>44242</v>
      </c>
      <c r="V297" s="6"/>
      <c r="W297" s="253">
        <v>906959</v>
      </c>
      <c r="X297" s="6"/>
      <c r="Y297" s="44">
        <v>3.2000000000000001E-2</v>
      </c>
      <c r="Z297" s="6"/>
      <c r="AA297" s="254">
        <f t="shared" si="16"/>
        <v>9515</v>
      </c>
      <c r="AB297" s="6"/>
      <c r="AC297" s="258"/>
      <c r="AD297" s="251"/>
    </row>
    <row r="298" spans="15:30" x14ac:dyDescent="0.3">
      <c r="O298" s="98"/>
      <c r="T298" s="250"/>
      <c r="U298" s="252">
        <f t="shared" si="15"/>
        <v>44243</v>
      </c>
      <c r="V298" s="6"/>
      <c r="W298" s="253">
        <v>864162</v>
      </c>
      <c r="X298" s="6"/>
      <c r="Y298" s="44">
        <v>3.1E-2</v>
      </c>
      <c r="Z298" s="6"/>
      <c r="AA298" s="254">
        <f t="shared" si="16"/>
        <v>42797</v>
      </c>
      <c r="AB298" s="6"/>
      <c r="AC298" s="258"/>
      <c r="AD298" s="251"/>
    </row>
    <row r="299" spans="15:30" x14ac:dyDescent="0.3">
      <c r="O299" s="98"/>
      <c r="T299" s="250"/>
      <c r="U299" s="252">
        <f t="shared" si="15"/>
        <v>44244</v>
      </c>
      <c r="V299" s="6"/>
      <c r="W299" s="253">
        <v>835815</v>
      </c>
      <c r="X299" s="6"/>
      <c r="Y299" s="44">
        <v>2.9000000000000001E-2</v>
      </c>
      <c r="Z299" s="6"/>
      <c r="AA299" s="254">
        <f t="shared" si="16"/>
        <v>28347</v>
      </c>
      <c r="AB299" s="6"/>
      <c r="AC299" s="258"/>
      <c r="AD299" s="251"/>
    </row>
    <row r="300" spans="15:30" x14ac:dyDescent="0.3">
      <c r="O300" s="98"/>
      <c r="T300" s="250"/>
      <c r="U300" s="252">
        <f t="shared" si="15"/>
        <v>44245</v>
      </c>
      <c r="V300" s="6"/>
      <c r="W300" s="253">
        <v>822529</v>
      </c>
      <c r="X300" s="6"/>
      <c r="Y300" s="44">
        <v>2.9000000000000001E-2</v>
      </c>
      <c r="Z300" s="6"/>
      <c r="AA300" s="254">
        <f t="shared" si="16"/>
        <v>13286</v>
      </c>
      <c r="AB300" s="6"/>
      <c r="AC300" s="258"/>
      <c r="AD300" s="251"/>
    </row>
    <row r="301" spans="15:30" x14ac:dyDescent="0.3">
      <c r="O301" s="98"/>
      <c r="T301" s="250"/>
      <c r="U301" s="252">
        <f t="shared" si="15"/>
        <v>44246</v>
      </c>
      <c r="V301" s="6"/>
      <c r="W301" s="253">
        <v>812526</v>
      </c>
      <c r="X301" s="6"/>
      <c r="Y301" s="44">
        <v>2.9000000000000001E-2</v>
      </c>
      <c r="Z301" s="6"/>
      <c r="AA301" s="254">
        <f t="shared" si="16"/>
        <v>10003</v>
      </c>
      <c r="AB301" s="6"/>
      <c r="AC301" s="258"/>
      <c r="AD301" s="251"/>
    </row>
    <row r="302" spans="15:30" x14ac:dyDescent="0.3">
      <c r="O302" s="98"/>
      <c r="T302" s="250"/>
      <c r="U302" s="252">
        <f t="shared" si="15"/>
        <v>44247</v>
      </c>
      <c r="V302" s="6"/>
      <c r="W302" s="253">
        <v>785337</v>
      </c>
      <c r="X302" s="6"/>
      <c r="Y302" s="44">
        <v>2.7E-2</v>
      </c>
      <c r="Z302" s="6"/>
      <c r="AA302" s="254">
        <f t="shared" si="16"/>
        <v>27189</v>
      </c>
      <c r="AB302" s="6"/>
      <c r="AC302" s="258"/>
      <c r="AD302" s="251"/>
    </row>
    <row r="303" spans="15:30" x14ac:dyDescent="0.3">
      <c r="O303" s="98"/>
      <c r="T303" s="250"/>
      <c r="U303" s="252">
        <f t="shared" si="15"/>
        <v>44248</v>
      </c>
      <c r="V303" s="6"/>
      <c r="W303" s="253">
        <v>737150</v>
      </c>
      <c r="X303" s="6"/>
      <c r="Y303" s="44">
        <v>2.5999999999999999E-2</v>
      </c>
      <c r="Z303" s="6"/>
      <c r="AA303" s="254">
        <f t="shared" si="16"/>
        <v>48187</v>
      </c>
      <c r="AB303" s="6"/>
      <c r="AC303" s="258"/>
      <c r="AD303" s="251"/>
    </row>
    <row r="304" spans="15:30" x14ac:dyDescent="0.3">
      <c r="O304" s="98"/>
      <c r="T304" s="250"/>
      <c r="U304" s="252">
        <f t="shared" si="15"/>
        <v>44249</v>
      </c>
      <c r="V304" s="6"/>
      <c r="W304" s="253">
        <v>707318</v>
      </c>
      <c r="X304" s="6"/>
      <c r="Y304" s="44">
        <v>2.5000000000000001E-2</v>
      </c>
      <c r="Z304" s="6"/>
      <c r="AA304" s="254">
        <f t="shared" si="16"/>
        <v>29832</v>
      </c>
      <c r="AB304" s="6"/>
      <c r="AC304" s="258"/>
      <c r="AD304" s="251"/>
    </row>
    <row r="305" spans="15:30" x14ac:dyDescent="0.3">
      <c r="O305" s="98"/>
      <c r="T305" s="250"/>
      <c r="U305" s="252">
        <f t="shared" si="15"/>
        <v>44250</v>
      </c>
      <c r="V305" s="6"/>
      <c r="W305" s="253">
        <v>694538</v>
      </c>
      <c r="X305" s="6"/>
      <c r="Y305" s="44">
        <v>2.4E-2</v>
      </c>
      <c r="Z305" s="6"/>
      <c r="AA305" s="254">
        <f t="shared" si="16"/>
        <v>12780</v>
      </c>
      <c r="AB305" s="6"/>
      <c r="AC305" s="258"/>
      <c r="AD305" s="251"/>
    </row>
    <row r="306" spans="15:30" x14ac:dyDescent="0.3">
      <c r="O306" s="98"/>
      <c r="T306" s="250"/>
      <c r="U306" s="252">
        <f t="shared" si="15"/>
        <v>44251</v>
      </c>
      <c r="V306" s="6"/>
      <c r="W306" s="253">
        <v>705257</v>
      </c>
      <c r="X306" s="6"/>
      <c r="Y306" s="44">
        <v>2.4E-2</v>
      </c>
      <c r="Z306" s="6"/>
      <c r="AA306" s="254">
        <f t="shared" si="16"/>
        <v>-10719</v>
      </c>
      <c r="AB306" s="6"/>
      <c r="AC306" s="258"/>
      <c r="AD306" s="251"/>
    </row>
    <row r="307" spans="15:30" x14ac:dyDescent="0.3">
      <c r="O307" s="98"/>
      <c r="T307" s="250"/>
      <c r="U307" s="252">
        <f>+U306+1</f>
        <v>44252</v>
      </c>
      <c r="V307" s="6"/>
      <c r="W307" s="253">
        <v>729849</v>
      </c>
      <c r="X307" s="6"/>
      <c r="Y307" s="44">
        <v>2.5000000000000001E-2</v>
      </c>
      <c r="Z307" s="6"/>
      <c r="AA307" s="254">
        <f t="shared" si="16"/>
        <v>-24592</v>
      </c>
      <c r="AB307" s="6"/>
      <c r="AC307" s="258"/>
      <c r="AD307" s="251"/>
    </row>
    <row r="308" spans="15:30" x14ac:dyDescent="0.3">
      <c r="O308" s="98"/>
      <c r="T308" s="250"/>
      <c r="U308" s="252">
        <f t="shared" ref="U308:U371" si="17">+U307+1</f>
        <v>44253</v>
      </c>
      <c r="V308" s="6"/>
      <c r="W308" s="253">
        <v>746482</v>
      </c>
      <c r="X308" s="6"/>
      <c r="Y308" s="44">
        <v>2.5999999999999999E-2</v>
      </c>
      <c r="Z308" s="6"/>
      <c r="AA308" s="254">
        <f t="shared" si="16"/>
        <v>-16633</v>
      </c>
      <c r="AB308" s="6"/>
      <c r="AC308" s="258"/>
      <c r="AD308" s="251"/>
    </row>
    <row r="309" spans="15:30" x14ac:dyDescent="0.3">
      <c r="O309" s="98"/>
      <c r="T309" s="250"/>
      <c r="U309" s="252">
        <f t="shared" si="17"/>
        <v>44254</v>
      </c>
      <c r="V309" s="6"/>
      <c r="W309" s="253">
        <v>738768</v>
      </c>
      <c r="X309" s="6"/>
      <c r="Y309" s="44">
        <v>2.5000000000000001E-2</v>
      </c>
      <c r="Z309" s="6"/>
      <c r="AA309" s="254">
        <f t="shared" si="16"/>
        <v>7714</v>
      </c>
      <c r="AB309" s="6"/>
      <c r="AC309" s="258"/>
      <c r="AD309" s="251"/>
    </row>
    <row r="310" spans="15:30" x14ac:dyDescent="0.3">
      <c r="O310" s="98"/>
      <c r="T310" s="250"/>
      <c r="U310" s="252">
        <f t="shared" si="17"/>
        <v>44255</v>
      </c>
      <c r="V310" s="6"/>
      <c r="W310" s="253">
        <v>718958</v>
      </c>
      <c r="X310" s="6"/>
      <c r="Y310" s="44">
        <v>2.5000000000000001E-2</v>
      </c>
      <c r="Z310" s="6"/>
      <c r="AA310" s="254">
        <f t="shared" si="16"/>
        <v>19810</v>
      </c>
      <c r="AB310" s="6"/>
      <c r="AC310" s="258"/>
      <c r="AD310" s="251"/>
    </row>
    <row r="311" spans="15:30" x14ac:dyDescent="0.3">
      <c r="O311" s="98"/>
      <c r="T311" s="250"/>
      <c r="U311" s="252">
        <f t="shared" si="17"/>
        <v>44256</v>
      </c>
      <c r="V311" s="6"/>
      <c r="W311" s="253">
        <v>688600</v>
      </c>
      <c r="X311" s="6"/>
      <c r="Y311" s="44">
        <v>2.4E-2</v>
      </c>
      <c r="Z311" s="6"/>
      <c r="AA311" s="254">
        <f t="shared" si="16"/>
        <v>30358</v>
      </c>
      <c r="AB311" s="6"/>
      <c r="AC311" s="258"/>
      <c r="AD311" s="251"/>
    </row>
    <row r="312" spans="15:30" x14ac:dyDescent="0.3">
      <c r="O312" s="98"/>
      <c r="T312" s="250"/>
      <c r="U312" s="252">
        <f t="shared" si="17"/>
        <v>44257</v>
      </c>
      <c r="V312" s="6"/>
      <c r="W312" s="253">
        <v>676175</v>
      </c>
      <c r="X312" s="6"/>
      <c r="Y312" s="44">
        <v>2.3E-2</v>
      </c>
      <c r="Z312" s="6"/>
      <c r="AA312" s="254">
        <f t="shared" si="16"/>
        <v>12425</v>
      </c>
      <c r="AB312" s="6"/>
      <c r="AC312" s="258"/>
      <c r="AD312" s="251"/>
    </row>
    <row r="313" spans="15:30" x14ac:dyDescent="0.3">
      <c r="O313" s="98"/>
      <c r="T313" s="250"/>
      <c r="U313" s="252">
        <f t="shared" si="17"/>
        <v>44258</v>
      </c>
      <c r="V313" s="6"/>
      <c r="W313" s="253">
        <v>685098</v>
      </c>
      <c r="X313" s="6"/>
      <c r="Y313" s="44">
        <v>2.3E-2</v>
      </c>
      <c r="Z313" s="6"/>
      <c r="AA313" s="254">
        <f t="shared" ref="AA313:AA338" si="18">+W312-W313</f>
        <v>-8923</v>
      </c>
      <c r="AB313" s="6"/>
      <c r="AC313" s="258"/>
      <c r="AD313" s="251"/>
    </row>
    <row r="314" spans="15:30" x14ac:dyDescent="0.3">
      <c r="O314" s="98"/>
      <c r="T314" s="250"/>
      <c r="U314" s="252">
        <f t="shared" si="17"/>
        <v>44259</v>
      </c>
      <c r="V314" s="6"/>
      <c r="W314" s="253">
        <v>682288</v>
      </c>
      <c r="X314" s="6"/>
      <c r="Y314" s="44">
        <v>2.3E-2</v>
      </c>
      <c r="Z314" s="6"/>
      <c r="AA314" s="254">
        <f t="shared" si="18"/>
        <v>2810</v>
      </c>
      <c r="AB314" s="6"/>
      <c r="AC314" s="258"/>
      <c r="AD314" s="251"/>
    </row>
    <row r="315" spans="15:30" x14ac:dyDescent="0.3">
      <c r="O315" s="98"/>
      <c r="T315" s="250"/>
      <c r="U315" s="252">
        <f t="shared" si="17"/>
        <v>44260</v>
      </c>
      <c r="V315" s="6"/>
      <c r="W315" s="253">
        <v>677508</v>
      </c>
      <c r="X315" s="6"/>
      <c r="Y315" s="44">
        <v>2.3E-2</v>
      </c>
      <c r="Z315" s="6"/>
      <c r="AA315" s="254">
        <f t="shared" si="18"/>
        <v>4780</v>
      </c>
      <c r="AB315" s="6"/>
      <c r="AC315" s="258"/>
      <c r="AD315" s="251"/>
    </row>
    <row r="316" spans="15:30" x14ac:dyDescent="0.3">
      <c r="O316" s="98"/>
      <c r="T316" s="250"/>
      <c r="U316" s="252">
        <f t="shared" si="17"/>
        <v>44261</v>
      </c>
      <c r="V316" s="6"/>
      <c r="W316" s="253">
        <v>660224</v>
      </c>
      <c r="X316" s="6"/>
      <c r="Y316" s="44">
        <v>2.1999999999999999E-2</v>
      </c>
      <c r="Z316" s="6"/>
      <c r="AA316" s="254">
        <f t="shared" si="18"/>
        <v>17284</v>
      </c>
      <c r="AB316" s="6"/>
      <c r="AC316" s="258"/>
      <c r="AD316" s="251"/>
    </row>
    <row r="317" spans="15:30" x14ac:dyDescent="0.3">
      <c r="O317" s="98"/>
      <c r="T317" s="250"/>
      <c r="U317" s="252">
        <f t="shared" si="17"/>
        <v>44262</v>
      </c>
      <c r="V317" s="6"/>
      <c r="W317" s="253">
        <v>624520</v>
      </c>
      <c r="X317" s="6"/>
      <c r="Y317" s="44">
        <v>2.1000000000000001E-2</v>
      </c>
      <c r="Z317" s="6"/>
      <c r="AA317" s="254">
        <f t="shared" si="18"/>
        <v>35704</v>
      </c>
      <c r="AB317" s="6"/>
      <c r="AC317" s="258"/>
      <c r="AD317" s="251"/>
    </row>
    <row r="318" spans="15:30" x14ac:dyDescent="0.3">
      <c r="O318" s="98"/>
      <c r="T318" s="250"/>
      <c r="U318" s="252">
        <f t="shared" si="17"/>
        <v>44263</v>
      </c>
      <c r="V318" s="6"/>
      <c r="W318" s="253">
        <v>589034</v>
      </c>
      <c r="X318" s="6"/>
      <c r="Y318" s="44">
        <v>0.02</v>
      </c>
      <c r="Z318" s="6"/>
      <c r="AA318" s="254">
        <f t="shared" si="18"/>
        <v>35486</v>
      </c>
      <c r="AB318" s="6"/>
      <c r="AC318" s="258"/>
      <c r="AD318" s="251"/>
    </row>
    <row r="319" spans="15:30" x14ac:dyDescent="0.3">
      <c r="O319" s="98"/>
      <c r="T319" s="250"/>
      <c r="U319" s="252">
        <f t="shared" si="17"/>
        <v>44264</v>
      </c>
      <c r="V319" s="6"/>
      <c r="W319" s="253">
        <v>579690</v>
      </c>
      <c r="X319" s="6"/>
      <c r="Y319" s="44">
        <v>0.02</v>
      </c>
      <c r="Z319" s="6"/>
      <c r="AA319" s="254">
        <f t="shared" si="18"/>
        <v>9344</v>
      </c>
      <c r="AB319" s="6"/>
      <c r="AC319" s="258"/>
      <c r="AD319" s="251"/>
    </row>
    <row r="320" spans="15:30" x14ac:dyDescent="0.3">
      <c r="O320" s="98"/>
      <c r="T320" s="250"/>
      <c r="U320" s="252">
        <f t="shared" si="17"/>
        <v>44265</v>
      </c>
      <c r="V320" s="6"/>
      <c r="W320" s="253">
        <v>592070</v>
      </c>
      <c r="X320" s="6"/>
      <c r="Y320" s="44">
        <v>0.02</v>
      </c>
      <c r="Z320" s="6"/>
      <c r="AA320" s="254">
        <f t="shared" si="18"/>
        <v>-12380</v>
      </c>
      <c r="AB320" s="6"/>
      <c r="AC320" s="258"/>
      <c r="AD320" s="251"/>
    </row>
    <row r="321" spans="15:30" x14ac:dyDescent="0.3">
      <c r="O321" s="98"/>
      <c r="T321" s="250"/>
      <c r="U321" s="252">
        <f t="shared" si="17"/>
        <v>44266</v>
      </c>
      <c r="V321" s="6"/>
      <c r="W321" s="253">
        <v>536786</v>
      </c>
      <c r="X321" s="6"/>
      <c r="Y321" s="44">
        <v>1.7999999999999999E-2</v>
      </c>
      <c r="Z321" s="6"/>
      <c r="AA321" s="254">
        <f t="shared" si="18"/>
        <v>55284</v>
      </c>
      <c r="AB321" s="6"/>
      <c r="AC321" s="258"/>
      <c r="AD321" s="251"/>
    </row>
    <row r="322" spans="15:30" x14ac:dyDescent="0.3">
      <c r="O322" s="98"/>
      <c r="T322" s="250"/>
      <c r="U322" s="252">
        <f t="shared" si="17"/>
        <v>44267</v>
      </c>
      <c r="V322" s="6"/>
      <c r="W322" s="253">
        <v>608620</v>
      </c>
      <c r="X322" s="6"/>
      <c r="Y322" s="44">
        <v>0.02</v>
      </c>
      <c r="Z322" s="6"/>
      <c r="AA322" s="254">
        <f t="shared" si="18"/>
        <v>-71834</v>
      </c>
      <c r="AB322" s="6"/>
      <c r="AC322" s="258"/>
      <c r="AD322" s="251"/>
    </row>
    <row r="323" spans="15:30" x14ac:dyDescent="0.3">
      <c r="O323" s="98"/>
      <c r="T323" s="250"/>
      <c r="U323" s="252">
        <f t="shared" si="17"/>
        <v>44268</v>
      </c>
      <c r="V323" s="6"/>
      <c r="W323" s="253">
        <v>590802</v>
      </c>
      <c r="X323" s="6"/>
      <c r="Y323" s="44">
        <v>0.02</v>
      </c>
      <c r="Z323" s="6"/>
      <c r="AA323" s="254">
        <f t="shared" si="18"/>
        <v>17818</v>
      </c>
      <c r="AB323" s="6"/>
      <c r="AC323" s="258"/>
      <c r="AD323" s="251"/>
    </row>
    <row r="324" spans="15:30" x14ac:dyDescent="0.3">
      <c r="O324" s="98"/>
      <c r="T324" s="250"/>
      <c r="U324" s="252">
        <f t="shared" si="17"/>
        <v>44269</v>
      </c>
      <c r="V324" s="6"/>
      <c r="W324" s="253">
        <v>557422</v>
      </c>
      <c r="X324" s="6"/>
      <c r="Y324" s="44">
        <v>1.9E-2</v>
      </c>
      <c r="Z324" s="6"/>
      <c r="AA324" s="254">
        <f t="shared" si="18"/>
        <v>33380</v>
      </c>
      <c r="AB324" s="6"/>
      <c r="AC324" s="258"/>
      <c r="AD324" s="251"/>
    </row>
    <row r="325" spans="15:30" x14ac:dyDescent="0.3">
      <c r="O325" s="98"/>
      <c r="T325" s="250"/>
      <c r="U325" s="252">
        <f t="shared" si="17"/>
        <v>44270</v>
      </c>
      <c r="V325" s="6"/>
      <c r="W325" s="253">
        <v>534949</v>
      </c>
      <c r="X325" s="6"/>
      <c r="Y325" s="44">
        <v>1.7999999999999999E-2</v>
      </c>
      <c r="Z325" s="6"/>
      <c r="AA325" s="254">
        <f t="shared" si="18"/>
        <v>22473</v>
      </c>
      <c r="AB325" s="6"/>
      <c r="AC325" s="258"/>
      <c r="AD325" s="251"/>
    </row>
    <row r="326" spans="15:30" x14ac:dyDescent="0.3">
      <c r="O326" s="98"/>
      <c r="T326" s="250"/>
      <c r="U326" s="252">
        <f t="shared" si="17"/>
        <v>44271</v>
      </c>
      <c r="V326" s="6"/>
      <c r="W326" s="253">
        <v>529833</v>
      </c>
      <c r="X326" s="6"/>
      <c r="Y326" s="44">
        <v>1.7999999999999999E-2</v>
      </c>
      <c r="Z326" s="6"/>
      <c r="AA326" s="254">
        <f t="shared" si="18"/>
        <v>5116</v>
      </c>
      <c r="AB326" s="6"/>
      <c r="AC326" s="258"/>
      <c r="AD326" s="251"/>
    </row>
    <row r="327" spans="15:30" x14ac:dyDescent="0.3">
      <c r="O327" s="98"/>
      <c r="T327" s="250"/>
      <c r="U327" s="252">
        <f t="shared" si="17"/>
        <v>44272</v>
      </c>
      <c r="V327" s="6"/>
      <c r="W327" s="253">
        <v>487852</v>
      </c>
      <c r="X327" s="6"/>
      <c r="Y327" s="44">
        <v>1.6E-2</v>
      </c>
      <c r="Z327" s="6"/>
      <c r="AA327" s="254">
        <f t="shared" si="18"/>
        <v>41981</v>
      </c>
      <c r="AB327" s="6"/>
      <c r="AC327" s="258"/>
      <c r="AD327" s="251"/>
    </row>
    <row r="328" spans="15:30" x14ac:dyDescent="0.3">
      <c r="O328" s="98"/>
      <c r="T328" s="250"/>
      <c r="U328" s="252">
        <f t="shared" si="17"/>
        <v>44273</v>
      </c>
      <c r="V328" s="6"/>
      <c r="W328" s="253">
        <v>568545</v>
      </c>
      <c r="X328" s="6"/>
      <c r="Y328" s="44">
        <v>1.9E-2</v>
      </c>
      <c r="Z328" s="6"/>
      <c r="AA328" s="254">
        <f t="shared" si="18"/>
        <v>-80693</v>
      </c>
      <c r="AB328" s="6"/>
      <c r="AC328" s="258"/>
      <c r="AD328" s="251"/>
    </row>
    <row r="329" spans="15:30" x14ac:dyDescent="0.3">
      <c r="O329" s="98"/>
      <c r="T329" s="250"/>
      <c r="U329" s="252">
        <f t="shared" si="17"/>
        <v>44274</v>
      </c>
      <c r="V329" s="6"/>
      <c r="W329" s="253">
        <v>579275</v>
      </c>
      <c r="X329" s="6"/>
      <c r="Y329" s="44">
        <v>1.9E-2</v>
      </c>
      <c r="Z329" s="6"/>
      <c r="AA329" s="254">
        <f t="shared" si="18"/>
        <v>-10730</v>
      </c>
      <c r="AB329" s="6"/>
      <c r="AC329" s="258"/>
      <c r="AD329" s="251"/>
    </row>
    <row r="330" spans="15:30" x14ac:dyDescent="0.3">
      <c r="O330" s="98"/>
      <c r="T330" s="250"/>
      <c r="U330" s="252">
        <f t="shared" si="17"/>
        <v>44275</v>
      </c>
      <c r="V330" s="6"/>
      <c r="W330" s="253">
        <v>573347</v>
      </c>
      <c r="X330" s="6"/>
      <c r="Y330" s="44">
        <v>1.9E-2</v>
      </c>
      <c r="Z330" s="6"/>
      <c r="AA330" s="254">
        <f t="shared" si="18"/>
        <v>5928</v>
      </c>
      <c r="AB330" s="6"/>
      <c r="AC330" s="258"/>
      <c r="AD330" s="251"/>
    </row>
    <row r="331" spans="15:30" x14ac:dyDescent="0.3">
      <c r="O331" s="98"/>
      <c r="T331" s="250"/>
      <c r="U331" s="252">
        <f t="shared" si="17"/>
        <v>44276</v>
      </c>
      <c r="V331" s="6"/>
      <c r="W331" s="253">
        <v>510482</v>
      </c>
      <c r="X331" s="6"/>
      <c r="Y331" s="44">
        <v>1.7000000000000001E-2</v>
      </c>
      <c r="Z331" s="6"/>
      <c r="AA331" s="254">
        <f t="shared" si="18"/>
        <v>62865</v>
      </c>
      <c r="AB331" s="6"/>
      <c r="AC331" s="258"/>
      <c r="AD331" s="251"/>
    </row>
    <row r="332" spans="15:30" x14ac:dyDescent="0.3">
      <c r="O332" s="98"/>
      <c r="T332" s="250"/>
      <c r="U332" s="252">
        <f t="shared" si="17"/>
        <v>44277</v>
      </c>
      <c r="V332" s="6"/>
      <c r="W332" s="253">
        <v>528910</v>
      </c>
      <c r="X332" s="6"/>
      <c r="Y332" s="44">
        <v>1.7000000000000001E-2</v>
      </c>
      <c r="Z332" s="6"/>
      <c r="AA332" s="254">
        <f t="shared" si="18"/>
        <v>-18428</v>
      </c>
      <c r="AB332" s="6"/>
      <c r="AC332" s="258"/>
      <c r="AD332" s="251"/>
    </row>
    <row r="333" spans="15:30" x14ac:dyDescent="0.3">
      <c r="O333" s="98"/>
      <c r="T333" s="250"/>
      <c r="U333" s="252">
        <f t="shared" si="17"/>
        <v>44278</v>
      </c>
      <c r="V333" s="6"/>
      <c r="W333" s="253">
        <v>537925</v>
      </c>
      <c r="X333" s="6"/>
      <c r="Y333" s="44">
        <v>1.7999999999999999E-2</v>
      </c>
      <c r="Z333" s="6"/>
      <c r="AA333" s="254">
        <f t="shared" si="18"/>
        <v>-9015</v>
      </c>
      <c r="AB333" s="6"/>
      <c r="AC333" s="258"/>
      <c r="AD333" s="251"/>
    </row>
    <row r="334" spans="15:30" x14ac:dyDescent="0.3">
      <c r="O334" s="98"/>
      <c r="T334" s="250"/>
      <c r="U334" s="252">
        <f t="shared" si="17"/>
        <v>44279</v>
      </c>
      <c r="V334" s="6"/>
      <c r="W334" s="253">
        <v>567562</v>
      </c>
      <c r="X334" s="6"/>
      <c r="Y334" s="44">
        <v>1.9E-2</v>
      </c>
      <c r="Z334" s="6"/>
      <c r="AA334" s="254">
        <f t="shared" si="18"/>
        <v>-29637</v>
      </c>
      <c r="AB334" s="6"/>
      <c r="AC334" s="258"/>
      <c r="AD334" s="251"/>
    </row>
    <row r="335" spans="15:30" x14ac:dyDescent="0.3">
      <c r="O335" s="98"/>
      <c r="T335" s="250"/>
      <c r="U335" s="252">
        <f t="shared" si="17"/>
        <v>44280</v>
      </c>
      <c r="V335" s="6"/>
      <c r="W335" s="253">
        <v>587914</v>
      </c>
      <c r="X335" s="6"/>
      <c r="Y335" s="44">
        <v>1.9E-2</v>
      </c>
      <c r="Z335" s="6"/>
      <c r="AA335" s="254">
        <f t="shared" si="18"/>
        <v>-20352</v>
      </c>
      <c r="AB335" s="6"/>
      <c r="AC335" s="258"/>
      <c r="AD335" s="251"/>
    </row>
    <row r="336" spans="15:30" x14ac:dyDescent="0.3">
      <c r="O336" s="98"/>
      <c r="T336" s="250"/>
      <c r="U336" s="252">
        <f t="shared" si="17"/>
        <v>44281</v>
      </c>
      <c r="V336" s="6"/>
      <c r="W336" s="253">
        <v>611573</v>
      </c>
      <c r="X336" s="6"/>
      <c r="Y336" s="44">
        <v>0.02</v>
      </c>
      <c r="Z336" s="6"/>
      <c r="AA336" s="254">
        <f t="shared" si="18"/>
        <v>-23659</v>
      </c>
      <c r="AB336" s="6"/>
      <c r="AC336" s="258"/>
      <c r="AD336" s="251"/>
    </row>
    <row r="337" spans="15:30" x14ac:dyDescent="0.3">
      <c r="O337" s="98"/>
      <c r="T337" s="250"/>
      <c r="U337" s="252">
        <f t="shared" si="17"/>
        <v>44282</v>
      </c>
      <c r="V337" s="6"/>
      <c r="W337" s="253">
        <v>611722</v>
      </c>
      <c r="X337" s="6"/>
      <c r="Y337" s="44">
        <v>0.02</v>
      </c>
      <c r="Z337" s="6"/>
      <c r="AA337" s="254">
        <f t="shared" si="18"/>
        <v>-149</v>
      </c>
      <c r="AB337" s="6"/>
      <c r="AC337" s="258"/>
      <c r="AD337" s="251"/>
    </row>
    <row r="338" spans="15:30" x14ac:dyDescent="0.3">
      <c r="O338" s="98"/>
      <c r="T338" s="250"/>
      <c r="U338" s="252">
        <f t="shared" si="17"/>
        <v>44283</v>
      </c>
      <c r="V338" s="6"/>
      <c r="W338" s="253">
        <v>593050</v>
      </c>
      <c r="X338" s="6"/>
      <c r="Y338" s="44">
        <v>1.9E-2</v>
      </c>
      <c r="Z338" s="6"/>
      <c r="AA338" s="254">
        <f t="shared" si="18"/>
        <v>18672</v>
      </c>
      <c r="AB338" s="6"/>
      <c r="AC338" s="258"/>
      <c r="AD338" s="251"/>
    </row>
    <row r="339" spans="15:30" x14ac:dyDescent="0.3">
      <c r="O339" s="98"/>
      <c r="T339" s="250"/>
      <c r="U339" s="252">
        <f t="shared" si="17"/>
        <v>44284</v>
      </c>
      <c r="V339" s="6"/>
      <c r="W339" s="253">
        <v>587045</v>
      </c>
      <c r="X339" s="6"/>
      <c r="Y339" s="44">
        <v>1.9E-2</v>
      </c>
      <c r="Z339" s="6"/>
      <c r="AA339" s="254">
        <f t="shared" ref="AA339:AA373" si="19">+W338-W339</f>
        <v>6005</v>
      </c>
      <c r="AB339" s="6"/>
      <c r="AC339" s="258"/>
      <c r="AD339" s="251"/>
    </row>
    <row r="340" spans="15:30" x14ac:dyDescent="0.3">
      <c r="O340" s="98"/>
      <c r="T340" s="250"/>
      <c r="U340" s="252">
        <f t="shared" si="17"/>
        <v>44285</v>
      </c>
      <c r="V340" s="6"/>
      <c r="W340" s="253">
        <v>593627</v>
      </c>
      <c r="X340" s="6"/>
      <c r="Y340" s="44">
        <v>1.9E-2</v>
      </c>
      <c r="Z340" s="6"/>
      <c r="AA340" s="254">
        <f t="shared" si="19"/>
        <v>-6582</v>
      </c>
      <c r="AB340" s="6"/>
      <c r="AC340" s="258"/>
      <c r="AD340" s="251"/>
    </row>
    <row r="341" spans="15:30" x14ac:dyDescent="0.3">
      <c r="O341" s="98"/>
      <c r="T341" s="250"/>
      <c r="U341" s="252">
        <f t="shared" si="17"/>
        <v>44286</v>
      </c>
      <c r="V341" s="6"/>
      <c r="W341" s="253">
        <v>622940</v>
      </c>
      <c r="X341" s="6"/>
      <c r="Y341" s="44">
        <v>0.02</v>
      </c>
      <c r="Z341" s="6"/>
      <c r="AA341" s="254">
        <f t="shared" si="19"/>
        <v>-29313</v>
      </c>
      <c r="AB341" s="6"/>
      <c r="AC341" s="258"/>
      <c r="AD341" s="251"/>
    </row>
    <row r="342" spans="15:30" x14ac:dyDescent="0.3">
      <c r="O342" s="98"/>
      <c r="T342" s="250"/>
      <c r="U342" s="252">
        <f t="shared" si="17"/>
        <v>44287</v>
      </c>
      <c r="V342" s="6"/>
      <c r="W342" s="253">
        <v>621443</v>
      </c>
      <c r="X342" s="6"/>
      <c r="Y342" s="44">
        <v>0.02</v>
      </c>
      <c r="Z342" s="6"/>
      <c r="AA342" s="254">
        <f t="shared" si="19"/>
        <v>1497</v>
      </c>
      <c r="AB342" s="6"/>
      <c r="AC342" s="258"/>
      <c r="AD342" s="251"/>
    </row>
    <row r="343" spans="15:30" x14ac:dyDescent="0.3">
      <c r="O343" s="98"/>
      <c r="T343" s="250"/>
      <c r="U343" s="252">
        <f t="shared" si="17"/>
        <v>44288</v>
      </c>
      <c r="V343" s="6"/>
      <c r="W343" s="253">
        <v>632710</v>
      </c>
      <c r="X343" s="6"/>
      <c r="Y343" s="44">
        <v>0.02</v>
      </c>
      <c r="Z343" s="6"/>
      <c r="AA343" s="254">
        <f t="shared" si="19"/>
        <v>-11267</v>
      </c>
      <c r="AB343" s="6"/>
      <c r="AC343" s="258"/>
      <c r="AD343" s="251"/>
    </row>
    <row r="344" spans="15:30" x14ac:dyDescent="0.3">
      <c r="O344" s="98"/>
      <c r="T344" s="250"/>
      <c r="U344" s="252">
        <f t="shared" si="17"/>
        <v>44289</v>
      </c>
      <c r="V344" s="6"/>
      <c r="W344" s="253">
        <v>565234</v>
      </c>
      <c r="X344" s="6"/>
      <c r="Y344" s="44">
        <v>1.7999999999999999E-2</v>
      </c>
      <c r="Z344" s="6"/>
      <c r="AA344" s="254">
        <f t="shared" si="19"/>
        <v>67476</v>
      </c>
      <c r="AB344" s="6"/>
      <c r="AC344" s="258"/>
      <c r="AD344" s="251"/>
    </row>
    <row r="345" spans="15:30" x14ac:dyDescent="0.3">
      <c r="O345" s="98"/>
      <c r="T345" s="250"/>
      <c r="U345" s="252">
        <f t="shared" si="17"/>
        <v>44290</v>
      </c>
      <c r="V345" s="6"/>
      <c r="W345" s="253">
        <v>525292</v>
      </c>
      <c r="X345" s="6"/>
      <c r="Y345" s="44">
        <v>1.7000000000000001E-2</v>
      </c>
      <c r="Z345" s="6"/>
      <c r="AA345" s="254">
        <f t="shared" si="19"/>
        <v>39942</v>
      </c>
      <c r="AB345" s="6"/>
      <c r="AC345" s="258"/>
      <c r="AD345" s="251"/>
    </row>
    <row r="346" spans="15:30" x14ac:dyDescent="0.3">
      <c r="O346" s="98"/>
      <c r="T346" s="250"/>
      <c r="U346" s="252">
        <f t="shared" si="17"/>
        <v>44291</v>
      </c>
      <c r="V346" s="6"/>
      <c r="W346" s="253">
        <v>519361</v>
      </c>
      <c r="X346" s="6"/>
      <c r="Y346" s="44">
        <v>1.7000000000000001E-2</v>
      </c>
      <c r="Z346" s="6"/>
      <c r="AA346" s="254">
        <f t="shared" si="19"/>
        <v>5931</v>
      </c>
      <c r="AB346" s="6"/>
      <c r="AC346" s="258"/>
      <c r="AD346" s="251"/>
    </row>
    <row r="347" spans="15:30" x14ac:dyDescent="0.3">
      <c r="O347" s="98"/>
      <c r="T347" s="250"/>
      <c r="U347" s="252">
        <f t="shared" si="17"/>
        <v>44292</v>
      </c>
      <c r="V347" s="6"/>
      <c r="W347" s="253">
        <v>581644</v>
      </c>
      <c r="X347" s="6"/>
      <c r="Y347" s="44">
        <v>1.9E-2</v>
      </c>
      <c r="Z347" s="6"/>
      <c r="AA347" s="254">
        <f t="shared" si="19"/>
        <v>-62283</v>
      </c>
      <c r="AB347" s="6"/>
      <c r="AC347" s="258"/>
      <c r="AD347" s="251"/>
    </row>
    <row r="348" spans="15:30" x14ac:dyDescent="0.3">
      <c r="O348" s="98"/>
      <c r="T348" s="250"/>
      <c r="U348" s="252">
        <f t="shared" si="17"/>
        <v>44293</v>
      </c>
      <c r="V348" s="6"/>
      <c r="W348" s="253">
        <v>537810</v>
      </c>
      <c r="X348" s="6"/>
      <c r="Y348" s="44">
        <v>1.7000000000000001E-2</v>
      </c>
      <c r="Z348" s="6"/>
      <c r="AA348" s="254">
        <f t="shared" si="19"/>
        <v>43834</v>
      </c>
      <c r="AB348" s="6"/>
      <c r="AC348" s="258"/>
      <c r="AD348" s="251"/>
    </row>
    <row r="349" spans="15:30" x14ac:dyDescent="0.3">
      <c r="O349" s="98"/>
      <c r="T349" s="250"/>
      <c r="U349" s="252">
        <f t="shared" si="17"/>
        <v>44294</v>
      </c>
      <c r="V349" s="6"/>
      <c r="W349" s="253">
        <v>633019</v>
      </c>
      <c r="X349" s="6"/>
      <c r="Y349" s="44">
        <v>0.02</v>
      </c>
      <c r="Z349" s="6"/>
      <c r="AA349" s="254">
        <f t="shared" si="19"/>
        <v>-95209</v>
      </c>
      <c r="AB349" s="6"/>
      <c r="AC349" s="258"/>
      <c r="AD349" s="251"/>
    </row>
    <row r="350" spans="15:30" x14ac:dyDescent="0.3">
      <c r="O350" s="98"/>
      <c r="T350" s="250"/>
      <c r="U350" s="252">
        <f t="shared" si="17"/>
        <v>44295</v>
      </c>
      <c r="V350" s="6"/>
      <c r="W350" s="253">
        <v>655885</v>
      </c>
      <c r="X350" s="6"/>
      <c r="Y350" s="44">
        <f>+L$36</f>
        <v>3.0585048511314601E-3</v>
      </c>
      <c r="Z350" s="6"/>
      <c r="AA350" s="254">
        <f t="shared" si="19"/>
        <v>-22866</v>
      </c>
      <c r="AB350" s="6"/>
      <c r="AC350" s="258"/>
      <c r="AD350" s="251"/>
    </row>
    <row r="351" spans="15:30" x14ac:dyDescent="0.3">
      <c r="O351" s="98"/>
      <c r="T351" s="250"/>
      <c r="U351" s="252">
        <f t="shared" si="17"/>
        <v>44296</v>
      </c>
      <c r="V351" s="6"/>
      <c r="W351" s="253">
        <v>654049</v>
      </c>
      <c r="X351" s="6"/>
      <c r="Y351" s="44">
        <v>2.1000000000000001E-2</v>
      </c>
      <c r="Z351" s="6"/>
      <c r="AA351" s="254">
        <f t="shared" si="19"/>
        <v>1836</v>
      </c>
      <c r="AB351" s="6"/>
      <c r="AC351" s="258"/>
      <c r="AD351" s="251"/>
    </row>
    <row r="352" spans="15:30" x14ac:dyDescent="0.3">
      <c r="O352" s="98"/>
      <c r="T352" s="250"/>
      <c r="U352" s="573">
        <f t="shared" si="17"/>
        <v>44297</v>
      </c>
      <c r="V352" s="6"/>
      <c r="W352" s="253">
        <v>657626</v>
      </c>
      <c r="X352" s="6"/>
      <c r="Y352" s="44">
        <v>2.1000000000000001E-2</v>
      </c>
      <c r="Z352" s="6"/>
      <c r="AA352" s="254">
        <f t="shared" si="19"/>
        <v>-3577</v>
      </c>
      <c r="AB352" s="6"/>
      <c r="AC352" s="258"/>
      <c r="AD352" s="251"/>
    </row>
    <row r="353" spans="15:30" x14ac:dyDescent="0.3">
      <c r="O353" s="98"/>
      <c r="T353" s="250"/>
      <c r="U353" s="252">
        <f t="shared" si="17"/>
        <v>44298</v>
      </c>
      <c r="V353" s="6"/>
      <c r="W353" s="253">
        <v>644273</v>
      </c>
      <c r="X353" s="6"/>
      <c r="Y353" s="44">
        <v>0.02</v>
      </c>
      <c r="Z353" s="6"/>
      <c r="AA353" s="254">
        <f t="shared" si="19"/>
        <v>13353</v>
      </c>
      <c r="AB353" s="6"/>
      <c r="AC353" s="258"/>
      <c r="AD353" s="251"/>
    </row>
    <row r="354" spans="15:30" x14ac:dyDescent="0.3">
      <c r="O354" s="98"/>
      <c r="T354" s="250"/>
      <c r="U354" s="252">
        <f t="shared" si="17"/>
        <v>44299</v>
      </c>
      <c r="V354" s="6"/>
      <c r="W354" s="253">
        <v>656023</v>
      </c>
      <c r="X354" s="6"/>
      <c r="Y354" s="44">
        <v>2.1000000000000001E-2</v>
      </c>
      <c r="Z354" s="6"/>
      <c r="AA354" s="254">
        <f t="shared" si="19"/>
        <v>-11750</v>
      </c>
      <c r="AB354" s="6"/>
      <c r="AC354" s="258"/>
      <c r="AD354" s="251"/>
    </row>
    <row r="355" spans="15:30" x14ac:dyDescent="0.3">
      <c r="O355" s="98"/>
      <c r="T355" s="250"/>
      <c r="U355" s="252">
        <f t="shared" si="17"/>
        <v>44300</v>
      </c>
      <c r="V355" s="6"/>
      <c r="W355" s="253">
        <v>697650</v>
      </c>
      <c r="X355" s="6"/>
      <c r="Y355" s="44">
        <v>2.1999999999999999E-2</v>
      </c>
      <c r="Z355" s="6"/>
      <c r="AA355" s="254">
        <f t="shared" si="19"/>
        <v>-41627</v>
      </c>
      <c r="AB355" s="6"/>
      <c r="AC355" s="258"/>
      <c r="AD355" s="251"/>
    </row>
    <row r="356" spans="15:30" x14ac:dyDescent="0.3">
      <c r="O356" s="98"/>
      <c r="T356" s="250"/>
      <c r="U356" s="252">
        <f t="shared" si="17"/>
        <v>44301</v>
      </c>
      <c r="V356" s="6"/>
      <c r="W356" s="253">
        <v>714568</v>
      </c>
      <c r="X356" s="6"/>
      <c r="Y356" s="44">
        <v>2.1999999999999999E-2</v>
      </c>
      <c r="Z356" s="6"/>
      <c r="AA356" s="254">
        <f t="shared" si="19"/>
        <v>-16918</v>
      </c>
      <c r="AB356" s="6"/>
      <c r="AC356" s="258"/>
      <c r="AD356" s="251"/>
    </row>
    <row r="357" spans="15:30" x14ac:dyDescent="0.3">
      <c r="O357" s="98"/>
      <c r="T357" s="250"/>
      <c r="U357" s="252">
        <f t="shared" si="17"/>
        <v>44302</v>
      </c>
      <c r="V357" s="6"/>
      <c r="W357" s="253">
        <v>734011</v>
      </c>
      <c r="X357" s="6"/>
      <c r="Y357" s="44">
        <v>2.3E-2</v>
      </c>
      <c r="Z357" s="6"/>
      <c r="AA357" s="254">
        <f t="shared" si="19"/>
        <v>-19443</v>
      </c>
      <c r="AB357" s="6"/>
      <c r="AC357" s="258"/>
      <c r="AD357" s="251"/>
    </row>
    <row r="358" spans="15:30" x14ac:dyDescent="0.3">
      <c r="O358" s="98"/>
      <c r="T358" s="250"/>
      <c r="U358" s="252">
        <f t="shared" si="17"/>
        <v>44303</v>
      </c>
      <c r="V358" s="6"/>
      <c r="W358" s="253">
        <v>722521</v>
      </c>
      <c r="X358" s="6"/>
      <c r="Y358" s="44">
        <v>2.3E-2</v>
      </c>
      <c r="Z358" s="6"/>
      <c r="AA358" s="254">
        <f t="shared" si="19"/>
        <v>11490</v>
      </c>
      <c r="AB358" s="6"/>
      <c r="AC358" s="258"/>
      <c r="AD358" s="251"/>
    </row>
    <row r="359" spans="15:30" x14ac:dyDescent="0.3">
      <c r="O359" s="98"/>
      <c r="T359" s="250"/>
      <c r="U359" s="573">
        <f t="shared" si="17"/>
        <v>44304</v>
      </c>
      <c r="V359" s="6"/>
      <c r="W359" s="253">
        <v>685531</v>
      </c>
      <c r="X359" s="6"/>
      <c r="Y359" s="44">
        <v>2.1000000000000001E-2</v>
      </c>
      <c r="Z359" s="6"/>
      <c r="AA359" s="254">
        <f t="shared" si="19"/>
        <v>36990</v>
      </c>
      <c r="AB359" s="6"/>
      <c r="AC359" s="258"/>
      <c r="AD359" s="251"/>
    </row>
    <row r="360" spans="15:30" x14ac:dyDescent="0.3">
      <c r="O360" s="98"/>
      <c r="T360" s="250"/>
      <c r="U360" s="252">
        <f t="shared" si="17"/>
        <v>44305</v>
      </c>
      <c r="V360" s="6"/>
      <c r="W360" s="253">
        <v>651816</v>
      </c>
      <c r="X360" s="6"/>
      <c r="Y360" s="44">
        <v>0.02</v>
      </c>
      <c r="Z360" s="6"/>
      <c r="AA360" s="254">
        <f t="shared" si="19"/>
        <v>33715</v>
      </c>
      <c r="AB360" s="6"/>
      <c r="AC360" s="258"/>
      <c r="AD360" s="251"/>
    </row>
    <row r="361" spans="15:30" x14ac:dyDescent="0.3">
      <c r="O361" s="98"/>
      <c r="T361" s="250"/>
      <c r="U361" s="252">
        <f t="shared" si="17"/>
        <v>44306</v>
      </c>
      <c r="V361" s="6"/>
      <c r="W361" s="253">
        <v>645584</v>
      </c>
      <c r="X361" s="6"/>
      <c r="Y361" s="44">
        <v>0.02</v>
      </c>
      <c r="Z361" s="6"/>
      <c r="AA361" s="254">
        <f t="shared" si="19"/>
        <v>6232</v>
      </c>
      <c r="AB361" s="6"/>
      <c r="AC361" s="258"/>
      <c r="AD361" s="251"/>
    </row>
    <row r="362" spans="15:30" x14ac:dyDescent="0.3">
      <c r="O362" s="98"/>
      <c r="T362" s="250"/>
      <c r="U362" s="252">
        <f t="shared" si="17"/>
        <v>44307</v>
      </c>
      <c r="V362" s="6"/>
      <c r="W362" s="253">
        <v>662728</v>
      </c>
      <c r="X362" s="6"/>
      <c r="Y362" s="44">
        <v>2.1000000000000001E-2</v>
      </c>
      <c r="Z362" s="6"/>
      <c r="AA362" s="254">
        <f t="shared" si="19"/>
        <v>-17144</v>
      </c>
      <c r="AB362" s="6"/>
      <c r="AC362" s="258"/>
      <c r="AD362" s="251"/>
    </row>
    <row r="363" spans="15:30" x14ac:dyDescent="0.3">
      <c r="O363" s="98"/>
      <c r="T363" s="250"/>
      <c r="U363" s="252">
        <f t="shared" si="17"/>
        <v>44308</v>
      </c>
      <c r="V363" s="6"/>
      <c r="W363" s="253">
        <v>673229</v>
      </c>
      <c r="X363" s="6"/>
      <c r="Y363" s="44">
        <v>2.1000000000000001E-2</v>
      </c>
      <c r="Z363" s="6"/>
      <c r="AA363" s="254">
        <f t="shared" si="19"/>
        <v>-10501</v>
      </c>
      <c r="AB363" s="6"/>
      <c r="AC363" s="258"/>
      <c r="AD363" s="251"/>
    </row>
    <row r="364" spans="15:30" x14ac:dyDescent="0.3">
      <c r="O364" s="98"/>
      <c r="T364" s="250"/>
      <c r="U364" s="252">
        <f t="shared" si="17"/>
        <v>44309</v>
      </c>
      <c r="V364" s="6"/>
      <c r="W364" s="253">
        <v>661894</v>
      </c>
      <c r="X364" s="6"/>
      <c r="Y364" s="44">
        <v>0.02</v>
      </c>
      <c r="Z364" s="6"/>
      <c r="AA364" s="254">
        <f t="shared" si="19"/>
        <v>11335</v>
      </c>
      <c r="AB364" s="6"/>
      <c r="AC364" s="258"/>
      <c r="AD364" s="251"/>
    </row>
    <row r="365" spans="15:30" x14ac:dyDescent="0.3">
      <c r="O365" s="98"/>
      <c r="T365" s="250"/>
      <c r="U365" s="252">
        <f t="shared" si="17"/>
        <v>44310</v>
      </c>
      <c r="V365" s="6"/>
      <c r="W365" s="253">
        <v>636847</v>
      </c>
      <c r="X365" s="6"/>
      <c r="Y365" s="44">
        <v>0.02</v>
      </c>
      <c r="Z365" s="6"/>
      <c r="AA365" s="254">
        <f t="shared" si="19"/>
        <v>25047</v>
      </c>
      <c r="AB365" s="6"/>
      <c r="AC365" s="258"/>
      <c r="AD365" s="251"/>
    </row>
    <row r="366" spans="15:30" x14ac:dyDescent="0.3">
      <c r="O366" s="98"/>
      <c r="T366" s="250"/>
      <c r="U366" s="573">
        <f t="shared" si="17"/>
        <v>44311</v>
      </c>
      <c r="V366" s="6"/>
      <c r="W366" s="253">
        <v>597072</v>
      </c>
      <c r="X366" s="6"/>
      <c r="Y366" s="44">
        <v>1.7999999999999999E-2</v>
      </c>
      <c r="Z366" s="6"/>
      <c r="AA366" s="254">
        <f t="shared" si="19"/>
        <v>39775</v>
      </c>
      <c r="AB366" s="6"/>
      <c r="AC366" s="258"/>
      <c r="AD366" s="251"/>
    </row>
    <row r="367" spans="15:30" x14ac:dyDescent="0.3">
      <c r="O367" s="98"/>
      <c r="T367" s="250"/>
      <c r="U367" s="252">
        <f t="shared" si="17"/>
        <v>44312</v>
      </c>
      <c r="V367" s="6"/>
      <c r="W367" s="253">
        <v>562727</v>
      </c>
      <c r="X367" s="6"/>
      <c r="Y367" s="44">
        <v>1.7000000000000001E-2</v>
      </c>
      <c r="Z367" s="6"/>
      <c r="AA367" s="254">
        <f t="shared" si="19"/>
        <v>34345</v>
      </c>
      <c r="AB367" s="6"/>
      <c r="AC367" s="258"/>
      <c r="AD367" s="251"/>
    </row>
    <row r="368" spans="15:30" x14ac:dyDescent="0.3">
      <c r="O368" s="98"/>
      <c r="T368" s="250"/>
      <c r="U368" s="252">
        <f t="shared" si="17"/>
        <v>44313</v>
      </c>
      <c r="V368" s="6"/>
      <c r="W368" s="253">
        <v>551171</v>
      </c>
      <c r="X368" s="6"/>
      <c r="Y368" s="44">
        <v>1.7000000000000001E-2</v>
      </c>
      <c r="Z368" s="6"/>
      <c r="AA368" s="254">
        <f t="shared" si="19"/>
        <v>11556</v>
      </c>
      <c r="AB368" s="6"/>
      <c r="AC368" s="258"/>
      <c r="AD368" s="251"/>
    </row>
    <row r="369" spans="15:30" x14ac:dyDescent="0.3">
      <c r="O369" s="98"/>
      <c r="T369" s="250"/>
      <c r="U369" s="252">
        <f t="shared" si="17"/>
        <v>44314</v>
      </c>
      <c r="V369" s="6"/>
      <c r="W369" s="253">
        <v>564598</v>
      </c>
      <c r="X369" s="6"/>
      <c r="Y369" s="44">
        <v>1.7000000000000001E-2</v>
      </c>
      <c r="Z369" s="6"/>
      <c r="AA369" s="254">
        <f t="shared" si="19"/>
        <v>-13427</v>
      </c>
      <c r="AB369" s="6"/>
      <c r="AC369" s="258"/>
      <c r="AD369" s="251"/>
    </row>
    <row r="370" spans="15:30" x14ac:dyDescent="0.3">
      <c r="O370" s="98"/>
      <c r="T370" s="250"/>
      <c r="U370" s="252">
        <f t="shared" si="17"/>
        <v>44315</v>
      </c>
      <c r="V370" s="6"/>
      <c r="W370" s="253">
        <v>572101</v>
      </c>
      <c r="X370" s="6"/>
      <c r="Y370" s="44">
        <v>1.7000000000000001E-2</v>
      </c>
      <c r="Z370" s="6"/>
      <c r="AA370" s="254">
        <f t="shared" si="19"/>
        <v>-7503</v>
      </c>
      <c r="AB370" s="6"/>
      <c r="AC370" s="258"/>
      <c r="AD370" s="251"/>
    </row>
    <row r="371" spans="15:30" x14ac:dyDescent="0.3">
      <c r="O371" s="98"/>
      <c r="T371" s="250"/>
      <c r="U371" s="252">
        <f t="shared" si="17"/>
        <v>44316</v>
      </c>
      <c r="V371" s="6"/>
      <c r="W371" s="253">
        <v>571564</v>
      </c>
      <c r="X371" s="6"/>
      <c r="Y371" s="44">
        <v>1.7000000000000001E-2</v>
      </c>
      <c r="Z371" s="6"/>
      <c r="AA371" s="254">
        <f t="shared" si="19"/>
        <v>537</v>
      </c>
      <c r="AB371" s="6"/>
      <c r="AC371" s="258"/>
      <c r="AD371" s="251"/>
    </row>
    <row r="372" spans="15:30" x14ac:dyDescent="0.3">
      <c r="O372" s="98"/>
      <c r="T372" s="250"/>
      <c r="U372" s="252">
        <f>+U371+1</f>
        <v>44317</v>
      </c>
      <c r="V372" s="6"/>
      <c r="W372" s="253">
        <v>548459</v>
      </c>
      <c r="X372" s="6"/>
      <c r="Y372" s="44">
        <v>1.7000000000000001E-2</v>
      </c>
      <c r="Z372" s="6"/>
      <c r="AA372" s="254">
        <f t="shared" si="19"/>
        <v>23105</v>
      </c>
      <c r="AB372" s="6"/>
      <c r="AC372" s="258"/>
      <c r="AD372" s="251"/>
    </row>
    <row r="373" spans="15:30" x14ac:dyDescent="0.3">
      <c r="O373" s="98"/>
      <c r="T373" s="250"/>
      <c r="U373" s="573">
        <f>+U372+1</f>
        <v>44318</v>
      </c>
      <c r="V373" s="6"/>
      <c r="W373" s="253">
        <v>512013</v>
      </c>
      <c r="X373" s="6"/>
      <c r="Y373" s="44">
        <v>1.6E-2</v>
      </c>
      <c r="Z373" s="6"/>
      <c r="AA373" s="254">
        <f t="shared" si="19"/>
        <v>36446</v>
      </c>
      <c r="AB373" s="6"/>
      <c r="AC373" s="258"/>
      <c r="AD373" s="251"/>
    </row>
    <row r="374" spans="15:30" x14ac:dyDescent="0.3">
      <c r="O374" s="98"/>
      <c r="T374" s="250"/>
      <c r="U374" s="252">
        <f>+U373+1</f>
        <v>44319</v>
      </c>
      <c r="V374" s="6"/>
      <c r="W374" s="253">
        <v>485913</v>
      </c>
      <c r="X374" s="6"/>
      <c r="Y374" s="44">
        <v>1.4999999999999999E-2</v>
      </c>
      <c r="Z374" s="6"/>
      <c r="AA374" s="254">
        <f t="shared" ref="AA374:AA394" si="20">+W373-W374</f>
        <v>26100</v>
      </c>
      <c r="AB374" s="6"/>
      <c r="AC374" s="258"/>
      <c r="AD374" s="251"/>
    </row>
    <row r="375" spans="15:30" x14ac:dyDescent="0.3">
      <c r="O375" s="98"/>
      <c r="T375" s="250"/>
      <c r="U375" s="252">
        <f t="shared" ref="U375:U473" si="21">+U374+1</f>
        <v>44320</v>
      </c>
      <c r="V375" s="6"/>
      <c r="W375" s="253">
        <v>475011</v>
      </c>
      <c r="X375" s="6"/>
      <c r="Y375" s="44">
        <v>1.4E-2</v>
      </c>
      <c r="Z375" s="6"/>
      <c r="AA375" s="254">
        <f t="shared" si="20"/>
        <v>10902</v>
      </c>
      <c r="AB375" s="6"/>
      <c r="AC375" s="258"/>
      <c r="AD375" s="251"/>
    </row>
    <row r="376" spans="15:30" x14ac:dyDescent="0.3">
      <c r="O376" s="98"/>
      <c r="T376" s="250"/>
      <c r="U376" s="252">
        <f t="shared" si="21"/>
        <v>44321</v>
      </c>
      <c r="V376" s="6"/>
      <c r="W376" s="253">
        <v>486359</v>
      </c>
      <c r="X376" s="6"/>
      <c r="Y376" s="44">
        <v>1.4999999999999999E-2</v>
      </c>
      <c r="Z376" s="6"/>
      <c r="AA376" s="254">
        <f t="shared" si="20"/>
        <v>-11348</v>
      </c>
      <c r="AB376" s="6"/>
      <c r="AC376" s="258"/>
      <c r="AD376" s="251"/>
    </row>
    <row r="377" spans="15:30" x14ac:dyDescent="0.3">
      <c r="O377" s="98"/>
      <c r="T377" s="250"/>
      <c r="U377" s="252">
        <f t="shared" si="21"/>
        <v>44322</v>
      </c>
      <c r="V377" s="6"/>
      <c r="W377" s="253">
        <v>486595</v>
      </c>
      <c r="X377" s="6"/>
      <c r="Y377" s="44">
        <v>1.4999999999999999E-2</v>
      </c>
      <c r="Z377" s="6"/>
      <c r="AA377" s="254">
        <f t="shared" si="20"/>
        <v>-236</v>
      </c>
      <c r="AB377" s="6"/>
      <c r="AC377" s="258"/>
      <c r="AD377" s="251"/>
    </row>
    <row r="378" spans="15:30" x14ac:dyDescent="0.3">
      <c r="O378" s="98"/>
      <c r="T378" s="250"/>
      <c r="U378" s="252">
        <f t="shared" si="21"/>
        <v>44323</v>
      </c>
      <c r="V378" s="6"/>
      <c r="W378" s="253">
        <v>483786</v>
      </c>
      <c r="X378" s="6"/>
      <c r="Y378" s="44">
        <v>1.4999999999999999E-2</v>
      </c>
      <c r="Z378" s="6"/>
      <c r="AA378" s="254">
        <f t="shared" si="20"/>
        <v>2809</v>
      </c>
      <c r="AB378" s="6"/>
      <c r="AC378" s="258"/>
      <c r="AD378" s="251"/>
    </row>
    <row r="379" spans="15:30" x14ac:dyDescent="0.3">
      <c r="O379" s="98"/>
      <c r="T379" s="250"/>
      <c r="U379" s="252">
        <f t="shared" si="21"/>
        <v>44324</v>
      </c>
      <c r="V379" s="6"/>
      <c r="W379" s="253">
        <v>462914</v>
      </c>
      <c r="X379" s="6"/>
      <c r="Y379" s="44">
        <v>1.4E-2</v>
      </c>
      <c r="Z379" s="6"/>
      <c r="AA379" s="254">
        <f t="shared" si="20"/>
        <v>20872</v>
      </c>
      <c r="AB379" s="6"/>
      <c r="AC379" s="258"/>
      <c r="AD379" s="251"/>
    </row>
    <row r="380" spans="15:30" x14ac:dyDescent="0.3">
      <c r="O380" s="98"/>
      <c r="T380" s="250"/>
      <c r="U380" s="573">
        <f t="shared" si="21"/>
        <v>44325</v>
      </c>
      <c r="V380" s="6"/>
      <c r="W380" s="253">
        <v>425820</v>
      </c>
      <c r="X380" s="6"/>
      <c r="Y380" s="44">
        <v>1.2999999999999999E-2</v>
      </c>
      <c r="Z380" s="6"/>
      <c r="AA380" s="254">
        <f t="shared" si="20"/>
        <v>37094</v>
      </c>
      <c r="AB380" s="6"/>
      <c r="AC380" s="258"/>
      <c r="AD380" s="251"/>
    </row>
    <row r="381" spans="15:30" x14ac:dyDescent="0.3">
      <c r="O381" s="98"/>
      <c r="T381" s="250"/>
      <c r="U381" s="252">
        <f t="shared" si="21"/>
        <v>44326</v>
      </c>
      <c r="V381" s="6"/>
      <c r="W381" s="253">
        <v>395866</v>
      </c>
      <c r="X381" s="6"/>
      <c r="Y381" s="44">
        <v>1.2E-2</v>
      </c>
      <c r="Z381" s="6"/>
      <c r="AA381" s="254">
        <f t="shared" si="20"/>
        <v>29954</v>
      </c>
      <c r="AB381" s="6"/>
      <c r="AC381" s="258"/>
      <c r="AD381" s="251"/>
    </row>
    <row r="382" spans="15:30" x14ac:dyDescent="0.3">
      <c r="O382" s="98"/>
      <c r="T382" s="250"/>
      <c r="U382" s="252">
        <f t="shared" si="21"/>
        <v>44327</v>
      </c>
      <c r="V382" s="6"/>
      <c r="W382" s="253">
        <v>388700</v>
      </c>
      <c r="X382" s="6"/>
      <c r="Y382" s="44">
        <v>1.2E-2</v>
      </c>
      <c r="Z382" s="6"/>
      <c r="AA382" s="254">
        <f t="shared" si="20"/>
        <v>7166</v>
      </c>
      <c r="AB382" s="6"/>
      <c r="AC382" s="258"/>
      <c r="AD382" s="251"/>
    </row>
    <row r="383" spans="15:30" x14ac:dyDescent="0.3">
      <c r="O383" s="98"/>
      <c r="T383" s="250"/>
      <c r="U383" s="252">
        <f t="shared" si="21"/>
        <v>44328</v>
      </c>
      <c r="V383" s="6"/>
      <c r="W383" s="253">
        <v>393781</v>
      </c>
      <c r="X383" s="6"/>
      <c r="Y383" s="44">
        <v>1.2E-2</v>
      </c>
      <c r="Z383" s="6"/>
      <c r="AA383" s="254">
        <f t="shared" si="20"/>
        <v>-5081</v>
      </c>
      <c r="AB383" s="6"/>
      <c r="AC383" s="258"/>
      <c r="AD383" s="251"/>
    </row>
    <row r="384" spans="15:30" x14ac:dyDescent="0.3">
      <c r="O384" s="98"/>
      <c r="T384" s="250"/>
      <c r="U384" s="252">
        <f t="shared" si="21"/>
        <v>44329</v>
      </c>
      <c r="V384" s="6"/>
      <c r="W384" s="253">
        <v>393056</v>
      </c>
      <c r="X384" s="6"/>
      <c r="Y384" s="44">
        <v>1.2E-2</v>
      </c>
      <c r="Z384" s="6"/>
      <c r="AA384" s="254">
        <f t="shared" si="20"/>
        <v>725</v>
      </c>
      <c r="AB384" s="6"/>
      <c r="AC384" s="258"/>
      <c r="AD384" s="251"/>
    </row>
    <row r="385" spans="15:30" x14ac:dyDescent="0.3">
      <c r="O385" s="98"/>
      <c r="T385" s="250"/>
      <c r="U385" s="252">
        <f t="shared" si="21"/>
        <v>44330</v>
      </c>
      <c r="V385" s="6"/>
      <c r="W385" s="253">
        <v>389532</v>
      </c>
      <c r="X385" s="6"/>
      <c r="Y385" s="44">
        <v>1.2E-2</v>
      </c>
      <c r="Z385" s="6"/>
      <c r="AA385" s="254">
        <f t="shared" si="20"/>
        <v>3524</v>
      </c>
      <c r="AB385" s="6"/>
      <c r="AC385" s="258"/>
      <c r="AD385" s="251"/>
    </row>
    <row r="386" spans="15:30" x14ac:dyDescent="0.3">
      <c r="O386" s="98"/>
      <c r="T386" s="250"/>
      <c r="U386" s="252">
        <f t="shared" si="21"/>
        <v>44331</v>
      </c>
      <c r="V386" s="6"/>
      <c r="W386" s="253">
        <v>368715</v>
      </c>
      <c r="X386" s="6"/>
      <c r="Y386" s="44">
        <v>1.0999999999999999E-2</v>
      </c>
      <c r="Z386" s="6"/>
      <c r="AA386" s="254">
        <f t="shared" si="20"/>
        <v>20817</v>
      </c>
      <c r="AB386" s="6"/>
      <c r="AC386" s="258"/>
      <c r="AD386" s="251"/>
    </row>
    <row r="387" spans="15:30" x14ac:dyDescent="0.3">
      <c r="O387" s="98"/>
      <c r="T387" s="250"/>
      <c r="U387" s="573">
        <f t="shared" si="21"/>
        <v>44332</v>
      </c>
      <c r="V387" s="6"/>
      <c r="W387" s="253">
        <v>338685</v>
      </c>
      <c r="X387" s="6"/>
      <c r="Y387" s="44">
        <v>0.01</v>
      </c>
      <c r="Z387" s="6"/>
      <c r="AA387" s="254">
        <f t="shared" si="20"/>
        <v>30030</v>
      </c>
      <c r="AB387" s="6"/>
      <c r="AC387" s="258"/>
      <c r="AD387" s="251"/>
    </row>
    <row r="388" spans="15:30" x14ac:dyDescent="0.3">
      <c r="O388" s="98"/>
      <c r="T388" s="250"/>
      <c r="U388" s="252">
        <f t="shared" si="21"/>
        <v>44333</v>
      </c>
      <c r="V388" s="6"/>
      <c r="W388" s="253">
        <v>314043</v>
      </c>
      <c r="X388" s="6"/>
      <c r="Y388" s="44">
        <v>8.9999999999999993E-3</v>
      </c>
      <c r="Z388" s="6"/>
      <c r="AA388" s="254">
        <f t="shared" si="20"/>
        <v>24642</v>
      </c>
      <c r="AB388" s="6"/>
      <c r="AC388" s="258"/>
      <c r="AD388" s="251"/>
    </row>
    <row r="389" spans="15:30" x14ac:dyDescent="0.3">
      <c r="O389" s="98"/>
      <c r="T389" s="250"/>
      <c r="U389" s="252">
        <f t="shared" si="21"/>
        <v>44334</v>
      </c>
      <c r="V389" s="6"/>
      <c r="W389" s="253">
        <v>305751</v>
      </c>
      <c r="X389" s="6"/>
      <c r="Y389" s="44">
        <v>8.9999999999999993E-3</v>
      </c>
      <c r="Z389" s="6"/>
      <c r="AA389" s="254">
        <f t="shared" si="20"/>
        <v>8292</v>
      </c>
      <c r="AB389" s="6"/>
      <c r="AC389" s="258"/>
      <c r="AD389" s="251"/>
    </row>
    <row r="390" spans="15:30" x14ac:dyDescent="0.3">
      <c r="O390" s="98"/>
      <c r="T390" s="250"/>
      <c r="U390" s="252">
        <f t="shared" si="21"/>
        <v>44335</v>
      </c>
      <c r="V390" s="6"/>
      <c r="W390" s="253">
        <v>311997</v>
      </c>
      <c r="X390" s="6"/>
      <c r="Y390" s="44">
        <v>8.9999999999999993E-3</v>
      </c>
      <c r="Z390" s="6"/>
      <c r="AA390" s="254">
        <f t="shared" si="20"/>
        <v>-6246</v>
      </c>
      <c r="AB390" s="6"/>
      <c r="AC390" s="258"/>
      <c r="AD390" s="251"/>
    </row>
    <row r="391" spans="15:30" x14ac:dyDescent="0.3">
      <c r="O391" s="98"/>
      <c r="T391" s="250"/>
      <c r="U391" s="252">
        <f t="shared" si="21"/>
        <v>44336</v>
      </c>
      <c r="V391" s="6"/>
      <c r="W391" s="253">
        <v>311970</v>
      </c>
      <c r="X391" s="6"/>
      <c r="Y391" s="44">
        <v>8.9999999999999993E-3</v>
      </c>
      <c r="Z391" s="6"/>
      <c r="AA391" s="254">
        <f t="shared" si="20"/>
        <v>27</v>
      </c>
      <c r="AB391" s="6"/>
      <c r="AC391" s="258"/>
      <c r="AD391" s="251"/>
    </row>
    <row r="392" spans="15:30" x14ac:dyDescent="0.3">
      <c r="O392" s="98"/>
      <c r="T392" s="250"/>
      <c r="U392" s="252">
        <f t="shared" si="21"/>
        <v>44337</v>
      </c>
      <c r="V392" s="6"/>
      <c r="W392" s="253">
        <v>305909</v>
      </c>
      <c r="X392" s="6"/>
      <c r="Y392" s="44">
        <v>8.9999999999999993E-3</v>
      </c>
      <c r="Z392" s="6"/>
      <c r="AA392" s="254">
        <f t="shared" si="20"/>
        <v>6061</v>
      </c>
      <c r="AB392" s="6"/>
      <c r="AC392" s="258"/>
      <c r="AD392" s="251"/>
    </row>
    <row r="393" spans="15:30" x14ac:dyDescent="0.3">
      <c r="O393" s="98"/>
      <c r="T393" s="250"/>
      <c r="U393" s="252">
        <f t="shared" si="21"/>
        <v>44338</v>
      </c>
      <c r="V393" s="6"/>
      <c r="W393" s="253">
        <v>249571</v>
      </c>
      <c r="X393" s="6"/>
      <c r="Y393" s="44">
        <v>7.0000000000000001E-3</v>
      </c>
      <c r="Z393" s="6"/>
      <c r="AA393" s="254">
        <f t="shared" si="20"/>
        <v>56338</v>
      </c>
      <c r="AB393" s="6"/>
      <c r="AC393" s="258"/>
      <c r="AD393" s="251"/>
    </row>
    <row r="394" spans="15:30" x14ac:dyDescent="0.3">
      <c r="O394" s="98"/>
      <c r="T394" s="250"/>
      <c r="U394" s="573">
        <f t="shared" si="21"/>
        <v>44339</v>
      </c>
      <c r="V394" s="6"/>
      <c r="W394" s="253">
        <v>223941</v>
      </c>
      <c r="X394" s="6"/>
      <c r="Y394" s="44">
        <v>7.0000000000000001E-3</v>
      </c>
      <c r="Z394" s="6"/>
      <c r="AA394" s="254">
        <f t="shared" si="20"/>
        <v>25630</v>
      </c>
      <c r="AB394" s="6"/>
      <c r="AC394" s="258"/>
      <c r="AD394" s="251"/>
    </row>
    <row r="395" spans="15:30" x14ac:dyDescent="0.3">
      <c r="O395" s="98"/>
      <c r="T395" s="250"/>
      <c r="U395" s="252">
        <f t="shared" si="21"/>
        <v>44340</v>
      </c>
      <c r="V395" s="6"/>
      <c r="W395" s="253">
        <v>218526</v>
      </c>
      <c r="X395" s="6"/>
      <c r="Y395" s="44">
        <v>7.0000000000000001E-3</v>
      </c>
      <c r="Z395" s="6"/>
      <c r="AA395" s="254">
        <f t="shared" ref="AA395:AA426" si="22">+W394-W395</f>
        <v>5415</v>
      </c>
      <c r="AB395" s="6"/>
      <c r="AC395" s="258"/>
      <c r="AD395" s="251"/>
    </row>
    <row r="396" spans="15:30" x14ac:dyDescent="0.3">
      <c r="O396" s="98"/>
      <c r="T396" s="250"/>
      <c r="U396" s="252">
        <f t="shared" si="21"/>
        <v>44341</v>
      </c>
      <c r="V396" s="6"/>
      <c r="W396" s="253">
        <v>223428</v>
      </c>
      <c r="X396" s="6"/>
      <c r="Y396" s="44">
        <v>7.0000000000000001E-3</v>
      </c>
      <c r="Z396" s="6"/>
      <c r="AA396" s="254">
        <f t="shared" si="22"/>
        <v>-4902</v>
      </c>
      <c r="AB396" s="6"/>
      <c r="AC396" s="258"/>
      <c r="AD396" s="251"/>
    </row>
    <row r="397" spans="15:30" x14ac:dyDescent="0.3">
      <c r="O397" s="98"/>
      <c r="T397" s="250"/>
      <c r="U397" s="252">
        <f t="shared" si="21"/>
        <v>44342</v>
      </c>
      <c r="V397" s="6"/>
      <c r="W397" s="253">
        <v>221777</v>
      </c>
      <c r="X397" s="6"/>
      <c r="Y397" s="44">
        <v>7.0000000000000001E-3</v>
      </c>
      <c r="Z397" s="6"/>
      <c r="AA397" s="254">
        <f t="shared" si="22"/>
        <v>1651</v>
      </c>
      <c r="AB397" s="6"/>
      <c r="AC397" s="258"/>
      <c r="AD397" s="251"/>
    </row>
    <row r="398" spans="15:30" x14ac:dyDescent="0.3">
      <c r="O398" s="98"/>
      <c r="T398" s="250"/>
      <c r="U398" s="252">
        <f t="shared" si="21"/>
        <v>44343</v>
      </c>
      <c r="V398" s="6"/>
      <c r="W398" s="253">
        <v>218507</v>
      </c>
      <c r="X398" s="6"/>
      <c r="Y398" s="44">
        <v>7.0000000000000001E-3</v>
      </c>
      <c r="Z398" s="6"/>
      <c r="AA398" s="254">
        <f t="shared" si="22"/>
        <v>3270</v>
      </c>
      <c r="AB398" s="6"/>
      <c r="AC398" s="258"/>
      <c r="AD398" s="251"/>
    </row>
    <row r="399" spans="15:30" x14ac:dyDescent="0.3">
      <c r="O399" s="98"/>
      <c r="T399" s="250"/>
      <c r="U399" s="252">
        <f t="shared" si="21"/>
        <v>44344</v>
      </c>
      <c r="V399" s="6"/>
      <c r="W399" s="253">
        <v>212742</v>
      </c>
      <c r="X399" s="6"/>
      <c r="Y399" s="44">
        <v>6.0000000000000001E-3</v>
      </c>
      <c r="Z399" s="6"/>
      <c r="AA399" s="254">
        <f t="shared" si="22"/>
        <v>5765</v>
      </c>
      <c r="AB399" s="6"/>
      <c r="AC399" s="258"/>
      <c r="AD399" s="251"/>
    </row>
    <row r="400" spans="15:30" x14ac:dyDescent="0.3">
      <c r="O400" s="98"/>
      <c r="T400" s="250"/>
      <c r="U400" s="252">
        <f t="shared" si="21"/>
        <v>44345</v>
      </c>
      <c r="V400" s="6"/>
      <c r="W400" s="253">
        <v>194862</v>
      </c>
      <c r="X400" s="6"/>
      <c r="Y400" s="44">
        <v>6.0000000000000001E-3</v>
      </c>
      <c r="Z400" s="6"/>
      <c r="AA400" s="254">
        <f t="shared" si="22"/>
        <v>17880</v>
      </c>
      <c r="AB400" s="6"/>
      <c r="AC400" s="258"/>
      <c r="AD400" s="251"/>
    </row>
    <row r="401" spans="15:30" x14ac:dyDescent="0.3">
      <c r="O401" s="98"/>
      <c r="T401" s="250"/>
      <c r="U401" s="573">
        <f t="shared" si="21"/>
        <v>44346</v>
      </c>
      <c r="V401" s="6"/>
      <c r="W401" s="253">
        <v>173537</v>
      </c>
      <c r="X401" s="6"/>
      <c r="Y401" s="44">
        <v>5.0000000000000001E-3</v>
      </c>
      <c r="Z401" s="6"/>
      <c r="AA401" s="254">
        <f t="shared" si="22"/>
        <v>21325</v>
      </c>
      <c r="AB401" s="6"/>
      <c r="AC401" s="258"/>
      <c r="AD401" s="251"/>
    </row>
    <row r="402" spans="15:30" x14ac:dyDescent="0.3">
      <c r="O402" s="98"/>
      <c r="T402" s="250"/>
      <c r="U402" s="252">
        <f t="shared" si="21"/>
        <v>44347</v>
      </c>
      <c r="V402" s="6"/>
      <c r="W402" s="253">
        <v>159126</v>
      </c>
      <c r="X402" s="6"/>
      <c r="Y402" s="44">
        <v>5.0000000000000001E-3</v>
      </c>
      <c r="Z402" s="6"/>
      <c r="AA402" s="254">
        <f t="shared" si="22"/>
        <v>14411</v>
      </c>
      <c r="AB402" s="6"/>
      <c r="AC402" s="258"/>
      <c r="AD402" s="251"/>
    </row>
    <row r="403" spans="15:30" x14ac:dyDescent="0.3">
      <c r="O403" s="98"/>
      <c r="T403" s="250"/>
      <c r="U403" s="252">
        <f t="shared" si="21"/>
        <v>44348</v>
      </c>
      <c r="V403" s="6"/>
      <c r="W403" s="253">
        <v>158385</v>
      </c>
      <c r="X403" s="6"/>
      <c r="Y403" s="44">
        <v>5.0000000000000001E-3</v>
      </c>
      <c r="Z403" s="6"/>
      <c r="AA403" s="254">
        <f t="shared" si="22"/>
        <v>741</v>
      </c>
      <c r="AB403" s="6"/>
      <c r="AC403" s="258"/>
      <c r="AD403" s="251"/>
    </row>
    <row r="404" spans="15:30" x14ac:dyDescent="0.3">
      <c r="O404" s="98"/>
      <c r="T404" s="250"/>
      <c r="U404" s="252">
        <f t="shared" si="21"/>
        <v>44349</v>
      </c>
      <c r="V404" s="6"/>
      <c r="W404" s="253">
        <v>154881</v>
      </c>
      <c r="X404" s="6"/>
      <c r="Y404" s="44">
        <v>5.0000000000000001E-3</v>
      </c>
      <c r="Z404" s="6"/>
      <c r="AA404" s="254">
        <f t="shared" si="22"/>
        <v>3504</v>
      </c>
      <c r="AB404" s="6"/>
      <c r="AC404" s="258"/>
      <c r="AD404" s="251"/>
    </row>
    <row r="405" spans="15:30" x14ac:dyDescent="0.3">
      <c r="O405" s="98"/>
      <c r="T405" s="250"/>
      <c r="U405" s="252">
        <f t="shared" si="21"/>
        <v>44350</v>
      </c>
      <c r="V405" s="6"/>
      <c r="W405" s="253">
        <v>149930</v>
      </c>
      <c r="X405" s="6"/>
      <c r="Y405" s="44">
        <v>4.0000000000000001E-3</v>
      </c>
      <c r="Z405" s="6"/>
      <c r="AA405" s="254">
        <f t="shared" si="22"/>
        <v>4951</v>
      </c>
      <c r="AB405" s="6"/>
      <c r="AC405" s="258"/>
      <c r="AD405" s="251"/>
    </row>
    <row r="406" spans="15:30" x14ac:dyDescent="0.3">
      <c r="O406" s="98"/>
      <c r="T406" s="250"/>
      <c r="U406" s="252">
        <f t="shared" si="21"/>
        <v>44351</v>
      </c>
      <c r="V406" s="6"/>
      <c r="W406" s="253">
        <v>143179</v>
      </c>
      <c r="X406" s="6"/>
      <c r="Y406" s="44">
        <v>4.0000000000000001E-3</v>
      </c>
      <c r="Z406" s="6"/>
      <c r="AA406" s="254">
        <f t="shared" si="22"/>
        <v>6751</v>
      </c>
      <c r="AB406" s="6"/>
      <c r="AC406" s="258"/>
      <c r="AD406" s="251"/>
    </row>
    <row r="407" spans="15:30" x14ac:dyDescent="0.3">
      <c r="O407" s="98"/>
      <c r="T407" s="250"/>
      <c r="U407" s="252">
        <f t="shared" si="21"/>
        <v>44352</v>
      </c>
      <c r="V407" s="6"/>
      <c r="W407" s="253">
        <v>130153</v>
      </c>
      <c r="X407" s="6"/>
      <c r="Y407" s="44">
        <v>4.0000000000000001E-3</v>
      </c>
      <c r="Z407" s="6"/>
      <c r="AA407" s="254">
        <f t="shared" si="22"/>
        <v>13026</v>
      </c>
      <c r="AB407" s="6"/>
      <c r="AC407" s="258"/>
      <c r="AD407" s="251"/>
    </row>
    <row r="408" spans="15:30" x14ac:dyDescent="0.3">
      <c r="O408" s="98"/>
      <c r="T408" s="250"/>
      <c r="U408" s="573">
        <f t="shared" si="21"/>
        <v>44353</v>
      </c>
      <c r="V408" s="6"/>
      <c r="W408" s="253">
        <v>113640</v>
      </c>
      <c r="X408" s="6"/>
      <c r="Y408" s="44">
        <v>3.0000000000000001E-3</v>
      </c>
      <c r="Z408" s="6"/>
      <c r="AA408" s="254">
        <f t="shared" si="22"/>
        <v>16513</v>
      </c>
      <c r="AB408" s="6"/>
      <c r="AC408" s="258"/>
      <c r="AD408" s="251"/>
    </row>
    <row r="409" spans="15:30" x14ac:dyDescent="0.3">
      <c r="O409" s="98"/>
      <c r="T409" s="250"/>
      <c r="U409" s="252">
        <f t="shared" si="21"/>
        <v>44354</v>
      </c>
      <c r="V409" s="6"/>
      <c r="W409" s="253">
        <v>113161</v>
      </c>
      <c r="X409" s="6"/>
      <c r="Y409" s="44">
        <v>3.0000000000000001E-3</v>
      </c>
      <c r="Z409" s="6"/>
      <c r="AA409" s="254">
        <f t="shared" si="22"/>
        <v>479</v>
      </c>
      <c r="AB409" s="6"/>
      <c r="AC409" s="258"/>
      <c r="AD409" s="251"/>
    </row>
    <row r="410" spans="15:30" x14ac:dyDescent="0.3">
      <c r="O410" s="98"/>
      <c r="T410" s="250"/>
      <c r="U410" s="252">
        <f t="shared" si="21"/>
        <v>44355</v>
      </c>
      <c r="V410" s="6"/>
      <c r="W410" s="253">
        <v>118901</v>
      </c>
      <c r="X410" s="6"/>
      <c r="Y410" s="44">
        <v>4.0000000000000001E-3</v>
      </c>
      <c r="Z410" s="6"/>
      <c r="AA410" s="254">
        <f t="shared" si="22"/>
        <v>-5740</v>
      </c>
      <c r="AB410" s="6"/>
      <c r="AC410" s="258"/>
      <c r="AD410" s="251"/>
    </row>
    <row r="411" spans="15:30" x14ac:dyDescent="0.3">
      <c r="O411" s="98"/>
      <c r="T411" s="250"/>
      <c r="U411" s="252">
        <f t="shared" si="21"/>
        <v>44356</v>
      </c>
      <c r="V411" s="6"/>
      <c r="W411" s="253">
        <v>127816</v>
      </c>
      <c r="X411" s="6"/>
      <c r="Y411" s="44">
        <v>4.0000000000000001E-3</v>
      </c>
      <c r="Z411" s="6"/>
      <c r="AA411" s="254">
        <f t="shared" si="22"/>
        <v>-8915</v>
      </c>
      <c r="AB411" s="6"/>
      <c r="AC411" s="258"/>
      <c r="AD411" s="251"/>
    </row>
    <row r="412" spans="15:30" x14ac:dyDescent="0.3">
      <c r="O412" s="98"/>
      <c r="T412" s="250"/>
      <c r="U412" s="252">
        <f t="shared" si="21"/>
        <v>44357</v>
      </c>
      <c r="V412" s="6"/>
      <c r="W412" s="253">
        <v>131604</v>
      </c>
      <c r="X412" s="6"/>
      <c r="Y412" s="44">
        <v>4.0000000000000001E-3</v>
      </c>
      <c r="Z412" s="6"/>
      <c r="AA412" s="254">
        <f t="shared" si="22"/>
        <v>-3788</v>
      </c>
      <c r="AB412" s="6"/>
      <c r="AC412" s="258"/>
      <c r="AD412" s="251"/>
    </row>
    <row r="413" spans="15:30" x14ac:dyDescent="0.3">
      <c r="O413" s="98"/>
      <c r="T413" s="250"/>
      <c r="U413" s="252">
        <f t="shared" si="21"/>
        <v>44358</v>
      </c>
      <c r="V413" s="6"/>
      <c r="W413" s="253">
        <v>130617</v>
      </c>
      <c r="X413" s="6"/>
      <c r="Y413" s="44">
        <v>4.0000000000000001E-3</v>
      </c>
      <c r="Z413" s="6"/>
      <c r="AA413" s="254">
        <f t="shared" si="22"/>
        <v>987</v>
      </c>
      <c r="AB413" s="6"/>
      <c r="AC413" s="258"/>
      <c r="AD413" s="251"/>
    </row>
    <row r="414" spans="15:30" x14ac:dyDescent="0.3">
      <c r="O414" s="98"/>
      <c r="T414" s="250"/>
      <c r="U414" s="252">
        <f t="shared" si="21"/>
        <v>44359</v>
      </c>
      <c r="V414" s="6"/>
      <c r="W414" s="253">
        <v>121841</v>
      </c>
      <c r="X414" s="6"/>
      <c r="Y414" s="44">
        <v>4.0000000000000001E-3</v>
      </c>
      <c r="Z414" s="6"/>
      <c r="AA414" s="254">
        <f t="shared" si="22"/>
        <v>8776</v>
      </c>
      <c r="AB414" s="6"/>
      <c r="AC414" s="258"/>
      <c r="AD414" s="251"/>
    </row>
    <row r="415" spans="15:30" x14ac:dyDescent="0.3">
      <c r="O415" s="98"/>
      <c r="T415" s="250"/>
      <c r="U415" s="573">
        <f t="shared" si="21"/>
        <v>44360</v>
      </c>
      <c r="V415" s="6"/>
      <c r="W415" s="253">
        <v>110250</v>
      </c>
      <c r="X415" s="6"/>
      <c r="Y415" s="44">
        <v>3.0000000000000001E-3</v>
      </c>
      <c r="Z415" s="6"/>
      <c r="AA415" s="254">
        <f t="shared" si="22"/>
        <v>11591</v>
      </c>
      <c r="AB415" s="6"/>
      <c r="AC415" s="258"/>
      <c r="AD415" s="251"/>
    </row>
    <row r="416" spans="15:30" x14ac:dyDescent="0.3">
      <c r="O416" s="98"/>
      <c r="T416" s="250"/>
      <c r="U416" s="252">
        <f t="shared" si="21"/>
        <v>44361</v>
      </c>
      <c r="V416" s="6"/>
      <c r="W416" s="253">
        <v>109979</v>
      </c>
      <c r="X416" s="6"/>
      <c r="Y416" s="44">
        <v>3.0000000000000001E-3</v>
      </c>
      <c r="Z416" s="6"/>
      <c r="AA416" s="254">
        <f t="shared" si="22"/>
        <v>271</v>
      </c>
      <c r="AB416" s="6"/>
      <c r="AC416" s="258"/>
      <c r="AD416" s="251"/>
    </row>
    <row r="417" spans="15:31" x14ac:dyDescent="0.3">
      <c r="O417" s="98"/>
      <c r="T417" s="250"/>
      <c r="U417" s="252">
        <f t="shared" si="21"/>
        <v>44362</v>
      </c>
      <c r="V417" s="6"/>
      <c r="W417" s="253">
        <v>116096</v>
      </c>
      <c r="X417" s="6"/>
      <c r="Y417" s="44">
        <v>3.0000000000000001E-3</v>
      </c>
      <c r="Z417" s="6"/>
      <c r="AA417" s="254">
        <f t="shared" si="22"/>
        <v>-6117</v>
      </c>
      <c r="AB417" s="6"/>
      <c r="AC417" s="258"/>
      <c r="AD417" s="251"/>
    </row>
    <row r="418" spans="15:31" x14ac:dyDescent="0.3">
      <c r="O418" s="98"/>
      <c r="T418" s="250"/>
      <c r="U418" s="252">
        <f t="shared" si="21"/>
        <v>44363</v>
      </c>
      <c r="V418" s="6"/>
      <c r="W418" s="253">
        <v>117816</v>
      </c>
      <c r="X418" s="6"/>
      <c r="Y418" s="44">
        <v>3.0000000000000001E-3</v>
      </c>
      <c r="Z418" s="6"/>
      <c r="AA418" s="254">
        <f t="shared" si="22"/>
        <v>-1720</v>
      </c>
      <c r="AB418" s="6"/>
      <c r="AC418" s="258"/>
      <c r="AD418" s="251"/>
    </row>
    <row r="419" spans="15:31" x14ac:dyDescent="0.3">
      <c r="O419" s="98"/>
      <c r="T419" s="250"/>
      <c r="U419" s="252">
        <f t="shared" si="21"/>
        <v>44364</v>
      </c>
      <c r="V419" s="6"/>
      <c r="W419" s="253">
        <v>117972</v>
      </c>
      <c r="X419" s="6"/>
      <c r="Y419" s="44">
        <v>3.0000000000000001E-3</v>
      </c>
      <c r="Z419" s="6"/>
      <c r="AA419" s="254">
        <f t="shared" si="22"/>
        <v>-156</v>
      </c>
      <c r="AB419" s="6"/>
      <c r="AC419" s="258"/>
      <c r="AD419" s="251"/>
    </row>
    <row r="420" spans="15:31" x14ac:dyDescent="0.3">
      <c r="O420" s="98"/>
      <c r="T420" s="250"/>
      <c r="U420" s="252">
        <f t="shared" si="21"/>
        <v>44365</v>
      </c>
      <c r="V420" s="6"/>
      <c r="W420" s="253">
        <v>117067</v>
      </c>
      <c r="X420" s="6"/>
      <c r="Y420" s="44">
        <v>3.0000000000000001E-3</v>
      </c>
      <c r="Z420" s="6"/>
      <c r="AA420" s="254">
        <f t="shared" si="22"/>
        <v>905</v>
      </c>
      <c r="AB420" s="6"/>
      <c r="AC420" s="258"/>
      <c r="AD420" s="251"/>
    </row>
    <row r="421" spans="15:31" x14ac:dyDescent="0.3">
      <c r="O421" s="98"/>
      <c r="T421" s="250"/>
      <c r="U421" s="252">
        <f t="shared" si="21"/>
        <v>44366</v>
      </c>
      <c r="V421" s="6"/>
      <c r="W421" s="253">
        <v>107919</v>
      </c>
      <c r="X421" s="6"/>
      <c r="Y421" s="44">
        <v>3.0000000000000001E-3</v>
      </c>
      <c r="Z421" s="6"/>
      <c r="AA421" s="254">
        <f t="shared" si="22"/>
        <v>9148</v>
      </c>
      <c r="AB421" s="6"/>
      <c r="AC421" s="258"/>
      <c r="AD421" s="251"/>
    </row>
    <row r="422" spans="15:31" x14ac:dyDescent="0.3">
      <c r="O422" s="98"/>
      <c r="T422" s="250"/>
      <c r="U422" s="573">
        <f t="shared" si="21"/>
        <v>44367</v>
      </c>
      <c r="V422" s="6"/>
      <c r="W422" s="253">
        <v>96161</v>
      </c>
      <c r="X422" s="6"/>
      <c r="Y422" s="44">
        <v>3.0000000000000001E-3</v>
      </c>
      <c r="Z422" s="6"/>
      <c r="AA422" s="254">
        <f t="shared" si="22"/>
        <v>11758</v>
      </c>
      <c r="AB422" s="6"/>
      <c r="AC422" s="258"/>
      <c r="AD422" s="251"/>
    </row>
    <row r="423" spans="15:31" x14ac:dyDescent="0.3">
      <c r="O423" s="98"/>
      <c r="T423" s="250"/>
      <c r="U423" s="252">
        <f t="shared" si="21"/>
        <v>44368</v>
      </c>
      <c r="V423" s="6"/>
      <c r="W423" s="253">
        <v>96472</v>
      </c>
      <c r="X423" s="6"/>
      <c r="Y423" s="44">
        <v>3.0000000000000001E-3</v>
      </c>
      <c r="Z423" s="6"/>
      <c r="AA423" s="254">
        <f t="shared" si="22"/>
        <v>-311</v>
      </c>
      <c r="AB423" s="6"/>
      <c r="AC423" s="258"/>
      <c r="AD423" s="251"/>
    </row>
    <row r="424" spans="15:31" x14ac:dyDescent="0.3">
      <c r="O424" s="98"/>
      <c r="T424" s="250"/>
      <c r="U424" s="252">
        <f t="shared" si="21"/>
        <v>44369</v>
      </c>
      <c r="V424" s="6"/>
      <c r="W424" s="253">
        <v>104035</v>
      </c>
      <c r="X424" s="6"/>
      <c r="Y424" s="44">
        <v>3.0000000000000001E-3</v>
      </c>
      <c r="Z424" s="6"/>
      <c r="AA424" s="254">
        <f t="shared" si="22"/>
        <v>-7563</v>
      </c>
      <c r="AB424" s="6"/>
      <c r="AC424" s="258"/>
      <c r="AD424" s="251"/>
    </row>
    <row r="425" spans="15:31" x14ac:dyDescent="0.3">
      <c r="O425" s="98"/>
      <c r="T425" s="250"/>
      <c r="U425" s="252">
        <f t="shared" si="21"/>
        <v>44370</v>
      </c>
      <c r="V425" s="6"/>
      <c r="W425" s="253">
        <v>105847</v>
      </c>
      <c r="X425" s="6"/>
      <c r="Y425" s="44">
        <v>3.0000000000000001E-3</v>
      </c>
      <c r="Z425" s="6"/>
      <c r="AA425" s="254">
        <f t="shared" si="22"/>
        <v>-1812</v>
      </c>
      <c r="AB425" s="6"/>
      <c r="AC425" s="258"/>
      <c r="AD425" s="251"/>
    </row>
    <row r="426" spans="15:31" x14ac:dyDescent="0.3">
      <c r="O426" s="98"/>
      <c r="T426" s="250"/>
      <c r="U426" s="252">
        <f t="shared" si="21"/>
        <v>44371</v>
      </c>
      <c r="V426" s="6"/>
      <c r="W426" s="253">
        <v>108727</v>
      </c>
      <c r="X426" s="6"/>
      <c r="Y426" s="44">
        <v>3.0000000000000001E-3</v>
      </c>
      <c r="Z426" s="6"/>
      <c r="AA426" s="254">
        <f t="shared" si="22"/>
        <v>-2880</v>
      </c>
      <c r="AB426" s="6"/>
      <c r="AC426" s="258"/>
      <c r="AD426" s="251"/>
    </row>
    <row r="427" spans="15:31" x14ac:dyDescent="0.3">
      <c r="O427" s="98"/>
      <c r="T427" s="250"/>
      <c r="U427" s="252">
        <f t="shared" si="21"/>
        <v>44372</v>
      </c>
      <c r="V427" s="6"/>
      <c r="W427" s="253">
        <v>96417</v>
      </c>
      <c r="X427" s="6"/>
      <c r="Y427" s="44">
        <v>3.0000000000000001E-3</v>
      </c>
      <c r="Z427" s="6"/>
      <c r="AA427" s="254">
        <f t="shared" ref="AA427:AA458" si="23">+W426-W427</f>
        <v>12310</v>
      </c>
      <c r="AB427" s="6"/>
      <c r="AC427" s="258"/>
      <c r="AD427" s="251"/>
    </row>
    <row r="428" spans="15:31" x14ac:dyDescent="0.3">
      <c r="O428" s="98"/>
      <c r="T428" s="250"/>
      <c r="U428" s="252">
        <f t="shared" si="21"/>
        <v>44373</v>
      </c>
      <c r="V428" s="6"/>
      <c r="W428" s="253">
        <v>89614</v>
      </c>
      <c r="X428" s="6"/>
      <c r="Y428" s="44">
        <v>3.0000000000000001E-3</v>
      </c>
      <c r="Z428" s="6"/>
      <c r="AA428" s="254">
        <f t="shared" si="23"/>
        <v>6803</v>
      </c>
      <c r="AB428" s="6"/>
      <c r="AC428" s="258"/>
      <c r="AD428" s="251"/>
      <c r="AE428" s="61"/>
    </row>
    <row r="429" spans="15:31" x14ac:dyDescent="0.3">
      <c r="O429" s="98"/>
      <c r="T429" s="250"/>
      <c r="U429" s="573">
        <f t="shared" si="21"/>
        <v>44374</v>
      </c>
      <c r="V429" s="6"/>
      <c r="W429" s="253">
        <v>89138</v>
      </c>
      <c r="X429" s="6"/>
      <c r="Y429" s="44">
        <v>3.0000000000000001E-3</v>
      </c>
      <c r="Z429" s="6"/>
      <c r="AA429" s="254">
        <f t="shared" si="23"/>
        <v>476</v>
      </c>
      <c r="AB429" s="6"/>
      <c r="AC429" s="258"/>
      <c r="AD429" s="251"/>
      <c r="AE429" s="61"/>
    </row>
    <row r="430" spans="15:31" x14ac:dyDescent="0.3">
      <c r="O430" s="98"/>
      <c r="T430" s="250"/>
      <c r="U430" s="252">
        <f t="shared" si="21"/>
        <v>44375</v>
      </c>
      <c r="V430" s="6"/>
      <c r="W430" s="253">
        <v>96701</v>
      </c>
      <c r="X430" s="6"/>
      <c r="Y430" s="44">
        <v>3.0000000000000001E-3</v>
      </c>
      <c r="Z430" s="6"/>
      <c r="AA430" s="254">
        <f t="shared" si="23"/>
        <v>-7563</v>
      </c>
      <c r="AB430" s="6"/>
      <c r="AC430" s="258"/>
      <c r="AD430" s="251"/>
      <c r="AE430" s="61"/>
    </row>
    <row r="431" spans="15:31" x14ac:dyDescent="0.3">
      <c r="O431" s="98"/>
      <c r="T431" s="250"/>
      <c r="U431" s="252">
        <f t="shared" si="21"/>
        <v>44376</v>
      </c>
      <c r="V431" s="6"/>
      <c r="W431" s="253">
        <v>85502</v>
      </c>
      <c r="X431" s="6"/>
      <c r="Y431" s="44">
        <v>3.0000000000000001E-3</v>
      </c>
      <c r="Z431" s="6"/>
      <c r="AA431" s="254">
        <f t="shared" si="23"/>
        <v>11199</v>
      </c>
      <c r="AB431" s="6"/>
      <c r="AC431" s="258"/>
      <c r="AD431" s="251"/>
      <c r="AE431" s="61"/>
    </row>
    <row r="432" spans="15:31" x14ac:dyDescent="0.3">
      <c r="O432" s="98"/>
      <c r="T432" s="250"/>
      <c r="U432" s="252">
        <f t="shared" si="21"/>
        <v>44377</v>
      </c>
      <c r="V432" s="6"/>
      <c r="W432" s="253">
        <v>86386</v>
      </c>
      <c r="X432" s="6"/>
      <c r="Y432" s="44">
        <v>3.0000000000000001E-3</v>
      </c>
      <c r="Z432" s="6"/>
      <c r="AA432" s="254">
        <f t="shared" si="23"/>
        <v>-884</v>
      </c>
      <c r="AB432" s="6"/>
      <c r="AC432" s="258"/>
      <c r="AD432" s="251"/>
      <c r="AE432" s="61"/>
    </row>
    <row r="433" spans="15:31" x14ac:dyDescent="0.3">
      <c r="O433" s="98"/>
      <c r="T433" s="250"/>
      <c r="U433" s="252">
        <f t="shared" si="21"/>
        <v>44378</v>
      </c>
      <c r="V433" s="6"/>
      <c r="W433" s="253">
        <v>87852</v>
      </c>
      <c r="X433" s="6"/>
      <c r="Y433" s="44">
        <v>3.0000000000000001E-3</v>
      </c>
      <c r="Z433" s="6"/>
      <c r="AA433" s="254">
        <f t="shared" si="23"/>
        <v>-1466</v>
      </c>
      <c r="AB433" s="6"/>
      <c r="AC433" s="258"/>
      <c r="AD433" s="251"/>
      <c r="AE433" s="61"/>
    </row>
    <row r="434" spans="15:31" x14ac:dyDescent="0.3">
      <c r="O434" s="98"/>
      <c r="T434" s="250"/>
      <c r="U434" s="252">
        <f t="shared" si="21"/>
        <v>44379</v>
      </c>
      <c r="V434" s="6"/>
      <c r="W434" s="253">
        <v>90712</v>
      </c>
      <c r="X434" s="6"/>
      <c r="Y434" s="44">
        <v>3.0000000000000001E-3</v>
      </c>
      <c r="Z434" s="6"/>
      <c r="AA434" s="254">
        <f t="shared" si="23"/>
        <v>-2860</v>
      </c>
      <c r="AB434" s="6"/>
      <c r="AC434" s="258"/>
      <c r="AD434" s="251"/>
      <c r="AE434" s="61"/>
    </row>
    <row r="435" spans="15:31" x14ac:dyDescent="0.3">
      <c r="O435" s="98"/>
      <c r="T435" s="250"/>
      <c r="U435" s="252">
        <f t="shared" si="21"/>
        <v>44380</v>
      </c>
      <c r="V435" s="6"/>
      <c r="W435" s="253">
        <v>92036</v>
      </c>
      <c r="X435" s="6"/>
      <c r="Y435" s="44">
        <v>3.0000000000000001E-3</v>
      </c>
      <c r="Z435" s="6"/>
      <c r="AA435" s="254">
        <f t="shared" si="23"/>
        <v>-1324</v>
      </c>
      <c r="AB435" s="6"/>
      <c r="AC435" s="258"/>
      <c r="AD435" s="251"/>
      <c r="AE435" s="61"/>
    </row>
    <row r="436" spans="15:31" x14ac:dyDescent="0.3">
      <c r="O436" s="98"/>
      <c r="T436" s="250"/>
      <c r="U436" s="573">
        <f t="shared" si="21"/>
        <v>44381</v>
      </c>
      <c r="V436" s="6"/>
      <c r="W436" s="253">
        <v>90479</v>
      </c>
      <c r="X436" s="6"/>
      <c r="Y436" s="44">
        <v>3.0000000000000001E-3</v>
      </c>
      <c r="Z436" s="6"/>
      <c r="AA436" s="254">
        <f t="shared" si="23"/>
        <v>1557</v>
      </c>
      <c r="AB436" s="6"/>
      <c r="AC436" s="258"/>
      <c r="AD436" s="251"/>
      <c r="AE436" s="61"/>
    </row>
    <row r="437" spans="15:31" x14ac:dyDescent="0.3">
      <c r="O437" s="98"/>
      <c r="T437" s="250"/>
      <c r="U437" s="252">
        <f t="shared" si="21"/>
        <v>44382</v>
      </c>
      <c r="V437" s="6"/>
      <c r="W437" s="253">
        <v>83662</v>
      </c>
      <c r="X437" s="6"/>
      <c r="Y437" s="44">
        <v>3.0000000000000001E-3</v>
      </c>
      <c r="Z437" s="6"/>
      <c r="AA437" s="254">
        <f t="shared" si="23"/>
        <v>6817</v>
      </c>
      <c r="AB437" s="6"/>
      <c r="AC437" s="258"/>
      <c r="AD437" s="251"/>
      <c r="AE437" s="61"/>
    </row>
    <row r="438" spans="15:31" x14ac:dyDescent="0.3">
      <c r="O438" s="98"/>
      <c r="T438" s="250"/>
      <c r="U438" s="252">
        <f t="shared" si="21"/>
        <v>44383</v>
      </c>
      <c r="V438" s="6"/>
      <c r="W438" s="253">
        <v>83817</v>
      </c>
      <c r="X438" s="6"/>
      <c r="Y438" s="44">
        <v>3.0000000000000001E-3</v>
      </c>
      <c r="Z438" s="6"/>
      <c r="AA438" s="254">
        <f t="shared" si="23"/>
        <v>-155</v>
      </c>
      <c r="AB438" s="6"/>
      <c r="AC438" s="258"/>
      <c r="AD438" s="251"/>
      <c r="AE438" s="61"/>
    </row>
    <row r="439" spans="15:31" x14ac:dyDescent="0.3">
      <c r="O439" s="98"/>
      <c r="T439" s="250"/>
      <c r="U439" s="252">
        <f t="shared" si="21"/>
        <v>44384</v>
      </c>
      <c r="V439" s="6"/>
      <c r="W439" s="253">
        <v>86446</v>
      </c>
      <c r="X439" s="6"/>
      <c r="Y439" s="44">
        <v>3.0000000000000001E-3</v>
      </c>
      <c r="Z439" s="6"/>
      <c r="AA439" s="254">
        <f t="shared" si="23"/>
        <v>-2629</v>
      </c>
      <c r="AB439" s="6"/>
      <c r="AC439" s="258"/>
      <c r="AD439" s="251"/>
      <c r="AE439" s="61"/>
    </row>
    <row r="440" spans="15:31" x14ac:dyDescent="0.3">
      <c r="O440" s="98"/>
      <c r="T440" s="250"/>
      <c r="U440" s="252">
        <f t="shared" si="21"/>
        <v>44385</v>
      </c>
      <c r="V440" s="6"/>
      <c r="W440" s="253">
        <v>88879</v>
      </c>
      <c r="X440" s="6"/>
      <c r="Y440" s="44">
        <v>3.0000000000000001E-3</v>
      </c>
      <c r="Z440" s="6"/>
      <c r="AA440" s="254">
        <f t="shared" si="23"/>
        <v>-2433</v>
      </c>
      <c r="AB440" s="6"/>
      <c r="AC440" s="258"/>
      <c r="AD440" s="251"/>
      <c r="AE440" s="61"/>
    </row>
    <row r="441" spans="15:31" x14ac:dyDescent="0.3">
      <c r="O441" s="98"/>
      <c r="T441" s="250"/>
      <c r="U441" s="252">
        <f t="shared" si="21"/>
        <v>44386</v>
      </c>
      <c r="V441" s="6"/>
      <c r="W441" s="253">
        <v>97804</v>
      </c>
      <c r="X441" s="6"/>
      <c r="Y441" s="44">
        <v>3.0000000000000001E-3</v>
      </c>
      <c r="Z441" s="6"/>
      <c r="AA441" s="254">
        <f t="shared" si="23"/>
        <v>-8925</v>
      </c>
      <c r="AB441" s="6"/>
      <c r="AC441" s="258"/>
      <c r="AD441" s="251"/>
      <c r="AE441" s="61"/>
    </row>
    <row r="442" spans="15:31" x14ac:dyDescent="0.3">
      <c r="O442" s="98"/>
      <c r="T442" s="250"/>
      <c r="U442" s="252">
        <f t="shared" si="21"/>
        <v>44387</v>
      </c>
      <c r="V442" s="6"/>
      <c r="W442" s="253">
        <v>104764</v>
      </c>
      <c r="X442" s="6"/>
      <c r="Y442" s="44">
        <v>3.0000000000000001E-3</v>
      </c>
      <c r="Z442" s="6"/>
      <c r="AA442" s="254">
        <f t="shared" si="23"/>
        <v>-6960</v>
      </c>
      <c r="AB442" s="6"/>
      <c r="AC442" s="258"/>
      <c r="AD442" s="251"/>
      <c r="AE442" s="61"/>
    </row>
    <row r="443" spans="15:31" x14ac:dyDescent="0.3">
      <c r="O443" s="98"/>
      <c r="T443" s="250"/>
      <c r="U443" s="573">
        <f t="shared" si="21"/>
        <v>44388</v>
      </c>
      <c r="V443" s="6"/>
      <c r="W443" s="253">
        <v>105672</v>
      </c>
      <c r="X443" s="6"/>
      <c r="Y443" s="44">
        <v>3.0000000000000001E-3</v>
      </c>
      <c r="Z443" s="6"/>
      <c r="AA443" s="254">
        <f t="shared" si="23"/>
        <v>-908</v>
      </c>
      <c r="AB443" s="6"/>
      <c r="AC443" s="258"/>
      <c r="AD443" s="251"/>
      <c r="AE443" s="61"/>
    </row>
    <row r="444" spans="15:31" x14ac:dyDescent="0.3">
      <c r="O444" s="98"/>
      <c r="T444" s="250"/>
      <c r="U444" s="252">
        <f t="shared" si="21"/>
        <v>44389</v>
      </c>
      <c r="V444" s="6"/>
      <c r="W444" s="253">
        <v>125770</v>
      </c>
      <c r="X444" s="6"/>
      <c r="Y444" s="44">
        <v>3.0000000000000001E-3</v>
      </c>
      <c r="Z444" s="6"/>
      <c r="AA444" s="254">
        <f t="shared" si="23"/>
        <v>-20098</v>
      </c>
      <c r="AB444" s="6"/>
      <c r="AC444" s="258"/>
      <c r="AD444" s="251"/>
      <c r="AE444" s="61"/>
    </row>
    <row r="445" spans="15:31" x14ac:dyDescent="0.3">
      <c r="O445" s="98"/>
      <c r="T445" s="250"/>
      <c r="U445" s="252">
        <f t="shared" si="21"/>
        <v>44390</v>
      </c>
      <c r="V445" s="6"/>
      <c r="W445" s="253">
        <v>160392</v>
      </c>
      <c r="X445" s="6"/>
      <c r="Y445" s="44">
        <v>3.0000000000000001E-3</v>
      </c>
      <c r="Z445" s="6"/>
      <c r="AA445" s="254">
        <f t="shared" si="23"/>
        <v>-34622</v>
      </c>
      <c r="AB445" s="6"/>
      <c r="AC445" s="258"/>
      <c r="AD445" s="251"/>
      <c r="AE445" s="61"/>
    </row>
    <row r="446" spans="15:31" x14ac:dyDescent="0.3">
      <c r="O446" s="98"/>
      <c r="T446" s="250"/>
      <c r="U446" s="252">
        <f t="shared" si="21"/>
        <v>44391</v>
      </c>
      <c r="V446" s="6"/>
      <c r="W446" s="253">
        <v>184472</v>
      </c>
      <c r="X446" s="6"/>
      <c r="Y446" s="44">
        <v>3.0000000000000001E-3</v>
      </c>
      <c r="Z446" s="6"/>
      <c r="AA446" s="254">
        <f t="shared" si="23"/>
        <v>-24080</v>
      </c>
      <c r="AB446" s="6"/>
      <c r="AC446" s="258"/>
      <c r="AD446" s="251"/>
      <c r="AE446" s="61"/>
    </row>
    <row r="447" spans="15:31" x14ac:dyDescent="0.3">
      <c r="O447" s="98"/>
      <c r="T447" s="250"/>
      <c r="U447" s="252">
        <f t="shared" si="21"/>
        <v>44392</v>
      </c>
      <c r="V447" s="6"/>
      <c r="W447" s="253">
        <v>204394</v>
      </c>
      <c r="X447" s="6"/>
      <c r="Y447" s="44">
        <v>3.0000000000000001E-3</v>
      </c>
      <c r="Z447" s="6"/>
      <c r="AA447" s="254">
        <f t="shared" si="23"/>
        <v>-19922</v>
      </c>
      <c r="AB447" s="6"/>
      <c r="AC447" s="258"/>
      <c r="AD447" s="251"/>
      <c r="AE447" s="61"/>
    </row>
    <row r="448" spans="15:31" x14ac:dyDescent="0.3">
      <c r="O448" s="98"/>
      <c r="T448" s="250"/>
      <c r="U448" s="252">
        <f t="shared" si="21"/>
        <v>44393</v>
      </c>
      <c r="V448" s="6"/>
      <c r="W448" s="253">
        <v>225690</v>
      </c>
      <c r="X448" s="6"/>
      <c r="Y448" s="44">
        <v>3.0000000000000001E-3</v>
      </c>
      <c r="Z448" s="6"/>
      <c r="AA448" s="254">
        <f t="shared" si="23"/>
        <v>-21296</v>
      </c>
      <c r="AB448" s="6"/>
      <c r="AC448" s="258"/>
      <c r="AD448" s="251"/>
      <c r="AE448" s="61"/>
    </row>
    <row r="449" spans="15:31" x14ac:dyDescent="0.3">
      <c r="O449" s="98"/>
      <c r="T449" s="250"/>
      <c r="U449" s="252">
        <f t="shared" si="21"/>
        <v>44394</v>
      </c>
      <c r="V449" s="6"/>
      <c r="W449" s="253">
        <v>223526</v>
      </c>
      <c r="X449" s="6"/>
      <c r="Y449" s="44">
        <v>3.0000000000000001E-3</v>
      </c>
      <c r="Z449" s="6"/>
      <c r="AA449" s="254">
        <f t="shared" si="23"/>
        <v>2164</v>
      </c>
      <c r="AB449" s="6"/>
      <c r="AC449" s="258"/>
      <c r="AD449" s="251"/>
      <c r="AE449" s="61"/>
    </row>
    <row r="450" spans="15:31" x14ac:dyDescent="0.3">
      <c r="O450" s="98"/>
      <c r="T450" s="250"/>
      <c r="U450" s="573">
        <f t="shared" si="21"/>
        <v>44395</v>
      </c>
      <c r="V450" s="6"/>
      <c r="W450" s="253">
        <v>234744</v>
      </c>
      <c r="X450" s="6"/>
      <c r="Y450" s="44">
        <v>3.0000000000000001E-3</v>
      </c>
      <c r="Z450" s="6"/>
      <c r="AA450" s="254">
        <f t="shared" si="23"/>
        <v>-11218</v>
      </c>
      <c r="AB450" s="6"/>
      <c r="AC450" s="258"/>
      <c r="AD450" s="251"/>
      <c r="AE450" s="61"/>
    </row>
    <row r="451" spans="15:31" x14ac:dyDescent="0.3">
      <c r="O451" s="98"/>
      <c r="T451" s="250"/>
      <c r="U451" s="252">
        <f t="shared" si="21"/>
        <v>44396</v>
      </c>
      <c r="V451" s="6"/>
      <c r="W451" s="253">
        <v>257407</v>
      </c>
      <c r="X451" s="6"/>
      <c r="Y451" s="44">
        <v>3.0000000000000001E-3</v>
      </c>
      <c r="Z451" s="6"/>
      <c r="AA451" s="254">
        <f t="shared" si="23"/>
        <v>-22663</v>
      </c>
      <c r="AB451" s="6"/>
      <c r="AC451" s="258"/>
      <c r="AD451" s="251"/>
      <c r="AE451" s="61"/>
    </row>
    <row r="452" spans="15:31" x14ac:dyDescent="0.3">
      <c r="O452" s="98"/>
      <c r="T452" s="250"/>
      <c r="U452" s="252">
        <f t="shared" si="21"/>
        <v>44397</v>
      </c>
      <c r="V452" s="6"/>
      <c r="W452" s="253">
        <v>281920</v>
      </c>
      <c r="X452" s="6"/>
      <c r="Y452" s="44">
        <v>3.0000000000000001E-3</v>
      </c>
      <c r="Z452" s="6"/>
      <c r="AA452" s="254">
        <f t="shared" si="23"/>
        <v>-24513</v>
      </c>
      <c r="AB452" s="6"/>
      <c r="AC452" s="258"/>
      <c r="AD452" s="251"/>
      <c r="AE452" s="61"/>
    </row>
    <row r="453" spans="15:31" x14ac:dyDescent="0.3">
      <c r="O453" s="98"/>
      <c r="T453" s="250"/>
      <c r="U453" s="252">
        <f t="shared" si="21"/>
        <v>44398</v>
      </c>
      <c r="V453" s="6"/>
      <c r="W453" s="253">
        <v>298822</v>
      </c>
      <c r="X453" s="6"/>
      <c r="Y453" s="44">
        <v>3.0000000000000001E-3</v>
      </c>
      <c r="Z453" s="6"/>
      <c r="AA453" s="254">
        <f t="shared" si="23"/>
        <v>-16902</v>
      </c>
      <c r="AB453" s="6"/>
      <c r="AC453" s="258"/>
      <c r="AD453" s="251"/>
      <c r="AE453" s="61"/>
    </row>
    <row r="454" spans="15:31" x14ac:dyDescent="0.3">
      <c r="O454" s="98"/>
      <c r="T454" s="250"/>
      <c r="U454" s="252">
        <f t="shared" si="21"/>
        <v>44399</v>
      </c>
      <c r="V454" s="6"/>
      <c r="W454" s="253">
        <v>325153</v>
      </c>
      <c r="X454" s="6"/>
      <c r="Y454" s="44">
        <v>3.0000000000000001E-3</v>
      </c>
      <c r="Z454" s="6"/>
      <c r="AA454" s="254">
        <f t="shared" si="23"/>
        <v>-26331</v>
      </c>
      <c r="AB454" s="6"/>
      <c r="AC454" s="258"/>
      <c r="AD454" s="251"/>
      <c r="AE454" s="61"/>
    </row>
    <row r="455" spans="15:31" x14ac:dyDescent="0.3">
      <c r="O455" s="98"/>
      <c r="T455" s="250"/>
      <c r="U455" s="252">
        <f t="shared" si="21"/>
        <v>44400</v>
      </c>
      <c r="V455" s="6"/>
      <c r="W455" s="253">
        <v>356076</v>
      </c>
      <c r="X455" s="6"/>
      <c r="Y455" s="44">
        <v>3.0000000000000001E-3</v>
      </c>
      <c r="Z455" s="6"/>
      <c r="AA455" s="254">
        <f t="shared" si="23"/>
        <v>-30923</v>
      </c>
      <c r="AB455" s="6"/>
      <c r="AC455" s="258"/>
      <c r="AD455" s="251"/>
      <c r="AE455" s="61"/>
    </row>
    <row r="456" spans="15:31" x14ac:dyDescent="0.3">
      <c r="O456" s="98"/>
      <c r="T456" s="250"/>
      <c r="U456" s="252">
        <f t="shared" si="21"/>
        <v>44401</v>
      </c>
      <c r="V456" s="6"/>
      <c r="W456" s="253">
        <v>353378</v>
      </c>
      <c r="X456" s="6"/>
      <c r="Y456" s="44">
        <v>3.0000000000000001E-3</v>
      </c>
      <c r="Z456" s="6"/>
      <c r="AA456" s="254">
        <f t="shared" si="23"/>
        <v>2698</v>
      </c>
      <c r="AB456" s="6"/>
      <c r="AC456" s="258"/>
      <c r="AD456" s="251"/>
      <c r="AE456" s="61"/>
    </row>
    <row r="457" spans="15:31" x14ac:dyDescent="0.3">
      <c r="O457" s="98"/>
      <c r="T457" s="250"/>
      <c r="U457" s="573">
        <f t="shared" si="21"/>
        <v>44402</v>
      </c>
      <c r="V457" s="6"/>
      <c r="W457" s="253">
        <v>343580</v>
      </c>
      <c r="X457" s="6"/>
      <c r="Y457" s="44">
        <v>3.0000000000000001E-3</v>
      </c>
      <c r="Z457" s="6"/>
      <c r="AA457" s="254">
        <f t="shared" si="23"/>
        <v>9798</v>
      </c>
      <c r="AB457" s="6"/>
      <c r="AC457" s="258"/>
      <c r="AD457" s="251"/>
      <c r="AE457" s="61"/>
    </row>
    <row r="458" spans="15:31" x14ac:dyDescent="0.3">
      <c r="O458" s="98"/>
      <c r="T458" s="250"/>
      <c r="U458" s="252">
        <f t="shared" si="21"/>
        <v>44403</v>
      </c>
      <c r="V458" s="6"/>
      <c r="W458" s="253">
        <v>357329</v>
      </c>
      <c r="X458" s="6"/>
      <c r="Y458" s="44">
        <v>3.0000000000000001E-3</v>
      </c>
      <c r="Z458" s="6"/>
      <c r="AA458" s="254">
        <f t="shared" si="23"/>
        <v>-13749</v>
      </c>
      <c r="AB458" s="6"/>
      <c r="AC458" s="258"/>
      <c r="AD458" s="251"/>
      <c r="AE458" s="61"/>
    </row>
    <row r="459" spans="15:31" x14ac:dyDescent="0.3">
      <c r="O459" s="98"/>
      <c r="T459" s="250"/>
      <c r="U459" s="252">
        <f t="shared" si="21"/>
        <v>44404</v>
      </c>
      <c r="V459" s="6"/>
      <c r="W459" s="253">
        <v>386669</v>
      </c>
      <c r="X459" s="6"/>
      <c r="Y459" s="44">
        <v>3.0000000000000001E-3</v>
      </c>
      <c r="Z459" s="6"/>
      <c r="AA459" s="254">
        <f t="shared" ref="AA459:AA490" si="24">+W458-W459</f>
        <v>-29340</v>
      </c>
      <c r="AB459" s="6"/>
      <c r="AC459" s="258"/>
      <c r="AD459" s="251"/>
      <c r="AE459" s="61"/>
    </row>
    <row r="460" spans="15:31" x14ac:dyDescent="0.3">
      <c r="O460" s="98"/>
      <c r="T460" s="250"/>
      <c r="U460" s="252">
        <f t="shared" si="21"/>
        <v>44405</v>
      </c>
      <c r="V460" s="6"/>
      <c r="W460" s="253">
        <v>427240</v>
      </c>
      <c r="X460" s="6"/>
      <c r="Y460" s="44">
        <v>3.0000000000000001E-3</v>
      </c>
      <c r="Z460" s="6"/>
      <c r="AA460" s="254">
        <f t="shared" si="24"/>
        <v>-40571</v>
      </c>
      <c r="AB460" s="6"/>
      <c r="AC460" s="258"/>
      <c r="AD460" s="251"/>
      <c r="AE460" s="61"/>
    </row>
    <row r="461" spans="15:31" x14ac:dyDescent="0.3">
      <c r="O461" s="98"/>
      <c r="T461" s="250"/>
      <c r="U461" s="252">
        <f t="shared" si="21"/>
        <v>44406</v>
      </c>
      <c r="V461" s="6"/>
      <c r="W461" s="253">
        <v>455244</v>
      </c>
      <c r="X461" s="6"/>
      <c r="Y461" s="44">
        <v>3.0000000000000001E-3</v>
      </c>
      <c r="Z461" s="6"/>
      <c r="AA461" s="254">
        <f t="shared" si="24"/>
        <v>-28004</v>
      </c>
      <c r="AB461" s="6"/>
      <c r="AC461" s="258"/>
      <c r="AD461" s="251"/>
      <c r="AE461" s="61"/>
    </row>
    <row r="462" spans="15:31" x14ac:dyDescent="0.3">
      <c r="O462" s="98"/>
      <c r="T462" s="250"/>
      <c r="U462" s="252">
        <f t="shared" si="21"/>
        <v>44407</v>
      </c>
      <c r="V462" s="6"/>
      <c r="W462" s="253">
        <v>497055</v>
      </c>
      <c r="X462" s="6"/>
      <c r="Y462" s="44">
        <v>3.0000000000000001E-3</v>
      </c>
      <c r="Z462" s="6"/>
      <c r="AA462" s="254">
        <f t="shared" si="24"/>
        <v>-41811</v>
      </c>
      <c r="AB462" s="6"/>
      <c r="AC462" s="258"/>
      <c r="AD462" s="251"/>
      <c r="AE462" s="61"/>
    </row>
    <row r="463" spans="15:31" x14ac:dyDescent="0.3">
      <c r="O463" s="98"/>
      <c r="T463" s="250"/>
      <c r="U463" s="252">
        <f t="shared" si="21"/>
        <v>44408</v>
      </c>
      <c r="V463" s="6"/>
      <c r="W463" s="253">
        <v>481553</v>
      </c>
      <c r="X463" s="6"/>
      <c r="Y463" s="44">
        <v>3.0000000000000001E-3</v>
      </c>
      <c r="Z463" s="6"/>
      <c r="AA463" s="254">
        <f t="shared" si="24"/>
        <v>15502</v>
      </c>
      <c r="AB463" s="6"/>
      <c r="AC463" s="258"/>
      <c r="AD463" s="251"/>
      <c r="AE463" s="61"/>
    </row>
    <row r="464" spans="15:31" x14ac:dyDescent="0.3">
      <c r="O464" s="98"/>
      <c r="T464" s="250"/>
      <c r="U464" s="573">
        <f t="shared" si="21"/>
        <v>44409</v>
      </c>
      <c r="V464" s="6"/>
      <c r="W464" s="253">
        <v>466539</v>
      </c>
      <c r="X464" s="6"/>
      <c r="Y464" s="44">
        <v>3.0000000000000001E-3</v>
      </c>
      <c r="Z464" s="6"/>
      <c r="AA464" s="254">
        <f t="shared" si="24"/>
        <v>15014</v>
      </c>
      <c r="AB464" s="6"/>
      <c r="AC464" s="258"/>
      <c r="AD464" s="251"/>
      <c r="AE464" s="61"/>
    </row>
    <row r="465" spans="15:31" x14ac:dyDescent="0.3">
      <c r="O465" s="98"/>
      <c r="T465" s="250"/>
      <c r="U465" s="252">
        <f t="shared" si="21"/>
        <v>44410</v>
      </c>
      <c r="V465" s="6"/>
      <c r="W465" s="253">
        <v>509466</v>
      </c>
      <c r="X465" s="6"/>
      <c r="Y465" s="44">
        <v>3.0000000000000001E-3</v>
      </c>
      <c r="Z465" s="6"/>
      <c r="AA465" s="254">
        <f t="shared" si="24"/>
        <v>-42927</v>
      </c>
      <c r="AB465" s="6"/>
      <c r="AC465" s="258"/>
      <c r="AD465" s="251"/>
      <c r="AE465" s="61"/>
    </row>
    <row r="466" spans="15:31" x14ac:dyDescent="0.3">
      <c r="O466" s="98"/>
      <c r="T466" s="250"/>
      <c r="U466" s="252">
        <f t="shared" si="21"/>
        <v>44411</v>
      </c>
      <c r="V466" s="6"/>
      <c r="W466" s="253">
        <v>578965</v>
      </c>
      <c r="X466" s="6"/>
      <c r="Y466" s="44">
        <v>3.0000000000000001E-3</v>
      </c>
      <c r="Z466" s="6"/>
      <c r="AA466" s="254">
        <f t="shared" si="24"/>
        <v>-69499</v>
      </c>
      <c r="AB466" s="6"/>
      <c r="AC466" s="258"/>
      <c r="AD466" s="251"/>
      <c r="AE466" s="61"/>
    </row>
    <row r="467" spans="15:31" x14ac:dyDescent="0.3">
      <c r="O467" s="98"/>
      <c r="T467" s="250"/>
      <c r="U467" s="252">
        <f t="shared" si="21"/>
        <v>44412</v>
      </c>
      <c r="V467" s="6"/>
      <c r="W467" s="253">
        <v>629922</v>
      </c>
      <c r="X467" s="6"/>
      <c r="Y467" s="44">
        <v>3.0000000000000001E-3</v>
      </c>
      <c r="Z467" s="6"/>
      <c r="AA467" s="254">
        <f t="shared" si="24"/>
        <v>-50957</v>
      </c>
      <c r="AB467" s="6"/>
      <c r="AC467" s="258"/>
      <c r="AD467" s="251"/>
      <c r="AE467" s="61"/>
    </row>
    <row r="468" spans="15:31" x14ac:dyDescent="0.3">
      <c r="O468" s="98"/>
      <c r="T468" s="250"/>
      <c r="U468" s="252">
        <f t="shared" si="21"/>
        <v>44413</v>
      </c>
      <c r="V468" s="6"/>
      <c r="W468" s="253">
        <v>666333</v>
      </c>
      <c r="X468" s="6"/>
      <c r="Y468" s="44">
        <v>3.0000000000000001E-3</v>
      </c>
      <c r="Z468" s="6"/>
      <c r="AA468" s="254">
        <f t="shared" si="24"/>
        <v>-36411</v>
      </c>
      <c r="AB468" s="6"/>
      <c r="AC468" s="258"/>
      <c r="AD468" s="251"/>
      <c r="AE468" s="61"/>
    </row>
    <row r="469" spans="15:31" x14ac:dyDescent="0.3">
      <c r="O469" s="98"/>
      <c r="T469" s="250"/>
      <c r="U469" s="252">
        <f t="shared" si="21"/>
        <v>44414</v>
      </c>
      <c r="V469" s="6"/>
      <c r="W469" s="253">
        <v>712526</v>
      </c>
      <c r="X469" s="6"/>
      <c r="Y469" s="44">
        <v>3.0000000000000001E-3</v>
      </c>
      <c r="Z469" s="6"/>
      <c r="AA469" s="254">
        <f t="shared" si="24"/>
        <v>-46193</v>
      </c>
      <c r="AB469" s="6"/>
      <c r="AC469" s="258"/>
      <c r="AD469" s="251"/>
      <c r="AE469" s="61"/>
    </row>
    <row r="470" spans="15:31" x14ac:dyDescent="0.3">
      <c r="O470" s="98"/>
      <c r="T470" s="250"/>
      <c r="U470" s="252">
        <f t="shared" si="21"/>
        <v>44415</v>
      </c>
      <c r="V470" s="6"/>
      <c r="W470" s="253">
        <v>683397</v>
      </c>
      <c r="X470" s="6"/>
      <c r="Y470" s="44">
        <v>3.0000000000000001E-3</v>
      </c>
      <c r="Z470" s="6"/>
      <c r="AA470" s="254">
        <f t="shared" si="24"/>
        <v>29129</v>
      </c>
      <c r="AB470" s="6"/>
      <c r="AC470" s="258"/>
      <c r="AD470" s="251"/>
      <c r="AE470" s="61"/>
    </row>
    <row r="471" spans="15:31" x14ac:dyDescent="0.3">
      <c r="O471" s="98"/>
      <c r="T471" s="250"/>
      <c r="U471" s="573">
        <f t="shared" si="21"/>
        <v>44416</v>
      </c>
      <c r="V471" s="6"/>
      <c r="W471" s="253">
        <v>655993</v>
      </c>
      <c r="X471" s="6"/>
      <c r="Y471" s="44">
        <v>3.0000000000000001E-3</v>
      </c>
      <c r="Z471" s="6"/>
      <c r="AA471" s="254">
        <f t="shared" si="24"/>
        <v>27404</v>
      </c>
      <c r="AB471" s="6"/>
      <c r="AC471" s="258"/>
      <c r="AD471" s="251"/>
      <c r="AE471" s="61"/>
    </row>
    <row r="472" spans="15:31" x14ac:dyDescent="0.3">
      <c r="O472" s="98"/>
      <c r="T472" s="250"/>
      <c r="U472" s="252">
        <f t="shared" si="21"/>
        <v>44417</v>
      </c>
      <c r="V472" s="6"/>
      <c r="W472" s="253">
        <v>736989</v>
      </c>
      <c r="X472" s="6"/>
      <c r="Y472" s="44">
        <v>3.0000000000000001E-3</v>
      </c>
      <c r="Z472" s="6"/>
      <c r="AA472" s="254">
        <f t="shared" si="24"/>
        <v>-80996</v>
      </c>
      <c r="AB472" s="6"/>
      <c r="AC472" s="258"/>
      <c r="AD472" s="251"/>
      <c r="AE472" s="61"/>
    </row>
    <row r="473" spans="15:31" x14ac:dyDescent="0.3">
      <c r="O473" s="98"/>
      <c r="T473" s="250"/>
      <c r="U473" s="252">
        <f t="shared" si="21"/>
        <v>44418</v>
      </c>
      <c r="V473" s="6"/>
      <c r="W473" s="253">
        <v>782089</v>
      </c>
      <c r="X473" s="6"/>
      <c r="Y473" s="44">
        <v>3.0000000000000001E-3</v>
      </c>
      <c r="Z473" s="6"/>
      <c r="AA473" s="254">
        <f t="shared" si="24"/>
        <v>-45100</v>
      </c>
      <c r="AB473" s="6"/>
      <c r="AC473" s="258"/>
      <c r="AD473" s="251"/>
      <c r="AE473" s="61"/>
    </row>
    <row r="474" spans="15:31" x14ac:dyDescent="0.3">
      <c r="O474" s="98"/>
      <c r="T474" s="250"/>
      <c r="U474" s="252">
        <f t="shared" ref="U474:U719" si="25">+U473+1</f>
        <v>44419</v>
      </c>
      <c r="V474" s="6"/>
      <c r="W474" s="253">
        <v>822521</v>
      </c>
      <c r="X474" s="6"/>
      <c r="Y474" s="44">
        <v>3.0000000000000001E-3</v>
      </c>
      <c r="Z474" s="6"/>
      <c r="AA474" s="254">
        <f t="shared" si="24"/>
        <v>-40432</v>
      </c>
      <c r="AB474" s="6"/>
      <c r="AC474" s="258"/>
      <c r="AD474" s="251"/>
      <c r="AE474" s="61"/>
    </row>
    <row r="475" spans="15:31" x14ac:dyDescent="0.3">
      <c r="O475" s="98"/>
      <c r="T475" s="250"/>
      <c r="U475" s="252">
        <f t="shared" si="25"/>
        <v>44420</v>
      </c>
      <c r="V475" s="6"/>
      <c r="W475" s="253">
        <v>854095</v>
      </c>
      <c r="X475" s="6"/>
      <c r="Y475" s="44">
        <v>3.0000000000000001E-3</v>
      </c>
      <c r="Z475" s="6"/>
      <c r="AA475" s="254">
        <f t="shared" si="24"/>
        <v>-31574</v>
      </c>
      <c r="AB475" s="6"/>
      <c r="AC475" s="258"/>
      <c r="AD475" s="251"/>
      <c r="AE475" s="61"/>
    </row>
    <row r="476" spans="15:31" x14ac:dyDescent="0.3">
      <c r="O476" s="98"/>
      <c r="T476" s="250"/>
      <c r="U476" s="252">
        <f t="shared" si="25"/>
        <v>44421</v>
      </c>
      <c r="V476" s="6"/>
      <c r="W476" s="253">
        <v>888632</v>
      </c>
      <c r="X476" s="6"/>
      <c r="Y476" s="44">
        <v>3.0000000000000001E-3</v>
      </c>
      <c r="Z476" s="6"/>
      <c r="AA476" s="254">
        <f t="shared" si="24"/>
        <v>-34537</v>
      </c>
      <c r="AB476" s="6"/>
      <c r="AC476" s="258"/>
      <c r="AD476" s="251"/>
      <c r="AE476" s="61"/>
    </row>
    <row r="477" spans="15:31" x14ac:dyDescent="0.3">
      <c r="O477" s="98"/>
      <c r="T477" s="250"/>
      <c r="U477" s="252">
        <f t="shared" si="25"/>
        <v>44422</v>
      </c>
      <c r="V477" s="6"/>
      <c r="W477" s="253">
        <v>831634</v>
      </c>
      <c r="X477" s="6"/>
      <c r="Y477" s="44">
        <v>3.0000000000000001E-3</v>
      </c>
      <c r="Z477" s="6"/>
      <c r="AA477" s="254">
        <f t="shared" si="24"/>
        <v>56998</v>
      </c>
      <c r="AB477" s="6"/>
      <c r="AC477" s="258"/>
      <c r="AD477" s="251"/>
      <c r="AE477" s="61"/>
    </row>
    <row r="478" spans="15:31" x14ac:dyDescent="0.3">
      <c r="O478" s="98"/>
      <c r="T478" s="250"/>
      <c r="U478" s="573">
        <f t="shared" si="25"/>
        <v>44423</v>
      </c>
      <c r="V478" s="6"/>
      <c r="W478" s="253">
        <v>793550</v>
      </c>
      <c r="X478" s="6"/>
      <c r="Y478" s="44">
        <v>3.0000000000000001E-3</v>
      </c>
      <c r="Z478" s="6"/>
      <c r="AA478" s="254">
        <f t="shared" si="24"/>
        <v>38084</v>
      </c>
      <c r="AB478" s="6"/>
      <c r="AC478" s="258"/>
      <c r="AD478" s="251"/>
      <c r="AE478" s="61"/>
    </row>
    <row r="479" spans="15:31" x14ac:dyDescent="0.3">
      <c r="O479" s="98"/>
      <c r="T479" s="250"/>
      <c r="U479" s="252">
        <f t="shared" si="25"/>
        <v>44424</v>
      </c>
      <c r="V479" s="6"/>
      <c r="W479" s="253">
        <v>873278</v>
      </c>
      <c r="X479" s="6"/>
      <c r="Y479" s="44">
        <v>3.0000000000000001E-3</v>
      </c>
      <c r="Z479" s="6"/>
      <c r="AA479" s="254">
        <f t="shared" si="24"/>
        <v>-79728</v>
      </c>
      <c r="AB479" s="6"/>
      <c r="AC479" s="258"/>
      <c r="AD479" s="251"/>
      <c r="AE479" s="61"/>
    </row>
    <row r="480" spans="15:31" x14ac:dyDescent="0.3">
      <c r="O480" s="98"/>
      <c r="T480" s="250"/>
      <c r="U480" s="252">
        <f t="shared" si="25"/>
        <v>44425</v>
      </c>
      <c r="V480" s="6"/>
      <c r="W480" s="253">
        <v>915594</v>
      </c>
      <c r="X480" s="6"/>
      <c r="Y480" s="44">
        <v>3.0000000000000001E-3</v>
      </c>
      <c r="Z480" s="6"/>
      <c r="AA480" s="254">
        <f t="shared" si="24"/>
        <v>-42316</v>
      </c>
      <c r="AB480" s="6"/>
      <c r="AC480" s="258"/>
      <c r="AD480" s="251"/>
      <c r="AE480" s="61"/>
    </row>
    <row r="481" spans="15:31" x14ac:dyDescent="0.3">
      <c r="O481" s="98"/>
      <c r="T481" s="250"/>
      <c r="U481" s="252">
        <f t="shared" si="25"/>
        <v>44426</v>
      </c>
      <c r="V481" s="6"/>
      <c r="W481" s="253">
        <v>972739</v>
      </c>
      <c r="X481" s="6"/>
      <c r="Y481" s="44">
        <v>3.0000000000000001E-3</v>
      </c>
      <c r="Z481" s="6"/>
      <c r="AA481" s="254">
        <f t="shared" si="24"/>
        <v>-57145</v>
      </c>
      <c r="AB481" s="6"/>
      <c r="AC481" s="258"/>
      <c r="AD481" s="251"/>
      <c r="AE481" s="61"/>
    </row>
    <row r="482" spans="15:31" x14ac:dyDescent="0.3">
      <c r="O482" s="98"/>
      <c r="T482" s="250"/>
      <c r="U482" s="252">
        <f t="shared" si="25"/>
        <v>44427</v>
      </c>
      <c r="V482" s="6"/>
      <c r="W482" s="253">
        <v>983218</v>
      </c>
      <c r="X482" s="6"/>
      <c r="Y482" s="44">
        <v>3.0000000000000001E-3</v>
      </c>
      <c r="Z482" s="6"/>
      <c r="AA482" s="254">
        <f t="shared" si="24"/>
        <v>-10479</v>
      </c>
      <c r="AB482" s="6"/>
      <c r="AC482" s="258"/>
      <c r="AD482" s="251"/>
      <c r="AE482" s="61"/>
    </row>
    <row r="483" spans="15:31" x14ac:dyDescent="0.3">
      <c r="O483" s="98"/>
      <c r="T483" s="250"/>
      <c r="U483" s="252">
        <f t="shared" si="25"/>
        <v>44428</v>
      </c>
      <c r="V483" s="6"/>
      <c r="W483" s="253">
        <v>991027</v>
      </c>
      <c r="X483" s="6"/>
      <c r="Y483" s="44">
        <v>3.0000000000000001E-3</v>
      </c>
      <c r="Z483" s="6"/>
      <c r="AA483" s="254">
        <f t="shared" si="24"/>
        <v>-7809</v>
      </c>
      <c r="AB483" s="6"/>
      <c r="AC483" s="258"/>
      <c r="AD483" s="251"/>
      <c r="AE483" s="61"/>
    </row>
    <row r="484" spans="15:31" x14ac:dyDescent="0.3">
      <c r="O484" s="98"/>
      <c r="T484" s="250"/>
      <c r="U484" s="252">
        <f t="shared" si="25"/>
        <v>44429</v>
      </c>
      <c r="V484" s="6"/>
      <c r="W484" s="253">
        <v>982569</v>
      </c>
      <c r="X484" s="6"/>
      <c r="Y484" s="44">
        <v>3.0000000000000001E-3</v>
      </c>
      <c r="Z484" s="6"/>
      <c r="AA484" s="254">
        <f t="shared" si="24"/>
        <v>8458</v>
      </c>
      <c r="AB484" s="6"/>
      <c r="AC484" s="258"/>
      <c r="AD484" s="251"/>
      <c r="AE484" s="61"/>
    </row>
    <row r="485" spans="15:31" x14ac:dyDescent="0.3">
      <c r="O485" s="98"/>
      <c r="T485" s="250"/>
      <c r="U485" s="573">
        <f t="shared" si="25"/>
        <v>44430</v>
      </c>
      <c r="V485" s="6"/>
      <c r="W485" s="253">
        <v>1010611</v>
      </c>
      <c r="X485" s="6"/>
      <c r="Y485" s="44">
        <v>3.0000000000000001E-3</v>
      </c>
      <c r="Z485" s="6"/>
      <c r="AA485" s="254">
        <f t="shared" si="24"/>
        <v>-28042</v>
      </c>
      <c r="AB485" s="6"/>
      <c r="AC485" s="258"/>
      <c r="AD485" s="251"/>
      <c r="AE485" s="61"/>
    </row>
    <row r="486" spans="15:31" x14ac:dyDescent="0.3">
      <c r="O486" s="98"/>
      <c r="T486" s="250"/>
      <c r="U486" s="252">
        <f t="shared" si="25"/>
        <v>44431</v>
      </c>
      <c r="V486" s="6"/>
      <c r="W486" s="253">
        <v>1091203</v>
      </c>
      <c r="X486" s="6"/>
      <c r="Y486" s="44">
        <v>3.0000000000000001E-3</v>
      </c>
      <c r="Z486" s="6"/>
      <c r="AA486" s="254">
        <f t="shared" si="24"/>
        <v>-80592</v>
      </c>
      <c r="AB486" s="6"/>
      <c r="AC486" s="258"/>
      <c r="AD486" s="251"/>
      <c r="AE486" s="61"/>
    </row>
    <row r="487" spans="15:31" x14ac:dyDescent="0.3">
      <c r="O487" s="98"/>
      <c r="T487" s="250"/>
      <c r="U487" s="252">
        <f t="shared" si="25"/>
        <v>44432</v>
      </c>
      <c r="V487" s="6"/>
      <c r="W487" s="253">
        <v>1135866</v>
      </c>
      <c r="X487" s="6"/>
      <c r="Y487" s="44">
        <v>3.0000000000000001E-3</v>
      </c>
      <c r="Z487" s="6"/>
      <c r="AA487" s="254">
        <f t="shared" si="24"/>
        <v>-44663</v>
      </c>
      <c r="AB487" s="6"/>
      <c r="AC487" s="258"/>
      <c r="AD487" s="251"/>
      <c r="AE487" s="61"/>
    </row>
    <row r="488" spans="15:31" x14ac:dyDescent="0.3">
      <c r="O488" s="98"/>
      <c r="T488" s="250"/>
      <c r="U488" s="252">
        <f t="shared" si="25"/>
        <v>44433</v>
      </c>
      <c r="V488" s="6"/>
      <c r="W488" s="253">
        <v>1163572</v>
      </c>
      <c r="X488" s="6"/>
      <c r="Y488" s="44">
        <v>3.0000000000000001E-3</v>
      </c>
      <c r="Z488" s="6"/>
      <c r="AA488" s="254">
        <f t="shared" si="24"/>
        <v>-27706</v>
      </c>
      <c r="AB488" s="6"/>
      <c r="AC488" s="258"/>
      <c r="AD488" s="251"/>
      <c r="AE488" s="61"/>
    </row>
    <row r="489" spans="15:31" x14ac:dyDescent="0.3">
      <c r="O489" s="98"/>
      <c r="T489" s="250"/>
      <c r="U489" s="252">
        <f t="shared" si="25"/>
        <v>44434</v>
      </c>
      <c r="V489" s="6"/>
      <c r="W489" s="253">
        <v>1182651</v>
      </c>
      <c r="X489" s="6"/>
      <c r="Y489" s="44">
        <v>3.0000000000000001E-3</v>
      </c>
      <c r="Z489" s="6"/>
      <c r="AA489" s="254">
        <f t="shared" si="24"/>
        <v>-19079</v>
      </c>
      <c r="AB489" s="6"/>
      <c r="AC489" s="258"/>
      <c r="AD489" s="251"/>
      <c r="AE489" s="61"/>
    </row>
    <row r="490" spans="15:31" x14ac:dyDescent="0.3">
      <c r="O490" s="98"/>
      <c r="T490" s="250"/>
      <c r="U490" s="252">
        <f t="shared" si="25"/>
        <v>44435</v>
      </c>
      <c r="V490" s="6"/>
      <c r="W490" s="253">
        <v>1220266</v>
      </c>
      <c r="X490" s="6"/>
      <c r="Y490" s="44">
        <v>3.0000000000000001E-3</v>
      </c>
      <c r="Z490" s="6"/>
      <c r="AA490" s="254">
        <f t="shared" si="24"/>
        <v>-37615</v>
      </c>
      <c r="AB490" s="6"/>
      <c r="AC490" s="258"/>
      <c r="AD490" s="251"/>
      <c r="AE490" s="61"/>
    </row>
    <row r="491" spans="15:31" x14ac:dyDescent="0.3">
      <c r="O491" s="98"/>
      <c r="T491" s="250"/>
      <c r="U491" s="252">
        <f t="shared" si="25"/>
        <v>44436</v>
      </c>
      <c r="V491" s="6"/>
      <c r="W491" s="253">
        <v>1141943</v>
      </c>
      <c r="X491" s="6"/>
      <c r="Y491" s="44">
        <v>3.0000000000000001E-3</v>
      </c>
      <c r="Z491" s="6"/>
      <c r="AA491" s="254">
        <f t="shared" ref="AA491:AA506" si="26">+W490-W491</f>
        <v>78323</v>
      </c>
      <c r="AB491" s="6"/>
      <c r="AC491" s="258"/>
      <c r="AD491" s="251"/>
      <c r="AE491" s="61"/>
    </row>
    <row r="492" spans="15:31" x14ac:dyDescent="0.3">
      <c r="O492" s="98"/>
      <c r="T492" s="250"/>
      <c r="U492" s="573">
        <f t="shared" si="25"/>
        <v>44437</v>
      </c>
      <c r="V492" s="6"/>
      <c r="W492" s="253">
        <v>1032748</v>
      </c>
      <c r="X492" s="6"/>
      <c r="Y492" s="44">
        <v>3.0000000000000001E-3</v>
      </c>
      <c r="Z492" s="6"/>
      <c r="AA492" s="254">
        <f t="shared" si="26"/>
        <v>109195</v>
      </c>
      <c r="AB492" s="6"/>
      <c r="AC492" s="258"/>
      <c r="AD492" s="251"/>
      <c r="AE492" s="61"/>
    </row>
    <row r="493" spans="15:31" x14ac:dyDescent="0.3">
      <c r="O493" s="98"/>
      <c r="T493" s="250"/>
      <c r="U493" s="252">
        <f t="shared" si="25"/>
        <v>44438</v>
      </c>
      <c r="V493" s="6"/>
      <c r="W493" s="253">
        <v>1053270</v>
      </c>
      <c r="X493" s="6"/>
      <c r="Y493" s="44">
        <v>3.0000000000000001E-3</v>
      </c>
      <c r="Z493" s="6"/>
      <c r="AA493" s="254">
        <f t="shared" si="26"/>
        <v>-20522</v>
      </c>
      <c r="AB493" s="6"/>
      <c r="AC493" s="258"/>
      <c r="AD493" s="251"/>
      <c r="AE493" s="61"/>
    </row>
    <row r="494" spans="15:31" x14ac:dyDescent="0.3">
      <c r="O494" s="98"/>
      <c r="T494" s="250"/>
      <c r="U494" s="252">
        <f t="shared" si="25"/>
        <v>44439</v>
      </c>
      <c r="V494" s="6"/>
      <c r="W494" s="253">
        <v>1100973</v>
      </c>
      <c r="X494" s="6"/>
      <c r="Y494" s="44">
        <v>3.0000000000000001E-3</v>
      </c>
      <c r="Z494" s="6"/>
      <c r="AA494" s="254">
        <f t="shared" si="26"/>
        <v>-47703</v>
      </c>
      <c r="AB494" s="6"/>
      <c r="AC494" s="258"/>
      <c r="AD494" s="251"/>
      <c r="AE494" s="61"/>
    </row>
    <row r="495" spans="15:31" x14ac:dyDescent="0.3">
      <c r="O495" s="98"/>
      <c r="T495" s="250"/>
      <c r="U495" s="252">
        <f t="shared" si="25"/>
        <v>44440</v>
      </c>
      <c r="V495" s="6"/>
      <c r="W495" s="253">
        <v>1137686</v>
      </c>
      <c r="X495" s="6"/>
      <c r="Y495" s="44">
        <v>3.0000000000000001E-3</v>
      </c>
      <c r="Z495" s="6"/>
      <c r="AA495" s="254">
        <f t="shared" si="26"/>
        <v>-36713</v>
      </c>
      <c r="AB495" s="6"/>
      <c r="AC495" s="258"/>
      <c r="AD495" s="251"/>
      <c r="AE495" s="61"/>
    </row>
    <row r="496" spans="15:31" x14ac:dyDescent="0.3">
      <c r="O496" s="98"/>
      <c r="T496" s="250"/>
      <c r="U496" s="252">
        <f t="shared" si="25"/>
        <v>44441</v>
      </c>
      <c r="V496" s="6"/>
      <c r="W496" s="253">
        <v>1143565</v>
      </c>
      <c r="X496" s="6"/>
      <c r="Y496" s="44">
        <v>3.0000000000000001E-3</v>
      </c>
      <c r="Z496" s="6"/>
      <c r="AA496" s="254">
        <f t="shared" si="26"/>
        <v>-5879</v>
      </c>
      <c r="AB496" s="6"/>
      <c r="AC496" s="258"/>
      <c r="AD496" s="251"/>
      <c r="AE496" s="61"/>
    </row>
    <row r="497" spans="15:31" x14ac:dyDescent="0.3">
      <c r="O497" s="98"/>
      <c r="T497" s="250"/>
      <c r="U497" s="252">
        <f t="shared" si="25"/>
        <v>44442</v>
      </c>
      <c r="V497" s="6"/>
      <c r="W497" s="253">
        <v>1149058</v>
      </c>
      <c r="X497" s="6"/>
      <c r="Y497" s="44">
        <v>3.0000000000000001E-3</v>
      </c>
      <c r="Z497" s="6"/>
      <c r="AA497" s="254">
        <f t="shared" si="26"/>
        <v>-5493</v>
      </c>
      <c r="AB497" s="6"/>
      <c r="AC497" s="258"/>
      <c r="AD497" s="251"/>
      <c r="AE497" s="61"/>
    </row>
    <row r="498" spans="15:31" x14ac:dyDescent="0.3">
      <c r="O498" s="98"/>
      <c r="T498" s="250"/>
      <c r="U498" s="252">
        <f t="shared" si="25"/>
        <v>44443</v>
      </c>
      <c r="V498" s="6"/>
      <c r="W498" s="253">
        <v>1017444</v>
      </c>
      <c r="X498" s="6"/>
      <c r="Y498" s="44">
        <v>3.0000000000000001E-3</v>
      </c>
      <c r="Z498" s="6"/>
      <c r="AA498" s="254">
        <f t="shared" si="26"/>
        <v>131614</v>
      </c>
      <c r="AB498" s="6"/>
      <c r="AC498" s="258"/>
      <c r="AD498" s="251"/>
      <c r="AE498" s="61"/>
    </row>
    <row r="499" spans="15:31" x14ac:dyDescent="0.3">
      <c r="O499" s="98"/>
      <c r="T499" s="250"/>
      <c r="U499" s="573">
        <f t="shared" si="25"/>
        <v>44444</v>
      </c>
      <c r="V499" s="6"/>
      <c r="W499" s="253">
        <v>944663</v>
      </c>
      <c r="X499" s="6"/>
      <c r="Y499" s="44">
        <v>3.0000000000000001E-3</v>
      </c>
      <c r="Z499" s="6"/>
      <c r="AA499" s="254">
        <f t="shared" si="26"/>
        <v>72781</v>
      </c>
      <c r="AB499" s="6"/>
      <c r="AC499" s="258"/>
      <c r="AD499" s="251"/>
      <c r="AE499" s="61"/>
    </row>
    <row r="500" spans="15:31" x14ac:dyDescent="0.3">
      <c r="O500" s="98"/>
      <c r="T500" s="250"/>
      <c r="U500" s="252">
        <f t="shared" si="25"/>
        <v>44445</v>
      </c>
      <c r="V500" s="6"/>
      <c r="W500" s="253">
        <v>982467</v>
      </c>
      <c r="X500" s="6"/>
      <c r="Y500" s="44">
        <v>3.0000000000000001E-3</v>
      </c>
      <c r="Z500" s="6"/>
      <c r="AA500" s="254">
        <f t="shared" si="26"/>
        <v>-37804</v>
      </c>
      <c r="AB500" s="6"/>
      <c r="AC500" s="258"/>
      <c r="AD500" s="251"/>
      <c r="AE500" s="61"/>
    </row>
    <row r="501" spans="15:31" x14ac:dyDescent="0.3">
      <c r="O501" s="98"/>
      <c r="T501" s="250"/>
      <c r="U501" s="252">
        <f t="shared" si="25"/>
        <v>44446</v>
      </c>
      <c r="V501" s="6"/>
      <c r="W501" s="253">
        <v>978397</v>
      </c>
      <c r="X501" s="6"/>
      <c r="Y501" s="44">
        <v>3.0000000000000001E-3</v>
      </c>
      <c r="Z501" s="6"/>
      <c r="AA501" s="254">
        <f t="shared" si="26"/>
        <v>4070</v>
      </c>
      <c r="AB501" s="6"/>
      <c r="AC501" s="258"/>
      <c r="AD501" s="251"/>
      <c r="AE501" s="61"/>
    </row>
    <row r="502" spans="15:31" x14ac:dyDescent="0.3">
      <c r="O502" s="98"/>
      <c r="T502" s="250"/>
      <c r="U502" s="252">
        <f t="shared" si="25"/>
        <v>44447</v>
      </c>
      <c r="V502" s="6"/>
      <c r="W502" s="253">
        <v>977839</v>
      </c>
      <c r="X502" s="6"/>
      <c r="Y502" s="44">
        <v>3.0000000000000001E-3</v>
      </c>
      <c r="Z502" s="6"/>
      <c r="AA502" s="254">
        <f t="shared" si="26"/>
        <v>558</v>
      </c>
      <c r="AB502" s="6"/>
      <c r="AC502" s="258"/>
      <c r="AD502" s="251"/>
      <c r="AE502" s="61"/>
    </row>
    <row r="503" spans="15:31" x14ac:dyDescent="0.3">
      <c r="O503" s="98"/>
      <c r="T503" s="250"/>
      <c r="U503" s="252">
        <f t="shared" si="25"/>
        <v>44448</v>
      </c>
      <c r="V503" s="6"/>
      <c r="W503" s="253">
        <v>954134</v>
      </c>
      <c r="X503" s="6"/>
      <c r="Y503" s="44">
        <v>3.0000000000000001E-3</v>
      </c>
      <c r="Z503" s="6"/>
      <c r="AA503" s="254">
        <f t="shared" si="26"/>
        <v>23705</v>
      </c>
      <c r="AB503" s="6"/>
      <c r="AC503" s="258"/>
      <c r="AD503" s="251"/>
      <c r="AE503" s="61"/>
    </row>
    <row r="504" spans="15:31" x14ac:dyDescent="0.3">
      <c r="O504" s="98"/>
      <c r="T504" s="250"/>
      <c r="U504" s="252">
        <f t="shared" si="25"/>
        <v>44449</v>
      </c>
      <c r="V504" s="6"/>
      <c r="W504" s="253">
        <v>947662</v>
      </c>
      <c r="X504" s="6"/>
      <c r="Y504" s="44">
        <v>3.0000000000000001E-3</v>
      </c>
      <c r="Z504" s="6"/>
      <c r="AA504" s="254">
        <f t="shared" si="26"/>
        <v>6472</v>
      </c>
      <c r="AB504" s="6"/>
      <c r="AC504" s="258"/>
      <c r="AD504" s="251"/>
      <c r="AE504" s="61"/>
    </row>
    <row r="505" spans="15:31" x14ac:dyDescent="0.3">
      <c r="O505" s="98"/>
      <c r="T505" s="250"/>
      <c r="U505" s="252">
        <f t="shared" si="25"/>
        <v>44450</v>
      </c>
      <c r="V505" s="6"/>
      <c r="W505" s="253">
        <v>837198</v>
      </c>
      <c r="X505" s="6"/>
      <c r="Y505" s="44">
        <v>3.0000000000000001E-3</v>
      </c>
      <c r="Z505" s="6"/>
      <c r="AA505" s="254">
        <f t="shared" si="26"/>
        <v>110464</v>
      </c>
      <c r="AB505" s="6"/>
      <c r="AC505" s="258"/>
      <c r="AD505" s="251"/>
      <c r="AE505" s="61"/>
    </row>
    <row r="506" spans="15:31" x14ac:dyDescent="0.3">
      <c r="O506" s="98"/>
      <c r="T506" s="250"/>
      <c r="U506" s="573">
        <f t="shared" si="25"/>
        <v>44451</v>
      </c>
      <c r="V506" s="6"/>
      <c r="W506" s="253">
        <v>813888</v>
      </c>
      <c r="X506" s="6"/>
      <c r="Y506" s="44">
        <v>3.0000000000000001E-3</v>
      </c>
      <c r="Z506" s="6"/>
      <c r="AA506" s="254">
        <f t="shared" si="26"/>
        <v>23310</v>
      </c>
      <c r="AB506" s="6"/>
      <c r="AC506" s="258"/>
      <c r="AD506" s="251"/>
      <c r="AE506" s="61"/>
    </row>
    <row r="507" spans="15:31" x14ac:dyDescent="0.3">
      <c r="O507" s="98"/>
      <c r="T507" s="250"/>
      <c r="U507" s="252">
        <f t="shared" si="25"/>
        <v>44452</v>
      </c>
      <c r="V507" s="6"/>
      <c r="W507" s="253">
        <v>887488</v>
      </c>
      <c r="X507" s="6"/>
      <c r="Y507" s="44">
        <v>3.0000000000000001E-3</v>
      </c>
      <c r="Z507" s="6"/>
      <c r="AA507" s="254">
        <f t="shared" ref="AA507:AA513" si="27">+W506-W507</f>
        <v>-73600</v>
      </c>
      <c r="AB507" s="6"/>
      <c r="AC507" s="258"/>
      <c r="AD507" s="251"/>
      <c r="AE507" s="61"/>
    </row>
    <row r="508" spans="15:31" x14ac:dyDescent="0.3">
      <c r="O508" s="98"/>
      <c r="T508" s="250"/>
      <c r="U508" s="252">
        <f t="shared" si="25"/>
        <v>44453</v>
      </c>
      <c r="V508" s="6"/>
      <c r="W508" s="253">
        <v>990004</v>
      </c>
      <c r="X508" s="6"/>
      <c r="Y508" s="44">
        <v>3.0000000000000001E-3</v>
      </c>
      <c r="Z508" s="6"/>
      <c r="AA508" s="254">
        <f t="shared" si="27"/>
        <v>-102516</v>
      </c>
      <c r="AB508" s="6"/>
      <c r="AC508" s="258"/>
      <c r="AD508" s="251"/>
      <c r="AE508" s="61"/>
    </row>
    <row r="509" spans="15:31" x14ac:dyDescent="0.3">
      <c r="O509" s="98"/>
      <c r="T509" s="250"/>
      <c r="U509" s="252">
        <f t="shared" si="25"/>
        <v>44454</v>
      </c>
      <c r="V509" s="6"/>
      <c r="W509" s="253">
        <v>1038631</v>
      </c>
      <c r="X509" s="6"/>
      <c r="Y509" s="44">
        <v>3.0000000000000001E-3</v>
      </c>
      <c r="Z509" s="6"/>
      <c r="AA509" s="254">
        <f t="shared" si="27"/>
        <v>-48627</v>
      </c>
      <c r="AB509" s="6"/>
      <c r="AC509" s="258"/>
      <c r="AD509" s="251"/>
      <c r="AE509" s="61"/>
    </row>
    <row r="510" spans="15:31" x14ac:dyDescent="0.3">
      <c r="O510" s="98"/>
      <c r="T510" s="250"/>
      <c r="U510" s="252">
        <f t="shared" si="25"/>
        <v>44455</v>
      </c>
      <c r="V510" s="6"/>
      <c r="W510" s="253">
        <v>1031762</v>
      </c>
      <c r="X510" s="6"/>
      <c r="Y510" s="44">
        <v>3.0000000000000001E-3</v>
      </c>
      <c r="Z510" s="6"/>
      <c r="AA510" s="254">
        <f t="shared" si="27"/>
        <v>6869</v>
      </c>
      <c r="AB510" s="6"/>
      <c r="AC510" s="258"/>
      <c r="AD510" s="251"/>
      <c r="AE510" s="61"/>
    </row>
    <row r="511" spans="15:31" x14ac:dyDescent="0.3">
      <c r="O511" s="98"/>
      <c r="T511" s="250"/>
      <c r="U511" s="252">
        <f t="shared" si="25"/>
        <v>44456</v>
      </c>
      <c r="V511" s="6"/>
      <c r="W511" s="253">
        <v>1029117</v>
      </c>
      <c r="X511" s="6"/>
      <c r="Y511" s="44">
        <v>3.0000000000000001E-3</v>
      </c>
      <c r="Z511" s="6"/>
      <c r="AA511" s="254">
        <f t="shared" si="27"/>
        <v>2645</v>
      </c>
      <c r="AB511" s="6"/>
      <c r="AC511" s="258"/>
      <c r="AD511" s="251"/>
      <c r="AE511" s="61"/>
    </row>
    <row r="512" spans="15:31" x14ac:dyDescent="0.3">
      <c r="O512" s="98"/>
      <c r="T512" s="250"/>
      <c r="U512" s="252">
        <f t="shared" si="25"/>
        <v>44457</v>
      </c>
      <c r="V512" s="6"/>
      <c r="W512" s="253">
        <v>922245</v>
      </c>
      <c r="X512" s="6"/>
      <c r="Y512" s="44">
        <v>3.0000000000000001E-3</v>
      </c>
      <c r="Z512" s="6"/>
      <c r="AA512" s="254">
        <f t="shared" si="27"/>
        <v>106872</v>
      </c>
      <c r="AB512" s="6"/>
      <c r="AC512" s="258"/>
      <c r="AD512" s="251"/>
      <c r="AE512" s="61"/>
    </row>
    <row r="513" spans="15:31" x14ac:dyDescent="0.3">
      <c r="O513" s="98"/>
      <c r="T513" s="250"/>
      <c r="U513" s="573">
        <f t="shared" si="25"/>
        <v>44458</v>
      </c>
      <c r="V513" s="6"/>
      <c r="W513" s="253">
        <v>882573</v>
      </c>
      <c r="X513" s="6"/>
      <c r="Y513" s="44">
        <v>3.0000000000000001E-3</v>
      </c>
      <c r="Z513" s="6"/>
      <c r="AA513" s="254">
        <f t="shared" si="27"/>
        <v>39672</v>
      </c>
      <c r="AB513" s="6"/>
      <c r="AC513" s="258"/>
      <c r="AD513" s="251"/>
      <c r="AE513" s="61"/>
    </row>
    <row r="514" spans="15:31" x14ac:dyDescent="0.3">
      <c r="O514" s="98"/>
      <c r="T514" s="250"/>
      <c r="U514" s="252">
        <f t="shared" si="25"/>
        <v>44459</v>
      </c>
      <c r="V514" s="6"/>
      <c r="W514" s="253">
        <v>882573</v>
      </c>
      <c r="X514" s="6"/>
      <c r="Y514" s="44">
        <v>3.0000000000000001E-3</v>
      </c>
      <c r="Z514" s="6"/>
      <c r="AA514" s="254">
        <v>39672</v>
      </c>
      <c r="AB514" s="6"/>
      <c r="AC514" s="258"/>
      <c r="AD514" s="251"/>
      <c r="AE514" s="61"/>
    </row>
    <row r="515" spans="15:31" x14ac:dyDescent="0.3">
      <c r="O515" s="98"/>
      <c r="T515" s="250"/>
      <c r="U515" s="252">
        <f t="shared" si="25"/>
        <v>44460</v>
      </c>
      <c r="V515" s="6"/>
      <c r="W515" s="253">
        <v>882573</v>
      </c>
      <c r="X515" s="6"/>
      <c r="Y515" s="44">
        <v>3.0000000000000001E-3</v>
      </c>
      <c r="Z515" s="6"/>
      <c r="AA515" s="254">
        <v>39672</v>
      </c>
      <c r="AB515" s="6"/>
      <c r="AC515" s="258"/>
      <c r="AD515" s="251"/>
      <c r="AE515" s="61"/>
    </row>
    <row r="516" spans="15:31" x14ac:dyDescent="0.3">
      <c r="O516" s="98"/>
      <c r="T516" s="250"/>
      <c r="U516" s="252">
        <f t="shared" si="25"/>
        <v>44461</v>
      </c>
      <c r="V516" s="6"/>
      <c r="W516" s="580">
        <v>938759</v>
      </c>
      <c r="X516" s="581"/>
      <c r="Y516" s="44">
        <v>3.0000000000000001E-3</v>
      </c>
      <c r="Z516" s="581"/>
      <c r="AA516" s="582">
        <f t="shared" ref="AA516:AA563" si="28">+W515-W516</f>
        <v>-56186</v>
      </c>
      <c r="AB516" s="581"/>
      <c r="AC516" s="583"/>
      <c r="AD516" s="251"/>
    </row>
    <row r="517" spans="15:31" x14ac:dyDescent="0.3">
      <c r="O517" s="98"/>
      <c r="T517" s="250"/>
      <c r="U517" s="252">
        <f t="shared" si="25"/>
        <v>44462</v>
      </c>
      <c r="V517" s="6"/>
      <c r="W517" s="580">
        <v>901303</v>
      </c>
      <c r="X517" s="581"/>
      <c r="Y517" s="44">
        <v>3.0000000000000001E-3</v>
      </c>
      <c r="Z517" s="581"/>
      <c r="AA517" s="582">
        <f t="shared" si="28"/>
        <v>37456</v>
      </c>
      <c r="AB517" s="581"/>
      <c r="AC517" s="583"/>
      <c r="AD517" s="251"/>
    </row>
    <row r="518" spans="15:31" x14ac:dyDescent="0.3">
      <c r="O518" s="98"/>
      <c r="T518" s="250"/>
      <c r="U518" s="252">
        <f t="shared" si="25"/>
        <v>44463</v>
      </c>
      <c r="V518" s="6"/>
      <c r="W518" s="580">
        <v>880622</v>
      </c>
      <c r="X518" s="581"/>
      <c r="Y518" s="44">
        <v>3.0000000000000001E-3</v>
      </c>
      <c r="Z518" s="581"/>
      <c r="AA518" s="582">
        <f t="shared" si="28"/>
        <v>20681</v>
      </c>
      <c r="AB518" s="581"/>
      <c r="AC518" s="583"/>
      <c r="AD518" s="251"/>
    </row>
    <row r="519" spans="15:31" x14ac:dyDescent="0.3">
      <c r="O519" s="98"/>
      <c r="T519" s="250"/>
      <c r="U519" s="252">
        <f t="shared" si="25"/>
        <v>44464</v>
      </c>
      <c r="V519" s="6"/>
      <c r="W519" s="580">
        <v>806626</v>
      </c>
      <c r="X519" s="581"/>
      <c r="Y519" s="44">
        <v>3.0000000000000001E-3</v>
      </c>
      <c r="Z519" s="581"/>
      <c r="AA519" s="582">
        <f t="shared" si="28"/>
        <v>73996</v>
      </c>
      <c r="AB519" s="581"/>
      <c r="AC519" s="583"/>
      <c r="AD519" s="251"/>
    </row>
    <row r="520" spans="15:31" x14ac:dyDescent="0.3">
      <c r="O520" s="98"/>
      <c r="T520" s="250"/>
      <c r="U520" s="573">
        <f t="shared" si="25"/>
        <v>44465</v>
      </c>
      <c r="V520" s="6"/>
      <c r="W520" s="580">
        <v>800689</v>
      </c>
      <c r="X520" s="581"/>
      <c r="Y520" s="44">
        <v>3.0000000000000001E-3</v>
      </c>
      <c r="Z520" s="581"/>
      <c r="AA520" s="582">
        <f t="shared" si="28"/>
        <v>5937</v>
      </c>
      <c r="AB520" s="581"/>
      <c r="AC520" s="583"/>
      <c r="AD520" s="251"/>
    </row>
    <row r="521" spans="15:31" x14ac:dyDescent="0.3">
      <c r="O521" s="98"/>
      <c r="T521" s="250"/>
      <c r="U521" s="252">
        <f t="shared" si="25"/>
        <v>44466</v>
      </c>
      <c r="V521" s="6"/>
      <c r="W521" s="580">
        <v>845370</v>
      </c>
      <c r="X521" s="581"/>
      <c r="Y521" s="44">
        <v>3.0000000000000001E-3</v>
      </c>
      <c r="Z521" s="581"/>
      <c r="AA521" s="582">
        <f t="shared" si="28"/>
        <v>-44681</v>
      </c>
      <c r="AB521" s="581"/>
      <c r="AC521" s="583"/>
      <c r="AD521" s="251"/>
    </row>
    <row r="522" spans="15:31" x14ac:dyDescent="0.3">
      <c r="O522" s="98"/>
      <c r="T522" s="250"/>
      <c r="U522" s="252">
        <f t="shared" si="25"/>
        <v>44467</v>
      </c>
      <c r="V522" s="6"/>
      <c r="W522" s="580">
        <v>864408</v>
      </c>
      <c r="X522" s="581"/>
      <c r="Y522" s="44">
        <v>3.0000000000000001E-3</v>
      </c>
      <c r="Z522" s="581"/>
      <c r="AA522" s="582">
        <f t="shared" si="28"/>
        <v>-19038</v>
      </c>
      <c r="AB522" s="581"/>
      <c r="AC522" s="583"/>
      <c r="AD522" s="251"/>
    </row>
    <row r="523" spans="15:31" x14ac:dyDescent="0.3">
      <c r="O523" s="98"/>
      <c r="T523" s="250"/>
      <c r="U523" s="252">
        <f t="shared" si="25"/>
        <v>44468</v>
      </c>
      <c r="V523" s="6"/>
      <c r="W523" s="580">
        <v>866718</v>
      </c>
      <c r="X523" s="581"/>
      <c r="Y523" s="44">
        <v>3.0000000000000001E-3</v>
      </c>
      <c r="Z523" s="581"/>
      <c r="AA523" s="582">
        <f t="shared" si="28"/>
        <v>-2310</v>
      </c>
      <c r="AB523" s="581"/>
      <c r="AC523" s="583"/>
      <c r="AD523" s="251"/>
    </row>
    <row r="524" spans="15:31" x14ac:dyDescent="0.3">
      <c r="O524" s="98"/>
      <c r="T524" s="250"/>
      <c r="U524" s="252">
        <f t="shared" si="25"/>
        <v>44469</v>
      </c>
      <c r="V524" s="6"/>
      <c r="W524" s="580">
        <v>846510</v>
      </c>
      <c r="X524" s="581"/>
      <c r="Y524" s="44">
        <v>3.0000000000000001E-3</v>
      </c>
      <c r="Z524" s="581"/>
      <c r="AA524" s="582">
        <f t="shared" si="28"/>
        <v>20208</v>
      </c>
      <c r="AB524" s="581"/>
      <c r="AC524" s="583"/>
      <c r="AD524" s="251"/>
    </row>
    <row r="525" spans="15:31" x14ac:dyDescent="0.3">
      <c r="O525" s="98"/>
      <c r="T525" s="250"/>
      <c r="U525" s="252">
        <f t="shared" si="25"/>
        <v>44470</v>
      </c>
      <c r="V525" s="6"/>
      <c r="W525" s="580">
        <v>839428</v>
      </c>
      <c r="X525" s="581"/>
      <c r="Y525" s="44">
        <v>3.0000000000000001E-3</v>
      </c>
      <c r="Z525" s="581"/>
      <c r="AA525" s="582">
        <f t="shared" si="28"/>
        <v>7082</v>
      </c>
      <c r="AB525" s="581"/>
      <c r="AC525" s="583"/>
      <c r="AD525" s="251"/>
    </row>
    <row r="526" spans="15:31" x14ac:dyDescent="0.3">
      <c r="O526" s="98"/>
      <c r="T526" s="250"/>
      <c r="U526" s="252">
        <f t="shared" si="25"/>
        <v>44471</v>
      </c>
      <c r="V526" s="6"/>
      <c r="W526" s="580">
        <v>754488</v>
      </c>
      <c r="X526" s="581"/>
      <c r="Y526" s="44">
        <v>3.0000000000000001E-3</v>
      </c>
      <c r="Z526" s="581"/>
      <c r="AA526" s="582">
        <f t="shared" si="28"/>
        <v>84940</v>
      </c>
      <c r="AB526" s="581"/>
      <c r="AC526" s="583"/>
      <c r="AD526" s="251"/>
    </row>
    <row r="527" spans="15:31" x14ac:dyDescent="0.3">
      <c r="O527" s="98"/>
      <c r="T527" s="250"/>
      <c r="U527" s="573">
        <f t="shared" si="25"/>
        <v>44472</v>
      </c>
      <c r="V527" s="6"/>
      <c r="W527" s="580">
        <v>696389</v>
      </c>
      <c r="X527" s="581"/>
      <c r="Y527" s="44">
        <v>3.0000000000000001E-3</v>
      </c>
      <c r="Z527" s="581"/>
      <c r="AA527" s="582">
        <f t="shared" si="28"/>
        <v>58099</v>
      </c>
      <c r="AB527" s="581"/>
      <c r="AC527" s="583"/>
      <c r="AD527" s="251"/>
    </row>
    <row r="528" spans="15:31" x14ac:dyDescent="0.3">
      <c r="O528" s="98"/>
      <c r="T528" s="250"/>
      <c r="U528" s="252">
        <f t="shared" si="25"/>
        <v>44473</v>
      </c>
      <c r="V528" s="6"/>
      <c r="W528" s="580">
        <v>711315</v>
      </c>
      <c r="X528" s="581"/>
      <c r="Y528" s="44">
        <v>3.0000000000000001E-3</v>
      </c>
      <c r="Z528" s="581"/>
      <c r="AA528" s="582">
        <f t="shared" si="28"/>
        <v>-14926</v>
      </c>
      <c r="AB528" s="581"/>
      <c r="AC528" s="583"/>
      <c r="AD528" s="251"/>
    </row>
    <row r="529" spans="15:30" x14ac:dyDescent="0.3">
      <c r="O529" s="98"/>
      <c r="T529" s="250"/>
      <c r="U529" s="252">
        <f t="shared" si="25"/>
        <v>44474</v>
      </c>
      <c r="V529" s="6"/>
      <c r="W529" s="580">
        <v>724216</v>
      </c>
      <c r="X529" s="581"/>
      <c r="Y529" s="44">
        <v>3.0000000000000001E-3</v>
      </c>
      <c r="Z529" s="581"/>
      <c r="AA529" s="582">
        <f t="shared" si="28"/>
        <v>-12901</v>
      </c>
      <c r="AB529" s="581"/>
      <c r="AC529" s="583"/>
      <c r="AD529" s="251"/>
    </row>
    <row r="530" spans="15:30" x14ac:dyDescent="0.3">
      <c r="O530" s="98"/>
      <c r="T530" s="250"/>
      <c r="U530" s="252">
        <f t="shared" si="25"/>
        <v>44475</v>
      </c>
      <c r="V530" s="6"/>
      <c r="W530" s="580">
        <v>726333</v>
      </c>
      <c r="X530" s="581"/>
      <c r="Y530" s="44">
        <v>3.0000000000000001E-3</v>
      </c>
      <c r="Z530" s="581"/>
      <c r="AA530" s="582">
        <f t="shared" si="28"/>
        <v>-2117</v>
      </c>
      <c r="AB530" s="581"/>
      <c r="AC530" s="583"/>
      <c r="AD530" s="251"/>
    </row>
    <row r="531" spans="15:30" x14ac:dyDescent="0.3">
      <c r="O531" s="98"/>
      <c r="T531" s="250"/>
      <c r="U531" s="252">
        <f t="shared" si="25"/>
        <v>44476</v>
      </c>
      <c r="V531" s="6"/>
      <c r="W531" s="580">
        <v>711308</v>
      </c>
      <c r="X531" s="581"/>
      <c r="Y531" s="44">
        <v>3.0000000000000001E-3</v>
      </c>
      <c r="Z531" s="581"/>
      <c r="AA531" s="582">
        <f t="shared" si="28"/>
        <v>15025</v>
      </c>
      <c r="AB531" s="581"/>
      <c r="AC531" s="583"/>
      <c r="AD531" s="251"/>
    </row>
    <row r="532" spans="15:30" x14ac:dyDescent="0.3">
      <c r="O532" s="98"/>
      <c r="T532" s="250"/>
      <c r="U532" s="252">
        <f t="shared" si="25"/>
        <v>44477</v>
      </c>
      <c r="V532" s="6"/>
      <c r="W532" s="580">
        <v>703338</v>
      </c>
      <c r="X532" s="581"/>
      <c r="Y532" s="44">
        <v>3.0000000000000001E-3</v>
      </c>
      <c r="Z532" s="581"/>
      <c r="AA532" s="582">
        <f t="shared" si="28"/>
        <v>7970</v>
      </c>
      <c r="AB532" s="581"/>
      <c r="AC532" s="583"/>
      <c r="AD532" s="251"/>
    </row>
    <row r="533" spans="15:30" x14ac:dyDescent="0.3">
      <c r="O533" s="98"/>
      <c r="T533" s="250"/>
      <c r="U533" s="252">
        <f t="shared" si="25"/>
        <v>44478</v>
      </c>
      <c r="V533" s="6"/>
      <c r="W533" s="580">
        <v>624479</v>
      </c>
      <c r="X533" s="581"/>
      <c r="Y533" s="44">
        <v>3.0000000000000001E-3</v>
      </c>
      <c r="Z533" s="581"/>
      <c r="AA533" s="582">
        <f t="shared" si="28"/>
        <v>78859</v>
      </c>
      <c r="AB533" s="581"/>
      <c r="AC533" s="583"/>
      <c r="AD533" s="251"/>
    </row>
    <row r="534" spans="15:30" x14ac:dyDescent="0.3">
      <c r="O534" s="98"/>
      <c r="T534" s="250"/>
      <c r="U534" s="573">
        <f t="shared" si="25"/>
        <v>44479</v>
      </c>
      <c r="V534" s="6"/>
      <c r="W534" s="580">
        <v>602658</v>
      </c>
      <c r="X534" s="581"/>
      <c r="Y534" s="44">
        <v>3.0000000000000001E-3</v>
      </c>
      <c r="Z534" s="581"/>
      <c r="AA534" s="582">
        <f t="shared" si="28"/>
        <v>21821</v>
      </c>
      <c r="AB534" s="581"/>
      <c r="AC534" s="583"/>
      <c r="AD534" s="251"/>
    </row>
    <row r="535" spans="15:30" x14ac:dyDescent="0.3">
      <c r="O535" s="98"/>
      <c r="T535" s="250"/>
      <c r="U535" s="252">
        <f t="shared" si="25"/>
        <v>44480</v>
      </c>
      <c r="V535" s="6"/>
      <c r="W535" s="580">
        <v>640716</v>
      </c>
      <c r="X535" s="581"/>
      <c r="Y535" s="44">
        <v>3.0000000000000001E-3</v>
      </c>
      <c r="Z535" s="581"/>
      <c r="AA535" s="582">
        <f t="shared" si="28"/>
        <v>-38058</v>
      </c>
      <c r="AB535" s="581"/>
      <c r="AC535" s="583"/>
      <c r="AD535" s="251"/>
    </row>
    <row r="536" spans="15:30" x14ac:dyDescent="0.3">
      <c r="O536" s="98"/>
      <c r="T536" s="250"/>
      <c r="U536" s="252">
        <f t="shared" si="25"/>
        <v>44481</v>
      </c>
      <c r="V536" s="6"/>
      <c r="W536" s="580">
        <v>659234</v>
      </c>
      <c r="X536" s="581"/>
      <c r="Y536" s="44">
        <v>3.0000000000000001E-3</v>
      </c>
      <c r="Z536" s="581"/>
      <c r="AA536" s="582">
        <f t="shared" si="28"/>
        <v>-18518</v>
      </c>
      <c r="AB536" s="581"/>
      <c r="AC536" s="583"/>
      <c r="AD536" s="251"/>
    </row>
    <row r="537" spans="15:30" x14ac:dyDescent="0.3">
      <c r="O537" s="98"/>
      <c r="T537" s="250"/>
      <c r="U537" s="252">
        <f t="shared" si="25"/>
        <v>44482</v>
      </c>
      <c r="V537" s="6"/>
      <c r="W537" s="580">
        <v>664198</v>
      </c>
      <c r="X537" s="581"/>
      <c r="Y537" s="44">
        <v>3.0000000000000001E-3</v>
      </c>
      <c r="Z537" s="581"/>
      <c r="AA537" s="582">
        <f t="shared" si="28"/>
        <v>-4964</v>
      </c>
      <c r="AB537" s="581"/>
      <c r="AC537" s="583"/>
      <c r="AD537" s="251"/>
    </row>
    <row r="538" spans="15:30" x14ac:dyDescent="0.3">
      <c r="O538" s="98"/>
      <c r="T538" s="250"/>
      <c r="U538" s="252">
        <f t="shared" si="25"/>
        <v>44483</v>
      </c>
      <c r="V538" s="6"/>
      <c r="W538" s="580">
        <v>645000</v>
      </c>
      <c r="X538" s="581"/>
      <c r="Y538" s="44">
        <v>3.0000000000000001E-3</v>
      </c>
      <c r="Z538" s="581"/>
      <c r="AA538" s="582">
        <f t="shared" si="28"/>
        <v>19198</v>
      </c>
      <c r="AB538" s="581"/>
      <c r="AC538" s="583"/>
      <c r="AD538" s="251"/>
    </row>
    <row r="539" spans="15:30" x14ac:dyDescent="0.3">
      <c r="O539" s="98"/>
      <c r="T539" s="250"/>
      <c r="U539" s="252">
        <f t="shared" si="25"/>
        <v>44484</v>
      </c>
      <c r="V539" s="6"/>
      <c r="W539" s="580">
        <v>630132</v>
      </c>
      <c r="X539" s="581"/>
      <c r="Y539" s="44">
        <v>3.0000000000000001E-3</v>
      </c>
      <c r="Z539" s="581"/>
      <c r="AA539" s="582">
        <f t="shared" si="28"/>
        <v>14868</v>
      </c>
      <c r="AB539" s="581"/>
      <c r="AC539" s="583"/>
      <c r="AD539" s="251"/>
    </row>
    <row r="540" spans="15:30" x14ac:dyDescent="0.3">
      <c r="O540" s="98"/>
      <c r="T540" s="250"/>
      <c r="U540" s="252">
        <f t="shared" si="25"/>
        <v>44485</v>
      </c>
      <c r="V540" s="6"/>
      <c r="W540" s="580">
        <v>555753</v>
      </c>
      <c r="X540" s="581"/>
      <c r="Y540" s="44">
        <v>3.0000000000000001E-3</v>
      </c>
      <c r="Z540" s="581"/>
      <c r="AA540" s="582">
        <f t="shared" si="28"/>
        <v>74379</v>
      </c>
      <c r="AB540" s="581"/>
      <c r="AC540" s="583"/>
      <c r="AD540" s="251"/>
    </row>
    <row r="541" spans="15:30" x14ac:dyDescent="0.3">
      <c r="O541" s="98"/>
      <c r="T541" s="250"/>
      <c r="U541" s="573">
        <f t="shared" si="25"/>
        <v>44486</v>
      </c>
      <c r="V541" s="6"/>
      <c r="W541" s="580">
        <v>531343</v>
      </c>
      <c r="X541" s="581"/>
      <c r="Y541" s="44">
        <v>3.0000000000000001E-3</v>
      </c>
      <c r="Z541" s="581"/>
      <c r="AA541" s="582">
        <f t="shared" si="28"/>
        <v>24410</v>
      </c>
      <c r="AB541" s="581"/>
      <c r="AC541" s="583"/>
      <c r="AD541" s="251"/>
    </row>
    <row r="542" spans="15:30" x14ac:dyDescent="0.3">
      <c r="O542" s="98"/>
      <c r="T542" s="250"/>
      <c r="U542" s="252">
        <f t="shared" si="25"/>
        <v>44487</v>
      </c>
      <c r="V542" s="6"/>
      <c r="W542" s="580">
        <v>559543</v>
      </c>
      <c r="X542" s="581"/>
      <c r="Y542" s="44">
        <v>3.0000000000000001E-3</v>
      </c>
      <c r="Z542" s="581"/>
      <c r="AA542" s="582">
        <f t="shared" si="28"/>
        <v>-28200</v>
      </c>
      <c r="AB542" s="581"/>
      <c r="AC542" s="583"/>
      <c r="AD542" s="251"/>
    </row>
    <row r="543" spans="15:30" x14ac:dyDescent="0.3">
      <c r="O543" s="98"/>
      <c r="T543" s="250"/>
      <c r="U543" s="252">
        <f t="shared" si="25"/>
        <v>44488</v>
      </c>
      <c r="V543" s="6"/>
      <c r="W543" s="580">
        <v>566361</v>
      </c>
      <c r="X543" s="581"/>
      <c r="Y543" s="44">
        <v>3.0000000000000001E-3</v>
      </c>
      <c r="Z543" s="581"/>
      <c r="AA543" s="582">
        <f t="shared" si="28"/>
        <v>-6818</v>
      </c>
      <c r="AB543" s="581"/>
      <c r="AC543" s="583"/>
      <c r="AD543" s="251"/>
    </row>
    <row r="544" spans="15:30" x14ac:dyDescent="0.3">
      <c r="O544" s="98"/>
      <c r="T544" s="250"/>
      <c r="U544" s="252">
        <f t="shared" si="25"/>
        <v>44489</v>
      </c>
      <c r="V544" s="6"/>
      <c r="W544" s="580">
        <v>554165</v>
      </c>
      <c r="X544" s="581"/>
      <c r="Y544" s="44">
        <v>3.0000000000000001E-3</v>
      </c>
      <c r="Z544" s="581"/>
      <c r="AA544" s="582">
        <f t="shared" si="28"/>
        <v>12196</v>
      </c>
      <c r="AB544" s="581"/>
      <c r="AC544" s="583"/>
      <c r="AD544" s="251"/>
    </row>
    <row r="545" spans="15:30" x14ac:dyDescent="0.3">
      <c r="O545" s="98"/>
      <c r="T545" s="250"/>
      <c r="U545" s="252">
        <f t="shared" si="25"/>
        <v>44490</v>
      </c>
      <c r="V545" s="6"/>
      <c r="W545" s="580">
        <v>534939</v>
      </c>
      <c r="X545" s="581"/>
      <c r="Y545" s="44">
        <v>3.0000000000000001E-3</v>
      </c>
      <c r="Z545" s="581"/>
      <c r="AA545" s="582">
        <f t="shared" si="28"/>
        <v>19226</v>
      </c>
      <c r="AB545" s="581"/>
      <c r="AC545" s="583"/>
      <c r="AD545" s="251"/>
    </row>
    <row r="546" spans="15:30" x14ac:dyDescent="0.3">
      <c r="O546" s="98"/>
      <c r="T546" s="250"/>
      <c r="U546" s="252">
        <f t="shared" si="25"/>
        <v>44491</v>
      </c>
      <c r="V546" s="6"/>
      <c r="W546" s="580">
        <v>527340</v>
      </c>
      <c r="X546" s="581"/>
      <c r="Y546" s="44">
        <v>3.0000000000000001E-3</v>
      </c>
      <c r="Z546" s="581"/>
      <c r="AA546" s="582">
        <f t="shared" si="28"/>
        <v>7599</v>
      </c>
      <c r="AB546" s="581"/>
      <c r="AC546" s="583"/>
      <c r="AD546" s="251"/>
    </row>
    <row r="547" spans="15:30" x14ac:dyDescent="0.3">
      <c r="O547" s="98"/>
      <c r="T547" s="250"/>
      <c r="U547" s="252">
        <f t="shared" si="25"/>
        <v>44492</v>
      </c>
      <c r="V547" s="6"/>
      <c r="W547" s="580">
        <v>463140</v>
      </c>
      <c r="X547" s="581"/>
      <c r="Y547" s="44">
        <v>3.0000000000000001E-3</v>
      </c>
      <c r="Z547" s="581"/>
      <c r="AA547" s="582">
        <f t="shared" si="28"/>
        <v>64200</v>
      </c>
      <c r="AB547" s="581"/>
      <c r="AC547" s="583"/>
      <c r="AD547" s="251"/>
    </row>
    <row r="548" spans="15:30" x14ac:dyDescent="0.3">
      <c r="O548" s="98"/>
      <c r="T548" s="250"/>
      <c r="U548" s="573">
        <f t="shared" si="25"/>
        <v>44493</v>
      </c>
      <c r="V548" s="6"/>
      <c r="W548" s="580">
        <v>446500</v>
      </c>
      <c r="X548" s="581"/>
      <c r="Y548" s="44">
        <v>3.0000000000000001E-3</v>
      </c>
      <c r="Z548" s="581"/>
      <c r="AA548" s="582">
        <f t="shared" si="28"/>
        <v>16640</v>
      </c>
      <c r="AB548" s="581"/>
      <c r="AC548" s="583"/>
      <c r="AD548" s="251"/>
    </row>
    <row r="549" spans="15:30" x14ac:dyDescent="0.3">
      <c r="O549" s="98"/>
      <c r="T549" s="250"/>
      <c r="U549" s="252">
        <f t="shared" si="25"/>
        <v>44494</v>
      </c>
      <c r="V549" s="6"/>
      <c r="W549" s="580">
        <v>477258</v>
      </c>
      <c r="X549" s="581"/>
      <c r="Y549" s="44">
        <v>3.0000000000000001E-3</v>
      </c>
      <c r="Z549" s="581"/>
      <c r="AA549" s="582">
        <f t="shared" si="28"/>
        <v>-30758</v>
      </c>
      <c r="AB549" s="581"/>
      <c r="AC549" s="583"/>
      <c r="AD549" s="251"/>
    </row>
    <row r="550" spans="15:30" x14ac:dyDescent="0.3">
      <c r="O550" s="98"/>
      <c r="T550" s="250"/>
      <c r="U550" s="252">
        <f t="shared" si="25"/>
        <v>44495</v>
      </c>
      <c r="V550" s="6"/>
      <c r="W550" s="580">
        <v>493596</v>
      </c>
      <c r="X550" s="581"/>
      <c r="Y550" s="44">
        <v>3.0000000000000001E-3</v>
      </c>
      <c r="Z550" s="581"/>
      <c r="AA550" s="582">
        <f t="shared" si="28"/>
        <v>-16338</v>
      </c>
      <c r="AB550" s="581"/>
      <c r="AC550" s="583"/>
      <c r="AD550" s="251"/>
    </row>
    <row r="551" spans="15:30" x14ac:dyDescent="0.3">
      <c r="O551" s="98"/>
      <c r="T551" s="250"/>
      <c r="U551" s="252">
        <f t="shared" si="25"/>
        <v>44496</v>
      </c>
      <c r="V551" s="6"/>
      <c r="W551" s="580">
        <v>500538</v>
      </c>
      <c r="X551" s="581"/>
      <c r="Y551" s="44">
        <v>3.0000000000000001E-3</v>
      </c>
      <c r="Z551" s="581"/>
      <c r="AA551" s="582">
        <f t="shared" si="28"/>
        <v>-6942</v>
      </c>
      <c r="AB551" s="581"/>
      <c r="AC551" s="583"/>
      <c r="AD551" s="251"/>
    </row>
    <row r="552" spans="15:30" x14ac:dyDescent="0.3">
      <c r="O552" s="98"/>
      <c r="T552" s="250"/>
      <c r="U552" s="252">
        <f t="shared" si="25"/>
        <v>44497</v>
      </c>
      <c r="V552" s="6"/>
      <c r="W552" s="580">
        <v>498430</v>
      </c>
      <c r="X552" s="581"/>
      <c r="Y552" s="44">
        <v>3.0000000000000001E-3</v>
      </c>
      <c r="Z552" s="581"/>
      <c r="AA552" s="582">
        <f t="shared" si="28"/>
        <v>2108</v>
      </c>
      <c r="AB552" s="581"/>
      <c r="AC552" s="583"/>
      <c r="AD552" s="251"/>
    </row>
    <row r="553" spans="15:30" x14ac:dyDescent="0.3">
      <c r="O553" s="98"/>
      <c r="T553" s="250"/>
      <c r="U553" s="252">
        <f t="shared" si="25"/>
        <v>44498</v>
      </c>
      <c r="V553" s="6"/>
      <c r="W553" s="580">
        <v>497824</v>
      </c>
      <c r="X553" s="581"/>
      <c r="Y553" s="44">
        <v>3.0000000000000001E-3</v>
      </c>
      <c r="Z553" s="581"/>
      <c r="AA553" s="582">
        <f t="shared" si="28"/>
        <v>606</v>
      </c>
      <c r="AB553" s="581"/>
      <c r="AC553" s="583"/>
      <c r="AD553" s="251"/>
    </row>
    <row r="554" spans="15:30" x14ac:dyDescent="0.3">
      <c r="O554" s="98"/>
      <c r="T554" s="250"/>
      <c r="U554" s="252">
        <f t="shared" si="25"/>
        <v>44499</v>
      </c>
      <c r="V554" s="6"/>
      <c r="W554" s="580">
        <v>445959</v>
      </c>
      <c r="X554" s="581"/>
      <c r="Y554" s="44">
        <v>3.0000000000000001E-3</v>
      </c>
      <c r="Z554" s="581"/>
      <c r="AA554" s="582">
        <f t="shared" si="28"/>
        <v>51865</v>
      </c>
      <c r="AB554" s="581"/>
      <c r="AC554" s="583"/>
      <c r="AD554" s="251"/>
    </row>
    <row r="555" spans="15:30" x14ac:dyDescent="0.3">
      <c r="O555" s="98"/>
      <c r="T555" s="250"/>
      <c r="U555" s="573">
        <f t="shared" si="25"/>
        <v>44500</v>
      </c>
      <c r="V555" s="6"/>
      <c r="W555" s="580">
        <v>436885</v>
      </c>
      <c r="X555" s="581"/>
      <c r="Y555" s="44">
        <v>3.0000000000000001E-3</v>
      </c>
      <c r="Z555" s="581"/>
      <c r="AA555" s="582">
        <f t="shared" si="28"/>
        <v>9074</v>
      </c>
      <c r="AB555" s="581"/>
      <c r="AC555" s="583"/>
      <c r="AD555" s="251"/>
    </row>
    <row r="556" spans="15:30" x14ac:dyDescent="0.3">
      <c r="O556" s="98"/>
      <c r="T556" s="250"/>
      <c r="U556" s="252">
        <f t="shared" si="25"/>
        <v>44501</v>
      </c>
      <c r="V556" s="6"/>
      <c r="W556" s="580">
        <v>437866</v>
      </c>
      <c r="X556" s="581"/>
      <c r="Y556" s="44">
        <v>3.0000000000000001E-3</v>
      </c>
      <c r="Z556" s="581"/>
      <c r="AA556" s="582">
        <f t="shared" si="28"/>
        <v>-981</v>
      </c>
      <c r="AB556" s="581"/>
      <c r="AC556" s="583"/>
      <c r="AD556" s="251"/>
    </row>
    <row r="557" spans="15:30" x14ac:dyDescent="0.3">
      <c r="O557" s="98"/>
      <c r="T557" s="250"/>
      <c r="U557" s="252">
        <f t="shared" si="25"/>
        <v>44502</v>
      </c>
      <c r="V557" s="6"/>
      <c r="W557" s="580">
        <v>501312</v>
      </c>
      <c r="X557" s="581"/>
      <c r="Y557" s="44">
        <v>3.0000000000000001E-3</v>
      </c>
      <c r="Z557" s="581"/>
      <c r="AA557" s="582">
        <f t="shared" si="28"/>
        <v>-63446</v>
      </c>
      <c r="AB557" s="581"/>
      <c r="AC557" s="583"/>
      <c r="AD557" s="251"/>
    </row>
    <row r="558" spans="15:30" x14ac:dyDescent="0.3">
      <c r="O558" s="98"/>
      <c r="T558" s="250"/>
      <c r="U558" s="252">
        <f t="shared" si="25"/>
        <v>44503</v>
      </c>
      <c r="V558" s="6"/>
      <c r="W558" s="580">
        <v>431586</v>
      </c>
      <c r="X558" s="581"/>
      <c r="Y558" s="44">
        <v>3.0000000000000001E-3</v>
      </c>
      <c r="Z558" s="581"/>
      <c r="AA558" s="582">
        <f t="shared" si="28"/>
        <v>69726</v>
      </c>
      <c r="AB558" s="581"/>
      <c r="AC558" s="583"/>
      <c r="AD558" s="251"/>
    </row>
    <row r="559" spans="15:30" x14ac:dyDescent="0.3">
      <c r="O559" s="98"/>
      <c r="T559" s="250"/>
      <c r="U559" s="252">
        <f t="shared" si="25"/>
        <v>44504</v>
      </c>
      <c r="V559" s="6"/>
      <c r="W559" s="580">
        <v>509204</v>
      </c>
      <c r="X559" s="581"/>
      <c r="Y559" s="44">
        <v>3.0000000000000001E-3</v>
      </c>
      <c r="Z559" s="581"/>
      <c r="AA559" s="582">
        <f t="shared" si="28"/>
        <v>-77618</v>
      </c>
      <c r="AB559" s="581"/>
      <c r="AC559" s="583"/>
      <c r="AD559" s="251"/>
    </row>
    <row r="560" spans="15:30" x14ac:dyDescent="0.3">
      <c r="O560" s="98"/>
      <c r="T560" s="250"/>
      <c r="U560" s="252">
        <f t="shared" si="25"/>
        <v>44505</v>
      </c>
      <c r="V560" s="6"/>
      <c r="W560" s="580">
        <v>515364</v>
      </c>
      <c r="X560" s="581"/>
      <c r="Y560" s="44">
        <v>3.0000000000000001E-3</v>
      </c>
      <c r="Z560" s="581"/>
      <c r="AA560" s="582">
        <f t="shared" si="28"/>
        <v>-6160</v>
      </c>
      <c r="AB560" s="581"/>
      <c r="AC560" s="583"/>
      <c r="AD560" s="251"/>
    </row>
    <row r="561" spans="15:30" x14ac:dyDescent="0.3">
      <c r="O561" s="98"/>
      <c r="T561" s="250"/>
      <c r="U561" s="252">
        <f t="shared" si="25"/>
        <v>44506</v>
      </c>
      <c r="V561" s="6"/>
      <c r="W561" s="580">
        <v>547654</v>
      </c>
      <c r="X561" s="581"/>
      <c r="Y561" s="44">
        <v>3.0000000000000001E-3</v>
      </c>
      <c r="Z561" s="581"/>
      <c r="AA561" s="582">
        <f t="shared" si="28"/>
        <v>-32290</v>
      </c>
      <c r="AB561" s="581"/>
      <c r="AC561" s="583"/>
      <c r="AD561" s="251"/>
    </row>
    <row r="562" spans="15:30" x14ac:dyDescent="0.3">
      <c r="O562" s="98"/>
      <c r="T562" s="250"/>
      <c r="U562" s="573">
        <f t="shared" si="25"/>
        <v>44507</v>
      </c>
      <c r="V562" s="6"/>
      <c r="W562" s="580">
        <v>490231</v>
      </c>
      <c r="X562" s="581"/>
      <c r="Y562" s="44">
        <v>3.0000000000000001E-3</v>
      </c>
      <c r="Z562" s="581"/>
      <c r="AA562" s="582">
        <f t="shared" si="28"/>
        <v>57423</v>
      </c>
      <c r="AB562" s="581"/>
      <c r="AC562" s="583"/>
      <c r="AD562" s="251"/>
    </row>
    <row r="563" spans="15:30" x14ac:dyDescent="0.3">
      <c r="O563" s="98"/>
      <c r="T563" s="250"/>
      <c r="U563" s="252">
        <f t="shared" si="25"/>
        <v>44508</v>
      </c>
      <c r="V563" s="6"/>
      <c r="W563" s="580">
        <v>514258</v>
      </c>
      <c r="X563" s="581"/>
      <c r="Y563" s="44">
        <v>3.0000000000000001E-3</v>
      </c>
      <c r="Z563" s="581"/>
      <c r="AA563" s="582">
        <f t="shared" si="28"/>
        <v>-24027</v>
      </c>
      <c r="AB563" s="581"/>
      <c r="AC563" s="583"/>
      <c r="AD563" s="251"/>
    </row>
    <row r="564" spans="15:30" x14ac:dyDescent="0.3">
      <c r="O564" s="98"/>
      <c r="T564" s="250"/>
      <c r="U564" s="252">
        <f t="shared" si="25"/>
        <v>44509</v>
      </c>
      <c r="V564" s="6"/>
      <c r="W564" s="580">
        <v>586596</v>
      </c>
      <c r="X564" s="581"/>
      <c r="Y564" s="44">
        <v>3.0000000000000001E-3</v>
      </c>
      <c r="Z564" s="581"/>
      <c r="AA564" s="582">
        <f t="shared" ref="AA564:AA569" si="29">+W563-W564</f>
        <v>-72338</v>
      </c>
      <c r="AB564" s="581"/>
      <c r="AC564" s="583"/>
      <c r="AD564" s="251"/>
    </row>
    <row r="565" spans="15:30" x14ac:dyDescent="0.3">
      <c r="O565" s="98"/>
      <c r="T565" s="250"/>
      <c r="U565" s="252">
        <f t="shared" si="25"/>
        <v>44510</v>
      </c>
      <c r="V565" s="6"/>
      <c r="W565" s="580">
        <v>661221</v>
      </c>
      <c r="X565" s="581"/>
      <c r="Y565" s="44">
        <v>3.0000000000000001E-3</v>
      </c>
      <c r="Z565" s="581"/>
      <c r="AA565" s="582">
        <f t="shared" si="29"/>
        <v>-74625</v>
      </c>
      <c r="AB565" s="581"/>
      <c r="AC565" s="583"/>
      <c r="AD565" s="251"/>
    </row>
    <row r="566" spans="15:30" x14ac:dyDescent="0.3">
      <c r="O566" s="98"/>
      <c r="T566" s="250"/>
      <c r="U566" s="252">
        <f t="shared" si="25"/>
        <v>44511</v>
      </c>
      <c r="V566" s="6"/>
      <c r="W566" s="580">
        <v>650175</v>
      </c>
      <c r="X566" s="581"/>
      <c r="Y566" s="44">
        <v>3.0000000000000001E-3</v>
      </c>
      <c r="Z566" s="581"/>
      <c r="AA566" s="582">
        <f t="shared" si="29"/>
        <v>11046</v>
      </c>
      <c r="AB566" s="581"/>
      <c r="AC566" s="583"/>
      <c r="AD566" s="251"/>
    </row>
    <row r="567" spans="15:30" x14ac:dyDescent="0.3">
      <c r="O567" s="98"/>
      <c r="T567" s="250"/>
      <c r="U567" s="252">
        <f t="shared" si="25"/>
        <v>44512</v>
      </c>
      <c r="V567" s="6"/>
      <c r="W567" s="580">
        <v>663795</v>
      </c>
      <c r="X567" s="581"/>
      <c r="Y567" s="44">
        <v>3.0000000000000001E-3</v>
      </c>
      <c r="Z567" s="581"/>
      <c r="AA567" s="582">
        <f t="shared" si="29"/>
        <v>-13620</v>
      </c>
      <c r="AB567" s="581"/>
      <c r="AC567" s="583"/>
      <c r="AD567" s="251"/>
    </row>
    <row r="568" spans="15:30" x14ac:dyDescent="0.3">
      <c r="O568" s="98"/>
      <c r="T568" s="250"/>
      <c r="U568" s="252">
        <f t="shared" si="25"/>
        <v>44513</v>
      </c>
      <c r="V568" s="6"/>
      <c r="W568" s="580">
        <v>629324</v>
      </c>
      <c r="X568" s="581"/>
      <c r="Y568" s="44">
        <v>3.0000000000000001E-3</v>
      </c>
      <c r="Z568" s="581"/>
      <c r="AA568" s="582">
        <f t="shared" si="29"/>
        <v>34471</v>
      </c>
      <c r="AB568" s="581"/>
      <c r="AC568" s="583"/>
      <c r="AD568" s="251"/>
    </row>
    <row r="569" spans="15:30" x14ac:dyDescent="0.3">
      <c r="O569" s="98"/>
      <c r="T569" s="250"/>
      <c r="U569" s="573">
        <f t="shared" si="25"/>
        <v>44514</v>
      </c>
      <c r="V569" s="6"/>
      <c r="W569" s="580">
        <v>584931</v>
      </c>
      <c r="X569" s="581"/>
      <c r="Y569" s="44">
        <v>3.0000000000000001E-3</v>
      </c>
      <c r="Z569" s="581"/>
      <c r="AA569" s="582">
        <f t="shared" si="29"/>
        <v>44393</v>
      </c>
      <c r="AB569" s="581"/>
      <c r="AC569" s="583"/>
      <c r="AD569" s="251"/>
    </row>
    <row r="570" spans="15:30" x14ac:dyDescent="0.3">
      <c r="O570" s="98"/>
      <c r="T570" s="250"/>
      <c r="U570" s="252">
        <f t="shared" si="25"/>
        <v>44515</v>
      </c>
      <c r="V570" s="6"/>
      <c r="W570" s="580">
        <v>570901</v>
      </c>
      <c r="X570" s="581"/>
      <c r="Y570" s="44">
        <v>3.0000000000000001E-3</v>
      </c>
      <c r="Z570" s="581"/>
      <c r="AA570" s="582">
        <f t="shared" ref="AA570:AA601" si="30">+W569-W570</f>
        <v>14030</v>
      </c>
      <c r="AB570" s="581"/>
      <c r="AC570" s="583"/>
      <c r="AD570" s="251"/>
    </row>
    <row r="571" spans="15:30" x14ac:dyDescent="0.3">
      <c r="O571" s="98"/>
      <c r="T571" s="250"/>
      <c r="U571" s="252">
        <f t="shared" si="25"/>
        <v>44516</v>
      </c>
      <c r="V571" s="6"/>
      <c r="W571" s="580">
        <v>636193</v>
      </c>
      <c r="X571" s="581"/>
      <c r="Y571" s="44">
        <v>3.0000000000000001E-3</v>
      </c>
      <c r="Z571" s="581"/>
      <c r="AA571" s="582">
        <f t="shared" si="30"/>
        <v>-65292</v>
      </c>
      <c r="AB571" s="581"/>
      <c r="AC571" s="583"/>
      <c r="AD571" s="251"/>
    </row>
    <row r="572" spans="15:30" x14ac:dyDescent="0.3">
      <c r="O572" s="98"/>
      <c r="T572" s="250"/>
      <c r="U572" s="252">
        <f t="shared" si="25"/>
        <v>44517</v>
      </c>
      <c r="V572" s="6"/>
      <c r="W572" s="580">
        <v>717874</v>
      </c>
      <c r="X572" s="581"/>
      <c r="Y572" s="44">
        <v>3.0000000000000001E-3</v>
      </c>
      <c r="Z572" s="581"/>
      <c r="AA572" s="582">
        <f t="shared" si="30"/>
        <v>-81681</v>
      </c>
      <c r="AB572" s="581"/>
      <c r="AC572" s="583"/>
      <c r="AD572" s="251"/>
    </row>
    <row r="573" spans="15:30" x14ac:dyDescent="0.3">
      <c r="O573" s="98"/>
      <c r="T573" s="250"/>
      <c r="U573" s="252">
        <f t="shared" si="25"/>
        <v>44518</v>
      </c>
      <c r="V573" s="6"/>
      <c r="W573" s="580">
        <v>762170</v>
      </c>
      <c r="X573" s="581"/>
      <c r="Y573" s="44">
        <v>3.0000000000000001E-3</v>
      </c>
      <c r="Z573" s="581"/>
      <c r="AA573" s="582">
        <f t="shared" si="30"/>
        <v>-44296</v>
      </c>
      <c r="AB573" s="581"/>
      <c r="AC573" s="583"/>
      <c r="AD573" s="251"/>
    </row>
    <row r="574" spans="15:30" x14ac:dyDescent="0.3">
      <c r="O574" s="98"/>
      <c r="T574" s="250"/>
      <c r="U574" s="252">
        <f t="shared" si="25"/>
        <v>44519</v>
      </c>
      <c r="V574" s="6"/>
      <c r="W574" s="580">
        <v>801855</v>
      </c>
      <c r="X574" s="581"/>
      <c r="Y574" s="44">
        <v>3.0000000000000001E-3</v>
      </c>
      <c r="Z574" s="581"/>
      <c r="AA574" s="582">
        <f t="shared" si="30"/>
        <v>-39685</v>
      </c>
      <c r="AB574" s="581"/>
      <c r="AC574" s="583"/>
      <c r="AD574" s="251"/>
    </row>
    <row r="575" spans="15:30" x14ac:dyDescent="0.3">
      <c r="O575" s="98"/>
      <c r="T575" s="250"/>
      <c r="U575" s="252">
        <f t="shared" si="25"/>
        <v>44520</v>
      </c>
      <c r="V575" s="6"/>
      <c r="W575" s="580">
        <v>744169</v>
      </c>
      <c r="X575" s="581"/>
      <c r="Y575" s="44">
        <v>3.0000000000000001E-3</v>
      </c>
      <c r="Z575" s="581"/>
      <c r="AA575" s="582">
        <f t="shared" si="30"/>
        <v>57686</v>
      </c>
      <c r="AB575" s="581"/>
      <c r="AC575" s="583"/>
      <c r="AD575" s="251"/>
    </row>
    <row r="576" spans="15:30" x14ac:dyDescent="0.3">
      <c r="O576" s="98"/>
      <c r="T576" s="250"/>
      <c r="U576" s="573">
        <f t="shared" si="25"/>
        <v>44521</v>
      </c>
      <c r="V576" s="6"/>
      <c r="W576" s="580">
        <v>737712</v>
      </c>
      <c r="X576" s="581"/>
      <c r="Y576" s="44">
        <v>3.0000000000000001E-3</v>
      </c>
      <c r="Z576" s="581"/>
      <c r="AA576" s="582">
        <f t="shared" si="30"/>
        <v>6457</v>
      </c>
      <c r="AB576" s="581"/>
      <c r="AC576" s="583"/>
      <c r="AD576" s="251"/>
    </row>
    <row r="577" spans="15:30" x14ac:dyDescent="0.3">
      <c r="O577" s="98"/>
      <c r="T577" s="250"/>
      <c r="U577" s="252">
        <f t="shared" si="25"/>
        <v>44522</v>
      </c>
      <c r="V577" s="6"/>
      <c r="W577" s="580">
        <v>721821</v>
      </c>
      <c r="X577" s="581"/>
      <c r="Y577" s="44">
        <v>3.0000000000000001E-3</v>
      </c>
      <c r="Z577" s="581"/>
      <c r="AA577" s="582">
        <f t="shared" si="30"/>
        <v>15891</v>
      </c>
      <c r="AB577" s="581"/>
      <c r="AC577" s="583"/>
      <c r="AD577" s="251"/>
    </row>
    <row r="578" spans="15:30" x14ac:dyDescent="0.3">
      <c r="O578" s="98"/>
      <c r="T578" s="250"/>
      <c r="U578" s="252">
        <f t="shared" si="25"/>
        <v>44523</v>
      </c>
      <c r="V578" s="6"/>
      <c r="W578" s="580">
        <v>766972</v>
      </c>
      <c r="X578" s="581"/>
      <c r="Y578" s="44">
        <v>3.0000000000000001E-3</v>
      </c>
      <c r="Z578" s="581"/>
      <c r="AA578" s="582">
        <f t="shared" si="30"/>
        <v>-45151</v>
      </c>
      <c r="AB578" s="581"/>
      <c r="AC578" s="583"/>
      <c r="AD578" s="251"/>
    </row>
    <row r="579" spans="15:30" x14ac:dyDescent="0.3">
      <c r="O579" s="98"/>
      <c r="T579" s="250"/>
      <c r="U579" s="252">
        <f t="shared" si="25"/>
        <v>44524</v>
      </c>
      <c r="V579" s="6"/>
      <c r="W579" s="580">
        <v>835192</v>
      </c>
      <c r="X579" s="581"/>
      <c r="Y579" s="44">
        <v>3.0000000000000001E-3</v>
      </c>
      <c r="Z579" s="581"/>
      <c r="AA579" s="582">
        <f t="shared" si="30"/>
        <v>-68220</v>
      </c>
      <c r="AB579" s="581"/>
      <c r="AC579" s="583"/>
      <c r="AD579" s="251"/>
    </row>
    <row r="580" spans="15:30" x14ac:dyDescent="0.3">
      <c r="O580" s="98"/>
      <c r="T580" s="250"/>
      <c r="U580" s="252">
        <f t="shared" si="25"/>
        <v>44525</v>
      </c>
      <c r="V580" s="6"/>
      <c r="W580" s="580">
        <v>804689</v>
      </c>
      <c r="X580" s="581"/>
      <c r="Y580" s="44">
        <v>3.0000000000000001E-3</v>
      </c>
      <c r="Z580" s="581"/>
      <c r="AA580" s="582">
        <f t="shared" si="30"/>
        <v>30503</v>
      </c>
      <c r="AB580" s="581"/>
      <c r="AC580" s="583"/>
      <c r="AD580" s="251"/>
    </row>
    <row r="581" spans="15:30" x14ac:dyDescent="0.3">
      <c r="O581" s="98"/>
      <c r="T581" s="250"/>
      <c r="U581" s="252">
        <f t="shared" si="25"/>
        <v>44526</v>
      </c>
      <c r="V581" s="6"/>
      <c r="W581" s="580">
        <v>744792</v>
      </c>
      <c r="X581" s="581"/>
      <c r="Y581" s="44">
        <v>3.0000000000000001E-3</v>
      </c>
      <c r="Z581" s="581"/>
      <c r="AA581" s="582">
        <f t="shared" si="30"/>
        <v>59897</v>
      </c>
      <c r="AB581" s="581"/>
      <c r="AC581" s="583"/>
      <c r="AD581" s="251"/>
    </row>
    <row r="582" spans="15:30" x14ac:dyDescent="0.3">
      <c r="O582" s="98"/>
      <c r="T582" s="250"/>
      <c r="U582" s="252">
        <f t="shared" si="25"/>
        <v>44527</v>
      </c>
      <c r="V582" s="6"/>
      <c r="W582" s="580">
        <v>662832</v>
      </c>
      <c r="X582" s="581"/>
      <c r="Y582" s="44">
        <v>3.0000000000000001E-3</v>
      </c>
      <c r="Z582" s="581"/>
      <c r="AA582" s="582">
        <f t="shared" si="30"/>
        <v>81960</v>
      </c>
      <c r="AB582" s="581"/>
      <c r="AC582" s="583"/>
      <c r="AD582" s="251"/>
    </row>
    <row r="583" spans="15:30" x14ac:dyDescent="0.3">
      <c r="O583" s="98"/>
      <c r="T583" s="250"/>
      <c r="U583" s="573">
        <f t="shared" si="25"/>
        <v>44528</v>
      </c>
      <c r="V583" s="6"/>
      <c r="W583" s="580">
        <v>584622</v>
      </c>
      <c r="X583" s="581"/>
      <c r="Y583" s="44">
        <v>3.0000000000000001E-3</v>
      </c>
      <c r="Z583" s="581"/>
      <c r="AA583" s="582">
        <f t="shared" si="30"/>
        <v>78210</v>
      </c>
      <c r="AB583" s="581"/>
      <c r="AC583" s="583"/>
      <c r="AD583" s="251"/>
    </row>
    <row r="584" spans="15:30" x14ac:dyDescent="0.3">
      <c r="O584" s="98"/>
      <c r="T584" s="250"/>
      <c r="U584" s="252">
        <f>+U583+1</f>
        <v>44529</v>
      </c>
      <c r="V584" s="6"/>
      <c r="W584" s="580">
        <v>580331</v>
      </c>
      <c r="X584" s="581"/>
      <c r="Y584" s="44">
        <v>3.0000000000000001E-3</v>
      </c>
      <c r="Z584" s="581"/>
      <c r="AA584" s="582">
        <f t="shared" si="30"/>
        <v>4291</v>
      </c>
      <c r="AB584" s="581"/>
      <c r="AC584" s="583"/>
      <c r="AD584" s="251"/>
    </row>
    <row r="585" spans="15:30" x14ac:dyDescent="0.3">
      <c r="O585" s="98"/>
      <c r="T585" s="250"/>
      <c r="U585" s="252">
        <f t="shared" ref="U585:U646" si="31">+U584+1</f>
        <v>44530</v>
      </c>
      <c r="V585" s="6"/>
      <c r="W585" s="580">
        <v>664156</v>
      </c>
      <c r="X585" s="581"/>
      <c r="Y585" s="44">
        <v>3.0000000000000001E-3</v>
      </c>
      <c r="Z585" s="581"/>
      <c r="AA585" s="582">
        <f t="shared" si="30"/>
        <v>-83825</v>
      </c>
      <c r="AB585" s="581"/>
      <c r="AC585" s="583"/>
      <c r="AD585" s="251"/>
    </row>
    <row r="586" spans="15:30" x14ac:dyDescent="0.3">
      <c r="O586" s="98"/>
      <c r="T586" s="250"/>
      <c r="U586" s="252">
        <f t="shared" si="31"/>
        <v>44531</v>
      </c>
      <c r="V586" s="6"/>
      <c r="W586" s="580">
        <v>758570</v>
      </c>
      <c r="X586" s="581"/>
      <c r="Y586" s="44">
        <v>3.0000000000000001E-3</v>
      </c>
      <c r="Z586" s="581"/>
      <c r="AA586" s="582">
        <f t="shared" si="30"/>
        <v>-94414</v>
      </c>
      <c r="AB586" s="581"/>
      <c r="AC586" s="583"/>
      <c r="AD586" s="251"/>
    </row>
    <row r="587" spans="15:30" x14ac:dyDescent="0.3">
      <c r="O587" s="98"/>
      <c r="T587" s="250"/>
      <c r="U587" s="252">
        <f t="shared" si="31"/>
        <v>44532</v>
      </c>
      <c r="V587" s="6"/>
      <c r="W587" s="580">
        <v>831158</v>
      </c>
      <c r="X587" s="581"/>
      <c r="Y587" s="44">
        <v>3.0000000000000001E-3</v>
      </c>
      <c r="Z587" s="581"/>
      <c r="AA587" s="582">
        <f t="shared" si="30"/>
        <v>-72588</v>
      </c>
      <c r="AB587" s="581"/>
      <c r="AC587" s="583"/>
      <c r="AD587" s="251"/>
    </row>
    <row r="588" spans="15:30" x14ac:dyDescent="0.3">
      <c r="O588" s="98"/>
      <c r="T588" s="250"/>
      <c r="U588" s="252">
        <f t="shared" si="31"/>
        <v>44533</v>
      </c>
      <c r="V588" s="6"/>
      <c r="W588" s="580">
        <v>892815</v>
      </c>
      <c r="X588" s="581"/>
      <c r="Y588" s="44">
        <v>3.0000000000000001E-3</v>
      </c>
      <c r="Z588" s="581"/>
      <c r="AA588" s="582">
        <f t="shared" si="30"/>
        <v>-61657</v>
      </c>
      <c r="AB588" s="581"/>
      <c r="AC588" s="583"/>
      <c r="AD588" s="251"/>
    </row>
    <row r="589" spans="15:30" x14ac:dyDescent="0.3">
      <c r="O589" s="98"/>
      <c r="T589" s="250"/>
      <c r="U589" s="252">
        <f t="shared" si="31"/>
        <v>44534</v>
      </c>
      <c r="V589" s="6"/>
      <c r="W589" s="580">
        <v>844749</v>
      </c>
      <c r="X589" s="581"/>
      <c r="Y589" s="44">
        <v>3.0000000000000001E-3</v>
      </c>
      <c r="Z589" s="581"/>
      <c r="AA589" s="582">
        <f t="shared" si="30"/>
        <v>48066</v>
      </c>
      <c r="AB589" s="581"/>
      <c r="AC589" s="583"/>
      <c r="AD589" s="251"/>
    </row>
    <row r="590" spans="15:30" x14ac:dyDescent="0.3">
      <c r="O590" s="98"/>
      <c r="T590" s="250"/>
      <c r="U590" s="573">
        <f t="shared" si="31"/>
        <v>44535</v>
      </c>
      <c r="V590" s="6"/>
      <c r="W590" s="580">
        <v>839561</v>
      </c>
      <c r="X590" s="581"/>
      <c r="Y590" s="44">
        <v>3.0000000000000001E-3</v>
      </c>
      <c r="Z590" s="581"/>
      <c r="AA590" s="582">
        <f t="shared" si="30"/>
        <v>5188</v>
      </c>
      <c r="AB590" s="581"/>
      <c r="AC590" s="583"/>
      <c r="AD590" s="251"/>
    </row>
    <row r="591" spans="15:30" x14ac:dyDescent="0.3">
      <c r="O591" s="98"/>
      <c r="T591" s="250"/>
      <c r="U591" s="252">
        <f t="shared" si="31"/>
        <v>44536</v>
      </c>
      <c r="V591" s="6"/>
      <c r="W591" s="580">
        <v>894056</v>
      </c>
      <c r="X591" s="581"/>
      <c r="Y591" s="44">
        <v>3.0000000000000001E-3</v>
      </c>
      <c r="Z591" s="581"/>
      <c r="AA591" s="582">
        <f t="shared" si="30"/>
        <v>-54495</v>
      </c>
      <c r="AB591" s="581"/>
      <c r="AC591" s="583"/>
      <c r="AD591" s="251"/>
    </row>
    <row r="592" spans="15:30" x14ac:dyDescent="0.3">
      <c r="O592" s="98"/>
      <c r="T592" s="250"/>
      <c r="U592" s="252">
        <f t="shared" si="31"/>
        <v>44537</v>
      </c>
      <c r="V592" s="6"/>
      <c r="W592" s="580">
        <v>979466</v>
      </c>
      <c r="X592" s="581"/>
      <c r="Y592" s="44">
        <v>3.0000000000000001E-3</v>
      </c>
      <c r="Z592" s="581"/>
      <c r="AA592" s="582">
        <f t="shared" si="30"/>
        <v>-85410</v>
      </c>
      <c r="AB592" s="581"/>
      <c r="AC592" s="583"/>
      <c r="AD592" s="251"/>
    </row>
    <row r="593" spans="15:30" x14ac:dyDescent="0.3">
      <c r="O593" s="98"/>
      <c r="T593" s="250"/>
      <c r="U593" s="252">
        <f t="shared" si="31"/>
        <v>44538</v>
      </c>
      <c r="V593" s="6"/>
      <c r="W593" s="580">
        <v>1086138</v>
      </c>
      <c r="X593" s="581"/>
      <c r="Y593" s="44">
        <v>3.0000000000000001E-3</v>
      </c>
      <c r="Z593" s="581"/>
      <c r="AA593" s="582">
        <f t="shared" si="30"/>
        <v>-106672</v>
      </c>
      <c r="AB593" s="581"/>
      <c r="AC593" s="583"/>
      <c r="AD593" s="251"/>
    </row>
    <row r="594" spans="15:30" x14ac:dyDescent="0.3">
      <c r="O594" s="98"/>
      <c r="T594" s="250"/>
      <c r="U594" s="252">
        <f t="shared" si="31"/>
        <v>44539</v>
      </c>
      <c r="V594" s="6"/>
      <c r="W594" s="580">
        <v>1090330</v>
      </c>
      <c r="X594" s="581"/>
      <c r="Y594" s="44">
        <v>3.0000000000000001E-3</v>
      </c>
      <c r="Z594" s="581"/>
      <c r="AA594" s="582">
        <f t="shared" si="30"/>
        <v>-4192</v>
      </c>
      <c r="AB594" s="581"/>
      <c r="AC594" s="583"/>
      <c r="AD594" s="251"/>
    </row>
    <row r="595" spans="15:30" x14ac:dyDescent="0.3">
      <c r="O595" s="98"/>
      <c r="T595" s="250"/>
      <c r="U595" s="252">
        <f t="shared" si="31"/>
        <v>44540</v>
      </c>
      <c r="V595" s="6"/>
      <c r="W595" s="580">
        <v>1106903</v>
      </c>
      <c r="X595" s="581"/>
      <c r="Y595" s="44">
        <v>3.0000000000000001E-3</v>
      </c>
      <c r="Z595" s="581"/>
      <c r="AA595" s="582">
        <f t="shared" si="30"/>
        <v>-16573</v>
      </c>
      <c r="AB595" s="581"/>
      <c r="AC595" s="583"/>
      <c r="AD595" s="251"/>
    </row>
    <row r="596" spans="15:30" x14ac:dyDescent="0.3">
      <c r="O596" s="98"/>
      <c r="T596" s="250"/>
      <c r="U596" s="252">
        <f t="shared" si="31"/>
        <v>44541</v>
      </c>
      <c r="V596" s="6"/>
      <c r="W596" s="580">
        <v>1032953</v>
      </c>
      <c r="X596" s="581"/>
      <c r="Y596" s="44">
        <v>3.0000000000000001E-3</v>
      </c>
      <c r="Z596" s="581"/>
      <c r="AA596" s="582">
        <f t="shared" si="30"/>
        <v>73950</v>
      </c>
      <c r="AB596" s="581"/>
      <c r="AC596" s="583"/>
      <c r="AD596" s="251"/>
    </row>
    <row r="597" spans="15:30" x14ac:dyDescent="0.3">
      <c r="O597" s="98"/>
      <c r="T597" s="250"/>
      <c r="U597" s="573">
        <f t="shared" si="31"/>
        <v>44542</v>
      </c>
      <c r="V597" s="6"/>
      <c r="W597" s="580">
        <v>925191</v>
      </c>
      <c r="X597" s="581"/>
      <c r="Y597" s="44">
        <v>3.0000000000000001E-3</v>
      </c>
      <c r="Z597" s="581"/>
      <c r="AA597" s="582">
        <f t="shared" si="30"/>
        <v>107762</v>
      </c>
      <c r="AB597" s="581"/>
      <c r="AC597" s="583"/>
      <c r="AD597" s="251"/>
    </row>
    <row r="598" spans="15:30" x14ac:dyDescent="0.3">
      <c r="O598" s="98"/>
      <c r="T598" s="250"/>
      <c r="U598" s="252">
        <f t="shared" si="31"/>
        <v>44543</v>
      </c>
      <c r="V598" s="6"/>
      <c r="W598" s="580">
        <v>873399</v>
      </c>
      <c r="X598" s="581"/>
      <c r="Y598" s="44">
        <v>3.0000000000000001E-3</v>
      </c>
      <c r="Z598" s="581"/>
      <c r="AA598" s="582">
        <f t="shared" si="30"/>
        <v>51792</v>
      </c>
      <c r="AB598" s="581"/>
      <c r="AC598" s="583"/>
      <c r="AD598" s="251"/>
    </row>
    <row r="599" spans="15:30" x14ac:dyDescent="0.3">
      <c r="O599" s="98"/>
      <c r="T599" s="250"/>
      <c r="U599" s="252">
        <f t="shared" si="31"/>
        <v>44544</v>
      </c>
      <c r="V599" s="6"/>
      <c r="W599" s="580">
        <v>900000</v>
      </c>
      <c r="X599" s="581"/>
      <c r="Y599" s="44">
        <v>3.0000000000000001E-3</v>
      </c>
      <c r="Z599" s="581"/>
      <c r="AA599" s="582">
        <f t="shared" si="30"/>
        <v>-26601</v>
      </c>
      <c r="AB599" s="581"/>
      <c r="AC599" s="583"/>
      <c r="AD599" s="251"/>
    </row>
    <row r="600" spans="15:30" x14ac:dyDescent="0.3">
      <c r="O600" s="98"/>
      <c r="T600" s="250"/>
      <c r="U600" s="252">
        <f t="shared" si="31"/>
        <v>44545</v>
      </c>
      <c r="V600" s="6"/>
      <c r="W600" s="580">
        <v>1027004</v>
      </c>
      <c r="X600" s="581"/>
      <c r="Y600" s="44">
        <v>3.0000000000000001E-3</v>
      </c>
      <c r="Z600" s="581"/>
      <c r="AA600" s="582">
        <f t="shared" si="30"/>
        <v>-127004</v>
      </c>
      <c r="AB600" s="581"/>
      <c r="AC600" s="583"/>
      <c r="AD600" s="251"/>
    </row>
    <row r="601" spans="15:30" x14ac:dyDescent="0.3">
      <c r="O601" s="98"/>
      <c r="T601" s="250"/>
      <c r="U601" s="252">
        <f t="shared" si="31"/>
        <v>44546</v>
      </c>
      <c r="V601" s="6"/>
      <c r="W601" s="580">
        <v>1090806</v>
      </c>
      <c r="X601" s="581"/>
      <c r="Y601" s="44">
        <v>3.0000000000000001E-3</v>
      </c>
      <c r="Z601" s="581"/>
      <c r="AA601" s="582">
        <f t="shared" si="30"/>
        <v>-63802</v>
      </c>
      <c r="AB601" s="581"/>
      <c r="AC601" s="583"/>
      <c r="AD601" s="251"/>
    </row>
    <row r="602" spans="15:30" x14ac:dyDescent="0.3">
      <c r="O602" s="98"/>
      <c r="T602" s="250"/>
      <c r="U602" s="252">
        <f t="shared" si="31"/>
        <v>44547</v>
      </c>
      <c r="V602" s="6"/>
      <c r="W602" s="580">
        <v>1147014</v>
      </c>
      <c r="X602" s="581"/>
      <c r="Y602" s="44">
        <v>3.0000000000000001E-3</v>
      </c>
      <c r="Z602" s="581"/>
      <c r="AA602" s="582">
        <f t="shared" ref="AA602:AA632" si="32">+W601-W602</f>
        <v>-56208</v>
      </c>
      <c r="AB602" s="581"/>
      <c r="AC602" s="583"/>
      <c r="AD602" s="251"/>
    </row>
    <row r="603" spans="15:30" x14ac:dyDescent="0.3">
      <c r="O603" s="98"/>
      <c r="T603" s="250"/>
      <c r="U603" s="252">
        <f t="shared" si="31"/>
        <v>44548</v>
      </c>
      <c r="V603" s="6"/>
      <c r="W603" s="580">
        <v>1105581</v>
      </c>
      <c r="X603" s="581"/>
      <c r="Y603" s="44">
        <v>3.0000000000000001E-3</v>
      </c>
      <c r="Z603" s="581"/>
      <c r="AA603" s="582">
        <f t="shared" si="32"/>
        <v>41433</v>
      </c>
      <c r="AB603" s="581"/>
      <c r="AC603" s="583"/>
      <c r="AD603" s="251"/>
    </row>
    <row r="604" spans="15:30" x14ac:dyDescent="0.3">
      <c r="O604" s="98"/>
      <c r="T604" s="250"/>
      <c r="U604" s="573">
        <f t="shared" si="31"/>
        <v>44549</v>
      </c>
      <c r="V604" s="6"/>
      <c r="W604" s="580">
        <v>1061454</v>
      </c>
      <c r="X604" s="581"/>
      <c r="Y604" s="44">
        <v>3.0000000000000001E-3</v>
      </c>
      <c r="Z604" s="581"/>
      <c r="AA604" s="582">
        <f t="shared" si="32"/>
        <v>44127</v>
      </c>
      <c r="AB604" s="581"/>
      <c r="AC604" s="583"/>
      <c r="AD604" s="251"/>
    </row>
    <row r="605" spans="15:30" x14ac:dyDescent="0.3">
      <c r="O605" s="98"/>
      <c r="T605" s="250"/>
      <c r="U605" s="252">
        <f t="shared" si="31"/>
        <v>44550</v>
      </c>
      <c r="V605" s="6"/>
      <c r="W605" s="580">
        <v>1068234</v>
      </c>
      <c r="X605" s="581"/>
      <c r="Y605" s="44">
        <v>3.0000000000000001E-3</v>
      </c>
      <c r="Z605" s="581"/>
      <c r="AA605" s="582">
        <f t="shared" si="32"/>
        <v>-6780</v>
      </c>
      <c r="AB605" s="581"/>
      <c r="AC605" s="583"/>
      <c r="AD605" s="251"/>
    </row>
    <row r="606" spans="15:30" x14ac:dyDescent="0.3">
      <c r="O606" s="98"/>
      <c r="T606" s="250"/>
      <c r="U606" s="252">
        <f t="shared" si="31"/>
        <v>44551</v>
      </c>
      <c r="V606" s="6"/>
      <c r="W606" s="580">
        <v>1011092</v>
      </c>
      <c r="X606" s="581"/>
      <c r="Y606" s="44">
        <v>3.0000000000000001E-3</v>
      </c>
      <c r="Z606" s="581"/>
      <c r="AA606" s="582">
        <f t="shared" si="32"/>
        <v>57142</v>
      </c>
      <c r="AB606" s="581"/>
      <c r="AC606" s="583"/>
      <c r="AD606" s="251"/>
    </row>
    <row r="607" spans="15:30" x14ac:dyDescent="0.3">
      <c r="O607" s="98"/>
      <c r="T607" s="250"/>
      <c r="U607" s="252">
        <f t="shared" si="31"/>
        <v>44552</v>
      </c>
      <c r="V607" s="6"/>
      <c r="W607" s="580">
        <v>1398003</v>
      </c>
      <c r="X607" s="581"/>
      <c r="Y607" s="44">
        <v>3.0000000000000001E-3</v>
      </c>
      <c r="Z607" s="581"/>
      <c r="AA607" s="582">
        <f t="shared" si="32"/>
        <v>-386911</v>
      </c>
      <c r="AB607" s="581"/>
      <c r="AC607" s="583"/>
      <c r="AD607" s="251"/>
    </row>
    <row r="608" spans="15:30" x14ac:dyDescent="0.3">
      <c r="O608" s="98"/>
      <c r="T608" s="250"/>
      <c r="U608" s="252">
        <f t="shared" si="31"/>
        <v>44553</v>
      </c>
      <c r="V608" s="6"/>
      <c r="W608" s="580">
        <v>1569870</v>
      </c>
      <c r="X608" s="581"/>
      <c r="Y608" s="44">
        <v>3.0000000000000001E-3</v>
      </c>
      <c r="Z608" s="581"/>
      <c r="AA608" s="582">
        <f t="shared" si="32"/>
        <v>-171867</v>
      </c>
      <c r="AB608" s="581"/>
      <c r="AC608" s="583"/>
      <c r="AD608" s="251"/>
    </row>
    <row r="609" spans="15:30" x14ac:dyDescent="0.3">
      <c r="O609" s="98"/>
      <c r="T609" s="250"/>
      <c r="U609" s="252">
        <f t="shared" si="31"/>
        <v>44554</v>
      </c>
      <c r="V609" s="6"/>
      <c r="W609" s="580">
        <v>1677685</v>
      </c>
      <c r="X609" s="581"/>
      <c r="Y609" s="44">
        <v>3.0000000000000001E-3</v>
      </c>
      <c r="Z609" s="581"/>
      <c r="AA609" s="582">
        <f t="shared" si="32"/>
        <v>-107815</v>
      </c>
      <c r="AB609" s="581"/>
      <c r="AC609" s="583"/>
      <c r="AD609" s="251"/>
    </row>
    <row r="610" spans="15:30" x14ac:dyDescent="0.3">
      <c r="O610" s="98"/>
      <c r="T610" s="250"/>
      <c r="U610" s="252">
        <f t="shared" si="31"/>
        <v>44555</v>
      </c>
      <c r="V610" s="6"/>
      <c r="W610" s="580">
        <v>1662279</v>
      </c>
      <c r="X610" s="581"/>
      <c r="Y610" s="44">
        <v>3.0000000000000001E-3</v>
      </c>
      <c r="Z610" s="581"/>
      <c r="AA610" s="582">
        <f t="shared" si="32"/>
        <v>15406</v>
      </c>
      <c r="AB610" s="581"/>
      <c r="AC610" s="583"/>
      <c r="AD610" s="251"/>
    </row>
    <row r="611" spans="15:30" x14ac:dyDescent="0.3">
      <c r="O611" s="98"/>
      <c r="T611" s="250"/>
      <c r="U611" s="573">
        <f t="shared" si="31"/>
        <v>44556</v>
      </c>
      <c r="V611" s="6"/>
      <c r="W611" s="580">
        <v>1602963</v>
      </c>
      <c r="X611" s="581"/>
      <c r="Y611" s="44">
        <v>3.0000000000000001E-3</v>
      </c>
      <c r="Z611" s="581"/>
      <c r="AA611" s="582">
        <f t="shared" si="32"/>
        <v>59316</v>
      </c>
      <c r="AB611" s="581"/>
      <c r="AC611" s="583"/>
      <c r="AD611" s="251"/>
    </row>
    <row r="612" spans="15:30" x14ac:dyDescent="0.3">
      <c r="O612" s="98"/>
      <c r="T612" s="250"/>
      <c r="U612" s="252">
        <f t="shared" si="31"/>
        <v>44557</v>
      </c>
      <c r="V612" s="6"/>
      <c r="W612" s="580">
        <v>1668536</v>
      </c>
      <c r="X612" s="581"/>
      <c r="Y612" s="44">
        <v>3.0000000000000001E-3</v>
      </c>
      <c r="Z612" s="581"/>
      <c r="AA612" s="582">
        <f t="shared" si="32"/>
        <v>-65573</v>
      </c>
      <c r="AB612" s="581"/>
      <c r="AC612" s="583"/>
      <c r="AD612" s="251"/>
    </row>
    <row r="613" spans="15:30" x14ac:dyDescent="0.3">
      <c r="O613" s="98"/>
      <c r="T613" s="250"/>
      <c r="U613" s="252">
        <f t="shared" si="31"/>
        <v>44558</v>
      </c>
      <c r="V613" s="6"/>
      <c r="W613" s="580">
        <v>1897687</v>
      </c>
      <c r="X613" s="581"/>
      <c r="Y613" s="44">
        <v>3.0000000000000001E-3</v>
      </c>
      <c r="Z613" s="581"/>
      <c r="AA613" s="582">
        <f t="shared" si="32"/>
        <v>-229151</v>
      </c>
      <c r="AB613" s="581"/>
      <c r="AC613" s="583"/>
      <c r="AD613" s="251"/>
    </row>
    <row r="614" spans="15:30" x14ac:dyDescent="0.3">
      <c r="O614" s="98"/>
      <c r="T614" s="250"/>
      <c r="U614" s="252">
        <f t="shared" si="31"/>
        <v>44559</v>
      </c>
      <c r="V614" s="6"/>
      <c r="W614" s="580">
        <v>2306844</v>
      </c>
      <c r="X614" s="581"/>
      <c r="Y614" s="44">
        <v>3.0000000000000001E-3</v>
      </c>
      <c r="Z614" s="581"/>
      <c r="AA614" s="582">
        <f t="shared" si="32"/>
        <v>-409157</v>
      </c>
      <c r="AB614" s="581"/>
      <c r="AC614" s="583"/>
      <c r="AD614" s="251"/>
    </row>
    <row r="615" spans="15:30" x14ac:dyDescent="0.3">
      <c r="O615" s="98"/>
      <c r="T615" s="250"/>
      <c r="U615" s="252">
        <f t="shared" si="31"/>
        <v>44560</v>
      </c>
      <c r="V615" s="6"/>
      <c r="W615" s="580">
        <v>2735343</v>
      </c>
      <c r="X615" s="581"/>
      <c r="Y615" s="44">
        <v>3.0000000000000001E-3</v>
      </c>
      <c r="Z615" s="581"/>
      <c r="AA615" s="582">
        <f t="shared" si="32"/>
        <v>-428499</v>
      </c>
      <c r="AB615" s="581"/>
      <c r="AC615" s="583"/>
      <c r="AD615" s="251"/>
    </row>
    <row r="616" spans="15:30" x14ac:dyDescent="0.3">
      <c r="O616" s="98"/>
      <c r="T616" s="250"/>
      <c r="U616" s="252">
        <f t="shared" si="31"/>
        <v>44561</v>
      </c>
      <c r="V616" s="6"/>
      <c r="W616" s="580">
        <v>2986639</v>
      </c>
      <c r="X616" s="581"/>
      <c r="Y616" s="44">
        <v>3.0000000000000001E-3</v>
      </c>
      <c r="Z616" s="581"/>
      <c r="AA616" s="582">
        <f t="shared" si="32"/>
        <v>-251296</v>
      </c>
      <c r="AB616" s="581"/>
      <c r="AC616" s="583"/>
      <c r="AD616" s="251"/>
    </row>
    <row r="617" spans="15:30" x14ac:dyDescent="0.3">
      <c r="O617" s="98"/>
      <c r="T617" s="250"/>
      <c r="U617" s="252">
        <f t="shared" si="31"/>
        <v>44562</v>
      </c>
      <c r="V617" s="6"/>
      <c r="W617" s="580">
        <v>2915949</v>
      </c>
      <c r="X617" s="581"/>
      <c r="Y617" s="44">
        <v>3.0000000000000001E-3</v>
      </c>
      <c r="Z617" s="581"/>
      <c r="AA617" s="582">
        <f t="shared" si="32"/>
        <v>70690</v>
      </c>
      <c r="AB617" s="581"/>
      <c r="AC617" s="583"/>
      <c r="AD617" s="251"/>
    </row>
    <row r="618" spans="15:30" x14ac:dyDescent="0.3">
      <c r="O618" s="98"/>
      <c r="T618" s="250"/>
      <c r="U618" s="573">
        <f t="shared" si="31"/>
        <v>44563</v>
      </c>
      <c r="V618" s="6"/>
      <c r="W618" s="580">
        <v>2834088</v>
      </c>
      <c r="X618" s="581"/>
      <c r="Y618" s="44">
        <v>3.0000000000000001E-3</v>
      </c>
      <c r="Z618" s="581"/>
      <c r="AA618" s="582">
        <f t="shared" si="32"/>
        <v>81861</v>
      </c>
      <c r="AB618" s="581"/>
      <c r="AC618" s="583"/>
      <c r="AD618" s="251"/>
    </row>
    <row r="619" spans="15:30" x14ac:dyDescent="0.3">
      <c r="O619" s="98"/>
      <c r="T619" s="250"/>
      <c r="U619" s="252">
        <f t="shared" si="31"/>
        <v>44564</v>
      </c>
      <c r="V619" s="6"/>
      <c r="W619" s="580">
        <v>3133666</v>
      </c>
      <c r="X619" s="581"/>
      <c r="Y619" s="44">
        <v>3.0000000000000001E-3</v>
      </c>
      <c r="Z619" s="581"/>
      <c r="AA619" s="582">
        <f t="shared" si="32"/>
        <v>-299578</v>
      </c>
      <c r="AB619" s="581"/>
      <c r="AC619" s="583"/>
      <c r="AD619" s="251"/>
    </row>
    <row r="620" spans="15:30" x14ac:dyDescent="0.3">
      <c r="O620" s="98"/>
      <c r="T620" s="250"/>
      <c r="U620" s="252">
        <f t="shared" si="31"/>
        <v>44565</v>
      </c>
      <c r="V620" s="6"/>
      <c r="W620" s="580">
        <v>3609290</v>
      </c>
      <c r="X620" s="581"/>
      <c r="Y620" s="44">
        <v>3.0000000000000001E-3</v>
      </c>
      <c r="Z620" s="581"/>
      <c r="AA620" s="582">
        <f t="shared" si="32"/>
        <v>-475624</v>
      </c>
      <c r="AB620" s="581"/>
      <c r="AC620" s="583"/>
      <c r="AD620" s="251"/>
    </row>
    <row r="621" spans="15:30" x14ac:dyDescent="0.3">
      <c r="O621" s="98"/>
      <c r="T621" s="250"/>
      <c r="U621" s="252">
        <f t="shared" si="31"/>
        <v>44566</v>
      </c>
      <c r="V621" s="6"/>
      <c r="W621" s="580">
        <v>4218165</v>
      </c>
      <c r="X621" s="581"/>
      <c r="Y621" s="44">
        <v>3.0000000000000001E-3</v>
      </c>
      <c r="Z621" s="581"/>
      <c r="AA621" s="582">
        <f t="shared" si="32"/>
        <v>-608875</v>
      </c>
      <c r="AB621" s="581"/>
      <c r="AC621" s="583"/>
      <c r="AD621" s="251"/>
    </row>
    <row r="622" spans="15:30" x14ac:dyDescent="0.3">
      <c r="O622" s="98"/>
      <c r="T622" s="250"/>
      <c r="U622" s="252">
        <f t="shared" si="31"/>
        <v>44567</v>
      </c>
      <c r="V622" s="6"/>
      <c r="W622" s="580">
        <v>4741190</v>
      </c>
      <c r="X622" s="581"/>
      <c r="Y622" s="44">
        <v>3.0000000000000001E-3</v>
      </c>
      <c r="Z622" s="581"/>
      <c r="AA622" s="582">
        <f t="shared" si="32"/>
        <v>-523025</v>
      </c>
      <c r="AB622" s="581"/>
      <c r="AC622" s="583"/>
      <c r="AD622" s="251"/>
    </row>
    <row r="623" spans="15:30" x14ac:dyDescent="0.3">
      <c r="O623" s="98"/>
      <c r="T623" s="250"/>
      <c r="U623" s="252">
        <f t="shared" si="31"/>
        <v>44568</v>
      </c>
      <c r="V623" s="6"/>
      <c r="W623" s="580">
        <v>5276416</v>
      </c>
      <c r="X623" s="581"/>
      <c r="Y623" s="44">
        <v>3.0000000000000001E-3</v>
      </c>
      <c r="Z623" s="581"/>
      <c r="AA623" s="582">
        <f t="shared" si="32"/>
        <v>-535226</v>
      </c>
      <c r="AB623" s="581"/>
      <c r="AC623" s="583"/>
      <c r="AD623" s="251"/>
    </row>
    <row r="624" spans="15:30" x14ac:dyDescent="0.3">
      <c r="O624" s="98"/>
      <c r="T624" s="250"/>
      <c r="U624" s="252">
        <f t="shared" si="31"/>
        <v>44569</v>
      </c>
      <c r="V624" s="6"/>
      <c r="W624" s="580">
        <v>5269166</v>
      </c>
      <c r="X624" s="581"/>
      <c r="Y624" s="44">
        <v>3.0000000000000001E-3</v>
      </c>
      <c r="Z624" s="581"/>
      <c r="AA624" s="582">
        <f t="shared" si="32"/>
        <v>7250</v>
      </c>
      <c r="AB624" s="581"/>
      <c r="AC624" s="583"/>
      <c r="AD624" s="251"/>
    </row>
    <row r="625" spans="15:30" x14ac:dyDescent="0.3">
      <c r="O625" s="98"/>
      <c r="T625" s="250"/>
      <c r="U625" s="573">
        <f t="shared" si="31"/>
        <v>44570</v>
      </c>
      <c r="V625" s="6"/>
      <c r="W625" s="580">
        <v>5250089</v>
      </c>
      <c r="X625" s="581"/>
      <c r="Y625" s="44">
        <v>3.0000000000000001E-3</v>
      </c>
      <c r="Z625" s="581"/>
      <c r="AA625" s="582">
        <f t="shared" si="32"/>
        <v>19077</v>
      </c>
      <c r="AB625" s="581"/>
      <c r="AC625" s="583"/>
      <c r="AD625" s="251"/>
    </row>
    <row r="626" spans="15:30" x14ac:dyDescent="0.3">
      <c r="O626" s="98"/>
      <c r="T626" s="250"/>
      <c r="U626" s="252">
        <f t="shared" si="31"/>
        <v>44571</v>
      </c>
      <c r="V626" s="6"/>
      <c r="W626" s="580">
        <v>5498940</v>
      </c>
      <c r="X626" s="581"/>
      <c r="Y626" s="44">
        <v>3.0000000000000001E-3</v>
      </c>
      <c r="Z626" s="581"/>
      <c r="AA626" s="582">
        <f t="shared" si="32"/>
        <v>-248851</v>
      </c>
      <c r="AB626" s="581"/>
      <c r="AC626" s="583"/>
      <c r="AD626" s="251"/>
    </row>
    <row r="627" spans="15:30" x14ac:dyDescent="0.3">
      <c r="O627" s="98"/>
      <c r="T627" s="250"/>
      <c r="U627" s="252">
        <f t="shared" si="31"/>
        <v>44572</v>
      </c>
      <c r="V627" s="6"/>
      <c r="W627" s="580">
        <v>6011404</v>
      </c>
      <c r="X627" s="581"/>
      <c r="Y627" s="44">
        <v>3.0000000000000001E-3</v>
      </c>
      <c r="Z627" s="581"/>
      <c r="AA627" s="582">
        <f t="shared" si="32"/>
        <v>-512464</v>
      </c>
      <c r="AB627" s="581"/>
      <c r="AC627" s="583"/>
      <c r="AD627" s="251"/>
    </row>
    <row r="628" spans="15:30" x14ac:dyDescent="0.3">
      <c r="O628" s="98"/>
      <c r="T628" s="250"/>
      <c r="U628" s="252">
        <f t="shared" si="31"/>
        <v>44573</v>
      </c>
      <c r="V628" s="6"/>
      <c r="W628" s="580">
        <v>6699213</v>
      </c>
      <c r="X628" s="581"/>
      <c r="Y628" s="44">
        <v>3.0000000000000001E-3</v>
      </c>
      <c r="Z628" s="581"/>
      <c r="AA628" s="582">
        <f t="shared" si="32"/>
        <v>-687809</v>
      </c>
      <c r="AB628" s="581"/>
      <c r="AC628" s="583"/>
      <c r="AD628" s="251"/>
    </row>
    <row r="629" spans="15:30" x14ac:dyDescent="0.3">
      <c r="O629" s="98"/>
      <c r="T629" s="250"/>
      <c r="U629" s="252">
        <f t="shared" si="31"/>
        <v>44574</v>
      </c>
      <c r="V629" s="6"/>
      <c r="W629" s="580">
        <v>6990906</v>
      </c>
      <c r="X629" s="581"/>
      <c r="Y629" s="44">
        <v>3.0000000000000001E-3</v>
      </c>
      <c r="Z629" s="581"/>
      <c r="AA629" s="582">
        <f t="shared" si="32"/>
        <v>-291693</v>
      </c>
      <c r="AB629" s="581"/>
      <c r="AC629" s="583"/>
      <c r="AD629" s="251"/>
    </row>
    <row r="630" spans="15:30" x14ac:dyDescent="0.3">
      <c r="O630" s="98"/>
      <c r="T630" s="250"/>
      <c r="U630" s="252">
        <f t="shared" si="31"/>
        <v>44575</v>
      </c>
      <c r="V630" s="6"/>
      <c r="W630" s="580">
        <v>7222590</v>
      </c>
      <c r="X630" s="581"/>
      <c r="Y630" s="44">
        <v>3.0000000000000001E-3</v>
      </c>
      <c r="Z630" s="581"/>
      <c r="AA630" s="582">
        <f t="shared" si="32"/>
        <v>-231684</v>
      </c>
      <c r="AB630" s="581"/>
      <c r="AC630" s="583"/>
      <c r="AD630" s="251"/>
    </row>
    <row r="631" spans="15:30" x14ac:dyDescent="0.3">
      <c r="O631" s="98"/>
      <c r="T631" s="250"/>
      <c r="U631" s="252">
        <f t="shared" si="31"/>
        <v>44576</v>
      </c>
      <c r="V631" s="6"/>
      <c r="W631" s="580">
        <v>6922107</v>
      </c>
      <c r="X631" s="581"/>
      <c r="Y631" s="44">
        <v>3.0000000000000001E-3</v>
      </c>
      <c r="Z631" s="581"/>
      <c r="AA631" s="582">
        <f t="shared" si="32"/>
        <v>300483</v>
      </c>
      <c r="AB631" s="581"/>
      <c r="AC631" s="583"/>
      <c r="AD631" s="251"/>
    </row>
    <row r="632" spans="15:30" x14ac:dyDescent="0.3">
      <c r="O632" s="98"/>
      <c r="T632" s="250"/>
      <c r="U632" s="573">
        <f t="shared" si="31"/>
        <v>44577</v>
      </c>
      <c r="V632" s="6"/>
      <c r="W632" s="580">
        <v>6458675</v>
      </c>
      <c r="X632" s="581"/>
      <c r="Y632" s="44">
        <v>3.0000000000000001E-3</v>
      </c>
      <c r="Z632" s="581"/>
      <c r="AA632" s="582">
        <f t="shared" si="32"/>
        <v>463432</v>
      </c>
      <c r="AB632" s="581"/>
      <c r="AC632" s="583"/>
      <c r="AD632" s="251"/>
    </row>
    <row r="633" spans="15:30" x14ac:dyDescent="0.3">
      <c r="O633" s="98"/>
      <c r="T633" s="250"/>
      <c r="U633" s="252">
        <f t="shared" si="31"/>
        <v>44578</v>
      </c>
      <c r="V633" s="6"/>
      <c r="W633" s="580">
        <v>6183505</v>
      </c>
      <c r="X633" s="581"/>
      <c r="Y633" s="44">
        <v>3.0000000000000001E-3</v>
      </c>
      <c r="Z633" s="581"/>
      <c r="AA633" s="582">
        <f t="shared" ref="AA633" si="33">+W632-W633</f>
        <v>275170</v>
      </c>
      <c r="AB633" s="581"/>
      <c r="AC633" s="583"/>
      <c r="AD633" s="251"/>
    </row>
    <row r="634" spans="15:30" x14ac:dyDescent="0.3">
      <c r="O634" s="98"/>
      <c r="T634" s="250"/>
      <c r="U634" s="252">
        <f t="shared" si="31"/>
        <v>44579</v>
      </c>
      <c r="V634" s="6"/>
      <c r="W634" s="580">
        <v>6262265</v>
      </c>
      <c r="X634" s="581"/>
      <c r="Y634" s="44">
        <v>3.0000000000000001E-3</v>
      </c>
      <c r="Z634" s="581"/>
      <c r="AA634" s="582">
        <f t="shared" ref="AA634" si="34">+W633-W634</f>
        <v>-78760</v>
      </c>
      <c r="AB634" s="581"/>
      <c r="AC634" s="583"/>
      <c r="AD634" s="251"/>
    </row>
    <row r="635" spans="15:30" x14ac:dyDescent="0.3">
      <c r="O635" s="98"/>
      <c r="T635" s="250"/>
      <c r="U635" s="252">
        <f t="shared" si="31"/>
        <v>44580</v>
      </c>
      <c r="V635" s="6"/>
      <c r="W635" s="580">
        <v>6421119</v>
      </c>
      <c r="X635" s="581"/>
      <c r="Y635" s="44">
        <v>3.0000000000000001E-3</v>
      </c>
      <c r="Z635" s="581"/>
      <c r="AA635" s="582">
        <f t="shared" ref="AA635" si="35">+W634-W635</f>
        <v>-158854</v>
      </c>
      <c r="AB635" s="581"/>
      <c r="AC635" s="583"/>
      <c r="AD635" s="251"/>
    </row>
    <row r="636" spans="15:30" x14ac:dyDescent="0.3">
      <c r="O636" s="98"/>
      <c r="T636" s="250"/>
      <c r="U636" s="252">
        <f t="shared" si="31"/>
        <v>44581</v>
      </c>
      <c r="V636" s="6"/>
      <c r="W636" s="580">
        <v>6421488</v>
      </c>
      <c r="X636" s="581"/>
      <c r="Y636" s="44">
        <v>3.0000000000000001E-3</v>
      </c>
      <c r="Z636" s="581"/>
      <c r="AA636" s="582">
        <f t="shared" ref="AA636" si="36">+W635-W636</f>
        <v>-369</v>
      </c>
      <c r="AB636" s="581"/>
      <c r="AC636" s="583"/>
      <c r="AD636" s="251"/>
    </row>
    <row r="637" spans="15:30" x14ac:dyDescent="0.3">
      <c r="O637" s="98"/>
      <c r="T637" s="250"/>
      <c r="U637" s="252">
        <f t="shared" si="31"/>
        <v>44582</v>
      </c>
      <c r="V637" s="6"/>
      <c r="W637" s="580">
        <v>6549063</v>
      </c>
      <c r="X637" s="581"/>
      <c r="Y637" s="44">
        <v>3.0000000000000001E-3</v>
      </c>
      <c r="Z637" s="581"/>
      <c r="AA637" s="582">
        <f t="shared" ref="AA637" si="37">+W636-W637</f>
        <v>-127575</v>
      </c>
      <c r="AB637" s="581"/>
      <c r="AC637" s="583"/>
      <c r="AD637" s="251"/>
    </row>
    <row r="638" spans="15:30" x14ac:dyDescent="0.3">
      <c r="O638" s="98"/>
      <c r="T638" s="250"/>
      <c r="U638" s="252">
        <f t="shared" si="31"/>
        <v>44583</v>
      </c>
      <c r="V638" s="6"/>
      <c r="W638" s="580">
        <v>5988842</v>
      </c>
      <c r="X638" s="581"/>
      <c r="Y638" s="44">
        <v>3.0000000000000001E-3</v>
      </c>
      <c r="Z638" s="581"/>
      <c r="AA638" s="582">
        <f t="shared" ref="AA638:AA639" si="38">+W637-W638</f>
        <v>560221</v>
      </c>
      <c r="AB638" s="581"/>
      <c r="AC638" s="583"/>
      <c r="AD638" s="251"/>
    </row>
    <row r="639" spans="15:30" x14ac:dyDescent="0.3">
      <c r="O639" s="98"/>
      <c r="T639" s="250"/>
      <c r="U639" s="573">
        <f t="shared" si="31"/>
        <v>44584</v>
      </c>
      <c r="V639" s="6"/>
      <c r="W639" s="580">
        <v>4552034</v>
      </c>
      <c r="X639" s="581"/>
      <c r="Y639" s="44">
        <v>3.0000000000000001E-3</v>
      </c>
      <c r="Z639" s="581"/>
      <c r="AA639" s="582">
        <f t="shared" si="38"/>
        <v>1436808</v>
      </c>
      <c r="AB639" s="581"/>
      <c r="AC639" s="583"/>
      <c r="AD639" s="251"/>
    </row>
    <row r="640" spans="15:30" x14ac:dyDescent="0.3">
      <c r="O640" s="98"/>
      <c r="T640" s="250"/>
      <c r="U640" s="252">
        <f t="shared" si="31"/>
        <v>44585</v>
      </c>
      <c r="V640" s="6"/>
      <c r="W640" s="580">
        <v>5019439</v>
      </c>
      <c r="X640" s="581"/>
      <c r="Y640" s="44">
        <v>3.0000000000000001E-3</v>
      </c>
      <c r="Z640" s="581"/>
      <c r="AA640" s="582">
        <f t="shared" ref="AA640" si="39">+W639-W640</f>
        <v>-467405</v>
      </c>
      <c r="AB640" s="581"/>
      <c r="AC640" s="583"/>
      <c r="AD640" s="251"/>
    </row>
    <row r="641" spans="15:30" x14ac:dyDescent="0.3">
      <c r="O641" s="98"/>
      <c r="T641" s="250"/>
      <c r="U641" s="252">
        <f t="shared" si="31"/>
        <v>44586</v>
      </c>
      <c r="V641" s="6"/>
      <c r="W641" s="580">
        <v>5056085</v>
      </c>
      <c r="X641" s="581"/>
      <c r="Y641" s="44">
        <v>3.0000000000000001E-3</v>
      </c>
      <c r="Z641" s="581"/>
      <c r="AA641" s="582">
        <f t="shared" ref="AA641" si="40">+W640-W641</f>
        <v>-36646</v>
      </c>
      <c r="AB641" s="581"/>
      <c r="AC641" s="583"/>
      <c r="AD641" s="251"/>
    </row>
    <row r="642" spans="15:30" x14ac:dyDescent="0.3">
      <c r="O642" s="98"/>
      <c r="T642" s="250"/>
      <c r="U642" s="252">
        <f t="shared" si="31"/>
        <v>44587</v>
      </c>
      <c r="V642" s="6"/>
      <c r="W642" s="580">
        <v>5301242</v>
      </c>
      <c r="X642" s="581"/>
      <c r="Y642" s="44">
        <v>3.0000000000000001E-3</v>
      </c>
      <c r="Z642" s="581"/>
      <c r="AA642" s="582">
        <f t="shared" ref="AA642" si="41">+W641-W642</f>
        <v>-245157</v>
      </c>
      <c r="AB642" s="581"/>
      <c r="AC642" s="583"/>
      <c r="AD642" s="251"/>
    </row>
    <row r="643" spans="15:30" x14ac:dyDescent="0.3">
      <c r="O643" s="98"/>
      <c r="T643" s="250"/>
      <c r="U643" s="252">
        <f t="shared" si="31"/>
        <v>44588</v>
      </c>
      <c r="V643" s="6"/>
      <c r="W643" s="580">
        <v>5224619</v>
      </c>
      <c r="X643" s="581"/>
      <c r="Y643" s="44">
        <v>3.0000000000000001E-3</v>
      </c>
      <c r="Z643" s="581"/>
      <c r="AA643" s="582">
        <f t="shared" ref="AA643" si="42">+W642-W643</f>
        <v>76623</v>
      </c>
      <c r="AB643" s="581"/>
      <c r="AC643" s="583"/>
      <c r="AD643" s="251"/>
    </row>
    <row r="644" spans="15:30" x14ac:dyDescent="0.3">
      <c r="O644" s="98"/>
      <c r="T644" s="250"/>
      <c r="U644" s="252">
        <f t="shared" si="31"/>
        <v>44589</v>
      </c>
      <c r="V644" s="6"/>
      <c r="W644" s="580">
        <v>5199210</v>
      </c>
      <c r="X644" s="581"/>
      <c r="Y644" s="44">
        <v>3.0000000000000001E-3</v>
      </c>
      <c r="Z644" s="581"/>
      <c r="AA644" s="582">
        <f t="shared" ref="AA644" si="43">+W643-W644</f>
        <v>25409</v>
      </c>
      <c r="AB644" s="581"/>
      <c r="AC644" s="583"/>
      <c r="AD644" s="251"/>
    </row>
    <row r="645" spans="15:30" x14ac:dyDescent="0.3">
      <c r="O645" s="98"/>
      <c r="T645" s="250"/>
      <c r="U645" s="252">
        <f t="shared" si="31"/>
        <v>44590</v>
      </c>
      <c r="V645" s="6"/>
      <c r="W645" s="580">
        <v>4679871</v>
      </c>
      <c r="X645" s="581"/>
      <c r="Y645" s="44">
        <v>3.0000000000000001E-3</v>
      </c>
      <c r="Z645" s="581"/>
      <c r="AA645" s="582">
        <f t="shared" ref="AA645" si="44">+W644-W645</f>
        <v>519339</v>
      </c>
      <c r="AB645" s="581"/>
      <c r="AC645" s="583"/>
      <c r="AD645" s="251"/>
    </row>
    <row r="646" spans="15:30" x14ac:dyDescent="0.3">
      <c r="O646" s="98"/>
      <c r="T646" s="250"/>
      <c r="U646" s="573">
        <f t="shared" si="31"/>
        <v>44591</v>
      </c>
      <c r="V646" s="6"/>
      <c r="W646" s="580">
        <v>4144975</v>
      </c>
      <c r="X646" s="581"/>
      <c r="Y646" s="44">
        <v>3.0000000000000001E-3</v>
      </c>
      <c r="Z646" s="581"/>
      <c r="AA646" s="582">
        <f t="shared" ref="AA646" si="45">+W645-W646</f>
        <v>534896</v>
      </c>
      <c r="AB646" s="581"/>
      <c r="AC646" s="583"/>
      <c r="AD646" s="251"/>
    </row>
    <row r="647" spans="15:30" x14ac:dyDescent="0.3">
      <c r="O647" s="98"/>
      <c r="T647" s="250"/>
      <c r="U647" s="252">
        <f>+U646+1</f>
        <v>44592</v>
      </c>
      <c r="V647" s="6"/>
      <c r="W647" s="580">
        <v>3617899</v>
      </c>
      <c r="X647" s="581"/>
      <c r="Y647" s="44">
        <v>3.0000000000000001E-3</v>
      </c>
      <c r="Z647" s="581"/>
      <c r="AA647" s="582">
        <f t="shared" ref="AA647" si="46">+W646-W647</f>
        <v>527076</v>
      </c>
      <c r="AB647" s="581"/>
      <c r="AC647" s="583"/>
      <c r="AD647" s="251"/>
    </row>
    <row r="648" spans="15:30" x14ac:dyDescent="0.3">
      <c r="O648" s="98"/>
      <c r="T648" s="250"/>
      <c r="U648" s="252">
        <f t="shared" ref="U648:U718" si="47">+U647+1</f>
        <v>44593</v>
      </c>
      <c r="V648" s="6"/>
      <c r="W648" s="580">
        <v>3305059</v>
      </c>
      <c r="X648" s="581"/>
      <c r="Y648" s="44">
        <v>3.0000000000000001E-3</v>
      </c>
      <c r="Z648" s="581"/>
      <c r="AA648" s="582">
        <f t="shared" ref="AA648" si="48">+W647-W648</f>
        <v>312840</v>
      </c>
      <c r="AB648" s="581"/>
      <c r="AC648" s="583"/>
      <c r="AD648" s="251"/>
    </row>
    <row r="649" spans="15:30" x14ac:dyDescent="0.3">
      <c r="O649" s="98"/>
      <c r="T649" s="250"/>
      <c r="U649" s="252">
        <f t="shared" si="47"/>
        <v>44594</v>
      </c>
      <c r="V649" s="6"/>
      <c r="W649" s="580">
        <v>3711467</v>
      </c>
      <c r="X649" s="581"/>
      <c r="Y649" s="44">
        <v>3.0000000000000001E-3</v>
      </c>
      <c r="Z649" s="581"/>
      <c r="AA649" s="582">
        <f t="shared" ref="AA649" si="49">+W648-W649</f>
        <v>-406408</v>
      </c>
      <c r="AB649" s="581"/>
      <c r="AC649" s="583"/>
      <c r="AD649" s="251"/>
    </row>
    <row r="650" spans="15:30" x14ac:dyDescent="0.3">
      <c r="O650" s="98"/>
      <c r="T650" s="250"/>
      <c r="U650" s="252">
        <f t="shared" si="47"/>
        <v>44595</v>
      </c>
      <c r="V650" s="6"/>
      <c r="W650" s="580">
        <v>3501730</v>
      </c>
      <c r="X650" s="581"/>
      <c r="Y650" s="44">
        <v>3.0000000000000001E-3</v>
      </c>
      <c r="Z650" s="581"/>
      <c r="AA650" s="582">
        <f t="shared" ref="AA650" si="50">+W649-W650</f>
        <v>209737</v>
      </c>
      <c r="AB650" s="581"/>
      <c r="AC650" s="583"/>
      <c r="AD650" s="251"/>
    </row>
    <row r="651" spans="15:30" x14ac:dyDescent="0.3">
      <c r="O651" s="98"/>
      <c r="T651" s="250"/>
      <c r="U651" s="252">
        <f t="shared" si="47"/>
        <v>44596</v>
      </c>
      <c r="V651" s="6"/>
      <c r="W651" s="580">
        <v>3361310</v>
      </c>
      <c r="X651" s="581"/>
      <c r="Y651" s="44">
        <v>3.0000000000000001E-3</v>
      </c>
      <c r="Z651" s="581"/>
      <c r="AA651" s="582">
        <f t="shared" ref="AA651" si="51">+W650-W651</f>
        <v>140420</v>
      </c>
      <c r="AB651" s="581"/>
      <c r="AC651" s="583"/>
      <c r="AD651" s="251"/>
    </row>
    <row r="652" spans="15:30" x14ac:dyDescent="0.3">
      <c r="O652" s="98"/>
      <c r="T652" s="250"/>
      <c r="U652" s="252">
        <f t="shared" si="47"/>
        <v>44597</v>
      </c>
      <c r="V652" s="6"/>
      <c r="W652" s="580">
        <v>2932547</v>
      </c>
      <c r="X652" s="581"/>
      <c r="Y652" s="44">
        <v>3.0000000000000001E-3</v>
      </c>
      <c r="Z652" s="581"/>
      <c r="AA652" s="582">
        <f t="shared" ref="AA652" si="52">+W651-W652</f>
        <v>428763</v>
      </c>
      <c r="AB652" s="581"/>
      <c r="AC652" s="583"/>
      <c r="AD652" s="251"/>
    </row>
    <row r="653" spans="15:30" x14ac:dyDescent="0.3">
      <c r="O653" s="98"/>
      <c r="T653" s="250"/>
      <c r="U653" s="573">
        <f t="shared" si="47"/>
        <v>44598</v>
      </c>
      <c r="V653" s="6"/>
      <c r="W653" s="580">
        <v>2485470</v>
      </c>
      <c r="X653" s="581"/>
      <c r="Y653" s="44">
        <v>3.0000000000000001E-3</v>
      </c>
      <c r="Z653" s="581"/>
      <c r="AA653" s="582">
        <f t="shared" ref="AA653" si="53">+W652-W653</f>
        <v>447077</v>
      </c>
      <c r="AB653" s="581"/>
      <c r="AC653" s="583"/>
      <c r="AD653" s="251"/>
    </row>
    <row r="654" spans="15:30" x14ac:dyDescent="0.3">
      <c r="O654" s="98"/>
      <c r="T654" s="250"/>
      <c r="U654" s="252">
        <f t="shared" si="47"/>
        <v>44599</v>
      </c>
      <c r="V654" s="6"/>
      <c r="W654" s="580">
        <v>3136000</v>
      </c>
      <c r="X654" s="581"/>
      <c r="Y654" s="44">
        <v>3.0000000000000001E-3</v>
      </c>
      <c r="Z654" s="581"/>
      <c r="AA654" s="582">
        <f t="shared" ref="AA654" si="54">+W653-W654</f>
        <v>-650530</v>
      </c>
      <c r="AB654" s="581"/>
      <c r="AC654" s="583"/>
      <c r="AD654" s="251"/>
    </row>
    <row r="655" spans="15:30" x14ac:dyDescent="0.3">
      <c r="O655" s="98"/>
      <c r="T655" s="250"/>
      <c r="U655" s="252">
        <f t="shared" si="47"/>
        <v>44600</v>
      </c>
      <c r="V655" s="6"/>
      <c r="W655" s="580">
        <v>2817205</v>
      </c>
      <c r="X655" s="581"/>
      <c r="Y655" s="44">
        <v>3.0000000000000001E-3</v>
      </c>
      <c r="Z655" s="581"/>
      <c r="AA655" s="582">
        <f t="shared" ref="AA655" si="55">+W654-W655</f>
        <v>318795</v>
      </c>
      <c r="AB655" s="581"/>
      <c r="AC655" s="583"/>
      <c r="AD655" s="251"/>
    </row>
    <row r="656" spans="15:30" x14ac:dyDescent="0.3">
      <c r="O656" s="98"/>
      <c r="T656" s="250"/>
      <c r="U656" s="252">
        <f t="shared" si="47"/>
        <v>44601</v>
      </c>
      <c r="V656" s="6"/>
      <c r="W656" s="580">
        <v>2521633</v>
      </c>
      <c r="X656" s="581"/>
      <c r="Y656" s="44">
        <v>3.0000000000000001E-3</v>
      </c>
      <c r="Z656" s="581"/>
      <c r="AA656" s="582">
        <f t="shared" ref="AA656" si="56">+W655-W656</f>
        <v>295572</v>
      </c>
      <c r="AB656" s="581"/>
      <c r="AC656" s="583"/>
      <c r="AD656" s="251"/>
    </row>
    <row r="657" spans="15:30" x14ac:dyDescent="0.3">
      <c r="O657" s="98"/>
      <c r="T657" s="250"/>
      <c r="U657" s="252">
        <f t="shared" si="47"/>
        <v>44602</v>
      </c>
      <c r="V657" s="6"/>
      <c r="W657" s="580">
        <v>2508149</v>
      </c>
      <c r="X657" s="581"/>
      <c r="Y657" s="44">
        <v>3.0000000000000001E-3</v>
      </c>
      <c r="Z657" s="581"/>
      <c r="AA657" s="582">
        <f t="shared" ref="AA657" si="57">+W656-W657</f>
        <v>13484</v>
      </c>
      <c r="AB657" s="581"/>
      <c r="AC657" s="583"/>
      <c r="AD657" s="251"/>
    </row>
    <row r="658" spans="15:30" x14ac:dyDescent="0.3">
      <c r="O658" s="98"/>
      <c r="T658" s="250"/>
      <c r="U658" s="252">
        <f t="shared" si="47"/>
        <v>44603</v>
      </c>
      <c r="V658" s="6"/>
      <c r="W658" s="580">
        <v>2499181</v>
      </c>
      <c r="X658" s="581"/>
      <c r="Y658" s="44">
        <v>3.0000000000000001E-3</v>
      </c>
      <c r="Z658" s="581"/>
      <c r="AA658" s="582">
        <f t="shared" ref="AA658" si="58">+W657-W658</f>
        <v>8968</v>
      </c>
      <c r="AB658" s="581"/>
      <c r="AC658" s="583"/>
      <c r="AD658" s="251"/>
    </row>
    <row r="659" spans="15:30" x14ac:dyDescent="0.3">
      <c r="O659" s="98"/>
      <c r="T659" s="250"/>
      <c r="U659" s="252">
        <f t="shared" si="47"/>
        <v>44604</v>
      </c>
      <c r="V659" s="6"/>
      <c r="W659" s="580">
        <v>2283983</v>
      </c>
      <c r="X659" s="581"/>
      <c r="Y659" s="44">
        <v>3.0000000000000001E-3</v>
      </c>
      <c r="Z659" s="581"/>
      <c r="AA659" s="582">
        <f t="shared" ref="AA659" si="59">+W658-W659</f>
        <v>215198</v>
      </c>
      <c r="AB659" s="581"/>
      <c r="AC659" s="583"/>
      <c r="AD659" s="251"/>
    </row>
    <row r="660" spans="15:30" x14ac:dyDescent="0.3">
      <c r="O660" s="98"/>
      <c r="T660" s="250"/>
      <c r="U660" s="573">
        <f t="shared" si="47"/>
        <v>44605</v>
      </c>
      <c r="V660" s="6"/>
      <c r="W660" s="580">
        <v>2013265</v>
      </c>
      <c r="X660" s="581"/>
      <c r="Y660" s="44">
        <v>3.0000000000000001E-3</v>
      </c>
      <c r="Z660" s="581"/>
      <c r="AA660" s="582">
        <f t="shared" ref="AA660" si="60">+W659-W660</f>
        <v>270718</v>
      </c>
      <c r="AB660" s="581"/>
      <c r="AC660" s="583"/>
      <c r="AD660" s="251"/>
    </row>
    <row r="661" spans="15:30" x14ac:dyDescent="0.3">
      <c r="O661" s="98"/>
      <c r="T661" s="250"/>
      <c r="U661" s="252">
        <f t="shared" si="47"/>
        <v>44606</v>
      </c>
      <c r="V661" s="6"/>
      <c r="W661" s="580">
        <v>1791088</v>
      </c>
      <c r="X661" s="581"/>
      <c r="Y661" s="44">
        <v>3.0000000000000001E-3</v>
      </c>
      <c r="Z661" s="581"/>
      <c r="AA661" s="582">
        <f t="shared" ref="AA661" si="61">+W660-W661</f>
        <v>222177</v>
      </c>
      <c r="AB661" s="581"/>
      <c r="AC661" s="583"/>
      <c r="AD661" s="251"/>
    </row>
    <row r="662" spans="15:30" x14ac:dyDescent="0.3">
      <c r="O662" s="98"/>
      <c r="T662" s="250"/>
      <c r="U662" s="252">
        <f t="shared" si="47"/>
        <v>44607</v>
      </c>
      <c r="V662" s="6"/>
      <c r="W662" s="580">
        <v>1632127</v>
      </c>
      <c r="X662" s="581"/>
      <c r="Y662" s="44">
        <v>3.0000000000000001E-3</v>
      </c>
      <c r="Z662" s="581"/>
      <c r="AA662" s="582">
        <f t="shared" ref="AA662" si="62">+W661-W662</f>
        <v>158961</v>
      </c>
      <c r="AB662" s="581"/>
      <c r="AC662" s="583"/>
      <c r="AD662" s="251"/>
    </row>
    <row r="663" spans="15:30" x14ac:dyDescent="0.3">
      <c r="O663" s="98"/>
      <c r="T663" s="250"/>
      <c r="U663" s="252">
        <f t="shared" si="47"/>
        <v>44608</v>
      </c>
      <c r="V663" s="6"/>
      <c r="W663" s="580">
        <v>1442964</v>
      </c>
      <c r="X663" s="581"/>
      <c r="Y663" s="44">
        <v>3.0000000000000001E-3</v>
      </c>
      <c r="Z663" s="581"/>
      <c r="AA663" s="582">
        <f t="shared" ref="AA663" si="63">+W662-W663</f>
        <v>189163</v>
      </c>
      <c r="AB663" s="581"/>
      <c r="AC663" s="583"/>
      <c r="AD663" s="251"/>
    </row>
    <row r="664" spans="15:30" x14ac:dyDescent="0.3">
      <c r="O664" s="98"/>
      <c r="T664" s="250"/>
      <c r="U664" s="252">
        <f t="shared" si="47"/>
        <v>44609</v>
      </c>
      <c r="V664" s="6"/>
      <c r="W664" s="580">
        <v>1440818</v>
      </c>
      <c r="X664" s="581"/>
      <c r="Y664" s="44">
        <v>3.0000000000000001E-3</v>
      </c>
      <c r="Z664" s="581"/>
      <c r="AA664" s="582">
        <f t="shared" ref="AA664" si="64">+W663-W664</f>
        <v>2146</v>
      </c>
      <c r="AB664" s="581"/>
      <c r="AC664" s="583"/>
      <c r="AD664" s="251"/>
    </row>
    <row r="665" spans="15:30" x14ac:dyDescent="0.3">
      <c r="O665" s="98"/>
      <c r="T665" s="250"/>
      <c r="U665" s="252">
        <f t="shared" si="47"/>
        <v>44610</v>
      </c>
      <c r="V665" s="6"/>
      <c r="W665" s="580">
        <v>1497914</v>
      </c>
      <c r="X665" s="581"/>
      <c r="Y665" s="44">
        <v>3.0000000000000001E-3</v>
      </c>
      <c r="Z665" s="581"/>
      <c r="AA665" s="582">
        <f t="shared" ref="AA665" si="65">+W664-W665</f>
        <v>-57096</v>
      </c>
      <c r="AB665" s="581"/>
      <c r="AC665" s="583"/>
      <c r="AD665" s="251"/>
    </row>
    <row r="666" spans="15:30" x14ac:dyDescent="0.3">
      <c r="O666" s="98"/>
      <c r="T666" s="250"/>
      <c r="U666" s="252">
        <f t="shared" si="47"/>
        <v>44611</v>
      </c>
      <c r="V666" s="6"/>
      <c r="W666" s="580">
        <v>1385150</v>
      </c>
      <c r="X666" s="581"/>
      <c r="Y666" s="44">
        <v>3.0000000000000001E-3</v>
      </c>
      <c r="Z666" s="581"/>
      <c r="AA666" s="582">
        <f t="shared" ref="AA666" si="66">+W665-W666</f>
        <v>112764</v>
      </c>
      <c r="AB666" s="581"/>
      <c r="AC666" s="583"/>
      <c r="AD666" s="251"/>
    </row>
    <row r="667" spans="15:30" x14ac:dyDescent="0.3">
      <c r="O667" s="98"/>
      <c r="T667" s="250"/>
      <c r="U667" s="573">
        <f t="shared" si="47"/>
        <v>44612</v>
      </c>
      <c r="V667" s="6"/>
      <c r="W667" s="580">
        <v>1220645</v>
      </c>
      <c r="X667" s="581"/>
      <c r="Y667" s="44">
        <v>3.0000000000000001E-3</v>
      </c>
      <c r="Z667" s="581"/>
      <c r="AA667" s="582">
        <f t="shared" ref="AA667" si="67">+W666-W667</f>
        <v>164505</v>
      </c>
      <c r="AB667" s="581"/>
      <c r="AC667" s="583"/>
      <c r="AD667" s="251"/>
    </row>
    <row r="668" spans="15:30" x14ac:dyDescent="0.3">
      <c r="O668" s="98"/>
      <c r="T668" s="250"/>
      <c r="U668" s="252">
        <f t="shared" si="47"/>
        <v>44613</v>
      </c>
      <c r="V668" s="6"/>
      <c r="W668" s="580">
        <v>1020447</v>
      </c>
      <c r="X668" s="581"/>
      <c r="Y668" s="44">
        <v>3.0000000000000001E-3</v>
      </c>
      <c r="Z668" s="581"/>
      <c r="AA668" s="582">
        <f t="shared" ref="AA668" si="68">+W667-W668</f>
        <v>200198</v>
      </c>
      <c r="AB668" s="581"/>
      <c r="AC668" s="583"/>
      <c r="AD668" s="251"/>
    </row>
    <row r="669" spans="15:30" x14ac:dyDescent="0.3">
      <c r="O669" s="98"/>
      <c r="T669" s="250"/>
      <c r="U669" s="252">
        <f t="shared" si="47"/>
        <v>44614</v>
      </c>
      <c r="V669" s="6"/>
      <c r="W669" s="580">
        <v>902343</v>
      </c>
      <c r="X669" s="581"/>
      <c r="Y669" s="44">
        <v>3.0000000000000001E-5</v>
      </c>
      <c r="Z669" s="581"/>
      <c r="AA669" s="582">
        <f t="shared" ref="AA669" si="69">+W668-W669</f>
        <v>118104</v>
      </c>
      <c r="AB669" s="581"/>
      <c r="AC669" s="583"/>
      <c r="AD669" s="251"/>
    </row>
    <row r="670" spans="15:30" x14ac:dyDescent="0.3">
      <c r="O670" s="98"/>
      <c r="T670" s="250"/>
      <c r="U670" s="252">
        <f t="shared" si="47"/>
        <v>44615</v>
      </c>
      <c r="V670" s="6"/>
      <c r="W670" s="580">
        <v>827936</v>
      </c>
      <c r="X670" s="581"/>
      <c r="Y670" s="44">
        <v>3.0000000000000001E-3</v>
      </c>
      <c r="Z670" s="581"/>
      <c r="AA670" s="582">
        <f t="shared" ref="AA670" si="70">+W669-W670</f>
        <v>74407</v>
      </c>
      <c r="AB670" s="581"/>
      <c r="AC670" s="583"/>
      <c r="AD670" s="251"/>
    </row>
    <row r="671" spans="15:30" x14ac:dyDescent="0.3">
      <c r="O671" s="98"/>
      <c r="T671" s="250"/>
      <c r="U671" s="252">
        <f t="shared" si="47"/>
        <v>44616</v>
      </c>
      <c r="V671" s="6"/>
      <c r="W671" s="580">
        <v>838776</v>
      </c>
      <c r="X671" s="581"/>
      <c r="Y671" s="44">
        <v>3.0000000000000001E-3</v>
      </c>
      <c r="Z671" s="581"/>
      <c r="AA671" s="582">
        <f t="shared" ref="AA671" si="71">+W670-W671</f>
        <v>-10840</v>
      </c>
      <c r="AB671" s="581"/>
      <c r="AC671" s="583"/>
      <c r="AD671" s="251"/>
    </row>
    <row r="672" spans="15:30" x14ac:dyDescent="0.3">
      <c r="O672" s="98"/>
      <c r="T672" s="250"/>
      <c r="U672" s="252">
        <f t="shared" si="47"/>
        <v>44617</v>
      </c>
      <c r="V672" s="6"/>
      <c r="W672" s="580">
        <v>882818</v>
      </c>
      <c r="X672" s="581"/>
      <c r="Y672" s="44">
        <v>3.0000000000000001E-3</v>
      </c>
      <c r="Z672" s="581"/>
      <c r="AA672" s="582">
        <f t="shared" ref="AA672" si="72">+W671-W672</f>
        <v>-44042</v>
      </c>
      <c r="AB672" s="581"/>
      <c r="AC672" s="583"/>
      <c r="AD672" s="251"/>
    </row>
    <row r="673" spans="15:30" x14ac:dyDescent="0.3">
      <c r="O673" s="98"/>
      <c r="T673" s="250"/>
      <c r="U673" s="252">
        <f t="shared" si="47"/>
        <v>44618</v>
      </c>
      <c r="V673" s="6"/>
      <c r="W673" s="580">
        <v>827634</v>
      </c>
      <c r="X673" s="581"/>
      <c r="Y673" s="44">
        <v>3.0000000000000001E-3</v>
      </c>
      <c r="Z673" s="581"/>
      <c r="AA673" s="582">
        <f t="shared" ref="AA673" si="73">+W672-W673</f>
        <v>55184</v>
      </c>
      <c r="AB673" s="581"/>
      <c r="AC673" s="583"/>
      <c r="AD673" s="251"/>
    </row>
    <row r="674" spans="15:30" x14ac:dyDescent="0.3">
      <c r="O674" s="98"/>
      <c r="T674" s="250"/>
      <c r="U674" s="573">
        <f t="shared" si="47"/>
        <v>44619</v>
      </c>
      <c r="V674" s="6"/>
      <c r="W674" s="580">
        <v>736874</v>
      </c>
      <c r="X674" s="581"/>
      <c r="Y674" s="44">
        <v>3.0000000000000001E-3</v>
      </c>
      <c r="Z674" s="581"/>
      <c r="AA674" s="582">
        <f t="shared" ref="AA674" si="74">+W673-W674</f>
        <v>90760</v>
      </c>
      <c r="AB674" s="581"/>
      <c r="AC674" s="583"/>
      <c r="AD674" s="251"/>
    </row>
    <row r="675" spans="15:30" x14ac:dyDescent="0.3">
      <c r="O675" s="98"/>
      <c r="T675" s="250"/>
      <c r="U675" s="252">
        <f t="shared" si="47"/>
        <v>44620</v>
      </c>
      <c r="V675" s="6"/>
      <c r="W675" s="580">
        <v>654615</v>
      </c>
      <c r="X675" s="581"/>
      <c r="Y675" s="44">
        <v>3.0000000000000001E-3</v>
      </c>
      <c r="Z675" s="581"/>
      <c r="AA675" s="582">
        <f t="shared" ref="AA675" si="75">+W674-W675</f>
        <v>82259</v>
      </c>
      <c r="AB675" s="581"/>
      <c r="AC675" s="583"/>
      <c r="AD675" s="251"/>
    </row>
    <row r="676" spans="15:30" x14ac:dyDescent="0.3">
      <c r="O676" s="98"/>
      <c r="T676" s="250"/>
      <c r="U676" s="252">
        <f t="shared" si="47"/>
        <v>44621</v>
      </c>
      <c r="V676" s="6"/>
      <c r="W676" s="580">
        <v>592889</v>
      </c>
      <c r="X676" s="581"/>
      <c r="Y676" s="44">
        <v>3.0000000000000001E-3</v>
      </c>
      <c r="Z676" s="581"/>
      <c r="AA676" s="582">
        <f t="shared" ref="AA676" si="76">+W675-W676</f>
        <v>61726</v>
      </c>
      <c r="AB676" s="581"/>
      <c r="AC676" s="583"/>
      <c r="AD676" s="251"/>
    </row>
    <row r="677" spans="15:30" x14ac:dyDescent="0.3">
      <c r="O677" s="98"/>
      <c r="T677" s="250"/>
      <c r="U677" s="252">
        <f t="shared" si="47"/>
        <v>44622</v>
      </c>
      <c r="V677" s="6"/>
      <c r="W677" s="580">
        <v>534747</v>
      </c>
      <c r="X677" s="581"/>
      <c r="Y677" s="44">
        <v>3.0000000000000001E-3</v>
      </c>
      <c r="Z677" s="581"/>
      <c r="AA677" s="582">
        <f t="shared" ref="AA677" si="77">+W676-W677</f>
        <v>58142</v>
      </c>
      <c r="AB677" s="581"/>
      <c r="AC677" s="583"/>
      <c r="AD677" s="251"/>
    </row>
    <row r="678" spans="15:30" x14ac:dyDescent="0.3">
      <c r="O678" s="98"/>
      <c r="T678" s="250"/>
      <c r="U678" s="252">
        <f t="shared" si="47"/>
        <v>44623</v>
      </c>
      <c r="V678" s="6"/>
      <c r="W678" s="580">
        <v>542259</v>
      </c>
      <c r="X678" s="581"/>
      <c r="Y678" s="44">
        <v>3.0000000000000001E-3</v>
      </c>
      <c r="Z678" s="581"/>
      <c r="AA678" s="582">
        <f t="shared" ref="AA678" si="78">+W677-W678</f>
        <v>-7512</v>
      </c>
      <c r="AB678" s="581"/>
      <c r="AC678" s="583"/>
      <c r="AD678" s="251"/>
    </row>
    <row r="679" spans="15:30" x14ac:dyDescent="0.3">
      <c r="O679" s="98"/>
      <c r="T679" s="250"/>
      <c r="U679" s="252">
        <f t="shared" si="47"/>
        <v>44624</v>
      </c>
      <c r="V679" s="6"/>
      <c r="W679" s="580">
        <v>572569</v>
      </c>
      <c r="X679" s="581"/>
      <c r="Y679" s="44">
        <v>3.0000000000000001E-3</v>
      </c>
      <c r="Z679" s="581"/>
      <c r="AA679" s="582">
        <f t="shared" ref="AA679" si="79">+W678-W679</f>
        <v>-30310</v>
      </c>
      <c r="AB679" s="581"/>
      <c r="AC679" s="583"/>
      <c r="AD679" s="251"/>
    </row>
    <row r="680" spans="15:30" x14ac:dyDescent="0.3">
      <c r="O680" s="98"/>
      <c r="T680" s="250"/>
      <c r="U680" s="252">
        <f t="shared" si="47"/>
        <v>44625</v>
      </c>
      <c r="V680" s="6"/>
      <c r="W680" s="580">
        <v>560611</v>
      </c>
      <c r="X680" s="581"/>
      <c r="Y680" s="44">
        <v>3.0000000000000001E-3</v>
      </c>
      <c r="Z680" s="581"/>
      <c r="AA680" s="582">
        <f t="shared" ref="AA680" si="80">+W679-W680</f>
        <v>11958</v>
      </c>
      <c r="AB680" s="581"/>
      <c r="AC680" s="583"/>
      <c r="AD680" s="251"/>
    </row>
    <row r="681" spans="15:30" x14ac:dyDescent="0.3">
      <c r="O681" s="98"/>
      <c r="T681" s="250"/>
      <c r="U681" s="573">
        <f t="shared" si="47"/>
        <v>44626</v>
      </c>
      <c r="V681" s="6"/>
      <c r="W681" s="580">
        <v>503651</v>
      </c>
      <c r="X681" s="581"/>
      <c r="Y681" s="44">
        <v>3.0000000000000001E-3</v>
      </c>
      <c r="Z681" s="581"/>
      <c r="AA681" s="582">
        <f t="shared" ref="AA681" si="81">+W680-W681</f>
        <v>56960</v>
      </c>
      <c r="AB681" s="581"/>
      <c r="AC681" s="583"/>
      <c r="AD681" s="251"/>
    </row>
    <row r="682" spans="15:30" x14ac:dyDescent="0.3">
      <c r="O682" s="98"/>
      <c r="T682" s="250"/>
      <c r="U682" s="252">
        <f t="shared" si="47"/>
        <v>44627</v>
      </c>
      <c r="V682" s="6"/>
      <c r="W682" s="580">
        <v>453487</v>
      </c>
      <c r="X682" s="581"/>
      <c r="Y682" s="44">
        <v>3.0000000000000001E-3</v>
      </c>
      <c r="Z682" s="581"/>
      <c r="AA682" s="582">
        <f t="shared" ref="AA682" si="82">+W681-W682</f>
        <v>50164</v>
      </c>
      <c r="AB682" s="581"/>
      <c r="AC682" s="583"/>
      <c r="AD682" s="251"/>
    </row>
    <row r="683" spans="15:30" x14ac:dyDescent="0.3">
      <c r="O683" s="98"/>
      <c r="T683" s="250"/>
      <c r="U683" s="252">
        <f t="shared" si="47"/>
        <v>44628</v>
      </c>
      <c r="V683" s="6"/>
      <c r="W683" s="580">
        <v>411950</v>
      </c>
      <c r="X683" s="581"/>
      <c r="Y683" s="44">
        <v>3.0000000000000001E-3</v>
      </c>
      <c r="Z683" s="581"/>
      <c r="AA683" s="582">
        <f t="shared" ref="AA683" si="83">+W682-W683</f>
        <v>41537</v>
      </c>
      <c r="AB683" s="581"/>
      <c r="AC683" s="583"/>
      <c r="AD683" s="251"/>
    </row>
    <row r="684" spans="15:30" x14ac:dyDescent="0.3">
      <c r="O684" s="98"/>
      <c r="T684" s="250"/>
      <c r="U684" s="252">
        <f t="shared" si="47"/>
        <v>44629</v>
      </c>
      <c r="V684" s="6"/>
      <c r="W684" s="580">
        <v>374629</v>
      </c>
      <c r="X684" s="581"/>
      <c r="Y684" s="44">
        <v>3.0000000000000001E-3</v>
      </c>
      <c r="Z684" s="581"/>
      <c r="AA684" s="582">
        <f t="shared" ref="AA684" si="84">+W683-W684</f>
        <v>37321</v>
      </c>
      <c r="AB684" s="581"/>
      <c r="AC684" s="583"/>
      <c r="AD684" s="251"/>
    </row>
    <row r="685" spans="15:30" x14ac:dyDescent="0.3">
      <c r="O685" s="98"/>
      <c r="T685" s="250"/>
      <c r="U685" s="252">
        <f t="shared" si="47"/>
        <v>44630</v>
      </c>
      <c r="V685" s="6"/>
      <c r="W685" s="580">
        <v>386394</v>
      </c>
      <c r="X685" s="581"/>
      <c r="Y685" s="44">
        <v>3.0000000000000001E-3</v>
      </c>
      <c r="Z685" s="581"/>
      <c r="AA685" s="582">
        <f t="shared" ref="AA685" si="85">+W684-W685</f>
        <v>-11765</v>
      </c>
      <c r="AB685" s="581"/>
      <c r="AC685" s="583"/>
      <c r="AD685" s="251"/>
    </row>
    <row r="686" spans="15:30" x14ac:dyDescent="0.3">
      <c r="O686" s="98"/>
      <c r="T686" s="250"/>
      <c r="U686" s="252">
        <f t="shared" si="47"/>
        <v>44631</v>
      </c>
      <c r="V686" s="6"/>
      <c r="W686" s="580">
        <v>417900</v>
      </c>
      <c r="X686" s="581"/>
      <c r="Y686" s="44">
        <v>3.0000000000000001E-3</v>
      </c>
      <c r="Z686" s="581"/>
      <c r="AA686" s="582">
        <f t="shared" ref="AA686" si="86">+W685-W686</f>
        <v>-31506</v>
      </c>
      <c r="AB686" s="581"/>
      <c r="AC686" s="583"/>
      <c r="AD686" s="251"/>
    </row>
    <row r="687" spans="15:30" x14ac:dyDescent="0.3">
      <c r="O687" s="98"/>
      <c r="T687" s="250"/>
      <c r="U687" s="252">
        <f t="shared" si="47"/>
        <v>44632</v>
      </c>
      <c r="V687" s="6"/>
      <c r="W687" s="580">
        <v>397028</v>
      </c>
      <c r="X687" s="581"/>
      <c r="Y687" s="44">
        <v>3.0000000000000001E-3</v>
      </c>
      <c r="Z687" s="581"/>
      <c r="AA687" s="582">
        <f t="shared" ref="AA687" si="87">+W686-W687</f>
        <v>20872</v>
      </c>
      <c r="AB687" s="581"/>
      <c r="AC687" s="583"/>
      <c r="AD687" s="251"/>
    </row>
    <row r="688" spans="15:30" x14ac:dyDescent="0.3">
      <c r="O688" s="98"/>
      <c r="T688" s="250"/>
      <c r="U688" s="573">
        <f t="shared" si="47"/>
        <v>44633</v>
      </c>
      <c r="V688" s="6"/>
      <c r="W688" s="580">
        <v>360133</v>
      </c>
      <c r="X688" s="581"/>
      <c r="Y688" s="44">
        <v>3.0000000000000001E-3</v>
      </c>
      <c r="Z688" s="581"/>
      <c r="AA688" s="582">
        <f t="shared" ref="AA688" si="88">+W687-W688</f>
        <v>36895</v>
      </c>
      <c r="AB688" s="581"/>
      <c r="AC688" s="583"/>
      <c r="AD688" s="251"/>
    </row>
    <row r="689" spans="15:30" x14ac:dyDescent="0.3">
      <c r="O689" s="98"/>
      <c r="T689" s="250"/>
      <c r="U689" s="252">
        <f t="shared" si="47"/>
        <v>44634</v>
      </c>
      <c r="V689" s="6"/>
      <c r="W689" s="580">
        <v>328748</v>
      </c>
      <c r="X689" s="581"/>
      <c r="Y689" s="44">
        <v>3.0000000000000001E-3</v>
      </c>
      <c r="Z689" s="581"/>
      <c r="AA689" s="582">
        <f t="shared" ref="AA689" si="89">+W688-W689</f>
        <v>31385</v>
      </c>
      <c r="AB689" s="581"/>
      <c r="AC689" s="583"/>
      <c r="AD689" s="251"/>
    </row>
    <row r="690" spans="15:30" x14ac:dyDescent="0.3">
      <c r="O690" s="98"/>
      <c r="T690" s="250"/>
      <c r="U690" s="252">
        <f t="shared" si="47"/>
        <v>44635</v>
      </c>
      <c r="V690" s="6"/>
      <c r="W690" s="580">
        <v>298767</v>
      </c>
      <c r="X690" s="581"/>
      <c r="Y690" s="44">
        <v>3.0000000000000001E-3</v>
      </c>
      <c r="Z690" s="581"/>
      <c r="AA690" s="582">
        <f t="shared" ref="AA690" si="90">+W689-W690</f>
        <v>29981</v>
      </c>
      <c r="AB690" s="581"/>
      <c r="AC690" s="583"/>
      <c r="AD690" s="251"/>
    </row>
    <row r="691" spans="15:30" x14ac:dyDescent="0.3">
      <c r="O691" s="98"/>
      <c r="T691" s="250"/>
      <c r="U691" s="252">
        <f t="shared" si="47"/>
        <v>44636</v>
      </c>
      <c r="V691" s="6"/>
      <c r="W691" s="580">
        <v>268203</v>
      </c>
      <c r="X691" s="581"/>
      <c r="Y691" s="44">
        <v>3.0000000000000001E-3</v>
      </c>
      <c r="Z691" s="581"/>
      <c r="AA691" s="582">
        <f t="shared" ref="AA691" si="91">+W690-W691</f>
        <v>30564</v>
      </c>
      <c r="AB691" s="581"/>
      <c r="AC691" s="583"/>
      <c r="AD691" s="251"/>
    </row>
    <row r="692" spans="15:30" x14ac:dyDescent="0.3">
      <c r="O692" s="98"/>
      <c r="T692" s="250"/>
      <c r="U692" s="252">
        <f t="shared" si="47"/>
        <v>44637</v>
      </c>
      <c r="V692" s="6"/>
      <c r="W692" s="580">
        <v>277814</v>
      </c>
      <c r="X692" s="581"/>
      <c r="Y692" s="44">
        <v>3.0000000000000001E-3</v>
      </c>
      <c r="Z692" s="581"/>
      <c r="AA692" s="582">
        <f t="shared" ref="AA692" si="92">+W691-W692</f>
        <v>-9611</v>
      </c>
      <c r="AB692" s="581"/>
      <c r="AC692" s="583"/>
      <c r="AD692" s="251"/>
    </row>
    <row r="693" spans="15:30" x14ac:dyDescent="0.3">
      <c r="O693" s="98"/>
      <c r="T693" s="250"/>
      <c r="U693" s="252">
        <f t="shared" si="47"/>
        <v>44638</v>
      </c>
      <c r="V693" s="6"/>
      <c r="W693" s="580">
        <v>280309</v>
      </c>
      <c r="X693" s="581"/>
      <c r="Y693" s="44">
        <v>3.0000000000000001E-3</v>
      </c>
      <c r="Z693" s="581"/>
      <c r="AA693" s="582">
        <f t="shared" ref="AA693" si="93">+W692-W693</f>
        <v>-2495</v>
      </c>
      <c r="AB693" s="581"/>
      <c r="AC693" s="583"/>
      <c r="AD693" s="251"/>
    </row>
    <row r="694" spans="15:30" x14ac:dyDescent="0.3">
      <c r="O694" s="98"/>
      <c r="T694" s="250"/>
      <c r="U694" s="252">
        <f t="shared" si="47"/>
        <v>44639</v>
      </c>
      <c r="V694" s="6"/>
      <c r="W694" s="580">
        <v>253323</v>
      </c>
      <c r="X694" s="581"/>
      <c r="Y694" s="44">
        <v>3.0000000000000001E-3</v>
      </c>
      <c r="Z694" s="581"/>
      <c r="AA694" s="582">
        <f t="shared" ref="AA694" si="94">+W693-W694</f>
        <v>26986</v>
      </c>
      <c r="AB694" s="581"/>
      <c r="AC694" s="583"/>
      <c r="AD694" s="251"/>
    </row>
    <row r="695" spans="15:30" x14ac:dyDescent="0.3">
      <c r="O695" s="98"/>
      <c r="T695" s="250"/>
      <c r="U695" s="573">
        <f t="shared" si="47"/>
        <v>44640</v>
      </c>
      <c r="V695" s="6"/>
      <c r="W695" s="580">
        <v>221166</v>
      </c>
      <c r="X695" s="581"/>
      <c r="Y695" s="44">
        <v>3.0000000000000001E-3</v>
      </c>
      <c r="Z695" s="581"/>
      <c r="AA695" s="582">
        <f t="shared" ref="AA695" si="95">+W694-W695</f>
        <v>32157</v>
      </c>
      <c r="AB695" s="581"/>
      <c r="AC695" s="583"/>
      <c r="AD695" s="251"/>
    </row>
    <row r="696" spans="15:30" x14ac:dyDescent="0.3">
      <c r="O696" s="98"/>
      <c r="T696" s="250"/>
      <c r="U696" s="252">
        <f t="shared" si="47"/>
        <v>44641</v>
      </c>
      <c r="V696" s="6"/>
      <c r="W696" s="580">
        <v>198264</v>
      </c>
      <c r="X696" s="581"/>
      <c r="Y696" s="44">
        <v>3.0000000000000001E-3</v>
      </c>
      <c r="Z696" s="581"/>
      <c r="AA696" s="582">
        <f t="shared" ref="AA696" si="96">+W695-W696</f>
        <v>22902</v>
      </c>
      <c r="AB696" s="581"/>
      <c r="AC696" s="583"/>
      <c r="AD696" s="251"/>
    </row>
    <row r="697" spans="15:30" x14ac:dyDescent="0.3">
      <c r="O697" s="98"/>
      <c r="T697" s="250"/>
      <c r="U697" s="252">
        <f t="shared" si="47"/>
        <v>44642</v>
      </c>
      <c r="V697" s="6"/>
      <c r="W697" s="580">
        <v>218521</v>
      </c>
      <c r="X697" s="581"/>
      <c r="Y697" s="44">
        <v>3.0000000000000001E-3</v>
      </c>
      <c r="Z697" s="581"/>
      <c r="AA697" s="582">
        <f t="shared" ref="AA697" si="97">+W696-W697</f>
        <v>-20257</v>
      </c>
      <c r="AB697" s="581"/>
      <c r="AC697" s="583"/>
      <c r="AD697" s="251"/>
    </row>
    <row r="698" spans="15:30" x14ac:dyDescent="0.3">
      <c r="O698" s="98"/>
      <c r="T698" s="250"/>
      <c r="U698" s="252">
        <f t="shared" si="47"/>
        <v>44643</v>
      </c>
      <c r="V698" s="6"/>
      <c r="W698" s="580">
        <v>241521</v>
      </c>
      <c r="X698" s="581"/>
      <c r="Y698" s="44">
        <v>3.0000000000000001E-3</v>
      </c>
      <c r="Z698" s="581"/>
      <c r="AA698" s="582">
        <f t="shared" ref="AA698" si="98">+W697-W698</f>
        <v>-23000</v>
      </c>
      <c r="AB698" s="581"/>
      <c r="AC698" s="583"/>
      <c r="AD698" s="251"/>
    </row>
    <row r="699" spans="15:30" x14ac:dyDescent="0.3">
      <c r="O699" s="98"/>
      <c r="T699" s="250"/>
      <c r="U699" s="252">
        <f t="shared" si="47"/>
        <v>44644</v>
      </c>
      <c r="V699" s="6"/>
      <c r="W699" s="580">
        <v>267903</v>
      </c>
      <c r="X699" s="581"/>
      <c r="Y699" s="44">
        <v>3.0000000000000001E-3</v>
      </c>
      <c r="Z699" s="581"/>
      <c r="AA699" s="582">
        <f t="shared" ref="AA699" si="99">+W698-W699</f>
        <v>-26382</v>
      </c>
      <c r="AB699" s="581"/>
      <c r="AC699" s="583"/>
      <c r="AD699" s="251"/>
    </row>
    <row r="700" spans="15:30" x14ac:dyDescent="0.3">
      <c r="O700" s="98"/>
      <c r="T700" s="250"/>
      <c r="U700" s="252">
        <f t="shared" si="47"/>
        <v>44645</v>
      </c>
      <c r="V700" s="6"/>
      <c r="W700" s="580">
        <v>280241</v>
      </c>
      <c r="X700" s="581"/>
      <c r="Y700" s="44">
        <v>3.0000000000000001E-3</v>
      </c>
      <c r="Z700" s="581"/>
      <c r="AA700" s="582">
        <f t="shared" ref="AA700" si="100">+W699-W700</f>
        <v>-12338</v>
      </c>
      <c r="AB700" s="581"/>
      <c r="AC700" s="583"/>
      <c r="AD700" s="251"/>
    </row>
    <row r="701" spans="15:30" x14ac:dyDescent="0.3">
      <c r="O701" s="98"/>
      <c r="T701" s="250"/>
      <c r="U701" s="252">
        <f t="shared" si="47"/>
        <v>44646</v>
      </c>
      <c r="V701" s="6"/>
      <c r="W701" s="580">
        <v>270147</v>
      </c>
      <c r="X701" s="581"/>
      <c r="Y701" s="44">
        <v>3.0000000000000001E-3</v>
      </c>
      <c r="Z701" s="581"/>
      <c r="AA701" s="582">
        <f t="shared" ref="AA701" si="101">+W700-W701</f>
        <v>10094</v>
      </c>
      <c r="AB701" s="581"/>
      <c r="AC701" s="583"/>
      <c r="AD701" s="251"/>
    </row>
    <row r="702" spans="15:30" x14ac:dyDescent="0.3">
      <c r="O702" s="98"/>
      <c r="T702" s="250"/>
      <c r="U702" s="573">
        <f t="shared" si="47"/>
        <v>44647</v>
      </c>
      <c r="V702" s="6"/>
      <c r="W702" s="580">
        <v>244545</v>
      </c>
      <c r="X702" s="581"/>
      <c r="Y702" s="44">
        <v>3.0000000000000001E-3</v>
      </c>
      <c r="Z702" s="581"/>
      <c r="AA702" s="582">
        <f t="shared" ref="AA702" si="102">+W701-W702</f>
        <v>25602</v>
      </c>
      <c r="AB702" s="581"/>
      <c r="AC702" s="583"/>
      <c r="AD702" s="251"/>
    </row>
    <row r="703" spans="15:30" x14ac:dyDescent="0.3">
      <c r="O703" s="98"/>
      <c r="T703" s="250"/>
      <c r="U703" s="252">
        <f t="shared" si="47"/>
        <v>44648</v>
      </c>
      <c r="V703" s="6"/>
      <c r="W703" s="580">
        <v>225970</v>
      </c>
      <c r="X703" s="581"/>
      <c r="Y703" s="44">
        <v>3.0000000000000001E-3</v>
      </c>
      <c r="Z703" s="581"/>
      <c r="AA703" s="582">
        <f t="shared" ref="AA703" si="103">+W702-W703</f>
        <v>18575</v>
      </c>
      <c r="AB703" s="581"/>
      <c r="AC703" s="583"/>
      <c r="AD703" s="251"/>
    </row>
    <row r="704" spans="15:30" x14ac:dyDescent="0.3">
      <c r="O704" s="98"/>
      <c r="T704" s="250"/>
      <c r="U704" s="252">
        <f t="shared" si="47"/>
        <v>44649</v>
      </c>
      <c r="V704" s="6"/>
      <c r="W704" s="580">
        <v>217652</v>
      </c>
      <c r="X704" s="581"/>
      <c r="Y704" s="44">
        <v>3.0000000000000001E-3</v>
      </c>
      <c r="Z704" s="581"/>
      <c r="AA704" s="582">
        <f t="shared" ref="AA704" si="104">+W703-W704</f>
        <v>8318</v>
      </c>
      <c r="AB704" s="581"/>
      <c r="AC704" s="583"/>
      <c r="AD704" s="251"/>
    </row>
    <row r="705" spans="15:30" x14ac:dyDescent="0.3">
      <c r="O705" s="98"/>
      <c r="T705" s="250"/>
      <c r="U705" s="252">
        <f t="shared" si="47"/>
        <v>44650</v>
      </c>
      <c r="V705" s="6"/>
      <c r="W705" s="580">
        <v>237410</v>
      </c>
      <c r="X705" s="581"/>
      <c r="Y705" s="44">
        <v>3.0000000000000001E-3</v>
      </c>
      <c r="Z705" s="581"/>
      <c r="AA705" s="582">
        <f t="shared" ref="AA705" si="105">+W704-W705</f>
        <v>-19758</v>
      </c>
      <c r="AB705" s="581"/>
      <c r="AC705" s="583"/>
      <c r="AD705" s="251"/>
    </row>
    <row r="706" spans="15:30" x14ac:dyDescent="0.3">
      <c r="O706" s="98"/>
      <c r="T706" s="250"/>
      <c r="U706" s="252">
        <f t="shared" si="47"/>
        <v>44651</v>
      </c>
      <c r="V706" s="6"/>
      <c r="W706" s="580">
        <v>265904</v>
      </c>
      <c r="X706" s="581"/>
      <c r="Y706" s="44">
        <v>3.0000000000000001E-3</v>
      </c>
      <c r="Z706" s="581"/>
      <c r="AA706" s="582">
        <f t="shared" ref="AA706" si="106">+W705-W706</f>
        <v>-28494</v>
      </c>
      <c r="AB706" s="581"/>
      <c r="AC706" s="583"/>
      <c r="AD706" s="251"/>
    </row>
    <row r="707" spans="15:30" x14ac:dyDescent="0.3">
      <c r="O707" s="98"/>
      <c r="T707" s="250"/>
      <c r="U707" s="252">
        <f t="shared" si="47"/>
        <v>44652</v>
      </c>
      <c r="V707" s="6"/>
      <c r="W707" s="580">
        <v>280073</v>
      </c>
      <c r="X707" s="581"/>
      <c r="Y707" s="44">
        <v>3.0000000000000001E-3</v>
      </c>
      <c r="Z707" s="581"/>
      <c r="AA707" s="582">
        <f t="shared" ref="AA707" si="107">+W706-W707</f>
        <v>-14169</v>
      </c>
      <c r="AB707" s="581"/>
      <c r="AC707" s="583"/>
      <c r="AD707" s="251"/>
    </row>
    <row r="708" spans="15:30" x14ac:dyDescent="0.3">
      <c r="O708" s="98"/>
      <c r="T708" s="250"/>
      <c r="U708" s="252">
        <f t="shared" si="47"/>
        <v>44653</v>
      </c>
      <c r="V708" s="6"/>
      <c r="W708" s="580">
        <v>269028</v>
      </c>
      <c r="X708" s="581"/>
      <c r="Y708" s="44">
        <v>3.0000000000000001E-3</v>
      </c>
      <c r="Z708" s="581"/>
      <c r="AA708" s="582">
        <f t="shared" ref="AA708" si="108">+W707-W708</f>
        <v>11045</v>
      </c>
      <c r="AB708" s="581"/>
      <c r="AC708" s="583"/>
      <c r="AD708" s="251"/>
    </row>
    <row r="709" spans="15:30" x14ac:dyDescent="0.3">
      <c r="O709" s="98"/>
      <c r="T709" s="250"/>
      <c r="U709" s="573">
        <f t="shared" si="47"/>
        <v>44654</v>
      </c>
      <c r="V709" s="6"/>
      <c r="W709" s="580">
        <v>243179</v>
      </c>
      <c r="X709" s="581"/>
      <c r="Y709" s="44">
        <v>3.0000000000000001E-3</v>
      </c>
      <c r="Z709" s="581"/>
      <c r="AA709" s="582">
        <f t="shared" ref="AA709" si="109">+W708-W709</f>
        <v>25849</v>
      </c>
      <c r="AB709" s="581"/>
      <c r="AC709" s="583"/>
      <c r="AD709" s="251"/>
    </row>
    <row r="710" spans="15:30" x14ac:dyDescent="0.3">
      <c r="O710" s="98"/>
      <c r="T710" s="250"/>
      <c r="U710" s="252">
        <f t="shared" si="47"/>
        <v>44655</v>
      </c>
      <c r="V710" s="6"/>
      <c r="W710" s="580">
        <v>230506</v>
      </c>
      <c r="X710" s="581"/>
      <c r="Y710" s="44">
        <v>3.0000000000000001E-3</v>
      </c>
      <c r="Z710" s="581"/>
      <c r="AA710" s="582">
        <f t="shared" ref="AA710" si="110">+W709-W710</f>
        <v>12673</v>
      </c>
      <c r="AB710" s="581"/>
      <c r="AC710" s="583"/>
      <c r="AD710" s="251"/>
    </row>
    <row r="711" spans="15:30" x14ac:dyDescent="0.3">
      <c r="O711" s="98"/>
      <c r="T711" s="250"/>
      <c r="U711" s="252">
        <f t="shared" si="47"/>
        <v>44656</v>
      </c>
      <c r="V711" s="6"/>
      <c r="W711" s="580">
        <v>224023</v>
      </c>
      <c r="X711" s="581"/>
      <c r="Y711" s="44">
        <v>3.0000000000000001E-3</v>
      </c>
      <c r="Z711" s="581"/>
      <c r="AA711" s="582">
        <f t="shared" ref="AA711" si="111">+W710-W711</f>
        <v>6483</v>
      </c>
      <c r="AB711" s="581"/>
      <c r="AC711" s="583"/>
      <c r="AD711" s="251"/>
    </row>
    <row r="712" spans="15:30" x14ac:dyDescent="0.3">
      <c r="O712" s="98"/>
      <c r="T712" s="250"/>
      <c r="U712" s="252">
        <f t="shared" si="47"/>
        <v>44657</v>
      </c>
      <c r="V712" s="6"/>
      <c r="W712" s="580">
        <v>239598</v>
      </c>
      <c r="X712" s="581"/>
      <c r="Y712" s="44">
        <v>3.0000000000000001E-3</v>
      </c>
      <c r="Z712" s="581"/>
      <c r="AA712" s="582">
        <f t="shared" ref="AA712" si="112">+W711-W712</f>
        <v>-15575</v>
      </c>
      <c r="AB712" s="581"/>
      <c r="AC712" s="583"/>
      <c r="AD712" s="251"/>
    </row>
    <row r="713" spans="15:30" x14ac:dyDescent="0.3">
      <c r="O713" s="98"/>
      <c r="T713" s="250"/>
      <c r="U713" s="252">
        <f t="shared" si="47"/>
        <v>44658</v>
      </c>
      <c r="V713" s="6"/>
      <c r="W713" s="580">
        <v>302565</v>
      </c>
      <c r="X713" s="581"/>
      <c r="Y713" s="44">
        <v>3.0000000000000001E-3</v>
      </c>
      <c r="Z713" s="581"/>
      <c r="AA713" s="582">
        <f t="shared" ref="AA713" si="113">+W712-W713</f>
        <v>-62967</v>
      </c>
      <c r="AB713" s="581"/>
      <c r="AC713" s="583"/>
      <c r="AD713" s="251"/>
    </row>
    <row r="714" spans="15:30" x14ac:dyDescent="0.3">
      <c r="O714" s="98"/>
      <c r="T714" s="250"/>
      <c r="U714" s="252">
        <f t="shared" si="47"/>
        <v>44659</v>
      </c>
      <c r="V714" s="6"/>
      <c r="W714" s="580">
        <v>261712</v>
      </c>
      <c r="X714" s="581"/>
      <c r="Y714" s="44">
        <v>3.0000000000000001E-3</v>
      </c>
      <c r="Z714" s="581"/>
      <c r="AA714" s="582">
        <f t="shared" ref="AA714" si="114">+W713-W714</f>
        <v>40853</v>
      </c>
      <c r="AB714" s="581"/>
      <c r="AC714" s="583"/>
      <c r="AD714" s="251"/>
    </row>
    <row r="715" spans="15:30" x14ac:dyDescent="0.3">
      <c r="O715" s="98"/>
      <c r="T715" s="250"/>
      <c r="U715" s="252">
        <f t="shared" si="47"/>
        <v>44660</v>
      </c>
      <c r="V715" s="6"/>
      <c r="W715" s="580">
        <v>245041</v>
      </c>
      <c r="X715" s="581"/>
      <c r="Y715" s="44">
        <v>3.0000000000000001E-3</v>
      </c>
      <c r="Z715" s="581"/>
      <c r="AA715" s="582">
        <f t="shared" ref="AA715" si="115">+W714-W715</f>
        <v>16671</v>
      </c>
      <c r="AB715" s="581"/>
      <c r="AC715" s="583"/>
      <c r="AD715" s="251"/>
    </row>
    <row r="716" spans="15:30" x14ac:dyDescent="0.3">
      <c r="O716" s="98"/>
      <c r="T716" s="250"/>
      <c r="U716" s="252">
        <f t="shared" si="47"/>
        <v>44661</v>
      </c>
      <c r="V716" s="6"/>
      <c r="W716" s="580">
        <f>+I$36</f>
        <v>220184</v>
      </c>
      <c r="X716" s="581"/>
      <c r="Y716" s="44">
        <v>3.0000000000000001E-3</v>
      </c>
      <c r="Z716" s="581"/>
      <c r="AA716" s="582">
        <f t="shared" ref="AA716" si="116">+W715-W716</f>
        <v>24857</v>
      </c>
      <c r="AB716" s="581"/>
      <c r="AC716" s="583"/>
      <c r="AD716" s="251"/>
    </row>
    <row r="717" spans="15:30" x14ac:dyDescent="0.3">
      <c r="O717" s="98"/>
      <c r="T717" s="250"/>
      <c r="U717" s="252">
        <f t="shared" si="47"/>
        <v>44662</v>
      </c>
      <c r="V717" s="6"/>
      <c r="W717" s="580"/>
      <c r="X717" s="581"/>
      <c r="Y717" s="44"/>
      <c r="Z717" s="581"/>
      <c r="AA717" s="582"/>
      <c r="AB717" s="581"/>
      <c r="AC717" s="583"/>
      <c r="AD717" s="251"/>
    </row>
    <row r="718" spans="15:30" x14ac:dyDescent="0.3">
      <c r="O718" s="98"/>
      <c r="T718" s="250"/>
      <c r="U718" s="252">
        <f t="shared" si="47"/>
        <v>44663</v>
      </c>
      <c r="V718" s="6"/>
      <c r="W718" s="253"/>
      <c r="X718" s="6"/>
      <c r="Y718" s="44"/>
      <c r="Z718" s="6"/>
      <c r="AA718" s="254"/>
      <c r="AB718" s="6"/>
      <c r="AC718" s="258"/>
      <c r="AD718" s="251"/>
    </row>
    <row r="719" spans="15:30" ht="15" thickBot="1" x14ac:dyDescent="0.35">
      <c r="O719" s="98"/>
      <c r="T719" s="255"/>
      <c r="U719" s="350">
        <f t="shared" si="25"/>
        <v>44664</v>
      </c>
      <c r="V719" s="247"/>
      <c r="W719" s="351"/>
      <c r="X719" s="247"/>
      <c r="Y719" s="256"/>
      <c r="Z719" s="247"/>
      <c r="AA719" s="352"/>
      <c r="AB719" s="247"/>
      <c r="AC719" s="353"/>
      <c r="AD719" s="257"/>
    </row>
    <row r="720" spans="15:30" x14ac:dyDescent="0.3">
      <c r="O720" s="98"/>
    </row>
    <row r="721" spans="4:36" x14ac:dyDescent="0.3">
      <c r="O721" s="98"/>
      <c r="P721" s="57"/>
      <c r="Q721" s="57"/>
      <c r="R721" s="57"/>
      <c r="W721" s="56"/>
    </row>
    <row r="722" spans="4:36" x14ac:dyDescent="0.3">
      <c r="O722" s="98"/>
    </row>
    <row r="723" spans="4:36" ht="15" thickBot="1" x14ac:dyDescent="0.35">
      <c r="O723" s="98"/>
    </row>
    <row r="724" spans="4:36" ht="15.6" thickTop="1" thickBot="1" x14ac:dyDescent="0.35">
      <c r="Q724" s="441"/>
      <c r="R724" s="442"/>
      <c r="S724" s="442"/>
      <c r="T724" s="442"/>
      <c r="U724" s="442"/>
      <c r="V724" s="442"/>
      <c r="W724" s="442"/>
      <c r="X724" s="442"/>
      <c r="Y724" s="442"/>
      <c r="Z724" s="442"/>
      <c r="AA724" s="442"/>
      <c r="AB724" s="443"/>
    </row>
    <row r="725" spans="4:36" ht="15" thickBot="1" x14ac:dyDescent="0.35">
      <c r="E725" s="712" t="s">
        <v>106</v>
      </c>
      <c r="F725" s="713"/>
      <c r="G725" s="713"/>
      <c r="H725" s="713"/>
      <c r="I725" s="713"/>
      <c r="J725" s="713"/>
      <c r="K725" s="713"/>
      <c r="L725" s="713"/>
      <c r="M725" s="714"/>
      <c r="Q725" s="444"/>
      <c r="R725" s="6"/>
      <c r="S725" s="6"/>
      <c r="T725" s="6"/>
      <c r="U725" s="5" t="s">
        <v>132</v>
      </c>
      <c r="V725" s="5"/>
      <c r="W725" s="5"/>
      <c r="X725" s="5"/>
      <c r="Y725" s="5"/>
      <c r="Z725" s="5"/>
      <c r="AA725" s="5" t="s">
        <v>28</v>
      </c>
      <c r="AB725" s="445"/>
    </row>
    <row r="726" spans="4:36" x14ac:dyDescent="0.3">
      <c r="E726" s="395"/>
      <c r="F726" s="396" t="s">
        <v>107</v>
      </c>
      <c r="G726" s="396"/>
      <c r="H726" s="396"/>
      <c r="I726" s="715">
        <v>21477737</v>
      </c>
      <c r="J726" s="715"/>
      <c r="K726" s="715"/>
      <c r="L726" s="715"/>
      <c r="M726" s="397"/>
      <c r="Q726" s="444"/>
      <c r="R726" s="437" t="s">
        <v>134</v>
      </c>
      <c r="S726" s="6"/>
      <c r="T726" s="6"/>
      <c r="U726" s="437" t="s">
        <v>133</v>
      </c>
      <c r="V726" s="5"/>
      <c r="W726" s="437" t="s">
        <v>20</v>
      </c>
      <c r="X726" s="5"/>
      <c r="Y726" s="437" t="s">
        <v>4</v>
      </c>
      <c r="Z726" s="5"/>
      <c r="AA726" s="446" t="s">
        <v>131</v>
      </c>
      <c r="AB726" s="445"/>
    </row>
    <row r="727" spans="4:36" x14ac:dyDescent="0.3">
      <c r="E727" s="395"/>
      <c r="F727" s="396" t="s">
        <v>97</v>
      </c>
      <c r="G727" s="396"/>
      <c r="H727" s="396"/>
      <c r="I727" s="396"/>
      <c r="J727" s="396"/>
      <c r="K727" s="396"/>
      <c r="L727" s="398">
        <f>+I739/I726</f>
        <v>4.5847474526762295E-4</v>
      </c>
      <c r="M727" s="397"/>
      <c r="Q727" s="444"/>
      <c r="R727" s="6" t="s">
        <v>121</v>
      </c>
      <c r="S727" s="6"/>
      <c r="T727" s="6"/>
      <c r="U727" s="7">
        <v>2003</v>
      </c>
      <c r="V727" s="6"/>
      <c r="W727" s="7">
        <v>389666</v>
      </c>
      <c r="X727" s="6"/>
      <c r="Y727" s="7">
        <v>31257</v>
      </c>
      <c r="Z727" s="6"/>
      <c r="AA727" s="253">
        <f>+AJ727</f>
        <v>19500</v>
      </c>
      <c r="AB727" s="445"/>
      <c r="AJ727" s="1">
        <v>19500</v>
      </c>
    </row>
    <row r="728" spans="4:36" x14ac:dyDescent="0.3">
      <c r="E728" s="395"/>
      <c r="F728" s="716" t="s">
        <v>95</v>
      </c>
      <c r="G728" s="716"/>
      <c r="H728" s="396"/>
      <c r="I728" s="396"/>
      <c r="J728" s="396"/>
      <c r="K728" s="396"/>
      <c r="L728" s="399">
        <f>+I739/(I726/100000)</f>
        <v>45.847474526762298</v>
      </c>
      <c r="M728" s="397"/>
      <c r="Q728" s="444"/>
      <c r="R728" s="6" t="s">
        <v>122</v>
      </c>
      <c r="S728" s="6"/>
      <c r="T728" s="6"/>
      <c r="U728" s="7">
        <v>1913</v>
      </c>
      <c r="V728" s="6"/>
      <c r="W728" s="7">
        <v>169892</v>
      </c>
      <c r="X728" s="6"/>
      <c r="Y728" s="7">
        <v>13076</v>
      </c>
      <c r="Z728" s="6"/>
      <c r="AA728" s="253">
        <f t="shared" ref="AA728:AA736" si="117">+AJ728</f>
        <v>8900</v>
      </c>
      <c r="AB728" s="445"/>
      <c r="AJ728" s="1">
        <v>8900</v>
      </c>
    </row>
    <row r="729" spans="4:36" x14ac:dyDescent="0.3">
      <c r="E729" s="395"/>
      <c r="F729" s="400"/>
      <c r="G729" s="400"/>
      <c r="H729" s="396"/>
      <c r="I729" s="396"/>
      <c r="J729" s="396"/>
      <c r="K729" s="396"/>
      <c r="L729" s="399"/>
      <c r="M729" s="397"/>
      <c r="Q729" s="444"/>
      <c r="R729" s="6" t="s">
        <v>123</v>
      </c>
      <c r="S729" s="6"/>
      <c r="T729" s="6"/>
      <c r="U729" s="7">
        <v>1568</v>
      </c>
      <c r="V729" s="6"/>
      <c r="W729" s="7">
        <v>16606</v>
      </c>
      <c r="X729" s="6"/>
      <c r="Y729" s="7">
        <v>912</v>
      </c>
      <c r="Z729" s="6"/>
      <c r="AA729" s="253">
        <f t="shared" si="117"/>
        <v>1100</v>
      </c>
      <c r="AB729" s="445"/>
      <c r="AJ729" s="1">
        <v>1100</v>
      </c>
    </row>
    <row r="730" spans="4:36" x14ac:dyDescent="0.3">
      <c r="E730" s="395"/>
      <c r="F730" s="400" t="s">
        <v>108</v>
      </c>
      <c r="G730" s="400"/>
      <c r="H730" s="716" t="s">
        <v>109</v>
      </c>
      <c r="I730" s="716"/>
      <c r="J730" s="396"/>
      <c r="K730" s="396"/>
      <c r="L730" s="399"/>
      <c r="M730" s="397"/>
      <c r="Q730" s="444"/>
      <c r="R730" s="6" t="s">
        <v>56</v>
      </c>
      <c r="S730" s="6"/>
      <c r="T730" s="6"/>
      <c r="U730" s="7">
        <v>1561</v>
      </c>
      <c r="V730" s="6"/>
      <c r="W730" s="7">
        <v>107611</v>
      </c>
      <c r="X730" s="6"/>
      <c r="Y730" s="7">
        <v>7937</v>
      </c>
      <c r="Z730" s="6"/>
      <c r="AA730" s="253">
        <f t="shared" si="117"/>
        <v>7000</v>
      </c>
      <c r="AB730" s="445"/>
      <c r="AJ730" s="1">
        <v>7000</v>
      </c>
    </row>
    <row r="731" spans="4:36" ht="15" thickBot="1" x14ac:dyDescent="0.35">
      <c r="E731" s="401"/>
      <c r="F731" s="402"/>
      <c r="G731" s="402"/>
      <c r="H731" s="402"/>
      <c r="I731" s="402"/>
      <c r="J731" s="402"/>
      <c r="K731" s="402"/>
      <c r="L731" s="402"/>
      <c r="M731" s="403"/>
      <c r="Q731" s="444"/>
      <c r="R731" s="6" t="s">
        <v>128</v>
      </c>
      <c r="S731" s="6"/>
      <c r="T731" s="6"/>
      <c r="U731" s="7">
        <v>1435</v>
      </c>
      <c r="V731" s="6"/>
      <c r="W731" s="7">
        <v>10128</v>
      </c>
      <c r="X731" s="6"/>
      <c r="Y731" s="7">
        <v>541</v>
      </c>
      <c r="Z731" s="6"/>
      <c r="AA731" s="253">
        <f t="shared" si="117"/>
        <v>700</v>
      </c>
      <c r="AB731" s="445"/>
      <c r="AJ731" s="1">
        <v>700</v>
      </c>
    </row>
    <row r="732" spans="4:36" x14ac:dyDescent="0.3">
      <c r="Q732" s="444"/>
      <c r="R732" s="6" t="s">
        <v>124</v>
      </c>
      <c r="S732" s="6"/>
      <c r="T732" s="6"/>
      <c r="U732" s="7">
        <v>1288</v>
      </c>
      <c r="V732" s="6"/>
      <c r="W732" s="7">
        <v>45913</v>
      </c>
      <c r="X732" s="6"/>
      <c r="Y732" s="7">
        <v>4287</v>
      </c>
      <c r="Z732" s="6"/>
      <c r="AA732" s="253">
        <f t="shared" si="117"/>
        <v>3600</v>
      </c>
      <c r="AB732" s="445"/>
      <c r="AJ732" s="1">
        <v>3600</v>
      </c>
    </row>
    <row r="733" spans="4:36" ht="15" thickBot="1" x14ac:dyDescent="0.35">
      <c r="D733" s="78"/>
      <c r="E733" s="139"/>
      <c r="F733" s="139"/>
      <c r="G733" s="139"/>
      <c r="H733" s="139"/>
      <c r="I733" s="310"/>
      <c r="J733" s="78"/>
      <c r="K733" s="98"/>
      <c r="L733" s="98"/>
      <c r="M733" s="98"/>
      <c r="N733" s="98"/>
      <c r="Q733" s="444"/>
      <c r="R733" s="6" t="s">
        <v>129</v>
      </c>
      <c r="S733" s="6"/>
      <c r="T733" s="6"/>
      <c r="U733" s="7">
        <v>1129</v>
      </c>
      <c r="V733" s="6"/>
      <c r="W733" s="7">
        <v>52477</v>
      </c>
      <c r="X733" s="6"/>
      <c r="Y733" s="7">
        <v>3152</v>
      </c>
      <c r="Z733" s="6"/>
      <c r="AA733" s="253">
        <f t="shared" si="117"/>
        <v>4600</v>
      </c>
      <c r="AB733" s="445"/>
      <c r="AJ733" s="1">
        <v>4600</v>
      </c>
    </row>
    <row r="734" spans="4:36" ht="16.2" thickBot="1" x14ac:dyDescent="0.35">
      <c r="D734" s="381"/>
      <c r="E734" s="717" t="s">
        <v>119</v>
      </c>
      <c r="F734" s="718"/>
      <c r="G734" s="718"/>
      <c r="H734" s="718"/>
      <c r="I734" s="718"/>
      <c r="J734" s="719"/>
      <c r="K734" s="382"/>
      <c r="L734" s="394" t="s">
        <v>10</v>
      </c>
      <c r="M734" s="383"/>
      <c r="N734" s="98"/>
      <c r="Q734" s="444"/>
      <c r="R734" s="6" t="s">
        <v>125</v>
      </c>
      <c r="S734" s="6"/>
      <c r="T734" s="6"/>
      <c r="U734" s="7">
        <v>1118</v>
      </c>
      <c r="V734" s="6"/>
      <c r="W734" s="7">
        <v>10889</v>
      </c>
      <c r="X734" s="6"/>
      <c r="Y734" s="7">
        <v>505</v>
      </c>
      <c r="Z734" s="6"/>
      <c r="AA734" s="253">
        <f t="shared" si="117"/>
        <v>980</v>
      </c>
      <c r="AB734" s="445"/>
      <c r="AJ734" s="1">
        <v>980</v>
      </c>
    </row>
    <row r="735" spans="4:36" x14ac:dyDescent="0.3">
      <c r="D735" s="360"/>
      <c r="E735" s="384" t="s">
        <v>75</v>
      </c>
      <c r="F735" s="16"/>
      <c r="G735" s="16"/>
      <c r="H735" s="16"/>
      <c r="I735" s="720">
        <f>+K81</f>
        <v>48675</v>
      </c>
      <c r="J735" s="720"/>
      <c r="K735" s="16"/>
      <c r="L735" s="60">
        <f>+I735/$I$735</f>
        <v>1</v>
      </c>
      <c r="M735" s="385"/>
      <c r="N735" s="98"/>
      <c r="Q735" s="444"/>
      <c r="R735" s="6" t="s">
        <v>126</v>
      </c>
      <c r="S735" s="6"/>
      <c r="T735" s="6"/>
      <c r="U735" s="7">
        <v>1093</v>
      </c>
      <c r="V735" s="6"/>
      <c r="W735" s="7">
        <v>138546</v>
      </c>
      <c r="X735" s="6"/>
      <c r="Y735" s="7">
        <v>6770</v>
      </c>
      <c r="Z735" s="6"/>
      <c r="AA735" s="253">
        <f t="shared" si="117"/>
        <v>12700</v>
      </c>
      <c r="AB735" s="445"/>
      <c r="AJ735" s="1">
        <v>12700</v>
      </c>
    </row>
    <row r="736" spans="4:36" x14ac:dyDescent="0.3">
      <c r="D736" s="360"/>
      <c r="E736" s="384"/>
      <c r="F736" s="16"/>
      <c r="G736" s="16"/>
      <c r="H736" s="16"/>
      <c r="I736" s="16"/>
      <c r="J736" s="16"/>
      <c r="K736" s="16"/>
      <c r="L736" s="16"/>
      <c r="M736" s="385"/>
      <c r="N736" s="98"/>
      <c r="Q736" s="444"/>
      <c r="R736" s="6" t="s">
        <v>127</v>
      </c>
      <c r="S736" s="6"/>
      <c r="T736" s="6"/>
      <c r="U736" s="447">
        <v>1081</v>
      </c>
      <c r="V736" s="6"/>
      <c r="W736" s="447">
        <v>65337</v>
      </c>
      <c r="X736" s="6"/>
      <c r="Y736" s="447">
        <v>3108</v>
      </c>
      <c r="Z736" s="6"/>
      <c r="AA736" s="448">
        <f t="shared" si="117"/>
        <v>6100</v>
      </c>
      <c r="AB736" s="445"/>
      <c r="AJ736" s="439">
        <v>6100</v>
      </c>
    </row>
    <row r="737" spans="4:36" x14ac:dyDescent="0.3">
      <c r="D737" s="372"/>
      <c r="E737" s="15"/>
      <c r="F737" s="386" t="s">
        <v>100</v>
      </c>
      <c r="G737" s="386"/>
      <c r="H737" s="15"/>
      <c r="I737" s="721">
        <f>+I81</f>
        <v>36684</v>
      </c>
      <c r="J737" s="722"/>
      <c r="K737" s="15"/>
      <c r="L737" s="60">
        <f>+I737/$I$735</f>
        <v>0.75365177195685673</v>
      </c>
      <c r="M737" s="365"/>
      <c r="N737" s="98"/>
      <c r="Q737" s="444"/>
      <c r="R737" s="5" t="s">
        <v>31</v>
      </c>
      <c r="S737" s="6"/>
      <c r="T737" s="6"/>
      <c r="U737" s="253">
        <f>+W737/(AA737/100)</f>
        <v>1545.0521632402579</v>
      </c>
      <c r="V737" s="6"/>
      <c r="W737" s="253">
        <f>SUM(W727:W736)</f>
        <v>1007065</v>
      </c>
      <c r="X737" s="6"/>
      <c r="Y737" s="253">
        <f>SUM(Y727:Y736)</f>
        <v>71545</v>
      </c>
      <c r="Z737" s="6"/>
      <c r="AA737" s="253">
        <f>SUM(AA727:AA736)</f>
        <v>65180</v>
      </c>
      <c r="AB737" s="445"/>
      <c r="AJ737" s="56">
        <f>SUM(AJ727:AJ736)</f>
        <v>65180</v>
      </c>
    </row>
    <row r="738" spans="4:36" x14ac:dyDescent="0.3">
      <c r="D738" s="372"/>
      <c r="E738" s="15"/>
      <c r="F738" s="15" t="s">
        <v>76</v>
      </c>
      <c r="G738" s="15"/>
      <c r="H738" s="15"/>
      <c r="I738" s="723">
        <f>+I75</f>
        <v>2144</v>
      </c>
      <c r="J738" s="724"/>
      <c r="K738" s="15"/>
      <c r="L738" s="60">
        <f>+I738/$I$735</f>
        <v>4.4047252182845401E-2</v>
      </c>
      <c r="M738" s="365"/>
      <c r="N738" s="98"/>
      <c r="Q738" s="444"/>
      <c r="R738" s="5"/>
      <c r="S738" s="6"/>
      <c r="T738" s="6"/>
      <c r="U738" s="6"/>
      <c r="V738" s="6"/>
      <c r="W738" s="253"/>
      <c r="X738" s="6"/>
      <c r="Y738" s="253"/>
      <c r="Z738" s="6"/>
      <c r="AA738" s="6"/>
      <c r="AB738" s="445"/>
      <c r="AJ738" s="56"/>
    </row>
    <row r="739" spans="4:36" ht="15" thickBot="1" x14ac:dyDescent="0.35">
      <c r="D739" s="372"/>
      <c r="E739" s="709" t="s">
        <v>101</v>
      </c>
      <c r="F739" s="709"/>
      <c r="G739" s="709"/>
      <c r="H739" s="15"/>
      <c r="I739" s="710">
        <f>+I735-I737-I738</f>
        <v>9847</v>
      </c>
      <c r="J739" s="711"/>
      <c r="K739" s="387"/>
      <c r="L739" s="388">
        <f>+I739/$I$735</f>
        <v>0.20230097586029788</v>
      </c>
      <c r="M739" s="365"/>
      <c r="N739" s="98"/>
      <c r="Q739" s="444"/>
      <c r="R739" s="5" t="s">
        <v>57</v>
      </c>
      <c r="S739" s="6"/>
      <c r="T739" s="6"/>
      <c r="U739" s="7">
        <v>7441</v>
      </c>
      <c r="V739" s="6"/>
      <c r="W739" s="7">
        <f>+'Main Table'!H106</f>
        <v>3029734</v>
      </c>
      <c r="X739" s="6"/>
      <c r="Y739" s="7">
        <f>+'Main Table'!AA106</f>
        <v>129682</v>
      </c>
      <c r="Z739" s="6"/>
      <c r="AA739" s="253">
        <f>+AJ739</f>
        <v>333000</v>
      </c>
      <c r="AB739" s="445"/>
      <c r="AJ739" s="56">
        <v>333000</v>
      </c>
    </row>
    <row r="740" spans="4:36" ht="15.6" thickTop="1" thickBot="1" x14ac:dyDescent="0.35">
      <c r="D740" s="372"/>
      <c r="E740" s="389"/>
      <c r="F740" s="389"/>
      <c r="G740" s="389"/>
      <c r="H740" s="15"/>
      <c r="I740" s="390"/>
      <c r="J740" s="389"/>
      <c r="K740" s="387"/>
      <c r="L740" s="391"/>
      <c r="M740" s="365"/>
      <c r="N740" s="98"/>
      <c r="Q740" s="444"/>
      <c r="R740" s="5" t="s">
        <v>130</v>
      </c>
      <c r="S740" s="6"/>
      <c r="T740" s="6"/>
      <c r="U740" s="449"/>
      <c r="V740" s="6"/>
      <c r="W740" s="450">
        <f>+W737/W739</f>
        <v>0.33239386692033029</v>
      </c>
      <c r="X740" s="6"/>
      <c r="Y740" s="450">
        <f>+Y737/Y739</f>
        <v>0.55169568637127742</v>
      </c>
      <c r="Z740" s="6"/>
      <c r="AA740" s="450">
        <f>+AA737/AA739</f>
        <v>0.19573573573573574</v>
      </c>
      <c r="AB740" s="445"/>
      <c r="AJ740" s="440">
        <f>+AJ737/AJ739</f>
        <v>0.19573573573573574</v>
      </c>
    </row>
    <row r="741" spans="4:36" ht="15.6" thickTop="1" thickBot="1" x14ac:dyDescent="0.35">
      <c r="D741" s="392"/>
      <c r="E741" s="393"/>
      <c r="F741" s="393"/>
      <c r="G741" s="393"/>
      <c r="H741" s="393"/>
      <c r="I741" s="393"/>
      <c r="J741" s="393"/>
      <c r="K741" s="393"/>
      <c r="L741" s="393"/>
      <c r="M741" s="380"/>
      <c r="N741" s="98"/>
      <c r="Q741" s="451"/>
      <c r="R741" s="452"/>
      <c r="S741" s="452"/>
      <c r="T741" s="452"/>
      <c r="U741" s="452"/>
      <c r="V741" s="452"/>
      <c r="W741" s="452"/>
      <c r="X741" s="452"/>
      <c r="Y741" s="452"/>
      <c r="Z741" s="452"/>
      <c r="AA741" s="452"/>
      <c r="AB741" s="453"/>
    </row>
    <row r="745" spans="4:36" x14ac:dyDescent="0.3">
      <c r="F745" s="1">
        <v>1248371</v>
      </c>
    </row>
    <row r="746" spans="4:36" x14ac:dyDescent="0.3">
      <c r="W746" s="1"/>
    </row>
    <row r="747" spans="4:36" x14ac:dyDescent="0.3">
      <c r="F747">
        <v>700</v>
      </c>
    </row>
    <row r="748" spans="4:36" x14ac:dyDescent="0.3">
      <c r="F748" s="76">
        <f>+F747/F745</f>
        <v>5.6073074430597954E-4</v>
      </c>
    </row>
    <row r="750" spans="4:36" x14ac:dyDescent="0.3">
      <c r="F750" s="1">
        <v>60000</v>
      </c>
    </row>
    <row r="751" spans="4:36" x14ac:dyDescent="0.3">
      <c r="F751">
        <f>+F748*F750</f>
        <v>33.643844658358773</v>
      </c>
    </row>
    <row r="753" spans="6:6" x14ac:dyDescent="0.3">
      <c r="F753" s="1">
        <v>331000000</v>
      </c>
    </row>
    <row r="754" spans="6:6" x14ac:dyDescent="0.3">
      <c r="F754" s="56">
        <f>+W86</f>
        <v>811067</v>
      </c>
    </row>
    <row r="755" spans="6:6" x14ac:dyDescent="0.3">
      <c r="F755" s="57">
        <f>+F754/F753</f>
        <v>2.4503534743202417E-3</v>
      </c>
    </row>
  </sheetData>
  <mergeCells count="50">
    <mergeCell ref="D72:O72"/>
    <mergeCell ref="E73:H73"/>
    <mergeCell ref="K73:L73"/>
    <mergeCell ref="D79:H79"/>
    <mergeCell ref="E82:G82"/>
    <mergeCell ref="D81:H81"/>
    <mergeCell ref="K81:L81"/>
    <mergeCell ref="E739:G739"/>
    <mergeCell ref="I739:J739"/>
    <mergeCell ref="E725:M725"/>
    <mergeCell ref="I726:L726"/>
    <mergeCell ref="F728:G728"/>
    <mergeCell ref="E734:J734"/>
    <mergeCell ref="I735:J735"/>
    <mergeCell ref="I737:J737"/>
    <mergeCell ref="I738:J738"/>
    <mergeCell ref="H730:I730"/>
    <mergeCell ref="I65:L65"/>
    <mergeCell ref="D48:H48"/>
    <mergeCell ref="D50:H50"/>
    <mergeCell ref="K50:L50"/>
    <mergeCell ref="E51:G51"/>
    <mergeCell ref="E54:J54"/>
    <mergeCell ref="I55:J55"/>
    <mergeCell ref="I57:J57"/>
    <mergeCell ref="I58:J58"/>
    <mergeCell ref="E59:G59"/>
    <mergeCell ref="I59:J59"/>
    <mergeCell ref="I60:J60"/>
    <mergeCell ref="I32:J32"/>
    <mergeCell ref="I34:J34"/>
    <mergeCell ref="I36:J36"/>
    <mergeCell ref="E31:J31"/>
    <mergeCell ref="I35:J35"/>
    <mergeCell ref="F67:G67"/>
    <mergeCell ref="E64:M64"/>
    <mergeCell ref="I61:J61"/>
    <mergeCell ref="T3:AD3"/>
    <mergeCell ref="E15:I15"/>
    <mergeCell ref="D41:O41"/>
    <mergeCell ref="E42:H42"/>
    <mergeCell ref="K42:L42"/>
    <mergeCell ref="D18:O18"/>
    <mergeCell ref="E19:H19"/>
    <mergeCell ref="D25:H25"/>
    <mergeCell ref="E28:G28"/>
    <mergeCell ref="E36:G36"/>
    <mergeCell ref="K19:L19"/>
    <mergeCell ref="D27:H27"/>
    <mergeCell ref="K27:L27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Main Table</vt:lpstr>
      <vt:lpstr>Hot Spots</vt:lpstr>
      <vt:lpstr>ONC</vt:lpstr>
      <vt:lpstr>'Main Table'!Print_Area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mkeresman</dc:creator>
  <cp:lastModifiedBy>mkeresman</cp:lastModifiedBy>
  <cp:lastPrinted>2020-08-27T12:00:07Z</cp:lastPrinted>
  <dcterms:created xsi:type="dcterms:W3CDTF">2020-03-28T00:34:23Z</dcterms:created>
  <dcterms:modified xsi:type="dcterms:W3CDTF">2022-04-12T01:06:07Z</dcterms:modified>
</cp:coreProperties>
</file>